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drawings/drawing5.xml" ContentType="application/vnd.openxmlformats-officedocument.drawing+xml"/>
  <Override PartName="/xl/drawings/drawing4.xml" ContentType="application/vnd.openxmlformats-officedocument.drawing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15.xml" ContentType="application/vnd.openxmlformats-officedocument.spreadsheetml.worksheet+xml"/>
  <Override PartName="/xl/drawings/drawing3.xml" ContentType="application/vnd.openxmlformats-officedocument.drawing+xml"/>
  <Override PartName="/xl/worksheets/sheet14.xml" ContentType="application/vnd.openxmlformats-officedocument.spreadsheetml.worksheet+xml"/>
  <Override PartName="/xl/worksheets/sheet13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2.xml" ContentType="application/vnd.openxmlformats-officedocument.drawing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10.xml" ContentType="application/vnd.openxmlformats-officedocument.spreadsheetml.worksheet+xml"/>
  <Override PartName="/xl/worksheets/sheet9.xml" ContentType="application/vnd.openxmlformats-officedocument.spreadsheetml.worksheet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xl/comments1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4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7.xml" ContentType="application/vnd.openxmlformats-officedocument.spreadsheetml.comments+xml"/>
  <Override PartName="/xl/comments10.xml" ContentType="application/vnd.openxmlformats-officedocument.spreadsheetml.comments+xml"/>
  <Override PartName="/xl/calcChain.xml" ContentType="application/vnd.openxmlformats-officedocument.spreadsheetml.calcChain+xml"/>
  <Override PartName="/xl/comments9.xml" ContentType="application/vnd.openxmlformats-officedocument.spreadsheetml.comments+xml"/>
  <Override PartName="/xl/comments8.xml" ContentType="application/vnd.openxmlformats-officedocument.spreadsheetml.comment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C01m107\c01m107\2017\2017_ WA Elec and Gas GRC\Rebuttal Testimony &amp; Exhibits\Andrews\Workpapers\"/>
    </mc:Choice>
  </mc:AlternateContent>
  <bookViews>
    <workbookView xWindow="0" yWindow="90" windowWidth="12195" windowHeight="6630" tabRatio="884" activeTab="2"/>
  </bookViews>
  <sheets>
    <sheet name="2.02 Electric restate" sheetId="23" r:id="rId1"/>
    <sheet name="2.02 Gas-restate" sheetId="24" r:id="rId2"/>
    <sheet name="3.06 Electric-proforma" sheetId="25" r:id="rId3"/>
    <sheet name="Elec 2.02Restate 3.06Proforma" sheetId="12" r:id="rId4"/>
    <sheet name="Staff DR 160 as adapted " sheetId="19" r:id="rId5"/>
    <sheet name="3.06 Gas-proforma" sheetId="26" r:id="rId6"/>
    <sheet name="Gas 2.02Restate 3.06Proforma" sheetId="13" r:id="rId7"/>
    <sheet name="2.02Elec Restate as orig filed" sheetId="21" r:id="rId8"/>
    <sheet name="2.02Gas Restate as orig filed" sheetId="22" r:id="rId9"/>
    <sheet name="3.06Elec ProForma as orig file " sheetId="11" r:id="rId10"/>
    <sheet name="3.06Gas ProForma as orig filed" sheetId="10" r:id="rId11"/>
    <sheet name="Resp Stf DR40 suppl att A elec" sheetId="14" r:id="rId12"/>
    <sheet name="Resp Stf DR40 suppl att A gas" sheetId="20" r:id="rId13"/>
    <sheet name="Resp to Staff DR 41 supp A" sheetId="16" r:id="rId14"/>
    <sheet name="Resp to Staff DR 160" sheetId="28" r:id="rId15"/>
    <sheet name="Resp to ICNU DR 54" sheetId="27" r:id="rId16"/>
    <sheet name="ForecastAsFiled" sheetId="15" r:id="rId17"/>
    <sheet name="Macro1" sheetId="9" state="veryHidden" r:id="rId18"/>
  </sheets>
  <definedNames>
    <definedName name="Macro1">Macro1!$A$1</definedName>
    <definedName name="Macro10">Macro1!$B$1</definedName>
    <definedName name="Macro11">Macro1!$B$8</definedName>
    <definedName name="Macro12">Macro1!$B$15</definedName>
    <definedName name="Macro13">Macro1!$B$22</definedName>
    <definedName name="Macro14">Macro1!$B$29</definedName>
    <definedName name="Macro15">Macro1!$B$36</definedName>
    <definedName name="Macro16">Macro1!$B$43</definedName>
    <definedName name="Macro17">Macro1!$B$50</definedName>
    <definedName name="Macro18">Macro1!$B$57</definedName>
    <definedName name="Macro19">Macro1!$C$1</definedName>
    <definedName name="Macro2">Macro1!$A$8</definedName>
    <definedName name="Macro20">Macro1!$C$8</definedName>
    <definedName name="Macro21">Macro1!$C$15</definedName>
    <definedName name="Macro22">Macro1!$C$22</definedName>
    <definedName name="Macro23">Macro1!$C$29</definedName>
    <definedName name="Macro24">Macro1!$C$36</definedName>
    <definedName name="Macro25">Macro1!$C$43</definedName>
    <definedName name="Macro26">Macro1!$C$50</definedName>
    <definedName name="Macro27">Macro1!$C$57</definedName>
    <definedName name="Macro28">Macro1!$D$1</definedName>
    <definedName name="Macro29">Macro1!$D$8</definedName>
    <definedName name="Macro3">Macro1!$A$15</definedName>
    <definedName name="Macro30">Macro1!$D$15</definedName>
    <definedName name="Macro31">Macro1!$D$22</definedName>
    <definedName name="Macro32">Macro1!$D$29</definedName>
    <definedName name="Macro33">Macro1!$D$36</definedName>
    <definedName name="Macro34">Macro1!$D$43</definedName>
    <definedName name="Macro35">Macro1!$D$50</definedName>
    <definedName name="Macro36">Macro1!$D$57</definedName>
    <definedName name="Macro37">Macro1!$E$1</definedName>
    <definedName name="Macro38">Macro1!$E$8</definedName>
    <definedName name="Macro39">Macro1!$E$15</definedName>
    <definedName name="Macro4">Macro1!$A$22</definedName>
    <definedName name="Macro40">Macro1!$E$22</definedName>
    <definedName name="Macro41">Macro1!$E$29</definedName>
    <definedName name="Macro42">Macro1!$E$36</definedName>
    <definedName name="Macro43">Macro1!$E$43</definedName>
    <definedName name="Macro44">Macro1!$E$50</definedName>
    <definedName name="Macro45">Macro1!$E$57</definedName>
    <definedName name="Macro46">Macro1!$F$1</definedName>
    <definedName name="Macro47">Macro1!$F$8</definedName>
    <definedName name="Macro48">Macro1!$F$15</definedName>
    <definedName name="Macro49">Macro1!$F$22</definedName>
    <definedName name="Macro5">Macro1!$A$29</definedName>
    <definedName name="Macro50">Macro1!$F$29</definedName>
    <definedName name="Macro51">Macro1!$F$36</definedName>
    <definedName name="Macro52">Macro1!$F$43</definedName>
    <definedName name="Macro53">Macro1!$F$50</definedName>
    <definedName name="Macro54">Macro1!$F$57</definedName>
    <definedName name="Macro55">Macro1!$G$1</definedName>
    <definedName name="Macro56">Macro1!$G$8</definedName>
    <definedName name="Macro57">Macro1!$G$15</definedName>
    <definedName name="Macro58">Macro1!$G$22</definedName>
    <definedName name="Macro59">Macro1!$G$29</definedName>
    <definedName name="Macro6">Macro1!$A$36</definedName>
    <definedName name="Macro60">Macro1!$G$36</definedName>
    <definedName name="Macro61">Macro1!$G$43</definedName>
    <definedName name="Macro62">Macro1!$G$50</definedName>
    <definedName name="Macro63">Macro1!$G$57</definedName>
    <definedName name="Macro64">Macro1!$H$1</definedName>
    <definedName name="Macro65">Macro1!$H$8</definedName>
    <definedName name="Macro66">Macro1!$H$15</definedName>
    <definedName name="Macro67">Macro1!$H$22</definedName>
    <definedName name="Macro68">Macro1!$H$29</definedName>
    <definedName name="Macro69">Macro1!$H$36</definedName>
    <definedName name="Macro7">Macro1!$A$43</definedName>
    <definedName name="Macro70">Macro1!$H$43</definedName>
    <definedName name="Macro71">Macro1!$H$50</definedName>
    <definedName name="Macro72">Macro1!$H$57</definedName>
    <definedName name="Macro8">Macro1!$A$50</definedName>
    <definedName name="Macro9">Macro1!$A$57</definedName>
    <definedName name="_xlnm.Print_Area" localSheetId="0">'2.02 Electric restate'!$A$1:$F$80</definedName>
    <definedName name="_xlnm.Print_Area" localSheetId="1">'2.02 Gas-restate'!$A$1:$F$82</definedName>
    <definedName name="_xlnm.Print_Area" localSheetId="2">'3.06 Electric-proforma'!$A$1:$F$82</definedName>
    <definedName name="_xlnm.Print_Area" localSheetId="5">'3.06 Gas-proforma'!$A$1:$F$82</definedName>
    <definedName name="_xlnm.Print_Area" localSheetId="16">ForecastAsFiled!$A$1:$S$56</definedName>
    <definedName name="_xlnm.Print_Area" localSheetId="11">'Resp Stf DR40 suppl att A elec'!$A$1:$E$200</definedName>
    <definedName name="_xlnm.Print_Area" localSheetId="12">'Resp Stf DR40 suppl att A gas'!$A$1:$E$198</definedName>
    <definedName name="_xlnm.Print_Area" localSheetId="15">'Resp to ICNU DR 54'!$A$1:$X$202</definedName>
    <definedName name="_xlnm.Print_Area" localSheetId="4">'Staff DR 160 as adapted '!$A$1:$Y$203</definedName>
    <definedName name="_xlnm.Print_Titles" localSheetId="16">ForecastAsFiled!$A:$D</definedName>
    <definedName name="_xlnm.Print_Titles" localSheetId="11">'Resp Stf DR40 suppl att A elec'!$4:$9</definedName>
    <definedName name="_xlnm.Print_Titles" localSheetId="12">'Resp Stf DR40 suppl att A gas'!$5:$7</definedName>
    <definedName name="_xlnm.Print_Titles" localSheetId="4">'Staff DR 160 as adapted '!$A:$B,'Staff DR 160 as adapted '!$4:$10</definedName>
    <definedName name="Recover">Macro1!$A$97</definedName>
    <definedName name="TableName">"Dummy"</definedName>
  </definedNames>
  <calcPr calcId="152511"/>
</workbook>
</file>

<file path=xl/calcChain.xml><?xml version="1.0" encoding="utf-8"?>
<calcChain xmlns="http://schemas.openxmlformats.org/spreadsheetml/2006/main">
  <c r="E21" i="12" l="1"/>
  <c r="Y68" i="19"/>
  <c r="O195" i="28" l="1"/>
  <c r="M195" i="28"/>
  <c r="J195" i="28"/>
  <c r="D195" i="28"/>
  <c r="M184" i="28"/>
  <c r="J184" i="28"/>
  <c r="F173" i="28"/>
  <c r="F197" i="28" s="1"/>
  <c r="Q171" i="28"/>
  <c r="O171" i="28"/>
  <c r="N171" i="28" s="1"/>
  <c r="M171" i="28"/>
  <c r="J171" i="28"/>
  <c r="H171" i="28"/>
  <c r="F171" i="28"/>
  <c r="E171" i="28" s="1"/>
  <c r="D171" i="28"/>
  <c r="C171" i="28"/>
  <c r="S165" i="28"/>
  <c r="S168" i="28" s="1"/>
  <c r="S170" i="28" s="1"/>
  <c r="Q165" i="28"/>
  <c r="Q168" i="28" s="1"/>
  <c r="Q170" i="28" s="1"/>
  <c r="O165" i="28"/>
  <c r="O168" i="28" s="1"/>
  <c r="O170" i="28" s="1"/>
  <c r="O173" i="28" s="1"/>
  <c r="O197" i="28" s="1"/>
  <c r="M165" i="28"/>
  <c r="M168" i="28" s="1"/>
  <c r="M170" i="28" s="1"/>
  <c r="M173" i="28" s="1"/>
  <c r="M197" i="28" s="1"/>
  <c r="J165" i="28"/>
  <c r="J168" i="28" s="1"/>
  <c r="J170" i="28" s="1"/>
  <c r="J173" i="28" s="1"/>
  <c r="J197" i="28" s="1"/>
  <c r="H165" i="28"/>
  <c r="H168" i="28" s="1"/>
  <c r="H170" i="28" s="1"/>
  <c r="H173" i="28" s="1"/>
  <c r="H197" i="28" s="1"/>
  <c r="F165" i="28"/>
  <c r="F168" i="28" s="1"/>
  <c r="F170" i="28" s="1"/>
  <c r="D165" i="28"/>
  <c r="D168" i="28" s="1"/>
  <c r="D170" i="28" s="1"/>
  <c r="D173" i="28" s="1"/>
  <c r="D197" i="28" s="1"/>
  <c r="U160" i="28"/>
  <c r="V160" i="28" s="1"/>
  <c r="S160" i="28"/>
  <c r="D155" i="28"/>
  <c r="D196" i="28" s="1"/>
  <c r="Q153" i="28"/>
  <c r="O153" i="28"/>
  <c r="N153" i="28" s="1"/>
  <c r="M153" i="28"/>
  <c r="L153" i="28"/>
  <c r="J153" i="28"/>
  <c r="I153" i="28" s="1"/>
  <c r="H153" i="28"/>
  <c r="G153" i="28" s="1"/>
  <c r="F153" i="28"/>
  <c r="D153" i="28"/>
  <c r="C153" i="28" s="1"/>
  <c r="D152" i="28"/>
  <c r="H151" i="28"/>
  <c r="M148" i="28"/>
  <c r="M150" i="28" s="1"/>
  <c r="M152" i="28" s="1"/>
  <c r="M155" i="28" s="1"/>
  <c r="M196" i="28" s="1"/>
  <c r="M200" i="28" s="1"/>
  <c r="H148" i="28"/>
  <c r="H150" i="28" s="1"/>
  <c r="H152" i="28" s="1"/>
  <c r="H155" i="28" s="1"/>
  <c r="H196" i="28" s="1"/>
  <c r="F148" i="28"/>
  <c r="F150" i="28" s="1"/>
  <c r="F152" i="28" s="1"/>
  <c r="F155" i="28" s="1"/>
  <c r="F196" i="28" s="1"/>
  <c r="D148" i="28"/>
  <c r="D150" i="28" s="1"/>
  <c r="V147" i="28"/>
  <c r="W147" i="28" s="1"/>
  <c r="X147" i="28" s="1"/>
  <c r="Q147" i="28"/>
  <c r="S147" i="28" s="1"/>
  <c r="U147" i="28" s="1"/>
  <c r="O147" i="28"/>
  <c r="O148" i="28" s="1"/>
  <c r="O150" i="28" s="1"/>
  <c r="O152" i="28" s="1"/>
  <c r="O155" i="28" s="1"/>
  <c r="O196" i="28" s="1"/>
  <c r="J147" i="28"/>
  <c r="J148" i="28" s="1"/>
  <c r="J150" i="28" s="1"/>
  <c r="J152" i="28" s="1"/>
  <c r="J155" i="28" s="1"/>
  <c r="J196" i="28" s="1"/>
  <c r="H147" i="28"/>
  <c r="X145" i="28"/>
  <c r="W145" i="28"/>
  <c r="V145" i="28"/>
  <c r="U145" i="28"/>
  <c r="S145" i="28"/>
  <c r="X144" i="28"/>
  <c r="W144" i="28"/>
  <c r="V144" i="28"/>
  <c r="U144" i="28"/>
  <c r="S144" i="28"/>
  <c r="U143" i="28"/>
  <c r="S143" i="28"/>
  <c r="S148" i="28" s="1"/>
  <c r="S150" i="28" s="1"/>
  <c r="S152" i="28" s="1"/>
  <c r="F138" i="28"/>
  <c r="F195" i="28" s="1"/>
  <c r="G136" i="28"/>
  <c r="E136" i="28"/>
  <c r="C136" i="28"/>
  <c r="J134" i="28"/>
  <c r="H134" i="28"/>
  <c r="D134" i="28"/>
  <c r="J133" i="28"/>
  <c r="J135" i="28" s="1"/>
  <c r="J136" i="28" s="1"/>
  <c r="I136" i="28" s="1"/>
  <c r="J131" i="28"/>
  <c r="F131" i="28"/>
  <c r="F133" i="28" s="1"/>
  <c r="F134" i="28" s="1"/>
  <c r="D131" i="28"/>
  <c r="D133" i="28" s="1"/>
  <c r="D135" i="28" s="1"/>
  <c r="U130" i="28"/>
  <c r="V130" i="28" s="1"/>
  <c r="W130" i="28" s="1"/>
  <c r="X130" i="28" s="1"/>
  <c r="S130" i="28"/>
  <c r="Q130" i="28"/>
  <c r="O130" i="28"/>
  <c r="M130" i="28"/>
  <c r="M131" i="28" s="1"/>
  <c r="M133" i="28" s="1"/>
  <c r="H130" i="28"/>
  <c r="V129" i="28"/>
  <c r="W129" i="28" s="1"/>
  <c r="X129" i="28" s="1"/>
  <c r="Q129" i="28"/>
  <c r="S129" i="28" s="1"/>
  <c r="U129" i="28" s="1"/>
  <c r="O129" i="28"/>
  <c r="O131" i="28" s="1"/>
  <c r="O133" i="28" s="1"/>
  <c r="O134" i="28" s="1"/>
  <c r="M129" i="28"/>
  <c r="H129" i="28"/>
  <c r="H131" i="28" s="1"/>
  <c r="H133" i="28" s="1"/>
  <c r="H135" i="28" s="1"/>
  <c r="H138" i="28" s="1"/>
  <c r="H195" i="28" s="1"/>
  <c r="H200" i="28" s="1"/>
  <c r="Q126" i="28"/>
  <c r="O119" i="28"/>
  <c r="O189" i="28" s="1"/>
  <c r="M119" i="28"/>
  <c r="M189" i="28" s="1"/>
  <c r="H119" i="28"/>
  <c r="H189" i="28" s="1"/>
  <c r="D119" i="28"/>
  <c r="D189" i="28" s="1"/>
  <c r="Q116" i="28"/>
  <c r="N116" i="28"/>
  <c r="M116" i="28"/>
  <c r="J116" i="28"/>
  <c r="F116" i="28"/>
  <c r="G116" i="28" s="1"/>
  <c r="E116" i="28"/>
  <c r="D116" i="28"/>
  <c r="C116" i="28" s="1"/>
  <c r="S109" i="28"/>
  <c r="U109" i="28" s="1"/>
  <c r="V109" i="28" s="1"/>
  <c r="W109" i="28" s="1"/>
  <c r="X109" i="28" s="1"/>
  <c r="X101" i="28"/>
  <c r="S101" i="28"/>
  <c r="U101" i="28" s="1"/>
  <c r="V101" i="28" s="1"/>
  <c r="W101" i="28" s="1"/>
  <c r="R101" i="28"/>
  <c r="R116" i="28" s="1"/>
  <c r="R136" i="28" s="1"/>
  <c r="R153" i="28" s="1"/>
  <c r="R171" i="28" s="1"/>
  <c r="Q101" i="28"/>
  <c r="N101" i="28"/>
  <c r="L101" i="28"/>
  <c r="J101" i="28"/>
  <c r="I101" i="28"/>
  <c r="G101" i="28"/>
  <c r="E101" i="28"/>
  <c r="C101" i="28"/>
  <c r="M98" i="28"/>
  <c r="M100" i="28" s="1"/>
  <c r="M103" i="28" s="1"/>
  <c r="M188" i="28" s="1"/>
  <c r="O93" i="28"/>
  <c r="O96" i="28" s="1"/>
  <c r="O98" i="28" s="1"/>
  <c r="O100" i="28" s="1"/>
  <c r="O103" i="28" s="1"/>
  <c r="O188" i="28" s="1"/>
  <c r="M93" i="28"/>
  <c r="F93" i="28"/>
  <c r="F96" i="28" s="1"/>
  <c r="F98" i="28" s="1"/>
  <c r="F100" i="28" s="1"/>
  <c r="F103" i="28" s="1"/>
  <c r="F188" i="28" s="1"/>
  <c r="X90" i="28"/>
  <c r="W90" i="28"/>
  <c r="V90" i="28"/>
  <c r="U90" i="28"/>
  <c r="S90" i="28"/>
  <c r="Q90" i="28"/>
  <c r="Q93" i="28" s="1"/>
  <c r="Q96" i="28" s="1"/>
  <c r="Q98" i="28" s="1"/>
  <c r="Q100" i="28" s="1"/>
  <c r="Q103" i="28" s="1"/>
  <c r="J90" i="28"/>
  <c r="H90" i="28"/>
  <c r="F90" i="28"/>
  <c r="D90" i="28"/>
  <c r="H89" i="28"/>
  <c r="H93" i="28" s="1"/>
  <c r="H96" i="28" s="1"/>
  <c r="H98" i="28" s="1"/>
  <c r="H100" i="28" s="1"/>
  <c r="H103" i="28" s="1"/>
  <c r="H188" i="28" s="1"/>
  <c r="F89" i="28"/>
  <c r="D89" i="28"/>
  <c r="D93" i="28" s="1"/>
  <c r="D96" i="28" s="1"/>
  <c r="D98" i="28" s="1"/>
  <c r="D100" i="28" s="1"/>
  <c r="D103" i="28" s="1"/>
  <c r="D188" i="28" s="1"/>
  <c r="S88" i="28"/>
  <c r="U80" i="28"/>
  <c r="V80" i="28" s="1"/>
  <c r="W80" i="28" s="1"/>
  <c r="X80" i="28" s="1"/>
  <c r="Q80" i="28"/>
  <c r="S80" i="28" s="1"/>
  <c r="O80" i="28"/>
  <c r="N80" i="28" s="1"/>
  <c r="M80" i="28"/>
  <c r="J80" i="28"/>
  <c r="I80" i="28" s="1"/>
  <c r="G80" i="28"/>
  <c r="E80" i="28"/>
  <c r="C80" i="28"/>
  <c r="U76" i="28"/>
  <c r="V76" i="28" s="1"/>
  <c r="W76" i="28" s="1"/>
  <c r="X76" i="28" s="1"/>
  <c r="Q76" i="28"/>
  <c r="S76" i="28" s="1"/>
  <c r="O76" i="28"/>
  <c r="M76" i="28"/>
  <c r="J76" i="28"/>
  <c r="H76" i="28"/>
  <c r="D76" i="28"/>
  <c r="M73" i="28"/>
  <c r="J73" i="28"/>
  <c r="H73" i="28"/>
  <c r="F73" i="28"/>
  <c r="D73" i="28"/>
  <c r="M72" i="28"/>
  <c r="M75" i="28" s="1"/>
  <c r="M77" i="28" s="1"/>
  <c r="M79" i="28" s="1"/>
  <c r="M82" i="28" s="1"/>
  <c r="M187" i="28" s="1"/>
  <c r="U71" i="28"/>
  <c r="V71" i="28" s="1"/>
  <c r="W71" i="28" s="1"/>
  <c r="X71" i="28" s="1"/>
  <c r="Q71" i="28"/>
  <c r="S71" i="28" s="1"/>
  <c r="O71" i="28"/>
  <c r="J71" i="28"/>
  <c r="H71" i="28"/>
  <c r="Q69" i="28"/>
  <c r="Q72" i="28" s="1"/>
  <c r="Q75" i="28" s="1"/>
  <c r="Q77" i="28" s="1"/>
  <c r="Q79" i="28" s="1"/>
  <c r="Q82" i="28" s="1"/>
  <c r="O69" i="28"/>
  <c r="O72" i="28" s="1"/>
  <c r="O75" i="28" s="1"/>
  <c r="O77" i="28" s="1"/>
  <c r="O79" i="28" s="1"/>
  <c r="O82" i="28" s="1"/>
  <c r="O187" i="28" s="1"/>
  <c r="M69" i="28"/>
  <c r="J69" i="28"/>
  <c r="J72" i="28" s="1"/>
  <c r="J75" i="28" s="1"/>
  <c r="J77" i="28" s="1"/>
  <c r="J79" i="28" s="1"/>
  <c r="J82" i="28" s="1"/>
  <c r="J187" i="28" s="1"/>
  <c r="H69" i="28"/>
  <c r="H72" i="28" s="1"/>
  <c r="H75" i="28" s="1"/>
  <c r="H77" i="28" s="1"/>
  <c r="H79" i="28" s="1"/>
  <c r="H82" i="28" s="1"/>
  <c r="H187" i="28" s="1"/>
  <c r="F69" i="28"/>
  <c r="F72" i="28" s="1"/>
  <c r="F75" i="28" s="1"/>
  <c r="F77" i="28" s="1"/>
  <c r="F79" i="28" s="1"/>
  <c r="F82" i="28" s="1"/>
  <c r="F187" i="28" s="1"/>
  <c r="D69" i="28"/>
  <c r="D72" i="28" s="1"/>
  <c r="D75" i="28" s="1"/>
  <c r="D77" i="28" s="1"/>
  <c r="D79" i="28" s="1"/>
  <c r="D82" i="28" s="1"/>
  <c r="D187" i="28" s="1"/>
  <c r="X67" i="28"/>
  <c r="W67" i="28"/>
  <c r="V67" i="28"/>
  <c r="U67" i="28"/>
  <c r="S67" i="28"/>
  <c r="X65" i="28"/>
  <c r="W65" i="28"/>
  <c r="V65" i="28"/>
  <c r="U65" i="28"/>
  <c r="S65" i="28"/>
  <c r="U63" i="28"/>
  <c r="S63" i="28"/>
  <c r="S56" i="28"/>
  <c r="U56" i="28" s="1"/>
  <c r="V56" i="28" s="1"/>
  <c r="W56" i="28" s="1"/>
  <c r="X56" i="28" s="1"/>
  <c r="Q56" i="28"/>
  <c r="O56" i="28"/>
  <c r="N56" i="28"/>
  <c r="M56" i="28"/>
  <c r="L56" i="28"/>
  <c r="J56" i="28"/>
  <c r="I56" i="28"/>
  <c r="F56" i="28"/>
  <c r="E56" i="28" s="1"/>
  <c r="D56" i="28"/>
  <c r="C56" i="28" s="1"/>
  <c r="S52" i="28"/>
  <c r="U52" i="28" s="1"/>
  <c r="V52" i="28" s="1"/>
  <c r="W52" i="28" s="1"/>
  <c r="X52" i="28" s="1"/>
  <c r="Q52" i="28"/>
  <c r="O52" i="28"/>
  <c r="M52" i="28"/>
  <c r="J52" i="28"/>
  <c r="H52" i="28"/>
  <c r="F52" i="28"/>
  <c r="D52" i="28"/>
  <c r="H51" i="28"/>
  <c r="H53" i="28" s="1"/>
  <c r="H55" i="28" s="1"/>
  <c r="H58" i="28" s="1"/>
  <c r="H186" i="28" s="1"/>
  <c r="F51" i="28"/>
  <c r="F53" i="28" s="1"/>
  <c r="F55" i="28" s="1"/>
  <c r="F58" i="28" s="1"/>
  <c r="F186" i="28" s="1"/>
  <c r="D51" i="28"/>
  <c r="D53" i="28" s="1"/>
  <c r="D55" i="28" s="1"/>
  <c r="D58" i="28" s="1"/>
  <c r="D186" i="28" s="1"/>
  <c r="S50" i="28"/>
  <c r="U50" i="28" s="1"/>
  <c r="Q50" i="28"/>
  <c r="Q51" i="28" s="1"/>
  <c r="Q53" i="28" s="1"/>
  <c r="Q55" i="28" s="1"/>
  <c r="Q58" i="28" s="1"/>
  <c r="O50" i="28"/>
  <c r="O51" i="28" s="1"/>
  <c r="O53" i="28" s="1"/>
  <c r="O55" i="28" s="1"/>
  <c r="O58" i="28" s="1"/>
  <c r="O186" i="28" s="1"/>
  <c r="M50" i="28"/>
  <c r="M51" i="28" s="1"/>
  <c r="M53" i="28" s="1"/>
  <c r="M55" i="28" s="1"/>
  <c r="M58" i="28" s="1"/>
  <c r="M186" i="28" s="1"/>
  <c r="J50" i="28"/>
  <c r="J51" i="28" s="1"/>
  <c r="J53" i="28" s="1"/>
  <c r="J55" i="28" s="1"/>
  <c r="J58" i="28" s="1"/>
  <c r="J186" i="28" s="1"/>
  <c r="X47" i="28"/>
  <c r="W47" i="28"/>
  <c r="V47" i="28"/>
  <c r="U47" i="28"/>
  <c r="S47" i="28"/>
  <c r="X46" i="28"/>
  <c r="W46" i="28"/>
  <c r="V46" i="28"/>
  <c r="U46" i="28"/>
  <c r="S46" i="28"/>
  <c r="X45" i="28"/>
  <c r="W45" i="28"/>
  <c r="V45" i="28"/>
  <c r="U45" i="28"/>
  <c r="S45" i="28"/>
  <c r="X44" i="28"/>
  <c r="W44" i="28"/>
  <c r="V44" i="28"/>
  <c r="U44" i="28"/>
  <c r="X43" i="28"/>
  <c r="W43" i="28"/>
  <c r="V43" i="28"/>
  <c r="U43" i="28"/>
  <c r="S43" i="28"/>
  <c r="S41" i="28"/>
  <c r="Q33" i="28"/>
  <c r="S33" i="28" s="1"/>
  <c r="U33" i="28" s="1"/>
  <c r="V33" i="28" s="1"/>
  <c r="W33" i="28" s="1"/>
  <c r="X33" i="28" s="1"/>
  <c r="O33" i="28"/>
  <c r="F32" i="28"/>
  <c r="F35" i="28" s="1"/>
  <c r="F184" i="28" s="1"/>
  <c r="J29" i="28"/>
  <c r="H29" i="28"/>
  <c r="D29" i="28"/>
  <c r="J26" i="28"/>
  <c r="J28" i="28" s="1"/>
  <c r="J30" i="28" s="1"/>
  <c r="J32" i="28" s="1"/>
  <c r="J33" i="28" s="1"/>
  <c r="I33" i="28" s="1"/>
  <c r="H26" i="28"/>
  <c r="H28" i="28" s="1"/>
  <c r="H30" i="28" s="1"/>
  <c r="H32" i="28" s="1"/>
  <c r="H35" i="28" s="1"/>
  <c r="H184" i="28" s="1"/>
  <c r="H191" i="28" s="1"/>
  <c r="H202" i="28" s="1"/>
  <c r="F26" i="28"/>
  <c r="F28" i="28" s="1"/>
  <c r="F29" i="28" s="1"/>
  <c r="D26" i="28"/>
  <c r="D28" i="28" s="1"/>
  <c r="D30" i="28" s="1"/>
  <c r="D32" i="28" s="1"/>
  <c r="D35" i="28" s="1"/>
  <c r="D184" i="28" s="1"/>
  <c r="D191" i="28" s="1"/>
  <c r="Q25" i="28"/>
  <c r="S25" i="28" s="1"/>
  <c r="U25" i="28" s="1"/>
  <c r="V25" i="28" s="1"/>
  <c r="W25" i="28" s="1"/>
  <c r="X25" i="28" s="1"/>
  <c r="O25" i="28"/>
  <c r="M25" i="28"/>
  <c r="Q24" i="28"/>
  <c r="Q26" i="28" s="1"/>
  <c r="Q28" i="28" s="1"/>
  <c r="O24" i="28"/>
  <c r="O26" i="28" s="1"/>
  <c r="O28" i="28" s="1"/>
  <c r="M24" i="28"/>
  <c r="M26" i="28" s="1"/>
  <c r="M28" i="28" s="1"/>
  <c r="S20" i="28"/>
  <c r="S44" i="28" s="1"/>
  <c r="S17" i="28"/>
  <c r="U17" i="28" s="1"/>
  <c r="V17" i="28" s="1"/>
  <c r="W17" i="28" s="1"/>
  <c r="X17" i="28" s="1"/>
  <c r="O29" i="28" l="1"/>
  <c r="Q29" i="28" s="1"/>
  <c r="S29" i="28" s="1"/>
  <c r="U29" i="28" s="1"/>
  <c r="V29" i="28" s="1"/>
  <c r="W29" i="28" s="1"/>
  <c r="X29" i="28" s="1"/>
  <c r="O30" i="28"/>
  <c r="O32" i="28" s="1"/>
  <c r="O35" i="28" s="1"/>
  <c r="O184" i="28" s="1"/>
  <c r="O191" i="28" s="1"/>
  <c r="Q30" i="28"/>
  <c r="Q32" i="28" s="1"/>
  <c r="Q35" i="28" s="1"/>
  <c r="Q184" i="28" s="1"/>
  <c r="V50" i="28"/>
  <c r="U51" i="28"/>
  <c r="U53" i="28" s="1"/>
  <c r="U55" i="28" s="1"/>
  <c r="U58" i="28" s="1"/>
  <c r="U186" i="28" s="1"/>
  <c r="S173" i="28"/>
  <c r="S197" i="28" s="1"/>
  <c r="M29" i="28"/>
  <c r="M30" i="28"/>
  <c r="M32" i="28" s="1"/>
  <c r="M33" i="28" s="1"/>
  <c r="U41" i="28"/>
  <c r="V41" i="28" s="1"/>
  <c r="W41" i="28" s="1"/>
  <c r="X41" i="28" s="1"/>
  <c r="Q186" i="28"/>
  <c r="P56" i="28"/>
  <c r="U69" i="28"/>
  <c r="U72" i="28" s="1"/>
  <c r="U75" i="28" s="1"/>
  <c r="U77" i="28" s="1"/>
  <c r="U79" i="28" s="1"/>
  <c r="U82" i="28" s="1"/>
  <c r="U187" i="28" s="1"/>
  <c r="Q188" i="28"/>
  <c r="P101" i="28"/>
  <c r="Q134" i="28"/>
  <c r="S134" i="28" s="1"/>
  <c r="U134" i="28" s="1"/>
  <c r="V134" i="28" s="1"/>
  <c r="W134" i="28" s="1"/>
  <c r="X134" i="28" s="1"/>
  <c r="O135" i="28"/>
  <c r="O136" i="28" s="1"/>
  <c r="M134" i="28"/>
  <c r="M135" i="28" s="1"/>
  <c r="M136" i="28" s="1"/>
  <c r="L136" i="28" s="1"/>
  <c r="S51" i="28"/>
  <c r="S53" i="28" s="1"/>
  <c r="S55" i="28" s="1"/>
  <c r="S58" i="28" s="1"/>
  <c r="S186" i="28" s="1"/>
  <c r="I171" i="28"/>
  <c r="L171" i="28"/>
  <c r="D200" i="28"/>
  <c r="D202" i="28" s="1"/>
  <c r="D206" i="28" s="1"/>
  <c r="G56" i="28"/>
  <c r="V63" i="28"/>
  <c r="Q187" i="28"/>
  <c r="P80" i="28"/>
  <c r="S24" i="28"/>
  <c r="S68" i="28"/>
  <c r="S69" i="28" s="1"/>
  <c r="S72" i="28" s="1"/>
  <c r="S75" i="28" s="1"/>
  <c r="S77" i="28" s="1"/>
  <c r="S79" i="28" s="1"/>
  <c r="S82" i="28" s="1"/>
  <c r="S187" i="28" s="1"/>
  <c r="S93" i="28"/>
  <c r="S96" i="28" s="1"/>
  <c r="S98" i="28" s="1"/>
  <c r="S100" i="28" s="1"/>
  <c r="S103" i="28" s="1"/>
  <c r="S188" i="28" s="1"/>
  <c r="U88" i="28"/>
  <c r="Q131" i="28"/>
  <c r="Q133" i="28" s="1"/>
  <c r="Q135" i="28" s="1"/>
  <c r="S126" i="28"/>
  <c r="U148" i="28"/>
  <c r="U150" i="28" s="1"/>
  <c r="U152" i="28" s="1"/>
  <c r="V143" i="28"/>
  <c r="U68" i="28"/>
  <c r="L80" i="28"/>
  <c r="J89" i="28"/>
  <c r="J93" i="28" s="1"/>
  <c r="J96" i="28" s="1"/>
  <c r="J98" i="28" s="1"/>
  <c r="J100" i="28" s="1"/>
  <c r="J103" i="28" s="1"/>
  <c r="J188" i="28" s="1"/>
  <c r="J119" i="28"/>
  <c r="J189" i="28" s="1"/>
  <c r="I116" i="28"/>
  <c r="L116" i="28"/>
  <c r="S116" i="28"/>
  <c r="S171" i="28"/>
  <c r="U171" i="28" s="1"/>
  <c r="V171" i="28" s="1"/>
  <c r="W171" i="28" s="1"/>
  <c r="X171" i="28" s="1"/>
  <c r="M191" i="28"/>
  <c r="M202" i="28" s="1"/>
  <c r="F119" i="28"/>
  <c r="F189" i="28" s="1"/>
  <c r="F191" i="28" s="1"/>
  <c r="F202" i="28" s="1"/>
  <c r="E153" i="28"/>
  <c r="S153" i="28"/>
  <c r="U153" i="28" s="1"/>
  <c r="V153" i="28" s="1"/>
  <c r="W153" i="28" s="1"/>
  <c r="X153" i="28" s="1"/>
  <c r="U165" i="28"/>
  <c r="U168" i="28" s="1"/>
  <c r="U170" i="28" s="1"/>
  <c r="U173" i="28" s="1"/>
  <c r="U197" i="28" s="1"/>
  <c r="J200" i="28"/>
  <c r="Q119" i="28"/>
  <c r="F200" i="28"/>
  <c r="G171" i="28"/>
  <c r="S155" i="28"/>
  <c r="S196" i="28" s="1"/>
  <c r="Q148" i="28"/>
  <c r="Q150" i="28" s="1"/>
  <c r="Q152" i="28" s="1"/>
  <c r="Q155" i="28" s="1"/>
  <c r="W160" i="28"/>
  <c r="V165" i="28"/>
  <c r="V168" i="28" s="1"/>
  <c r="V170" i="28" s="1"/>
  <c r="V173" i="28" s="1"/>
  <c r="V197" i="28" s="1"/>
  <c r="Q173" i="28"/>
  <c r="Q197" i="28" s="1"/>
  <c r="J191" i="28"/>
  <c r="O200" i="28"/>
  <c r="F206" i="28" l="1"/>
  <c r="H206" i="28"/>
  <c r="W63" i="28"/>
  <c r="V69" i="28"/>
  <c r="V72" i="28" s="1"/>
  <c r="V75" i="28" s="1"/>
  <c r="V77" i="28" s="1"/>
  <c r="V79" i="28" s="1"/>
  <c r="V82" i="28" s="1"/>
  <c r="V187" i="28" s="1"/>
  <c r="V68" i="28"/>
  <c r="U24" i="28"/>
  <c r="S26" i="28"/>
  <c r="S28" i="28" s="1"/>
  <c r="S30" i="28" s="1"/>
  <c r="S32" i="28" s="1"/>
  <c r="S35" i="28" s="1"/>
  <c r="S184" i="28" s="1"/>
  <c r="S191" i="28" s="1"/>
  <c r="W165" i="28"/>
  <c r="W168" i="28" s="1"/>
  <c r="W170" i="28" s="1"/>
  <c r="W173" i="28" s="1"/>
  <c r="W197" i="28" s="1"/>
  <c r="X160" i="28"/>
  <c r="X165" i="28" s="1"/>
  <c r="X168" i="28" s="1"/>
  <c r="X170" i="28" s="1"/>
  <c r="X173" i="28" s="1"/>
  <c r="X197" i="28" s="1"/>
  <c r="W143" i="28"/>
  <c r="V148" i="28"/>
  <c r="V150" i="28" s="1"/>
  <c r="V152" i="28" s="1"/>
  <c r="V155" i="28" s="1"/>
  <c r="V196" i="28" s="1"/>
  <c r="U93" i="28"/>
  <c r="U96" i="28" s="1"/>
  <c r="U98" i="28" s="1"/>
  <c r="U100" i="28" s="1"/>
  <c r="U103" i="28" s="1"/>
  <c r="U188" i="28" s="1"/>
  <c r="V88" i="28"/>
  <c r="O202" i="28"/>
  <c r="O206" i="28" s="1"/>
  <c r="S131" i="28"/>
  <c r="S133" i="28" s="1"/>
  <c r="S135" i="28" s="1"/>
  <c r="S138" i="28" s="1"/>
  <c r="S195" i="28" s="1"/>
  <c r="S200" i="28" s="1"/>
  <c r="U126" i="28"/>
  <c r="N136" i="28"/>
  <c r="Q136" i="28"/>
  <c r="S136" i="28" s="1"/>
  <c r="U136" i="28" s="1"/>
  <c r="V136" i="28" s="1"/>
  <c r="W136" i="28" s="1"/>
  <c r="X136" i="28" s="1"/>
  <c r="Q191" i="28"/>
  <c r="L33" i="28"/>
  <c r="N33" i="28"/>
  <c r="J202" i="28"/>
  <c r="J206" i="28" s="1"/>
  <c r="Q196" i="28"/>
  <c r="P153" i="28"/>
  <c r="Q189" i="28"/>
  <c r="P116" i="28"/>
  <c r="S119" i="28"/>
  <c r="S189" i="28" s="1"/>
  <c r="U116" i="28"/>
  <c r="U155" i="28"/>
  <c r="U196" i="28" s="1"/>
  <c r="W50" i="28"/>
  <c r="V51" i="28"/>
  <c r="V53" i="28" s="1"/>
  <c r="V55" i="28" s="1"/>
  <c r="V58" i="28" s="1"/>
  <c r="V186" i="28" s="1"/>
  <c r="X143" i="28" l="1"/>
  <c r="X148" i="28" s="1"/>
  <c r="X150" i="28" s="1"/>
  <c r="X152" i="28" s="1"/>
  <c r="X155" i="28" s="1"/>
  <c r="X196" i="28" s="1"/>
  <c r="W148" i="28"/>
  <c r="W150" i="28" s="1"/>
  <c r="W152" i="28" s="1"/>
  <c r="W155" i="28" s="1"/>
  <c r="W196" i="28" s="1"/>
  <c r="V24" i="28"/>
  <c r="U26" i="28"/>
  <c r="U28" i="28" s="1"/>
  <c r="U30" i="28" s="1"/>
  <c r="U32" i="28" s="1"/>
  <c r="U35" i="28" s="1"/>
  <c r="U184" i="28" s="1"/>
  <c r="U191" i="28" s="1"/>
  <c r="U202" i="28" s="1"/>
  <c r="U206" i="28" s="1"/>
  <c r="W69" i="28"/>
  <c r="W72" i="28" s="1"/>
  <c r="W75" i="28" s="1"/>
  <c r="W77" i="28" s="1"/>
  <c r="W79" i="28" s="1"/>
  <c r="W82" i="28" s="1"/>
  <c r="W187" i="28" s="1"/>
  <c r="X63" i="28"/>
  <c r="W68" i="28"/>
  <c r="S202" i="28"/>
  <c r="V116" i="28"/>
  <c r="U119" i="28"/>
  <c r="U189" i="28" s="1"/>
  <c r="W88" i="28"/>
  <c r="V93" i="28"/>
  <c r="V96" i="28" s="1"/>
  <c r="V98" i="28" s="1"/>
  <c r="V100" i="28" s="1"/>
  <c r="V103" i="28" s="1"/>
  <c r="V188" i="28" s="1"/>
  <c r="Q138" i="28"/>
  <c r="Q195" i="28" s="1"/>
  <c r="Q200" i="28" s="1"/>
  <c r="W51" i="28"/>
  <c r="W53" i="28" s="1"/>
  <c r="W55" i="28" s="1"/>
  <c r="W58" i="28" s="1"/>
  <c r="W186" i="28" s="1"/>
  <c r="X50" i="28"/>
  <c r="X51" i="28" s="1"/>
  <c r="X53" i="28" s="1"/>
  <c r="X55" i="28" s="1"/>
  <c r="X58" i="28" s="1"/>
  <c r="X186" i="28" s="1"/>
  <c r="Q202" i="28"/>
  <c r="Q206" i="28" s="1"/>
  <c r="M206" i="28"/>
  <c r="U131" i="28"/>
  <c r="U133" i="28" s="1"/>
  <c r="U135" i="28" s="1"/>
  <c r="U138" i="28" s="1"/>
  <c r="U195" i="28" s="1"/>
  <c r="U200" i="28" s="1"/>
  <c r="V126" i="28"/>
  <c r="V131" i="28" l="1"/>
  <c r="V133" i="28" s="1"/>
  <c r="V135" i="28" s="1"/>
  <c r="V138" i="28" s="1"/>
  <c r="V195" i="28" s="1"/>
  <c r="V200" i="28" s="1"/>
  <c r="W126" i="28"/>
  <c r="W93" i="28"/>
  <c r="W96" i="28" s="1"/>
  <c r="W98" i="28" s="1"/>
  <c r="W100" i="28" s="1"/>
  <c r="W103" i="28" s="1"/>
  <c r="W188" i="28" s="1"/>
  <c r="X88" i="28"/>
  <c r="X93" i="28" s="1"/>
  <c r="X96" i="28" s="1"/>
  <c r="X98" i="28" s="1"/>
  <c r="X100" i="28" s="1"/>
  <c r="X103" i="28" s="1"/>
  <c r="X188" i="28" s="1"/>
  <c r="V26" i="28"/>
  <c r="V28" i="28" s="1"/>
  <c r="V30" i="28" s="1"/>
  <c r="V32" i="28" s="1"/>
  <c r="V35" i="28" s="1"/>
  <c r="V184" i="28" s="1"/>
  <c r="V191" i="28" s="1"/>
  <c r="V202" i="28" s="1"/>
  <c r="V206" i="28" s="1"/>
  <c r="W24" i="28"/>
  <c r="X68" i="28"/>
  <c r="X69" i="28"/>
  <c r="X72" i="28" s="1"/>
  <c r="X75" i="28" s="1"/>
  <c r="X77" i="28" s="1"/>
  <c r="X79" i="28" s="1"/>
  <c r="X82" i="28" s="1"/>
  <c r="X187" i="28" s="1"/>
  <c r="S206" i="28"/>
  <c r="W116" i="28"/>
  <c r="V119" i="28"/>
  <c r="V189" i="28" s="1"/>
  <c r="X116" i="28" l="1"/>
  <c r="X119" i="28" s="1"/>
  <c r="X189" i="28" s="1"/>
  <c r="W119" i="28"/>
  <c r="W189" i="28" s="1"/>
  <c r="W26" i="28"/>
  <c r="W28" i="28" s="1"/>
  <c r="W30" i="28" s="1"/>
  <c r="W32" i="28" s="1"/>
  <c r="W35" i="28" s="1"/>
  <c r="W184" i="28" s="1"/>
  <c r="W191" i="28" s="1"/>
  <c r="X24" i="28"/>
  <c r="X26" i="28" s="1"/>
  <c r="X28" i="28" s="1"/>
  <c r="X30" i="28" s="1"/>
  <c r="X32" i="28" s="1"/>
  <c r="X35" i="28" s="1"/>
  <c r="X184" i="28" s="1"/>
  <c r="X191" i="28" s="1"/>
  <c r="X202" i="28" s="1"/>
  <c r="W131" i="28"/>
  <c r="W133" i="28" s="1"/>
  <c r="W135" i="28" s="1"/>
  <c r="W138" i="28" s="1"/>
  <c r="W195" i="28" s="1"/>
  <c r="W200" i="28" s="1"/>
  <c r="X126" i="28"/>
  <c r="X131" i="28" s="1"/>
  <c r="X133" i="28" s="1"/>
  <c r="X135" i="28" s="1"/>
  <c r="X138" i="28" s="1"/>
  <c r="X195" i="28" s="1"/>
  <c r="X200" i="28" s="1"/>
  <c r="W202" i="28" l="1"/>
  <c r="W206" i="28" s="1"/>
  <c r="X206" i="28"/>
  <c r="O195" i="27" l="1"/>
  <c r="M195" i="27"/>
  <c r="J195" i="27"/>
  <c r="D195" i="27"/>
  <c r="M188" i="27"/>
  <c r="M184" i="27"/>
  <c r="J184" i="27"/>
  <c r="Q171" i="27"/>
  <c r="O171" i="27"/>
  <c r="M171" i="27"/>
  <c r="L171" i="27" s="1"/>
  <c r="J171" i="27"/>
  <c r="I171" i="27" s="1"/>
  <c r="H171" i="27"/>
  <c r="G171" i="27" s="1"/>
  <c r="F171" i="27"/>
  <c r="D171" i="27"/>
  <c r="C171" i="27" s="1"/>
  <c r="F168" i="27"/>
  <c r="F170" i="27" s="1"/>
  <c r="F173" i="27" s="1"/>
  <c r="F197" i="27" s="1"/>
  <c r="S165" i="27"/>
  <c r="S168" i="27" s="1"/>
  <c r="S170" i="27" s="1"/>
  <c r="Q165" i="27"/>
  <c r="Q168" i="27" s="1"/>
  <c r="Q170" i="27" s="1"/>
  <c r="Q173" i="27" s="1"/>
  <c r="Q197" i="27" s="1"/>
  <c r="O165" i="27"/>
  <c r="O168" i="27" s="1"/>
  <c r="O170" i="27" s="1"/>
  <c r="O173" i="27" s="1"/>
  <c r="O197" i="27" s="1"/>
  <c r="M165" i="27"/>
  <c r="M168" i="27" s="1"/>
  <c r="M170" i="27" s="1"/>
  <c r="M173" i="27" s="1"/>
  <c r="M197" i="27" s="1"/>
  <c r="M200" i="27" s="1"/>
  <c r="J165" i="27"/>
  <c r="J168" i="27" s="1"/>
  <c r="J170" i="27" s="1"/>
  <c r="J173" i="27" s="1"/>
  <c r="J197" i="27" s="1"/>
  <c r="H165" i="27"/>
  <c r="H168" i="27" s="1"/>
  <c r="H170" i="27" s="1"/>
  <c r="H173" i="27" s="1"/>
  <c r="H197" i="27" s="1"/>
  <c r="F165" i="27"/>
  <c r="D165" i="27"/>
  <c r="D168" i="27" s="1"/>
  <c r="D170" i="27" s="1"/>
  <c r="D173" i="27" s="1"/>
  <c r="D197" i="27" s="1"/>
  <c r="V160" i="27"/>
  <c r="W160" i="27" s="1"/>
  <c r="U160" i="27"/>
  <c r="U165" i="27" s="1"/>
  <c r="U168" i="27" s="1"/>
  <c r="U170" i="27" s="1"/>
  <c r="Q153" i="27"/>
  <c r="O153" i="27"/>
  <c r="N153" i="27"/>
  <c r="M153" i="27"/>
  <c r="L153" i="27"/>
  <c r="J153" i="27"/>
  <c r="I153" i="27"/>
  <c r="H153" i="27"/>
  <c r="G153" i="27"/>
  <c r="F153" i="27"/>
  <c r="E153" i="27"/>
  <c r="D153" i="27"/>
  <c r="C153" i="27"/>
  <c r="H152" i="27"/>
  <c r="H155" i="27" s="1"/>
  <c r="H196" i="27" s="1"/>
  <c r="H151" i="27"/>
  <c r="J150" i="27"/>
  <c r="J152" i="27" s="1"/>
  <c r="J155" i="27" s="1"/>
  <c r="J196" i="27" s="1"/>
  <c r="O148" i="27"/>
  <c r="O150" i="27" s="1"/>
  <c r="O152" i="27" s="1"/>
  <c r="O155" i="27" s="1"/>
  <c r="O196" i="27" s="1"/>
  <c r="M148" i="27"/>
  <c r="M150" i="27" s="1"/>
  <c r="M152" i="27" s="1"/>
  <c r="M155" i="27" s="1"/>
  <c r="M196" i="27" s="1"/>
  <c r="J148" i="27"/>
  <c r="F148" i="27"/>
  <c r="F150" i="27" s="1"/>
  <c r="F152" i="27" s="1"/>
  <c r="F155" i="27" s="1"/>
  <c r="F196" i="27" s="1"/>
  <c r="D148" i="27"/>
  <c r="D150" i="27" s="1"/>
  <c r="D152" i="27" s="1"/>
  <c r="D155" i="27" s="1"/>
  <c r="D196" i="27" s="1"/>
  <c r="X147" i="27"/>
  <c r="V147" i="27"/>
  <c r="W147" i="27" s="1"/>
  <c r="U147" i="27"/>
  <c r="Q147" i="27"/>
  <c r="Q148" i="27" s="1"/>
  <c r="Q150" i="27" s="1"/>
  <c r="Q152" i="27" s="1"/>
  <c r="Q155" i="27" s="1"/>
  <c r="O147" i="27"/>
  <c r="J147" i="27"/>
  <c r="H147" i="27"/>
  <c r="H148" i="27" s="1"/>
  <c r="H150" i="27" s="1"/>
  <c r="X145" i="27"/>
  <c r="W145" i="27"/>
  <c r="V145" i="27"/>
  <c r="U145" i="27"/>
  <c r="S145" i="27"/>
  <c r="X144" i="27"/>
  <c r="W144" i="27"/>
  <c r="V144" i="27"/>
  <c r="U144" i="27"/>
  <c r="S144" i="27"/>
  <c r="F138" i="27"/>
  <c r="F195" i="27" s="1"/>
  <c r="Q136" i="27"/>
  <c r="G136" i="27"/>
  <c r="E136" i="27"/>
  <c r="C136" i="27"/>
  <c r="J135" i="27"/>
  <c r="J136" i="27" s="1"/>
  <c r="I136" i="27" s="1"/>
  <c r="J134" i="27"/>
  <c r="H134" i="27"/>
  <c r="D134" i="27"/>
  <c r="U130" i="27"/>
  <c r="U132" i="27" s="1"/>
  <c r="Q130" i="27"/>
  <c r="Q132" i="27" s="1"/>
  <c r="J130" i="27"/>
  <c r="J132" i="27" s="1"/>
  <c r="H130" i="27"/>
  <c r="H132" i="27" s="1"/>
  <c r="H135" i="27" s="1"/>
  <c r="H138" i="27" s="1"/>
  <c r="H195" i="27" s="1"/>
  <c r="H200" i="27" s="1"/>
  <c r="F130" i="27"/>
  <c r="F132" i="27" s="1"/>
  <c r="F134" i="27" s="1"/>
  <c r="D130" i="27"/>
  <c r="D132" i="27" s="1"/>
  <c r="D135" i="27" s="1"/>
  <c r="U129" i="27"/>
  <c r="V129" i="27" s="1"/>
  <c r="W129" i="27" s="1"/>
  <c r="X129" i="27" s="1"/>
  <c r="Q129" i="27"/>
  <c r="O129" i="27"/>
  <c r="M129" i="27"/>
  <c r="H129" i="27"/>
  <c r="W128" i="27"/>
  <c r="X128" i="27" s="1"/>
  <c r="U128" i="27"/>
  <c r="V128" i="27" s="1"/>
  <c r="S128" i="27"/>
  <c r="S130" i="27" s="1"/>
  <c r="S132" i="27" s="1"/>
  <c r="Q128" i="27"/>
  <c r="O128" i="27"/>
  <c r="O130" i="27" s="1"/>
  <c r="O132" i="27" s="1"/>
  <c r="M128" i="27"/>
  <c r="M130" i="27" s="1"/>
  <c r="M132" i="27" s="1"/>
  <c r="H128" i="27"/>
  <c r="V125" i="27"/>
  <c r="U125" i="27"/>
  <c r="Q125" i="27"/>
  <c r="O118" i="27"/>
  <c r="O189" i="27" s="1"/>
  <c r="M118" i="27"/>
  <c r="M189" i="27" s="1"/>
  <c r="H118" i="27"/>
  <c r="H189" i="27" s="1"/>
  <c r="Q115" i="27"/>
  <c r="Q118" i="27" s="1"/>
  <c r="Q189" i="27" s="1"/>
  <c r="P115" i="27"/>
  <c r="N115" i="27"/>
  <c r="M115" i="27"/>
  <c r="J115" i="27"/>
  <c r="I115" i="27"/>
  <c r="F115" i="27"/>
  <c r="F118" i="27" s="1"/>
  <c r="F189" i="27" s="1"/>
  <c r="D115" i="27"/>
  <c r="W108" i="27"/>
  <c r="X108" i="27" s="1"/>
  <c r="V108" i="27"/>
  <c r="U108" i="27"/>
  <c r="Q100" i="27"/>
  <c r="N100" i="27"/>
  <c r="L100" i="27"/>
  <c r="J100" i="27"/>
  <c r="I100" i="27"/>
  <c r="G100" i="27"/>
  <c r="E100" i="27"/>
  <c r="C100" i="27"/>
  <c r="M97" i="27"/>
  <c r="M99" i="27" s="1"/>
  <c r="M102" i="27" s="1"/>
  <c r="H97" i="27"/>
  <c r="H99" i="27" s="1"/>
  <c r="H102" i="27" s="1"/>
  <c r="H188" i="27" s="1"/>
  <c r="Q95" i="27"/>
  <c r="Q97" i="27" s="1"/>
  <c r="Q99" i="27" s="1"/>
  <c r="Q102" i="27" s="1"/>
  <c r="O95" i="27"/>
  <c r="O97" i="27" s="1"/>
  <c r="O99" i="27" s="1"/>
  <c r="O102" i="27" s="1"/>
  <c r="O188" i="27" s="1"/>
  <c r="D95" i="27"/>
  <c r="D97" i="27" s="1"/>
  <c r="D99" i="27" s="1"/>
  <c r="D102" i="27" s="1"/>
  <c r="D188" i="27" s="1"/>
  <c r="O92" i="27"/>
  <c r="M92" i="27"/>
  <c r="F92" i="27"/>
  <c r="F95" i="27" s="1"/>
  <c r="F97" i="27" s="1"/>
  <c r="F99" i="27" s="1"/>
  <c r="F102" i="27" s="1"/>
  <c r="F188" i="27" s="1"/>
  <c r="D92" i="27"/>
  <c r="X89" i="27"/>
  <c r="W89" i="27"/>
  <c r="V89" i="27"/>
  <c r="U89" i="27"/>
  <c r="S89" i="27"/>
  <c r="Q89" i="27"/>
  <c r="Q92" i="27" s="1"/>
  <c r="J89" i="27"/>
  <c r="H89" i="27"/>
  <c r="F89" i="27"/>
  <c r="D89" i="27"/>
  <c r="J88" i="27"/>
  <c r="J92" i="27" s="1"/>
  <c r="J95" i="27" s="1"/>
  <c r="J97" i="27" s="1"/>
  <c r="J99" i="27" s="1"/>
  <c r="J102" i="27" s="1"/>
  <c r="J188" i="27" s="1"/>
  <c r="H88" i="27"/>
  <c r="H92" i="27" s="1"/>
  <c r="H95" i="27" s="1"/>
  <c r="F88" i="27"/>
  <c r="D88" i="27"/>
  <c r="S87" i="27"/>
  <c r="J81" i="27"/>
  <c r="J187" i="27" s="1"/>
  <c r="Q79" i="27"/>
  <c r="O79" i="27"/>
  <c r="M79" i="27"/>
  <c r="L79" i="27"/>
  <c r="J79" i="27"/>
  <c r="I79" i="27"/>
  <c r="G79" i="27"/>
  <c r="E79" i="27"/>
  <c r="C79" i="27"/>
  <c r="S75" i="27"/>
  <c r="U75" i="27" s="1"/>
  <c r="V75" i="27" s="1"/>
  <c r="W75" i="27" s="1"/>
  <c r="X75" i="27" s="1"/>
  <c r="Q75" i="27"/>
  <c r="O75" i="27"/>
  <c r="M75" i="27"/>
  <c r="J75" i="27"/>
  <c r="H75" i="27"/>
  <c r="D75" i="27"/>
  <c r="D74" i="27"/>
  <c r="D76" i="27" s="1"/>
  <c r="D78" i="27" s="1"/>
  <c r="D81" i="27" s="1"/>
  <c r="D187" i="27" s="1"/>
  <c r="M72" i="27"/>
  <c r="J72" i="27"/>
  <c r="H72" i="27"/>
  <c r="F72" i="27"/>
  <c r="D72" i="27"/>
  <c r="F71" i="27"/>
  <c r="F74" i="27" s="1"/>
  <c r="F76" i="27" s="1"/>
  <c r="F78" i="27" s="1"/>
  <c r="F81" i="27" s="1"/>
  <c r="F187" i="27" s="1"/>
  <c r="W70" i="27"/>
  <c r="X70" i="27" s="1"/>
  <c r="V70" i="27"/>
  <c r="U70" i="27"/>
  <c r="S70" i="27"/>
  <c r="Q70" i="27"/>
  <c r="Q71" i="27" s="1"/>
  <c r="Q74" i="27" s="1"/>
  <c r="Q76" i="27" s="1"/>
  <c r="Q78" i="27" s="1"/>
  <c r="Q81" i="27" s="1"/>
  <c r="Q187" i="27" s="1"/>
  <c r="O70" i="27"/>
  <c r="O71" i="27" s="1"/>
  <c r="O74" i="27" s="1"/>
  <c r="O76" i="27" s="1"/>
  <c r="O78" i="27" s="1"/>
  <c r="O81" i="27" s="1"/>
  <c r="O187" i="27" s="1"/>
  <c r="J70" i="27"/>
  <c r="H70" i="27"/>
  <c r="Q68" i="27"/>
  <c r="O68" i="27"/>
  <c r="M68" i="27"/>
  <c r="M71" i="27" s="1"/>
  <c r="M74" i="27" s="1"/>
  <c r="M76" i="27" s="1"/>
  <c r="M78" i="27" s="1"/>
  <c r="M81" i="27" s="1"/>
  <c r="M187" i="27" s="1"/>
  <c r="J68" i="27"/>
  <c r="J71" i="27" s="1"/>
  <c r="J74" i="27" s="1"/>
  <c r="J76" i="27" s="1"/>
  <c r="J78" i="27" s="1"/>
  <c r="H68" i="27"/>
  <c r="H71" i="27" s="1"/>
  <c r="H74" i="27" s="1"/>
  <c r="H76" i="27" s="1"/>
  <c r="H78" i="27" s="1"/>
  <c r="H81" i="27" s="1"/>
  <c r="H187" i="27" s="1"/>
  <c r="F68" i="27"/>
  <c r="D68" i="27"/>
  <c r="D71" i="27" s="1"/>
  <c r="X66" i="27"/>
  <c r="W66" i="27"/>
  <c r="V66" i="27"/>
  <c r="U66" i="27"/>
  <c r="S66" i="27"/>
  <c r="S68" i="27" s="1"/>
  <c r="S71" i="27" s="1"/>
  <c r="S74" i="27" s="1"/>
  <c r="S76" i="27" s="1"/>
  <c r="S78" i="27" s="1"/>
  <c r="X64" i="27"/>
  <c r="W64" i="27"/>
  <c r="V64" i="27"/>
  <c r="U64" i="27"/>
  <c r="U62" i="27"/>
  <c r="T55" i="27"/>
  <c r="T79" i="27" s="1"/>
  <c r="T100" i="27" s="1"/>
  <c r="T115" i="27" s="1"/>
  <c r="T136" i="27" s="1"/>
  <c r="T153" i="27" s="1"/>
  <c r="T171" i="27" s="1"/>
  <c r="R55" i="27"/>
  <c r="R79" i="27" s="1"/>
  <c r="R100" i="27" s="1"/>
  <c r="Q55" i="27"/>
  <c r="S55" i="27" s="1"/>
  <c r="U55" i="27" s="1"/>
  <c r="V55" i="27" s="1"/>
  <c r="W55" i="27" s="1"/>
  <c r="X55" i="27" s="1"/>
  <c r="O55" i="27"/>
  <c r="M55" i="27"/>
  <c r="L55" i="27" s="1"/>
  <c r="J55" i="27"/>
  <c r="I55" i="27" s="1"/>
  <c r="F55" i="27"/>
  <c r="E55" i="27" s="1"/>
  <c r="D55" i="27"/>
  <c r="C55" i="27"/>
  <c r="U51" i="27"/>
  <c r="V51" i="27" s="1"/>
  <c r="W51" i="27" s="1"/>
  <c r="X51" i="27" s="1"/>
  <c r="S51" i="27"/>
  <c r="Q51" i="27"/>
  <c r="O51" i="27"/>
  <c r="M51" i="27"/>
  <c r="J51" i="27"/>
  <c r="H51" i="27"/>
  <c r="F51" i="27"/>
  <c r="D51" i="27"/>
  <c r="M50" i="27"/>
  <c r="M52" i="27" s="1"/>
  <c r="M54" i="27" s="1"/>
  <c r="M57" i="27" s="1"/>
  <c r="M186" i="27" s="1"/>
  <c r="J50" i="27"/>
  <c r="J52" i="27" s="1"/>
  <c r="J54" i="27" s="1"/>
  <c r="J57" i="27" s="1"/>
  <c r="J186" i="27" s="1"/>
  <c r="H50" i="27"/>
  <c r="H52" i="27" s="1"/>
  <c r="H54" i="27" s="1"/>
  <c r="H57" i="27" s="1"/>
  <c r="H186" i="27" s="1"/>
  <c r="F50" i="27"/>
  <c r="F52" i="27" s="1"/>
  <c r="F54" i="27" s="1"/>
  <c r="D50" i="27"/>
  <c r="D52" i="27" s="1"/>
  <c r="D54" i="27" s="1"/>
  <c r="D57" i="27" s="1"/>
  <c r="D186" i="27" s="1"/>
  <c r="U49" i="27"/>
  <c r="V49" i="27" s="1"/>
  <c r="Q49" i="27"/>
  <c r="Q50" i="27" s="1"/>
  <c r="Q52" i="27" s="1"/>
  <c r="Q54" i="27" s="1"/>
  <c r="Q57" i="27" s="1"/>
  <c r="Q186" i="27" s="1"/>
  <c r="O49" i="27"/>
  <c r="O50" i="27" s="1"/>
  <c r="O52" i="27" s="1"/>
  <c r="O54" i="27" s="1"/>
  <c r="O57" i="27" s="1"/>
  <c r="O186" i="27" s="1"/>
  <c r="M49" i="27"/>
  <c r="J49" i="27"/>
  <c r="X46" i="27"/>
  <c r="W46" i="27"/>
  <c r="V46" i="27"/>
  <c r="U46" i="27"/>
  <c r="S46" i="27"/>
  <c r="X45" i="27"/>
  <c r="W45" i="27"/>
  <c r="V45" i="27"/>
  <c r="U45" i="27"/>
  <c r="S45" i="27"/>
  <c r="X44" i="27"/>
  <c r="W44" i="27"/>
  <c r="V44" i="27"/>
  <c r="U44" i="27"/>
  <c r="S44" i="27"/>
  <c r="X43" i="27"/>
  <c r="W43" i="27"/>
  <c r="V43" i="27"/>
  <c r="U43" i="27"/>
  <c r="S43" i="27"/>
  <c r="X42" i="27"/>
  <c r="W42" i="27"/>
  <c r="V42" i="27"/>
  <c r="U42" i="27"/>
  <c r="S42" i="27"/>
  <c r="U40" i="27" s="1"/>
  <c r="V40" i="27" s="1"/>
  <c r="W40" i="27" s="1"/>
  <c r="X40" i="27" s="1"/>
  <c r="F34" i="27"/>
  <c r="F184" i="27" s="1"/>
  <c r="Q32" i="27"/>
  <c r="P32" i="27" s="1"/>
  <c r="O32" i="27"/>
  <c r="F31" i="27"/>
  <c r="J28" i="27"/>
  <c r="H28" i="27"/>
  <c r="D28" i="27"/>
  <c r="S24" i="27"/>
  <c r="S26" i="27" s="1"/>
  <c r="Q24" i="27"/>
  <c r="Q26" i="27" s="1"/>
  <c r="J24" i="27"/>
  <c r="J26" i="27" s="1"/>
  <c r="J29" i="27" s="1"/>
  <c r="J31" i="27" s="1"/>
  <c r="J32" i="27" s="1"/>
  <c r="I32" i="27" s="1"/>
  <c r="H24" i="27"/>
  <c r="H26" i="27" s="1"/>
  <c r="H29" i="27" s="1"/>
  <c r="H31" i="27" s="1"/>
  <c r="H34" i="27" s="1"/>
  <c r="H184" i="27" s="1"/>
  <c r="H191" i="27" s="1"/>
  <c r="H202" i="27" s="1"/>
  <c r="F24" i="27"/>
  <c r="F26" i="27" s="1"/>
  <c r="F28" i="27" s="1"/>
  <c r="D24" i="27"/>
  <c r="D26" i="27" s="1"/>
  <c r="D29" i="27" s="1"/>
  <c r="D31" i="27" s="1"/>
  <c r="D34" i="27" s="1"/>
  <c r="D184" i="27" s="1"/>
  <c r="W23" i="27"/>
  <c r="X23" i="27" s="1"/>
  <c r="V23" i="27"/>
  <c r="U23" i="27"/>
  <c r="Q23" i="27"/>
  <c r="O23" i="27"/>
  <c r="M23" i="27"/>
  <c r="V22" i="27"/>
  <c r="V24" i="27" s="1"/>
  <c r="V26" i="27" s="1"/>
  <c r="U22" i="27"/>
  <c r="U24" i="27" s="1"/>
  <c r="U26" i="27" s="1"/>
  <c r="S22" i="27"/>
  <c r="Q22" i="27"/>
  <c r="O22" i="27"/>
  <c r="O24" i="27" s="1"/>
  <c r="O26" i="27" s="1"/>
  <c r="M22" i="27"/>
  <c r="M24" i="27" s="1"/>
  <c r="M26" i="27" s="1"/>
  <c r="V15" i="27"/>
  <c r="W15" i="27" s="1"/>
  <c r="X15" i="27" s="1"/>
  <c r="U15" i="27"/>
  <c r="M28" i="27" l="1"/>
  <c r="M29" i="27" s="1"/>
  <c r="M31" i="27" s="1"/>
  <c r="M32" i="27" s="1"/>
  <c r="U29" i="27"/>
  <c r="U31" i="27" s="1"/>
  <c r="U34" i="27" s="1"/>
  <c r="U184" i="27" s="1"/>
  <c r="D191" i="27"/>
  <c r="D202" i="27" s="1"/>
  <c r="D206" i="27" s="1"/>
  <c r="Q28" i="27"/>
  <c r="S28" i="27" s="1"/>
  <c r="U28" i="27" s="1"/>
  <c r="V28" i="27" s="1"/>
  <c r="W28" i="27" s="1"/>
  <c r="X28" i="27" s="1"/>
  <c r="R115" i="27"/>
  <c r="S100" i="27"/>
  <c r="U100" i="27" s="1"/>
  <c r="V100" i="27" s="1"/>
  <c r="W100" i="27" s="1"/>
  <c r="X100" i="27" s="1"/>
  <c r="Q188" i="27"/>
  <c r="P100" i="27"/>
  <c r="Q196" i="27"/>
  <c r="P153" i="27"/>
  <c r="O28" i="27"/>
  <c r="O29" i="27"/>
  <c r="O31" i="27" s="1"/>
  <c r="O34" i="27" s="1"/>
  <c r="O184" i="27" s="1"/>
  <c r="O191" i="27" s="1"/>
  <c r="O202" i="27" s="1"/>
  <c r="O206" i="27" s="1"/>
  <c r="V29" i="27"/>
  <c r="V31" i="27" s="1"/>
  <c r="S29" i="27"/>
  <c r="S31" i="27" s="1"/>
  <c r="M134" i="27"/>
  <c r="M135" i="27"/>
  <c r="M136" i="27" s="1"/>
  <c r="L136" i="27" s="1"/>
  <c r="S79" i="27"/>
  <c r="U79" i="27" s="1"/>
  <c r="V79" i="27" s="1"/>
  <c r="W79" i="27" s="1"/>
  <c r="X79" i="27" s="1"/>
  <c r="D200" i="27"/>
  <c r="W22" i="27"/>
  <c r="F57" i="27"/>
  <c r="F186" i="27" s="1"/>
  <c r="G55" i="27"/>
  <c r="C115" i="27"/>
  <c r="D118" i="27"/>
  <c r="D189" i="27" s="1"/>
  <c r="J118" i="27"/>
  <c r="J189" i="27" s="1"/>
  <c r="J191" i="27" s="1"/>
  <c r="J202" i="27" s="1"/>
  <c r="J206" i="27" s="1"/>
  <c r="L115" i="27"/>
  <c r="V130" i="27"/>
  <c r="V132" i="27" s="1"/>
  <c r="W125" i="27"/>
  <c r="O134" i="27"/>
  <c r="O135" i="27" s="1"/>
  <c r="O136" i="27" s="1"/>
  <c r="F200" i="27"/>
  <c r="J200" i="27"/>
  <c r="S32" i="27"/>
  <c r="U32" i="27" s="1"/>
  <c r="V32" i="27" s="1"/>
  <c r="W32" i="27" s="1"/>
  <c r="X32" i="27" s="1"/>
  <c r="S50" i="27"/>
  <c r="S52" i="27" s="1"/>
  <c r="S54" i="27" s="1"/>
  <c r="S57" i="27" s="1"/>
  <c r="S186" i="27" s="1"/>
  <c r="N55" i="27"/>
  <c r="W49" i="27"/>
  <c r="V50" i="27"/>
  <c r="V52" i="27" s="1"/>
  <c r="V54" i="27" s="1"/>
  <c r="V57" i="27" s="1"/>
  <c r="V186" i="27" s="1"/>
  <c r="U50" i="27"/>
  <c r="U52" i="27" s="1"/>
  <c r="U54" i="27" s="1"/>
  <c r="U57" i="27" s="1"/>
  <c r="U186" i="27" s="1"/>
  <c r="P55" i="27"/>
  <c r="U67" i="27"/>
  <c r="U68" i="27" s="1"/>
  <c r="U71" i="27" s="1"/>
  <c r="U74" i="27" s="1"/>
  <c r="U76" i="27" s="1"/>
  <c r="U78" i="27" s="1"/>
  <c r="U81" i="27" s="1"/>
  <c r="U187" i="27" s="1"/>
  <c r="V62" i="27"/>
  <c r="N79" i="27"/>
  <c r="S92" i="27"/>
  <c r="S95" i="27" s="1"/>
  <c r="S97" i="27" s="1"/>
  <c r="S99" i="27" s="1"/>
  <c r="U87" i="27"/>
  <c r="E115" i="27"/>
  <c r="P171" i="27"/>
  <c r="U143" i="27"/>
  <c r="S148" i="27"/>
  <c r="S150" i="27" s="1"/>
  <c r="S152" i="27" s="1"/>
  <c r="F191" i="27"/>
  <c r="F202" i="27" s="1"/>
  <c r="F206" i="27" s="1"/>
  <c r="P79" i="27"/>
  <c r="Q134" i="27"/>
  <c r="S134" i="27" s="1"/>
  <c r="U134" i="27" s="1"/>
  <c r="V134" i="27" s="1"/>
  <c r="W134" i="27" s="1"/>
  <c r="X134" i="27" s="1"/>
  <c r="M191" i="27"/>
  <c r="M202" i="27" s="1"/>
  <c r="X160" i="27"/>
  <c r="X165" i="27" s="1"/>
  <c r="X168" i="27" s="1"/>
  <c r="X170" i="27" s="1"/>
  <c r="W165" i="27"/>
  <c r="W168" i="27" s="1"/>
  <c r="W170" i="27" s="1"/>
  <c r="G115" i="27"/>
  <c r="V165" i="27"/>
  <c r="V168" i="27" s="1"/>
  <c r="V170" i="27" s="1"/>
  <c r="E171" i="27"/>
  <c r="N171" i="27"/>
  <c r="O200" i="27"/>
  <c r="P136" i="27" l="1"/>
  <c r="N136" i="27"/>
  <c r="L32" i="27"/>
  <c r="N32" i="27"/>
  <c r="U135" i="27"/>
  <c r="V67" i="27"/>
  <c r="V68" i="27" s="1"/>
  <c r="V71" i="27" s="1"/>
  <c r="V74" i="27" s="1"/>
  <c r="V76" i="27" s="1"/>
  <c r="V78" i="27" s="1"/>
  <c r="V81" i="27" s="1"/>
  <c r="V187" i="27" s="1"/>
  <c r="W62" i="27"/>
  <c r="W130" i="27"/>
  <c r="W132" i="27" s="1"/>
  <c r="W135" i="27" s="1"/>
  <c r="X125" i="27"/>
  <c r="X130" i="27" s="1"/>
  <c r="X132" i="27" s="1"/>
  <c r="X135" i="27" s="1"/>
  <c r="X22" i="27"/>
  <c r="X24" i="27" s="1"/>
  <c r="X26" i="27" s="1"/>
  <c r="X29" i="27" s="1"/>
  <c r="X31" i="27" s="1"/>
  <c r="X34" i="27" s="1"/>
  <c r="X184" i="27" s="1"/>
  <c r="W24" i="27"/>
  <c r="W26" i="27" s="1"/>
  <c r="W29" i="27" s="1"/>
  <c r="W31" i="27" s="1"/>
  <c r="W34" i="27" s="1"/>
  <c r="W184" i="27" s="1"/>
  <c r="R136" i="27"/>
  <c r="S115" i="27"/>
  <c r="U148" i="27"/>
  <c r="U150" i="27" s="1"/>
  <c r="U152" i="27" s="1"/>
  <c r="V143" i="27"/>
  <c r="V87" i="27"/>
  <c r="U92" i="27"/>
  <c r="U95" i="27" s="1"/>
  <c r="U97" i="27" s="1"/>
  <c r="U99" i="27" s="1"/>
  <c r="U102" i="27" s="1"/>
  <c r="U188" i="27" s="1"/>
  <c r="V135" i="27"/>
  <c r="S34" i="27"/>
  <c r="S184" i="27" s="1"/>
  <c r="S81" i="27"/>
  <c r="S187" i="27" s="1"/>
  <c r="Q135" i="27"/>
  <c r="Q138" i="27" s="1"/>
  <c r="Q195" i="27" s="1"/>
  <c r="Q200" i="27" s="1"/>
  <c r="S135" i="27"/>
  <c r="M206" i="27"/>
  <c r="S102" i="27"/>
  <c r="S188" i="27" s="1"/>
  <c r="W50" i="27"/>
  <c r="W52" i="27" s="1"/>
  <c r="W54" i="27" s="1"/>
  <c r="W57" i="27" s="1"/>
  <c r="W186" i="27" s="1"/>
  <c r="X49" i="27"/>
  <c r="X50" i="27" s="1"/>
  <c r="X52" i="27" s="1"/>
  <c r="X54" i="27" s="1"/>
  <c r="X57" i="27" s="1"/>
  <c r="X186" i="27" s="1"/>
  <c r="V34" i="27"/>
  <c r="V184" i="27" s="1"/>
  <c r="H206" i="27"/>
  <c r="Q29" i="27"/>
  <c r="Q31" i="27" s="1"/>
  <c r="Q34" i="27" s="1"/>
  <c r="Q184" i="27" s="1"/>
  <c r="Q191" i="27" s="1"/>
  <c r="Q202" i="27" s="1"/>
  <c r="Q206" i="27" s="1"/>
  <c r="S118" i="27" l="1"/>
  <c r="S189" i="27" s="1"/>
  <c r="U115" i="27"/>
  <c r="W87" i="27"/>
  <c r="V92" i="27"/>
  <c r="V95" i="27" s="1"/>
  <c r="V97" i="27" s="1"/>
  <c r="V99" i="27" s="1"/>
  <c r="V102" i="27" s="1"/>
  <c r="V188" i="27" s="1"/>
  <c r="S191" i="27"/>
  <c r="V148" i="27"/>
  <c r="V150" i="27" s="1"/>
  <c r="V152" i="27" s="1"/>
  <c r="W143" i="27"/>
  <c r="R153" i="27"/>
  <c r="S136" i="27"/>
  <c r="U136" i="27" s="1"/>
  <c r="V136" i="27" s="1"/>
  <c r="W136" i="27" s="1"/>
  <c r="X136" i="27" s="1"/>
  <c r="X138" i="27" s="1"/>
  <c r="X195" i="27" s="1"/>
  <c r="W138" i="27"/>
  <c r="W195" i="27" s="1"/>
  <c r="S138" i="27"/>
  <c r="S195" i="27" s="1"/>
  <c r="V138" i="27"/>
  <c r="V195" i="27" s="1"/>
  <c r="X62" i="27"/>
  <c r="W67" i="27"/>
  <c r="W68" i="27" s="1"/>
  <c r="W71" i="27" s="1"/>
  <c r="W74" i="27" s="1"/>
  <c r="W76" i="27" s="1"/>
  <c r="W78" i="27" s="1"/>
  <c r="W81" i="27" s="1"/>
  <c r="W187" i="27" s="1"/>
  <c r="U138" i="27"/>
  <c r="U195" i="27" s="1"/>
  <c r="W92" i="27" l="1"/>
  <c r="W95" i="27" s="1"/>
  <c r="W97" i="27" s="1"/>
  <c r="W99" i="27" s="1"/>
  <c r="W102" i="27" s="1"/>
  <c r="W188" i="27" s="1"/>
  <c r="X87" i="27"/>
  <c r="X92" i="27" s="1"/>
  <c r="X95" i="27" s="1"/>
  <c r="X97" i="27" s="1"/>
  <c r="X99" i="27" s="1"/>
  <c r="X102" i="27" s="1"/>
  <c r="X188" i="27" s="1"/>
  <c r="X67" i="27"/>
  <c r="X68" i="27"/>
  <c r="X71" i="27" s="1"/>
  <c r="X74" i="27" s="1"/>
  <c r="X76" i="27" s="1"/>
  <c r="X78" i="27" s="1"/>
  <c r="X81" i="27" s="1"/>
  <c r="X187" i="27" s="1"/>
  <c r="R171" i="27"/>
  <c r="S171" i="27" s="1"/>
  <c r="S153" i="27"/>
  <c r="V115" i="27"/>
  <c r="U118" i="27"/>
  <c r="U189" i="27" s="1"/>
  <c r="U191" i="27" s="1"/>
  <c r="W148" i="27"/>
  <c r="W150" i="27" s="1"/>
  <c r="W152" i="27" s="1"/>
  <c r="X143" i="27"/>
  <c r="X148" i="27" s="1"/>
  <c r="X150" i="27" s="1"/>
  <c r="X152" i="27" s="1"/>
  <c r="U171" i="27" l="1"/>
  <c r="S173" i="27"/>
  <c r="S197" i="27" s="1"/>
  <c r="U153" i="27"/>
  <c r="S155" i="27"/>
  <c r="S196" i="27" s="1"/>
  <c r="V118" i="27"/>
  <c r="V189" i="27" s="1"/>
  <c r="V191" i="27" s="1"/>
  <c r="W115" i="27"/>
  <c r="W118" i="27" l="1"/>
  <c r="W189" i="27" s="1"/>
  <c r="W191" i="27" s="1"/>
  <c r="X115" i="27"/>
  <c r="X118" i="27" s="1"/>
  <c r="X189" i="27" s="1"/>
  <c r="X191" i="27" s="1"/>
  <c r="S200" i="27"/>
  <c r="S202" i="27" s="1"/>
  <c r="S206" i="27" s="1"/>
  <c r="V171" i="27"/>
  <c r="U173" i="27"/>
  <c r="U197" i="27" s="1"/>
  <c r="V153" i="27"/>
  <c r="U155" i="27"/>
  <c r="U196" i="27" s="1"/>
  <c r="U200" i="27" s="1"/>
  <c r="U202" i="27" s="1"/>
  <c r="U206" i="27" s="1"/>
  <c r="W153" i="27" l="1"/>
  <c r="V155" i="27"/>
  <c r="V196" i="27" s="1"/>
  <c r="V200" i="27" s="1"/>
  <c r="V202" i="27" s="1"/>
  <c r="V206" i="27" s="1"/>
  <c r="W171" i="27"/>
  <c r="V173" i="27"/>
  <c r="V197" i="27" s="1"/>
  <c r="X171" i="27" l="1"/>
  <c r="X173" i="27" s="1"/>
  <c r="X197" i="27" s="1"/>
  <c r="W173" i="27"/>
  <c r="W197" i="27" s="1"/>
  <c r="X153" i="27"/>
  <c r="X155" i="27" s="1"/>
  <c r="X196" i="27" s="1"/>
  <c r="X200" i="27" s="1"/>
  <c r="X202" i="27" s="1"/>
  <c r="W155" i="27"/>
  <c r="W196" i="27" s="1"/>
  <c r="W200" i="27" s="1"/>
  <c r="W202" i="27" s="1"/>
  <c r="W206" i="27" s="1"/>
  <c r="X206" i="27" l="1"/>
  <c r="E21" i="13" l="1"/>
  <c r="C21" i="13"/>
  <c r="B21" i="13"/>
  <c r="V154" i="19" l="1"/>
  <c r="V153" i="19"/>
  <c r="E58" i="13"/>
  <c r="C58" i="13"/>
  <c r="B58" i="13"/>
  <c r="E62" i="12"/>
  <c r="D62" i="12"/>
  <c r="C62" i="12"/>
  <c r="B62" i="12"/>
  <c r="V151" i="19" l="1"/>
  <c r="V117" i="19"/>
  <c r="F64" i="12" l="1"/>
  <c r="D61" i="13"/>
  <c r="F61" i="13"/>
  <c r="G58" i="13"/>
  <c r="F22" i="12"/>
  <c r="G20" i="12"/>
  <c r="F20" i="12"/>
  <c r="E20" i="12"/>
  <c r="D20" i="12"/>
  <c r="C20" i="12"/>
  <c r="B20" i="12"/>
  <c r="G62" i="12"/>
  <c r="R174" i="19"/>
  <c r="R156" i="19"/>
  <c r="R139" i="19"/>
  <c r="R119" i="19"/>
  <c r="R103" i="19"/>
  <c r="R82" i="19"/>
  <c r="R58" i="19"/>
  <c r="R35" i="19"/>
  <c r="K31" i="16"/>
  <c r="L31" i="16" s="1"/>
  <c r="J31" i="16"/>
  <c r="I31" i="16"/>
  <c r="G31" i="16"/>
  <c r="H31" i="16" s="1"/>
  <c r="F31" i="16"/>
  <c r="E31" i="16"/>
  <c r="C31" i="16"/>
  <c r="D31" i="16" s="1"/>
  <c r="L28" i="16"/>
  <c r="J28" i="16"/>
  <c r="H28" i="16"/>
  <c r="F28" i="16"/>
  <c r="D28" i="16"/>
  <c r="L27" i="16"/>
  <c r="J27" i="16"/>
  <c r="H27" i="16"/>
  <c r="F27" i="16"/>
  <c r="D27" i="16"/>
  <c r="L26" i="16"/>
  <c r="J26" i="16"/>
  <c r="H26" i="16"/>
  <c r="F26" i="16"/>
  <c r="D26" i="16"/>
  <c r="K22" i="16"/>
  <c r="K33" i="16" s="1"/>
  <c r="I22" i="16"/>
  <c r="J22" i="16" s="1"/>
  <c r="G22" i="16"/>
  <c r="G33" i="16" s="1"/>
  <c r="E22" i="16"/>
  <c r="F22" i="16" s="1"/>
  <c r="C22" i="16"/>
  <c r="C33" i="16" s="1"/>
  <c r="D33" i="16" s="1"/>
  <c r="L20" i="16"/>
  <c r="J20" i="16"/>
  <c r="H20" i="16"/>
  <c r="F20" i="16"/>
  <c r="D20" i="16"/>
  <c r="L19" i="16"/>
  <c r="J19" i="16"/>
  <c r="H19" i="16"/>
  <c r="F19" i="16"/>
  <c r="D19" i="16"/>
  <c r="L18" i="16"/>
  <c r="J18" i="16"/>
  <c r="H18" i="16"/>
  <c r="F18" i="16"/>
  <c r="D18" i="16"/>
  <c r="L17" i="16"/>
  <c r="J17" i="16"/>
  <c r="H17" i="16"/>
  <c r="F17" i="16"/>
  <c r="D17" i="16"/>
  <c r="D16" i="16"/>
  <c r="L15" i="16"/>
  <c r="J15" i="16"/>
  <c r="H15" i="16"/>
  <c r="F15" i="16"/>
  <c r="D15" i="16"/>
  <c r="D22" i="16" l="1"/>
  <c r="H22" i="16"/>
  <c r="L22" i="16"/>
  <c r="E33" i="16"/>
  <c r="F33" i="16" s="1"/>
  <c r="I33" i="16"/>
  <c r="J33" i="16" s="1"/>
  <c r="H33" i="16" l="1"/>
  <c r="L33" i="16"/>
  <c r="V198" i="19"/>
  <c r="V197" i="19"/>
  <c r="V196" i="19"/>
  <c r="W174" i="19"/>
  <c r="W172" i="19"/>
  <c r="W161" i="19"/>
  <c r="W156" i="19"/>
  <c r="W154" i="19"/>
  <c r="W153" i="19"/>
  <c r="W150" i="19"/>
  <c r="W148" i="19"/>
  <c r="W147" i="19"/>
  <c r="W144" i="19"/>
  <c r="W139" i="19"/>
  <c r="W137" i="19"/>
  <c r="W135" i="19"/>
  <c r="W133" i="19"/>
  <c r="W130" i="19"/>
  <c r="W129" i="19"/>
  <c r="W126" i="19"/>
  <c r="W119" i="19"/>
  <c r="W116" i="19"/>
  <c r="W109" i="19"/>
  <c r="W103" i="19"/>
  <c r="W101" i="19"/>
  <c r="W88" i="19"/>
  <c r="W82" i="19"/>
  <c r="W80" i="19"/>
  <c r="W76" i="19"/>
  <c r="W74" i="19"/>
  <c r="W73" i="19"/>
  <c r="W70" i="19"/>
  <c r="W69" i="19"/>
  <c r="W63" i="19"/>
  <c r="W62" i="19"/>
  <c r="W58" i="19"/>
  <c r="W56" i="19"/>
  <c r="W55" i="19"/>
  <c r="W52" i="19"/>
  <c r="W50" i="19"/>
  <c r="W49" i="19"/>
  <c r="W41" i="19"/>
  <c r="W35" i="19"/>
  <c r="W33" i="19"/>
  <c r="W30" i="19"/>
  <c r="W29" i="19"/>
  <c r="W27" i="19"/>
  <c r="W26" i="19"/>
  <c r="W24" i="19"/>
  <c r="W23" i="19"/>
  <c r="W16" i="19"/>
  <c r="V201" i="19" l="1"/>
  <c r="B44" i="13"/>
  <c r="D23" i="13" l="1"/>
  <c r="F23" i="13"/>
  <c r="F72" i="25" l="1"/>
  <c r="F65" i="25"/>
  <c r="F73" i="25" s="1"/>
  <c r="F76" i="25" s="1"/>
  <c r="F80" i="25" s="1"/>
  <c r="F45" i="25"/>
  <c r="F17" i="25"/>
  <c r="F19" i="25" s="1"/>
  <c r="F72" i="26"/>
  <c r="F66" i="26"/>
  <c r="F73" i="26" s="1"/>
  <c r="F75" i="26" s="1"/>
  <c r="F82" i="26" s="1"/>
  <c r="F48" i="26"/>
  <c r="F25" i="26"/>
  <c r="F18" i="26"/>
  <c r="F72" i="24"/>
  <c r="F66" i="24"/>
  <c r="F73" i="24" s="1"/>
  <c r="F75" i="24" s="1"/>
  <c r="F82" i="24" s="1"/>
  <c r="F48" i="24"/>
  <c r="F31" i="24"/>
  <c r="F25" i="24"/>
  <c r="F18" i="24"/>
  <c r="F72" i="23" l="1"/>
  <c r="F65" i="23"/>
  <c r="F45" i="23"/>
  <c r="F17" i="23"/>
  <c r="F19" i="23" s="1"/>
  <c r="F73" i="23" l="1"/>
  <c r="F76" i="23" s="1"/>
  <c r="F80" i="23" s="1"/>
  <c r="F54" i="12" l="1"/>
  <c r="F53" i="12"/>
  <c r="D58" i="12"/>
  <c r="E58" i="12"/>
  <c r="F58" i="12"/>
  <c r="K37" i="22"/>
  <c r="F37" i="22"/>
  <c r="E37" i="22"/>
  <c r="C37" i="22"/>
  <c r="B37" i="22"/>
  <c r="F34" i="22"/>
  <c r="F39" i="22" s="1"/>
  <c r="E34" i="22"/>
  <c r="E39" i="22" s="1"/>
  <c r="D34" i="22"/>
  <c r="C34" i="22"/>
  <c r="C39" i="22" s="1"/>
  <c r="B34" i="22"/>
  <c r="G34" i="22" s="1"/>
  <c r="F29" i="22"/>
  <c r="E29" i="22"/>
  <c r="C29" i="22"/>
  <c r="B29" i="22"/>
  <c r="B21" i="22" s="1"/>
  <c r="G21" i="22" s="1"/>
  <c r="K27" i="22"/>
  <c r="J27" i="22"/>
  <c r="J37" i="22" s="1"/>
  <c r="I27" i="22"/>
  <c r="L27" i="22" s="1"/>
  <c r="G24" i="22"/>
  <c r="J24" i="22" s="1"/>
  <c r="E21" i="22"/>
  <c r="C21" i="22"/>
  <c r="K19" i="22"/>
  <c r="K24" i="22" s="1"/>
  <c r="J19" i="22"/>
  <c r="I19" i="22"/>
  <c r="F15" i="22"/>
  <c r="E15" i="22"/>
  <c r="D15" i="22"/>
  <c r="C15" i="22"/>
  <c r="D27" i="22" s="1"/>
  <c r="B15" i="22"/>
  <c r="K13" i="22"/>
  <c r="J13" i="22"/>
  <c r="I13" i="22"/>
  <c r="L13" i="22" s="1"/>
  <c r="G13" i="22"/>
  <c r="J10" i="22"/>
  <c r="J15" i="22" s="1"/>
  <c r="G10" i="22"/>
  <c r="I10" i="22" s="1"/>
  <c r="J39" i="21"/>
  <c r="I39" i="21"/>
  <c r="K39" i="21" s="1"/>
  <c r="F39" i="21"/>
  <c r="E39" i="21"/>
  <c r="D39" i="21"/>
  <c r="C39" i="21"/>
  <c r="B39" i="21"/>
  <c r="G39" i="21" s="1"/>
  <c r="E36" i="21"/>
  <c r="E41" i="21" s="1"/>
  <c r="F35" i="21"/>
  <c r="F36" i="21" s="1"/>
  <c r="F41" i="21" s="1"/>
  <c r="E35" i="21"/>
  <c r="D35" i="21"/>
  <c r="C35" i="21"/>
  <c r="B35" i="21"/>
  <c r="G35" i="21" s="1"/>
  <c r="F34" i="21"/>
  <c r="E34" i="21"/>
  <c r="D34" i="21"/>
  <c r="D36" i="21" s="1"/>
  <c r="D41" i="21" s="1"/>
  <c r="C34" i="21"/>
  <c r="G34" i="21" s="1"/>
  <c r="G36" i="21" s="1"/>
  <c r="G41" i="21" s="1"/>
  <c r="B34" i="21"/>
  <c r="D29" i="21"/>
  <c r="D19" i="21" s="1"/>
  <c r="J27" i="21"/>
  <c r="K27" i="21" s="1"/>
  <c r="I27" i="21"/>
  <c r="G27" i="21"/>
  <c r="F24" i="21"/>
  <c r="F29" i="21" s="1"/>
  <c r="F19" i="21" s="1"/>
  <c r="E24" i="21"/>
  <c r="E29" i="21" s="1"/>
  <c r="E19" i="21" s="1"/>
  <c r="D24" i="21"/>
  <c r="C24" i="21"/>
  <c r="C29" i="21" s="1"/>
  <c r="C19" i="21" s="1"/>
  <c r="B24" i="21"/>
  <c r="B29" i="21" s="1"/>
  <c r="B19" i="21" s="1"/>
  <c r="G23" i="21"/>
  <c r="J23" i="21" s="1"/>
  <c r="J35" i="21" s="1"/>
  <c r="G22" i="21"/>
  <c r="J22" i="21" s="1"/>
  <c r="F16" i="21"/>
  <c r="E16" i="21"/>
  <c r="B16" i="21"/>
  <c r="K14" i="21"/>
  <c r="J14" i="21"/>
  <c r="I14" i="21"/>
  <c r="G14" i="21"/>
  <c r="H11" i="21"/>
  <c r="H16" i="21" s="1"/>
  <c r="G11" i="21"/>
  <c r="G16" i="21" s="1"/>
  <c r="F11" i="21"/>
  <c r="E11" i="21"/>
  <c r="D11" i="21"/>
  <c r="D16" i="21" s="1"/>
  <c r="C11" i="21"/>
  <c r="C16" i="21" s="1"/>
  <c r="B11" i="21"/>
  <c r="J10" i="21"/>
  <c r="I10" i="21"/>
  <c r="K10" i="21" s="1"/>
  <c r="G10" i="21"/>
  <c r="J9" i="21"/>
  <c r="J11" i="21" s="1"/>
  <c r="J16" i="21" s="1"/>
  <c r="I9" i="21"/>
  <c r="I11" i="21" s="1"/>
  <c r="I16" i="21" s="1"/>
  <c r="G9" i="21"/>
  <c r="J5" i="21"/>
  <c r="G27" i="22" l="1"/>
  <c r="D37" i="22"/>
  <c r="D39" i="22" s="1"/>
  <c r="D29" i="22"/>
  <c r="I15" i="22"/>
  <c r="J29" i="22"/>
  <c r="J34" i="22"/>
  <c r="J39" i="22" s="1"/>
  <c r="K29" i="22"/>
  <c r="G37" i="22"/>
  <c r="G39" i="22" s="1"/>
  <c r="K10" i="22"/>
  <c r="K15" i="22" s="1"/>
  <c r="G15" i="22"/>
  <c r="G29" i="22"/>
  <c r="I24" i="22"/>
  <c r="I37" i="22"/>
  <c r="L37" i="22" s="1"/>
  <c r="B39" i="22"/>
  <c r="G19" i="21"/>
  <c r="J34" i="21"/>
  <c r="J36" i="21" s="1"/>
  <c r="J41" i="21" s="1"/>
  <c r="J24" i="21"/>
  <c r="J29" i="21" s="1"/>
  <c r="B36" i="21"/>
  <c r="B41" i="21" s="1"/>
  <c r="K9" i="21"/>
  <c r="K11" i="21" s="1"/>
  <c r="K16" i="21" s="1"/>
  <c r="I22" i="21"/>
  <c r="I23" i="21"/>
  <c r="G24" i="21"/>
  <c r="G29" i="21" s="1"/>
  <c r="C36" i="21"/>
  <c r="C41" i="21" s="1"/>
  <c r="I29" i="22" l="1"/>
  <c r="L24" i="22"/>
  <c r="L29" i="22" s="1"/>
  <c r="I34" i="22"/>
  <c r="K34" i="22"/>
  <c r="K39" i="22" s="1"/>
  <c r="L10" i="22"/>
  <c r="L15" i="22" s="1"/>
  <c r="I35" i="21"/>
  <c r="K35" i="21" s="1"/>
  <c r="K23" i="21"/>
  <c r="I24" i="21"/>
  <c r="I29" i="21" s="1"/>
  <c r="K22" i="21"/>
  <c r="K24" i="21" s="1"/>
  <c r="K29" i="21" s="1"/>
  <c r="I34" i="21"/>
  <c r="L34" i="22" l="1"/>
  <c r="L39" i="22" s="1"/>
  <c r="I39" i="22"/>
  <c r="I36" i="21"/>
  <c r="I41" i="21" s="1"/>
  <c r="K34" i="21"/>
  <c r="K36" i="21" s="1"/>
  <c r="K41" i="21" s="1"/>
  <c r="O196" i="19" l="1"/>
  <c r="M196" i="19"/>
  <c r="J196" i="19"/>
  <c r="D196" i="19"/>
  <c r="M185" i="19"/>
  <c r="J185" i="19"/>
  <c r="V172" i="19"/>
  <c r="Q172" i="19"/>
  <c r="O172" i="19"/>
  <c r="M172" i="19"/>
  <c r="L172" i="19"/>
  <c r="J172" i="19"/>
  <c r="I172" i="19" s="1"/>
  <c r="H172" i="19"/>
  <c r="F172" i="19"/>
  <c r="E172" i="19" s="1"/>
  <c r="D172" i="19"/>
  <c r="C172" i="19" s="1"/>
  <c r="V170" i="19"/>
  <c r="Q169" i="19"/>
  <c r="Q171" i="19" s="1"/>
  <c r="Q174" i="19" s="1"/>
  <c r="V168" i="19"/>
  <c r="V166" i="19"/>
  <c r="Q166" i="19"/>
  <c r="O166" i="19"/>
  <c r="O169" i="19" s="1"/>
  <c r="O171" i="19" s="1"/>
  <c r="O174" i="19" s="1"/>
  <c r="O198" i="19" s="1"/>
  <c r="M166" i="19"/>
  <c r="M169" i="19" s="1"/>
  <c r="M171" i="19" s="1"/>
  <c r="J166" i="19"/>
  <c r="J169" i="19" s="1"/>
  <c r="J171" i="19" s="1"/>
  <c r="J174" i="19" s="1"/>
  <c r="J198" i="19" s="1"/>
  <c r="H166" i="19"/>
  <c r="H169" i="19" s="1"/>
  <c r="H171" i="19" s="1"/>
  <c r="H174" i="19" s="1"/>
  <c r="H198" i="19" s="1"/>
  <c r="F166" i="19"/>
  <c r="F169" i="19" s="1"/>
  <c r="F171" i="19" s="1"/>
  <c r="F174" i="19" s="1"/>
  <c r="F198" i="19" s="1"/>
  <c r="D166" i="19"/>
  <c r="D169" i="19" s="1"/>
  <c r="D171" i="19" s="1"/>
  <c r="D174" i="19" s="1"/>
  <c r="D198" i="19" s="1"/>
  <c r="V165" i="19"/>
  <c r="V164" i="19"/>
  <c r="U162" i="19"/>
  <c r="V161" i="19"/>
  <c r="U161" i="19" s="1"/>
  <c r="U166" i="19" s="1"/>
  <c r="U169" i="19" s="1"/>
  <c r="U171" i="19" s="1"/>
  <c r="V156" i="19"/>
  <c r="U154" i="19"/>
  <c r="Y154" i="19" s="1"/>
  <c r="Z154" i="19" s="1"/>
  <c r="AA154" i="19" s="1"/>
  <c r="AB154" i="19" s="1"/>
  <c r="Q154" i="19"/>
  <c r="O154" i="19"/>
  <c r="M154" i="19"/>
  <c r="L154" i="19"/>
  <c r="J154" i="19"/>
  <c r="I154" i="19" s="1"/>
  <c r="H154" i="19"/>
  <c r="F154" i="19"/>
  <c r="E154" i="19" s="1"/>
  <c r="D154" i="19"/>
  <c r="C154" i="19" s="1"/>
  <c r="V152" i="19"/>
  <c r="H152" i="19"/>
  <c r="V150" i="19"/>
  <c r="U150" i="19" s="1"/>
  <c r="O149" i="19"/>
  <c r="O151" i="19" s="1"/>
  <c r="O153" i="19" s="1"/>
  <c r="O156" i="19" s="1"/>
  <c r="O197" i="19" s="1"/>
  <c r="M149" i="19"/>
  <c r="M151" i="19" s="1"/>
  <c r="M153" i="19" s="1"/>
  <c r="M156" i="19" s="1"/>
  <c r="M197" i="19" s="1"/>
  <c r="F149" i="19"/>
  <c r="F151" i="19" s="1"/>
  <c r="F153" i="19" s="1"/>
  <c r="D149" i="19"/>
  <c r="D151" i="19" s="1"/>
  <c r="D153" i="19" s="1"/>
  <c r="D156" i="19" s="1"/>
  <c r="D197" i="19" s="1"/>
  <c r="V148" i="19"/>
  <c r="U148" i="19" s="1"/>
  <c r="Y148" i="19" s="1"/>
  <c r="Z148" i="19" s="1"/>
  <c r="AA148" i="19" s="1"/>
  <c r="AB148" i="19" s="1"/>
  <c r="Q148" i="19"/>
  <c r="Q149" i="19" s="1"/>
  <c r="Q151" i="19" s="1"/>
  <c r="Q153" i="19" s="1"/>
  <c r="Q156" i="19" s="1"/>
  <c r="C22" i="13" s="1"/>
  <c r="C23" i="13" s="1"/>
  <c r="O148" i="19"/>
  <c r="J148" i="19"/>
  <c r="J149" i="19" s="1"/>
  <c r="J151" i="19" s="1"/>
  <c r="J153" i="19" s="1"/>
  <c r="J156" i="19" s="1"/>
  <c r="J197" i="19" s="1"/>
  <c r="H148" i="19"/>
  <c r="H149" i="19" s="1"/>
  <c r="H151" i="19" s="1"/>
  <c r="V147" i="19"/>
  <c r="AB146" i="19"/>
  <c r="AA146" i="19"/>
  <c r="Z146" i="19"/>
  <c r="Y146" i="19"/>
  <c r="AB145" i="19"/>
  <c r="AA145" i="19"/>
  <c r="Z145" i="19"/>
  <c r="Y145" i="19"/>
  <c r="V144" i="19"/>
  <c r="U144" i="19" s="1"/>
  <c r="V139" i="19"/>
  <c r="F139" i="19"/>
  <c r="F196" i="19" s="1"/>
  <c r="V137" i="19"/>
  <c r="U137" i="19" s="1"/>
  <c r="Y137" i="19" s="1"/>
  <c r="Z137" i="19" s="1"/>
  <c r="AA137" i="19" s="1"/>
  <c r="AB137" i="19" s="1"/>
  <c r="G137" i="19"/>
  <c r="E137" i="19"/>
  <c r="C137" i="19"/>
  <c r="V135" i="19"/>
  <c r="U135" i="19" s="1"/>
  <c r="Y135" i="19" s="1"/>
  <c r="Z135" i="19" s="1"/>
  <c r="AA135" i="19" s="1"/>
  <c r="AB135" i="19" s="1"/>
  <c r="J135" i="19"/>
  <c r="H135" i="19"/>
  <c r="D135" i="19"/>
  <c r="V133" i="19"/>
  <c r="J131" i="19"/>
  <c r="J133" i="19" s="1"/>
  <c r="J136" i="19" s="1"/>
  <c r="J137" i="19" s="1"/>
  <c r="I137" i="19" s="1"/>
  <c r="F131" i="19"/>
  <c r="F133" i="19" s="1"/>
  <c r="F135" i="19" s="1"/>
  <c r="D131" i="19"/>
  <c r="D133" i="19" s="1"/>
  <c r="D136" i="19" s="1"/>
  <c r="V130" i="19"/>
  <c r="U130" i="19" s="1"/>
  <c r="Y130" i="19" s="1"/>
  <c r="Z130" i="19" s="1"/>
  <c r="AA130" i="19" s="1"/>
  <c r="AB130" i="19" s="1"/>
  <c r="Q130" i="19"/>
  <c r="O130" i="19"/>
  <c r="M130" i="19"/>
  <c r="H130" i="19"/>
  <c r="V129" i="19"/>
  <c r="U129" i="19" s="1"/>
  <c r="Y129" i="19" s="1"/>
  <c r="Z129" i="19" s="1"/>
  <c r="AA129" i="19" s="1"/>
  <c r="AB129" i="19" s="1"/>
  <c r="Q129" i="19"/>
  <c r="O129" i="19"/>
  <c r="M129" i="19"/>
  <c r="M131" i="19" s="1"/>
  <c r="M133" i="19" s="1"/>
  <c r="H129" i="19"/>
  <c r="V128" i="19"/>
  <c r="U128" i="19" s="1"/>
  <c r="U146" i="19" s="1"/>
  <c r="V127" i="19"/>
  <c r="U127" i="19" s="1"/>
  <c r="U145" i="19" s="1"/>
  <c r="V126" i="19"/>
  <c r="U126" i="19" s="1"/>
  <c r="Q126" i="19"/>
  <c r="Q131" i="19" s="1"/>
  <c r="Q133" i="19" s="1"/>
  <c r="O119" i="19"/>
  <c r="O190" i="19" s="1"/>
  <c r="H119" i="19"/>
  <c r="H190" i="19" s="1"/>
  <c r="V116" i="19"/>
  <c r="U116" i="19" s="1"/>
  <c r="Y116" i="19" s="1"/>
  <c r="Z116" i="19" s="1"/>
  <c r="AA116" i="19" s="1"/>
  <c r="Q116" i="19"/>
  <c r="Q119" i="19" s="1"/>
  <c r="M116" i="19"/>
  <c r="L116" i="19" s="1"/>
  <c r="J116" i="19"/>
  <c r="J119" i="19" s="1"/>
  <c r="J190" i="19" s="1"/>
  <c r="I116" i="19"/>
  <c r="F116" i="19"/>
  <c r="G116" i="19" s="1"/>
  <c r="D116" i="19"/>
  <c r="C116" i="19" s="1"/>
  <c r="U110" i="19"/>
  <c r="V109" i="19"/>
  <c r="U109" i="19" s="1"/>
  <c r="Y109" i="19" s="1"/>
  <c r="Z109" i="19" s="1"/>
  <c r="AA109" i="19" s="1"/>
  <c r="AB109" i="19" s="1"/>
  <c r="V101" i="19"/>
  <c r="S101" i="19"/>
  <c r="S116" i="19" s="1"/>
  <c r="S137" i="19" s="1"/>
  <c r="S154" i="19" s="1"/>
  <c r="S172" i="19" s="1"/>
  <c r="Q101" i="19"/>
  <c r="N101" i="19"/>
  <c r="L101" i="19"/>
  <c r="J101" i="19"/>
  <c r="I101" i="19" s="1"/>
  <c r="G101" i="19"/>
  <c r="E101" i="19"/>
  <c r="C101" i="19"/>
  <c r="V99" i="19"/>
  <c r="M98" i="19"/>
  <c r="M100" i="19" s="1"/>
  <c r="M103" i="19" s="1"/>
  <c r="M189" i="19" s="1"/>
  <c r="V97" i="19"/>
  <c r="V95" i="19"/>
  <c r="O93" i="19"/>
  <c r="O96" i="19" s="1"/>
  <c r="O98" i="19" s="1"/>
  <c r="O100" i="19" s="1"/>
  <c r="O103" i="19" s="1"/>
  <c r="O189" i="19" s="1"/>
  <c r="M93" i="19"/>
  <c r="V92" i="19"/>
  <c r="V91" i="19"/>
  <c r="AB90" i="19"/>
  <c r="AA90" i="19"/>
  <c r="Z90" i="19"/>
  <c r="Y90" i="19"/>
  <c r="U90" i="19"/>
  <c r="Q90" i="19"/>
  <c r="Q93" i="19" s="1"/>
  <c r="Q96" i="19" s="1"/>
  <c r="Q98" i="19" s="1"/>
  <c r="Q100" i="19" s="1"/>
  <c r="Q103" i="19" s="1"/>
  <c r="E22" i="12" s="1"/>
  <c r="J90" i="19"/>
  <c r="H90" i="19"/>
  <c r="F90" i="19"/>
  <c r="D90" i="19"/>
  <c r="H89" i="19"/>
  <c r="H93" i="19" s="1"/>
  <c r="H96" i="19" s="1"/>
  <c r="H98" i="19" s="1"/>
  <c r="H100" i="19" s="1"/>
  <c r="H103" i="19" s="1"/>
  <c r="H189" i="19" s="1"/>
  <c r="F89" i="19"/>
  <c r="F93" i="19" s="1"/>
  <c r="F96" i="19" s="1"/>
  <c r="F98" i="19" s="1"/>
  <c r="F100" i="19" s="1"/>
  <c r="F103" i="19" s="1"/>
  <c r="F189" i="19" s="1"/>
  <c r="D89" i="19"/>
  <c r="D93" i="19" s="1"/>
  <c r="D96" i="19" s="1"/>
  <c r="D98" i="19" s="1"/>
  <c r="D100" i="19" s="1"/>
  <c r="D103" i="19" s="1"/>
  <c r="D189" i="19" s="1"/>
  <c r="Y88" i="19"/>
  <c r="Y93" i="19" s="1"/>
  <c r="Y96" i="19" s="1"/>
  <c r="Y98" i="19" s="1"/>
  <c r="Y100" i="19" s="1"/>
  <c r="V88" i="19"/>
  <c r="U88" i="19"/>
  <c r="V80" i="19"/>
  <c r="U80" i="19" s="1"/>
  <c r="Y80" i="19" s="1"/>
  <c r="Z80" i="19" s="1"/>
  <c r="AA80" i="19" s="1"/>
  <c r="AB80" i="19" s="1"/>
  <c r="Q80" i="19"/>
  <c r="O80" i="19"/>
  <c r="N80" i="19" s="1"/>
  <c r="M80" i="19"/>
  <c r="J80" i="19"/>
  <c r="L80" i="19" s="1"/>
  <c r="G80" i="19"/>
  <c r="E80" i="19"/>
  <c r="C80" i="19"/>
  <c r="W79" i="19"/>
  <c r="V78" i="19"/>
  <c r="Q76" i="19"/>
  <c r="O76" i="19"/>
  <c r="M76" i="19"/>
  <c r="J76" i="19"/>
  <c r="H76" i="19"/>
  <c r="D76" i="19"/>
  <c r="V74" i="19"/>
  <c r="U74" i="19" s="1"/>
  <c r="V73" i="19"/>
  <c r="U73" i="19" s="1"/>
  <c r="M73" i="19"/>
  <c r="J73" i="19"/>
  <c r="H73" i="19"/>
  <c r="F73" i="19"/>
  <c r="D73" i="19"/>
  <c r="Q71" i="19"/>
  <c r="O71" i="19"/>
  <c r="J71" i="19"/>
  <c r="H71" i="19"/>
  <c r="V70" i="19"/>
  <c r="Q69" i="19"/>
  <c r="Q72" i="19" s="1"/>
  <c r="Q75" i="19" s="1"/>
  <c r="Q77" i="19" s="1"/>
  <c r="Q79" i="19" s="1"/>
  <c r="Q82" i="19" s="1"/>
  <c r="D21" i="12" s="1"/>
  <c r="D22" i="12" s="1"/>
  <c r="O69" i="19"/>
  <c r="O72" i="19" s="1"/>
  <c r="O75" i="19" s="1"/>
  <c r="O77" i="19" s="1"/>
  <c r="O79" i="19" s="1"/>
  <c r="O82" i="19" s="1"/>
  <c r="O188" i="19" s="1"/>
  <c r="M69" i="19"/>
  <c r="M72" i="19" s="1"/>
  <c r="J69" i="19"/>
  <c r="J72" i="19" s="1"/>
  <c r="J75" i="19" s="1"/>
  <c r="J77" i="19" s="1"/>
  <c r="J79" i="19" s="1"/>
  <c r="H69" i="19"/>
  <c r="H72" i="19" s="1"/>
  <c r="H75" i="19" s="1"/>
  <c r="H77" i="19" s="1"/>
  <c r="H79" i="19" s="1"/>
  <c r="H82" i="19" s="1"/>
  <c r="H188" i="19" s="1"/>
  <c r="F69" i="19"/>
  <c r="F72" i="19" s="1"/>
  <c r="F75" i="19" s="1"/>
  <c r="F77" i="19" s="1"/>
  <c r="F79" i="19" s="1"/>
  <c r="F82" i="19" s="1"/>
  <c r="F188" i="19" s="1"/>
  <c r="D69" i="19"/>
  <c r="D72" i="19" s="1"/>
  <c r="U68" i="19"/>
  <c r="AB67" i="19"/>
  <c r="AA67" i="19"/>
  <c r="Z67" i="19"/>
  <c r="Y67" i="19"/>
  <c r="U67" i="19"/>
  <c r="U66" i="19"/>
  <c r="AB65" i="19"/>
  <c r="AA65" i="19"/>
  <c r="Z65" i="19"/>
  <c r="Y65" i="19"/>
  <c r="U65" i="19"/>
  <c r="V63" i="19"/>
  <c r="U63" i="19" s="1"/>
  <c r="V62" i="19"/>
  <c r="V56" i="19"/>
  <c r="Q56" i="19"/>
  <c r="O56" i="19"/>
  <c r="M56" i="19"/>
  <c r="J56" i="19"/>
  <c r="I56" i="19" s="1"/>
  <c r="F56" i="19"/>
  <c r="G56" i="19" s="1"/>
  <c r="D56" i="19"/>
  <c r="C56" i="19" s="1"/>
  <c r="V54" i="19"/>
  <c r="Q52" i="19"/>
  <c r="O52" i="19"/>
  <c r="M52" i="19"/>
  <c r="J52" i="19"/>
  <c r="H52" i="19"/>
  <c r="F52" i="19"/>
  <c r="D52" i="19"/>
  <c r="M51" i="19"/>
  <c r="M53" i="19" s="1"/>
  <c r="M55" i="19" s="1"/>
  <c r="H51" i="19"/>
  <c r="H53" i="19" s="1"/>
  <c r="H55" i="19" s="1"/>
  <c r="H58" i="19" s="1"/>
  <c r="H187" i="19" s="1"/>
  <c r="F51" i="19"/>
  <c r="F53" i="19" s="1"/>
  <c r="F55" i="19" s="1"/>
  <c r="F58" i="19" s="1"/>
  <c r="F187" i="19" s="1"/>
  <c r="D51" i="19"/>
  <c r="D53" i="19" s="1"/>
  <c r="D55" i="19" s="1"/>
  <c r="V50" i="19"/>
  <c r="U50" i="19" s="1"/>
  <c r="Y50" i="19" s="1"/>
  <c r="Q50" i="19"/>
  <c r="Q51" i="19" s="1"/>
  <c r="Q53" i="19" s="1"/>
  <c r="Q55" i="19" s="1"/>
  <c r="Q58" i="19" s="1"/>
  <c r="C21" i="12" s="1"/>
  <c r="C22" i="12" s="1"/>
  <c r="O50" i="19"/>
  <c r="O51" i="19" s="1"/>
  <c r="O53" i="19" s="1"/>
  <c r="O55" i="19" s="1"/>
  <c r="O58" i="19" s="1"/>
  <c r="O187" i="19" s="1"/>
  <c r="M50" i="19"/>
  <c r="J50" i="19"/>
  <c r="J51" i="19" s="1"/>
  <c r="J53" i="19" s="1"/>
  <c r="J55" i="19" s="1"/>
  <c r="J58" i="19" s="1"/>
  <c r="J187" i="19" s="1"/>
  <c r="V49" i="19"/>
  <c r="U49" i="19" s="1"/>
  <c r="AB47" i="19"/>
  <c r="AA47" i="19"/>
  <c r="Z47" i="19"/>
  <c r="Y47" i="19"/>
  <c r="AB46" i="19"/>
  <c r="AA46" i="19"/>
  <c r="Z46" i="19"/>
  <c r="Y46" i="19"/>
  <c r="AB45" i="19"/>
  <c r="AA45" i="19"/>
  <c r="Z45" i="19"/>
  <c r="Y45" i="19"/>
  <c r="AB44" i="19"/>
  <c r="AA44" i="19"/>
  <c r="Z44" i="19"/>
  <c r="Y44" i="19"/>
  <c r="AB43" i="19"/>
  <c r="AA43" i="19"/>
  <c r="Z43" i="19"/>
  <c r="Y43" i="19"/>
  <c r="V41" i="19"/>
  <c r="U41" i="19" s="1"/>
  <c r="Q35" i="19"/>
  <c r="V33" i="19"/>
  <c r="U33" i="19" s="1"/>
  <c r="Y33" i="19" s="1"/>
  <c r="Z33" i="19" s="1"/>
  <c r="AA33" i="19" s="1"/>
  <c r="AB33" i="19" s="1"/>
  <c r="O33" i="19"/>
  <c r="F32" i="19"/>
  <c r="F35" i="19" s="1"/>
  <c r="F185" i="19" s="1"/>
  <c r="V29" i="19"/>
  <c r="U29" i="19" s="1"/>
  <c r="Y29" i="19" s="1"/>
  <c r="Z29" i="19" s="1"/>
  <c r="AA29" i="19" s="1"/>
  <c r="AB29" i="19" s="1"/>
  <c r="J29" i="19"/>
  <c r="H29" i="19"/>
  <c r="D29" i="19"/>
  <c r="V26" i="19"/>
  <c r="U26" i="19" s="1"/>
  <c r="J25" i="19"/>
  <c r="J27" i="19" s="1"/>
  <c r="J30" i="19" s="1"/>
  <c r="J32" i="19" s="1"/>
  <c r="J33" i="19" s="1"/>
  <c r="I33" i="19" s="1"/>
  <c r="H25" i="19"/>
  <c r="H27" i="19" s="1"/>
  <c r="H30" i="19" s="1"/>
  <c r="H32" i="19" s="1"/>
  <c r="H35" i="19" s="1"/>
  <c r="H185" i="19" s="1"/>
  <c r="F25" i="19"/>
  <c r="F27" i="19" s="1"/>
  <c r="F29" i="19" s="1"/>
  <c r="D25" i="19"/>
  <c r="D27" i="19" s="1"/>
  <c r="D30" i="19" s="1"/>
  <c r="D32" i="19" s="1"/>
  <c r="D35" i="19" s="1"/>
  <c r="D185" i="19" s="1"/>
  <c r="V24" i="19"/>
  <c r="U24" i="19" s="1"/>
  <c r="Y24" i="19" s="1"/>
  <c r="Z24" i="19" s="1"/>
  <c r="AA24" i="19" s="1"/>
  <c r="AB24" i="19" s="1"/>
  <c r="Q24" i="19"/>
  <c r="O24" i="19"/>
  <c r="M24" i="19"/>
  <c r="Q23" i="19"/>
  <c r="O23" i="19"/>
  <c r="O25" i="19" s="1"/>
  <c r="M23" i="19"/>
  <c r="U22" i="19"/>
  <c r="U47" i="19" s="1"/>
  <c r="U21" i="19"/>
  <c r="U46" i="19" s="1"/>
  <c r="U20" i="19"/>
  <c r="U45" i="19" s="1"/>
  <c r="U19" i="19"/>
  <c r="U44" i="19" s="1"/>
  <c r="U18" i="19"/>
  <c r="V16" i="19"/>
  <c r="U16" i="19" s="1"/>
  <c r="D163" i="20"/>
  <c r="D166" i="20" s="1"/>
  <c r="D168" i="20" s="1"/>
  <c r="D171" i="20" s="1"/>
  <c r="D195" i="20" s="1"/>
  <c r="D143" i="20"/>
  <c r="D146" i="20" s="1"/>
  <c r="D148" i="20" s="1"/>
  <c r="D150" i="20" s="1"/>
  <c r="D153" i="20" s="1"/>
  <c r="D194" i="20" s="1"/>
  <c r="D142" i="20"/>
  <c r="D130" i="20"/>
  <c r="D133" i="20" s="1"/>
  <c r="D136" i="20" s="1"/>
  <c r="D193" i="20" s="1"/>
  <c r="D198" i="20" s="1"/>
  <c r="D128" i="20"/>
  <c r="D126" i="20"/>
  <c r="D116" i="20"/>
  <c r="D187" i="20" s="1"/>
  <c r="D90" i="20"/>
  <c r="D93" i="20" s="1"/>
  <c r="D95" i="20" s="1"/>
  <c r="D97" i="20" s="1"/>
  <c r="D100" i="20" s="1"/>
  <c r="D186" i="20" s="1"/>
  <c r="D87" i="20"/>
  <c r="D73" i="20"/>
  <c r="D68" i="20"/>
  <c r="D69" i="20" s="1"/>
  <c r="D72" i="20" s="1"/>
  <c r="D74" i="20" s="1"/>
  <c r="D76" i="20" s="1"/>
  <c r="D79" i="20" s="1"/>
  <c r="D185" i="20" s="1"/>
  <c r="D66" i="20"/>
  <c r="D64" i="20"/>
  <c r="D49" i="20"/>
  <c r="D44" i="20"/>
  <c r="D43" i="20"/>
  <c r="D42" i="20"/>
  <c r="D41" i="20"/>
  <c r="D40" i="20"/>
  <c r="D48" i="20" s="1"/>
  <c r="D50" i="20" s="1"/>
  <c r="D52" i="20" s="1"/>
  <c r="D55" i="20" s="1"/>
  <c r="D184" i="20" s="1"/>
  <c r="D24" i="20"/>
  <c r="D27" i="20" s="1"/>
  <c r="D29" i="20" s="1"/>
  <c r="D32" i="20" s="1"/>
  <c r="D182" i="20" s="1"/>
  <c r="D189" i="20" s="1"/>
  <c r="D200" i="20" s="1"/>
  <c r="D22" i="20"/>
  <c r="D20" i="20"/>
  <c r="N56" i="19" l="1"/>
  <c r="J82" i="19"/>
  <c r="J188" i="19" s="1"/>
  <c r="M119" i="19"/>
  <c r="M190" i="19" s="1"/>
  <c r="M192" i="19" s="1"/>
  <c r="M203" i="19" s="1"/>
  <c r="D58" i="19"/>
  <c r="D187" i="19" s="1"/>
  <c r="D75" i="19"/>
  <c r="M75" i="19"/>
  <c r="M77" i="19" s="1"/>
  <c r="M79" i="19" s="1"/>
  <c r="M82" i="19" s="1"/>
  <c r="M188" i="19" s="1"/>
  <c r="U93" i="19"/>
  <c r="U96" i="19" s="1"/>
  <c r="U98" i="19" s="1"/>
  <c r="U100" i="19" s="1"/>
  <c r="N154" i="19"/>
  <c r="N172" i="19"/>
  <c r="J89" i="19"/>
  <c r="J93" i="19" s="1"/>
  <c r="J96" i="19" s="1"/>
  <c r="J98" i="19" s="1"/>
  <c r="J100" i="19" s="1"/>
  <c r="J103" i="19" s="1"/>
  <c r="J189" i="19" s="1"/>
  <c r="Q25" i="19"/>
  <c r="Q27" i="19" s="1"/>
  <c r="M58" i="19"/>
  <c r="M187" i="19" s="1"/>
  <c r="N116" i="19"/>
  <c r="H153" i="19"/>
  <c r="H156" i="19" s="1"/>
  <c r="H197" i="19" s="1"/>
  <c r="G154" i="19"/>
  <c r="G172" i="19"/>
  <c r="M25" i="19"/>
  <c r="I80" i="19"/>
  <c r="H131" i="19"/>
  <c r="H133" i="19" s="1"/>
  <c r="H136" i="19" s="1"/>
  <c r="H139" i="19" s="1"/>
  <c r="H196" i="19" s="1"/>
  <c r="H201" i="19" s="1"/>
  <c r="F156" i="19"/>
  <c r="F197" i="19" s="1"/>
  <c r="M174" i="19"/>
  <c r="M198" i="19" s="1"/>
  <c r="M201" i="19" s="1"/>
  <c r="D201" i="19"/>
  <c r="Q198" i="19"/>
  <c r="E22" i="13"/>
  <c r="E23" i="13" s="1"/>
  <c r="M27" i="19"/>
  <c r="M29" i="19" s="1"/>
  <c r="M30" i="19" s="1"/>
  <c r="M32" i="19" s="1"/>
  <c r="M33" i="19" s="1"/>
  <c r="L25" i="19"/>
  <c r="O27" i="19"/>
  <c r="N25" i="19"/>
  <c r="P25" i="19"/>
  <c r="Q185" i="19"/>
  <c r="B21" i="12"/>
  <c r="B22" i="12" s="1"/>
  <c r="G22" i="12" s="1"/>
  <c r="H192" i="19"/>
  <c r="U69" i="19"/>
  <c r="V51" i="19"/>
  <c r="Y144" i="19"/>
  <c r="Y149" i="19" s="1"/>
  <c r="Y151" i="19" s="1"/>
  <c r="Y153" i="19" s="1"/>
  <c r="Y156" i="19" s="1"/>
  <c r="Y16" i="19"/>
  <c r="Z16" i="19" s="1"/>
  <c r="AA16" i="19" s="1"/>
  <c r="AB16" i="19" s="1"/>
  <c r="Y126" i="19"/>
  <c r="Y131" i="19" s="1"/>
  <c r="Y133" i="19" s="1"/>
  <c r="Y136" i="19" s="1"/>
  <c r="Y139" i="19" s="1"/>
  <c r="V169" i="19"/>
  <c r="V171" i="19" s="1"/>
  <c r="V174" i="19" s="1"/>
  <c r="V149" i="19"/>
  <c r="Y161" i="19"/>
  <c r="Z161" i="19" s="1"/>
  <c r="O29" i="19"/>
  <c r="O30" i="19" s="1"/>
  <c r="O32" i="19" s="1"/>
  <c r="O35" i="19" s="1"/>
  <c r="O185" i="19" s="1"/>
  <c r="O192" i="19" s="1"/>
  <c r="Q189" i="19"/>
  <c r="P101" i="19"/>
  <c r="Q187" i="19"/>
  <c r="P56" i="19"/>
  <c r="M135" i="19"/>
  <c r="M136" i="19"/>
  <c r="M137" i="19" s="1"/>
  <c r="L137" i="19" s="1"/>
  <c r="U43" i="19"/>
  <c r="S18" i="19" s="1"/>
  <c r="Z50" i="19"/>
  <c r="E56" i="19"/>
  <c r="L56" i="19"/>
  <c r="Y63" i="19"/>
  <c r="Q188" i="19"/>
  <c r="P80" i="19"/>
  <c r="Y119" i="19"/>
  <c r="V131" i="19"/>
  <c r="V136" i="19" s="1"/>
  <c r="O131" i="19"/>
  <c r="O133" i="19" s="1"/>
  <c r="U131" i="19"/>
  <c r="U133" i="19" s="1"/>
  <c r="U136" i="19" s="1"/>
  <c r="U139" i="19" s="1"/>
  <c r="U196" i="19" s="1"/>
  <c r="Q190" i="19"/>
  <c r="P116" i="19"/>
  <c r="U56" i="19"/>
  <c r="Y56" i="19" s="1"/>
  <c r="Z56" i="19" s="1"/>
  <c r="AA56" i="19" s="1"/>
  <c r="AB56" i="19" s="1"/>
  <c r="D119" i="19"/>
  <c r="D190" i="19" s="1"/>
  <c r="Z119" i="19"/>
  <c r="Z190" i="19" s="1"/>
  <c r="AB116" i="19"/>
  <c r="AB119" i="19" s="1"/>
  <c r="AB190" i="19" s="1"/>
  <c r="AA119" i="19"/>
  <c r="AA190" i="19" s="1"/>
  <c r="Q197" i="19"/>
  <c r="P154" i="19"/>
  <c r="D77" i="19"/>
  <c r="D79" i="19" s="1"/>
  <c r="D82" i="19" s="1"/>
  <c r="D188" i="19" s="1"/>
  <c r="U119" i="19"/>
  <c r="U190" i="19" s="1"/>
  <c r="U101" i="19"/>
  <c r="Y101" i="19" s="1"/>
  <c r="Z101" i="19" s="1"/>
  <c r="AA101" i="19" s="1"/>
  <c r="AB101" i="19" s="1"/>
  <c r="E116" i="19"/>
  <c r="F119" i="19"/>
  <c r="F190" i="19" s="1"/>
  <c r="F192" i="19" s="1"/>
  <c r="F203" i="19" s="1"/>
  <c r="J201" i="19"/>
  <c r="Z88" i="19"/>
  <c r="F201" i="19"/>
  <c r="U149" i="19"/>
  <c r="U151" i="19" s="1"/>
  <c r="U153" i="19" s="1"/>
  <c r="U156" i="19" s="1"/>
  <c r="U197" i="19" s="1"/>
  <c r="J192" i="19"/>
  <c r="O201" i="19"/>
  <c r="U172" i="19"/>
  <c r="Y172" i="19" s="1"/>
  <c r="Z172" i="19" s="1"/>
  <c r="AA172" i="19" s="1"/>
  <c r="AB172" i="19" s="1"/>
  <c r="H203" i="19" l="1"/>
  <c r="D192" i="19"/>
  <c r="D203" i="19" s="1"/>
  <c r="D207" i="19" s="1"/>
  <c r="Q30" i="19"/>
  <c r="Q32" i="19" s="1"/>
  <c r="Q192" i="19"/>
  <c r="Z144" i="19"/>
  <c r="Z126" i="19"/>
  <c r="AA126" i="19" s="1"/>
  <c r="Y196" i="19"/>
  <c r="B60" i="13"/>
  <c r="B61" i="13" s="1"/>
  <c r="Y190" i="19"/>
  <c r="Y197" i="19"/>
  <c r="C60" i="13"/>
  <c r="C61" i="13" s="1"/>
  <c r="U103" i="19"/>
  <c r="U189" i="19" s="1"/>
  <c r="Y166" i="19"/>
  <c r="Y169" i="19" s="1"/>
  <c r="Y171" i="19" s="1"/>
  <c r="Y174" i="19" s="1"/>
  <c r="U51" i="19"/>
  <c r="Y103" i="19"/>
  <c r="Y189" i="19" s="1"/>
  <c r="F207" i="19"/>
  <c r="H207" i="19"/>
  <c r="Q33" i="19"/>
  <c r="L33" i="19"/>
  <c r="N33" i="19"/>
  <c r="O203" i="19"/>
  <c r="O207" i="19" s="1"/>
  <c r="J203" i="19"/>
  <c r="J207" i="19" s="1"/>
  <c r="Z93" i="19"/>
  <c r="Z96" i="19" s="1"/>
  <c r="Z98" i="19" s="1"/>
  <c r="Z100" i="19" s="1"/>
  <c r="Z103" i="19" s="1"/>
  <c r="Z189" i="19" s="1"/>
  <c r="AA88" i="19"/>
  <c r="O135" i="19"/>
  <c r="Q136" i="19" s="1"/>
  <c r="Y41" i="19"/>
  <c r="M207" i="19"/>
  <c r="AA50" i="19"/>
  <c r="Z131" i="19"/>
  <c r="Z133" i="19" s="1"/>
  <c r="Z136" i="19" s="1"/>
  <c r="Z139" i="19" s="1"/>
  <c r="Z196" i="19" s="1"/>
  <c r="U174" i="19"/>
  <c r="U198" i="19" s="1"/>
  <c r="U201" i="19" s="1"/>
  <c r="AA161" i="19"/>
  <c r="Z166" i="19"/>
  <c r="Z169" i="19" s="1"/>
  <c r="Z171" i="19" s="1"/>
  <c r="Z174" i="19" s="1"/>
  <c r="Z198" i="19" s="1"/>
  <c r="Z63" i="19"/>
  <c r="Y69" i="19"/>
  <c r="AA144" i="19"/>
  <c r="Z149" i="19"/>
  <c r="Z151" i="19" s="1"/>
  <c r="Z153" i="19" s="1"/>
  <c r="Z156" i="19" s="1"/>
  <c r="Z197" i="19" s="1"/>
  <c r="D163" i="14"/>
  <c r="D166" i="14" s="1"/>
  <c r="D168" i="14" s="1"/>
  <c r="D171" i="14" s="1"/>
  <c r="D195" i="14" s="1"/>
  <c r="D143" i="14"/>
  <c r="D142" i="14"/>
  <c r="D126" i="14"/>
  <c r="D128" i="14" s="1"/>
  <c r="D130" i="14" s="1"/>
  <c r="D133" i="14" s="1"/>
  <c r="D136" i="14" s="1"/>
  <c r="D193" i="14" s="1"/>
  <c r="D116" i="14"/>
  <c r="D87" i="14"/>
  <c r="D90" i="14" s="1"/>
  <c r="D93" i="14" s="1"/>
  <c r="D73" i="14"/>
  <c r="V76" i="19" s="1"/>
  <c r="U76" i="19" s="1"/>
  <c r="Y76" i="19" s="1"/>
  <c r="Z76" i="19" s="1"/>
  <c r="AA76" i="19" s="1"/>
  <c r="AB76" i="19" s="1"/>
  <c r="D68" i="14"/>
  <c r="V71" i="19" s="1"/>
  <c r="D64" i="14"/>
  <c r="D66" i="14" s="1"/>
  <c r="D49" i="14"/>
  <c r="V52" i="19" s="1"/>
  <c r="U52" i="19" s="1"/>
  <c r="Y52" i="19" s="1"/>
  <c r="Z52" i="19" s="1"/>
  <c r="AA52" i="19" s="1"/>
  <c r="AB52" i="19" s="1"/>
  <c r="D44" i="14"/>
  <c r="D43" i="14"/>
  <c r="D42" i="14"/>
  <c r="D41" i="14"/>
  <c r="D40" i="14"/>
  <c r="D20" i="14"/>
  <c r="D95" i="14" l="1"/>
  <c r="V96" i="19"/>
  <c r="D69" i="14"/>
  <c r="D72" i="14" s="1"/>
  <c r="D74" i="14" s="1"/>
  <c r="D76" i="14" s="1"/>
  <c r="D79" i="14" s="1"/>
  <c r="D185" i="14" s="1"/>
  <c r="V188" i="19" s="1"/>
  <c r="V69" i="19"/>
  <c r="V72" i="19" s="1"/>
  <c r="V75" i="19" s="1"/>
  <c r="V77" i="19" s="1"/>
  <c r="V79" i="19" s="1"/>
  <c r="V82" i="19" s="1"/>
  <c r="D146" i="14"/>
  <c r="D148" i="14" s="1"/>
  <c r="D150" i="14" s="1"/>
  <c r="D153" i="14" s="1"/>
  <c r="D194" i="14" s="1"/>
  <c r="D22" i="14"/>
  <c r="D24" i="14" s="1"/>
  <c r="D27" i="14" s="1"/>
  <c r="D29" i="14" s="1"/>
  <c r="D32" i="14" s="1"/>
  <c r="D182" i="14" s="1"/>
  <c r="V185" i="19" s="1"/>
  <c r="V23" i="19"/>
  <c r="D187" i="14"/>
  <c r="V190" i="19" s="1"/>
  <c r="V119" i="19"/>
  <c r="U53" i="19"/>
  <c r="U55" i="19" s="1"/>
  <c r="U58" i="19" s="1"/>
  <c r="U187" i="19" s="1"/>
  <c r="U71" i="19"/>
  <c r="D48" i="14"/>
  <c r="D50" i="14" s="1"/>
  <c r="D52" i="14" s="1"/>
  <c r="D55" i="14" s="1"/>
  <c r="D184" i="14" s="1"/>
  <c r="V187" i="19" s="1"/>
  <c r="D198" i="14"/>
  <c r="V53" i="19"/>
  <c r="V55" i="19" s="1"/>
  <c r="V58" i="19" s="1"/>
  <c r="Y198" i="19"/>
  <c r="Y201" i="19" s="1"/>
  <c r="E60" i="13"/>
  <c r="E61" i="13" s="1"/>
  <c r="E63" i="12"/>
  <c r="E64" i="12" s="1"/>
  <c r="AB161" i="19"/>
  <c r="AB166" i="19" s="1"/>
  <c r="AB169" i="19" s="1"/>
  <c r="AB171" i="19" s="1"/>
  <c r="AB174" i="19" s="1"/>
  <c r="AB198" i="19" s="1"/>
  <c r="AA166" i="19"/>
  <c r="AA169" i="19" s="1"/>
  <c r="AA171" i="19" s="1"/>
  <c r="AA174" i="19" s="1"/>
  <c r="AA198" i="19" s="1"/>
  <c r="Z201" i="19"/>
  <c r="AB88" i="19"/>
  <c r="AB93" i="19" s="1"/>
  <c r="AB96" i="19" s="1"/>
  <c r="AB98" i="19" s="1"/>
  <c r="AB100" i="19" s="1"/>
  <c r="AB103" i="19" s="1"/>
  <c r="AB189" i="19" s="1"/>
  <c r="AA93" i="19"/>
  <c r="AA96" i="19" s="1"/>
  <c r="AA98" i="19" s="1"/>
  <c r="AA100" i="19" s="1"/>
  <c r="AA103" i="19" s="1"/>
  <c r="AA189" i="19" s="1"/>
  <c r="AA149" i="19"/>
  <c r="AA151" i="19" s="1"/>
  <c r="AA153" i="19" s="1"/>
  <c r="AA156" i="19" s="1"/>
  <c r="AA197" i="19" s="1"/>
  <c r="AB144" i="19"/>
  <c r="AB149" i="19" s="1"/>
  <c r="AB151" i="19" s="1"/>
  <c r="AB153" i="19" s="1"/>
  <c r="AB156" i="19" s="1"/>
  <c r="AB197" i="19" s="1"/>
  <c r="AB126" i="19"/>
  <c r="AB131" i="19" s="1"/>
  <c r="AB133" i="19" s="1"/>
  <c r="AB136" i="19" s="1"/>
  <c r="AB139" i="19" s="1"/>
  <c r="AB196" i="19" s="1"/>
  <c r="AA131" i="19"/>
  <c r="AA133" i="19" s="1"/>
  <c r="AA136" i="19" s="1"/>
  <c r="AA139" i="19" s="1"/>
  <c r="AA196" i="19" s="1"/>
  <c r="AA63" i="19"/>
  <c r="Z68" i="19"/>
  <c r="Z69" i="19" s="1"/>
  <c r="AB50" i="19"/>
  <c r="Z41" i="19"/>
  <c r="Y51" i="19"/>
  <c r="Y53" i="19" s="1"/>
  <c r="Y55" i="19" s="1"/>
  <c r="Y58" i="19" s="1"/>
  <c r="O136" i="19"/>
  <c r="O137" i="19" s="1"/>
  <c r="U23" i="19" l="1"/>
  <c r="V25" i="19"/>
  <c r="V27" i="19" s="1"/>
  <c r="Y71" i="19"/>
  <c r="U72" i="19"/>
  <c r="U75" i="19" s="1"/>
  <c r="U77" i="19" s="1"/>
  <c r="U79" i="19" s="1"/>
  <c r="U82" i="19" s="1"/>
  <c r="U188" i="19" s="1"/>
  <c r="D97" i="14"/>
  <c r="D100" i="14" s="1"/>
  <c r="D186" i="14" s="1"/>
  <c r="V93" i="19"/>
  <c r="V98" i="19" s="1"/>
  <c r="V100" i="19" s="1"/>
  <c r="V103" i="19" s="1"/>
  <c r="Y187" i="19"/>
  <c r="C63" i="12"/>
  <c r="C64" i="12" s="1"/>
  <c r="AB201" i="19"/>
  <c r="Q139" i="19"/>
  <c r="N137" i="19"/>
  <c r="AA41" i="19"/>
  <c r="Z51" i="19"/>
  <c r="Z53" i="19" s="1"/>
  <c r="Z55" i="19" s="1"/>
  <c r="Z58" i="19" s="1"/>
  <c r="Z187" i="19" s="1"/>
  <c r="AB63" i="19"/>
  <c r="AA68" i="19"/>
  <c r="AA69" i="19" s="1"/>
  <c r="AA201" i="19"/>
  <c r="V189" i="19" l="1"/>
  <c r="V192" i="19" s="1"/>
  <c r="V203" i="19" s="1"/>
  <c r="D189" i="14"/>
  <c r="D200" i="14" s="1"/>
  <c r="Y23" i="19"/>
  <c r="U25" i="19"/>
  <c r="S25" i="19" s="1"/>
  <c r="Z71" i="19"/>
  <c r="Y72" i="19"/>
  <c r="Y75" i="19" s="1"/>
  <c r="Y77" i="19" s="1"/>
  <c r="Y79" i="19" s="1"/>
  <c r="Y82" i="19" s="1"/>
  <c r="U27" i="19"/>
  <c r="U30" i="19" s="1"/>
  <c r="U32" i="19" s="1"/>
  <c r="U35" i="19" s="1"/>
  <c r="U185" i="19" s="1"/>
  <c r="U192" i="19" s="1"/>
  <c r="U203" i="19" s="1"/>
  <c r="V30" i="19"/>
  <c r="V32" i="19" s="1"/>
  <c r="V35" i="19" s="1"/>
  <c r="Q196" i="19"/>
  <c r="Q201" i="19" s="1"/>
  <c r="Q203" i="19" s="1"/>
  <c r="Q207" i="19" s="1"/>
  <c r="B22" i="13"/>
  <c r="AB41" i="19"/>
  <c r="AB51" i="19" s="1"/>
  <c r="AB53" i="19" s="1"/>
  <c r="AB55" i="19" s="1"/>
  <c r="AB58" i="19" s="1"/>
  <c r="AB187" i="19" s="1"/>
  <c r="AA51" i="19"/>
  <c r="AA53" i="19" s="1"/>
  <c r="AA55" i="19" s="1"/>
  <c r="AA58" i="19" s="1"/>
  <c r="AA187" i="19" s="1"/>
  <c r="AB68" i="19"/>
  <c r="AB69" i="19" s="1"/>
  <c r="Z23" i="19" l="1"/>
  <c r="Y25" i="19"/>
  <c r="Y27" i="19" s="1"/>
  <c r="Y30" i="19" s="1"/>
  <c r="Y32" i="19" s="1"/>
  <c r="Y35" i="19" s="1"/>
  <c r="AA71" i="19"/>
  <c r="Z72" i="19"/>
  <c r="Z75" i="19" s="1"/>
  <c r="Z77" i="19" s="1"/>
  <c r="Z79" i="19" s="1"/>
  <c r="Z82" i="19" s="1"/>
  <c r="Z188" i="19" s="1"/>
  <c r="Y188" i="19"/>
  <c r="D63" i="12"/>
  <c r="D64" i="12" s="1"/>
  <c r="U207" i="19"/>
  <c r="B23" i="13"/>
  <c r="AB71" i="19" l="1"/>
  <c r="AB72" i="19" s="1"/>
  <c r="AB75" i="19" s="1"/>
  <c r="AB77" i="19" s="1"/>
  <c r="AB79" i="19" s="1"/>
  <c r="AB82" i="19" s="1"/>
  <c r="AB188" i="19" s="1"/>
  <c r="AA72" i="19"/>
  <c r="AA75" i="19" s="1"/>
  <c r="AA77" i="19" s="1"/>
  <c r="AA79" i="19" s="1"/>
  <c r="AA82" i="19" s="1"/>
  <c r="AA188" i="19" s="1"/>
  <c r="Y185" i="19"/>
  <c r="Y192" i="19" s="1"/>
  <c r="Y203" i="19" s="1"/>
  <c r="Y207" i="19" s="1"/>
  <c r="B63" i="12"/>
  <c r="B64" i="12" s="1"/>
  <c r="G64" i="12" s="1"/>
  <c r="AA23" i="19"/>
  <c r="Z25" i="19"/>
  <c r="Z27" i="19" s="1"/>
  <c r="Z30" i="19" s="1"/>
  <c r="Z32" i="19" s="1"/>
  <c r="Z35" i="19" s="1"/>
  <c r="Z185" i="19" s="1"/>
  <c r="Z192" i="19" s="1"/>
  <c r="Z203" i="19" s="1"/>
  <c r="H9" i="15"/>
  <c r="L9" i="15"/>
  <c r="L16" i="15" s="1"/>
  <c r="L27" i="15" s="1"/>
  <c r="P9" i="15"/>
  <c r="S9" i="15"/>
  <c r="H10" i="15"/>
  <c r="L10" i="15"/>
  <c r="P10" i="15"/>
  <c r="H11" i="15"/>
  <c r="L11" i="15"/>
  <c r="P11" i="15"/>
  <c r="S11" i="15"/>
  <c r="H12" i="15"/>
  <c r="L12" i="15"/>
  <c r="P12" i="15"/>
  <c r="P16" i="15" s="1"/>
  <c r="P27" i="15" s="1"/>
  <c r="S12" i="15"/>
  <c r="H13" i="15"/>
  <c r="L13" i="15"/>
  <c r="P13" i="15"/>
  <c r="H14" i="15"/>
  <c r="H16" i="15" s="1"/>
  <c r="H27" i="15" s="1"/>
  <c r="L14" i="15"/>
  <c r="P14" i="15"/>
  <c r="E16" i="15"/>
  <c r="E27" i="15" s="1"/>
  <c r="G16" i="15"/>
  <c r="I16" i="15"/>
  <c r="I27" i="15" s="1"/>
  <c r="K16" i="15"/>
  <c r="M16" i="15"/>
  <c r="Q17" i="15" s="1"/>
  <c r="O16" i="15"/>
  <c r="Q16" i="15"/>
  <c r="S16" i="15"/>
  <c r="S17" i="15" s="1"/>
  <c r="H20" i="15"/>
  <c r="L20" i="15"/>
  <c r="P20" i="15"/>
  <c r="S20" i="15"/>
  <c r="S25" i="15" s="1"/>
  <c r="H21" i="15"/>
  <c r="L21" i="15"/>
  <c r="P21" i="15"/>
  <c r="S21" i="15"/>
  <c r="H22" i="15"/>
  <c r="H25" i="15" s="1"/>
  <c r="L22" i="15"/>
  <c r="P22" i="15"/>
  <c r="S22" i="15"/>
  <c r="E25" i="15"/>
  <c r="G25" i="15"/>
  <c r="I25" i="15"/>
  <c r="K25" i="15"/>
  <c r="L25" i="15"/>
  <c r="M25" i="15"/>
  <c r="O25" i="15"/>
  <c r="P25" i="15"/>
  <c r="Q25" i="15"/>
  <c r="Q27" i="15" s="1"/>
  <c r="G27" i="15"/>
  <c r="K27" i="15"/>
  <c r="O27" i="15"/>
  <c r="G30" i="15"/>
  <c r="I30" i="15" s="1"/>
  <c r="I32" i="15" s="1"/>
  <c r="I36" i="15" s="1"/>
  <c r="H30" i="15"/>
  <c r="G31" i="15"/>
  <c r="I31" i="15" s="1"/>
  <c r="H31" i="15"/>
  <c r="E32" i="15"/>
  <c r="G32" i="15"/>
  <c r="H32" i="15"/>
  <c r="B33" i="15"/>
  <c r="B43" i="15" s="1"/>
  <c r="B53" i="15" s="1"/>
  <c r="I33" i="15"/>
  <c r="B34" i="15"/>
  <c r="I34" i="15"/>
  <c r="B35" i="15"/>
  <c r="B45" i="15" s="1"/>
  <c r="B55" i="15" s="1"/>
  <c r="I35" i="15"/>
  <c r="E40" i="15"/>
  <c r="G40" i="15"/>
  <c r="H40" i="15"/>
  <c r="I40" i="15" s="1"/>
  <c r="I42" i="15" s="1"/>
  <c r="I46" i="15" s="1"/>
  <c r="E41" i="15"/>
  <c r="G41" i="15"/>
  <c r="H41" i="15"/>
  <c r="I41" i="15" s="1"/>
  <c r="E42" i="15"/>
  <c r="G42" i="15"/>
  <c r="H42" i="15"/>
  <c r="I43" i="15"/>
  <c r="B44" i="15"/>
  <c r="B54" i="15" s="1"/>
  <c r="I44" i="15"/>
  <c r="I45" i="15"/>
  <c r="E50" i="15"/>
  <c r="G50" i="15" s="1"/>
  <c r="H50" i="15"/>
  <c r="E51" i="15"/>
  <c r="G51" i="15" s="1"/>
  <c r="I51" i="15" s="1"/>
  <c r="H51" i="15"/>
  <c r="E52" i="15"/>
  <c r="H52" i="15"/>
  <c r="I53" i="15"/>
  <c r="I54" i="15"/>
  <c r="I55" i="15"/>
  <c r="Z207" i="19" l="1"/>
  <c r="AB23" i="19"/>
  <c r="AB25" i="19" s="1"/>
  <c r="AB27" i="19" s="1"/>
  <c r="AB30" i="19" s="1"/>
  <c r="AB32" i="19" s="1"/>
  <c r="AB35" i="19" s="1"/>
  <c r="AB185" i="19" s="1"/>
  <c r="AB192" i="19" s="1"/>
  <c r="AB203" i="19" s="1"/>
  <c r="AA25" i="19"/>
  <c r="AA27" i="19" s="1"/>
  <c r="AA30" i="19" s="1"/>
  <c r="AA32" i="19" s="1"/>
  <c r="AA35" i="19" s="1"/>
  <c r="AA185" i="19" s="1"/>
  <c r="AA192" i="19" s="1"/>
  <c r="AA203" i="19" s="1"/>
  <c r="AA207" i="19" s="1"/>
  <c r="J25" i="15"/>
  <c r="J16" i="15"/>
  <c r="I50" i="15"/>
  <c r="I52" i="15" s="1"/>
  <c r="I56" i="15" s="1"/>
  <c r="G52" i="15"/>
  <c r="S27" i="15"/>
  <c r="S28" i="15" s="1"/>
  <c r="M27" i="15"/>
  <c r="Q28" i="15" s="1"/>
  <c r="J27" i="15" l="1"/>
  <c r="AB207" i="19"/>
  <c r="G63" i="12" l="1"/>
  <c r="F55" i="12"/>
  <c r="F60" i="12" s="1"/>
  <c r="J49" i="12"/>
  <c r="F41" i="12"/>
  <c r="E41" i="12"/>
  <c r="D41" i="12"/>
  <c r="F37" i="12"/>
  <c r="F36" i="12"/>
  <c r="F26" i="12"/>
  <c r="F31" i="12" s="1"/>
  <c r="F21" i="12" s="1"/>
  <c r="J16" i="12"/>
  <c r="I16" i="12"/>
  <c r="K16" i="12" s="1"/>
  <c r="G16" i="12"/>
  <c r="H13" i="12"/>
  <c r="H18" i="12" s="1"/>
  <c r="F13" i="12"/>
  <c r="F18" i="12" s="1"/>
  <c r="E13" i="12"/>
  <c r="E18" i="12" s="1"/>
  <c r="D13" i="12"/>
  <c r="D18" i="12" s="1"/>
  <c r="C13" i="12"/>
  <c r="C18" i="12" s="1"/>
  <c r="B13" i="12"/>
  <c r="B18" i="12" s="1"/>
  <c r="G12" i="12"/>
  <c r="I12" i="12" s="1"/>
  <c r="G11" i="12"/>
  <c r="G13" i="12" s="1"/>
  <c r="G18" i="12" s="1"/>
  <c r="J7" i="12"/>
  <c r="K7" i="12" s="1"/>
  <c r="F76" i="13"/>
  <c r="D76" i="13"/>
  <c r="F73" i="13"/>
  <c r="F78" i="13" s="1"/>
  <c r="D73" i="13"/>
  <c r="D78" i="13" s="1"/>
  <c r="F68" i="13"/>
  <c r="D68" i="13"/>
  <c r="G60" i="13"/>
  <c r="G61" i="13" s="1"/>
  <c r="K58" i="13"/>
  <c r="J58" i="13"/>
  <c r="I58" i="13"/>
  <c r="F54" i="13"/>
  <c r="D54" i="13"/>
  <c r="F38" i="13"/>
  <c r="F35" i="13"/>
  <c r="F40" i="13" s="1"/>
  <c r="E35" i="13"/>
  <c r="D35" i="13"/>
  <c r="C35" i="13"/>
  <c r="F30" i="13"/>
  <c r="D38" i="13"/>
  <c r="G22" i="13"/>
  <c r="G23" i="13" s="1"/>
  <c r="K20" i="13"/>
  <c r="J20" i="13"/>
  <c r="I20" i="13"/>
  <c r="F16" i="13"/>
  <c r="E16" i="13"/>
  <c r="E28" i="13" s="1"/>
  <c r="E52" i="13" s="1"/>
  <c r="K52" i="13" s="1"/>
  <c r="D16" i="13"/>
  <c r="C16" i="13"/>
  <c r="C28" i="13" s="1"/>
  <c r="C52" i="13" s="1"/>
  <c r="J52" i="13" s="1"/>
  <c r="B16" i="13"/>
  <c r="K14" i="13"/>
  <c r="L14" i="13" s="1"/>
  <c r="J14" i="13"/>
  <c r="I14" i="13"/>
  <c r="G14" i="13"/>
  <c r="G11" i="13"/>
  <c r="G16" i="13" s="1"/>
  <c r="C19" i="11"/>
  <c r="D19" i="11"/>
  <c r="E19" i="11"/>
  <c r="F19" i="11"/>
  <c r="G19" i="11"/>
  <c r="B19" i="11"/>
  <c r="B25" i="12" l="1"/>
  <c r="B24" i="12"/>
  <c r="B29" i="12"/>
  <c r="J12" i="12"/>
  <c r="K12" i="12" s="1"/>
  <c r="J11" i="12"/>
  <c r="J13" i="12" s="1"/>
  <c r="J18" i="12" s="1"/>
  <c r="C25" i="12"/>
  <c r="C29" i="12"/>
  <c r="C24" i="12"/>
  <c r="E24" i="12"/>
  <c r="E25" i="12"/>
  <c r="D25" i="12"/>
  <c r="D24" i="12"/>
  <c r="C38" i="13"/>
  <c r="C30" i="13"/>
  <c r="E30" i="13"/>
  <c r="E54" i="13"/>
  <c r="E63" i="13" s="1"/>
  <c r="B25" i="13"/>
  <c r="B28" i="13"/>
  <c r="J28" i="13"/>
  <c r="J38" i="13" s="1"/>
  <c r="E40" i="13"/>
  <c r="E38" i="13"/>
  <c r="K28" i="13"/>
  <c r="K38" i="13" s="1"/>
  <c r="C54" i="13"/>
  <c r="C63" i="13" s="1"/>
  <c r="L58" i="13"/>
  <c r="D40" i="13"/>
  <c r="C40" i="13"/>
  <c r="F38" i="12"/>
  <c r="F43" i="12" s="1"/>
  <c r="F67" i="12"/>
  <c r="F79" i="12" s="1"/>
  <c r="F66" i="12"/>
  <c r="F71" i="12"/>
  <c r="F83" i="12" s="1"/>
  <c r="G21" i="12"/>
  <c r="I11" i="12"/>
  <c r="J11" i="13"/>
  <c r="J16" i="13" s="1"/>
  <c r="I11" i="13"/>
  <c r="K11" i="13"/>
  <c r="K16" i="13" s="1"/>
  <c r="B27" i="10"/>
  <c r="B24" i="10"/>
  <c r="C28" i="11"/>
  <c r="D28" i="11"/>
  <c r="E28" i="11"/>
  <c r="F28" i="11"/>
  <c r="C23" i="11"/>
  <c r="D23" i="11"/>
  <c r="E23" i="11"/>
  <c r="F23" i="11"/>
  <c r="C24" i="11"/>
  <c r="D24" i="11"/>
  <c r="E24" i="11"/>
  <c r="F24" i="11"/>
  <c r="B28" i="11"/>
  <c r="B24" i="11"/>
  <c r="B23" i="11"/>
  <c r="A21" i="10"/>
  <c r="B5" i="10"/>
  <c r="E54" i="12" l="1"/>
  <c r="E37" i="12"/>
  <c r="D53" i="12"/>
  <c r="D36" i="12"/>
  <c r="D26" i="12"/>
  <c r="D31" i="12" s="1"/>
  <c r="E53" i="12"/>
  <c r="E36" i="12"/>
  <c r="E26" i="12"/>
  <c r="E31" i="12" s="1"/>
  <c r="B58" i="12"/>
  <c r="G29" i="12"/>
  <c r="B41" i="12"/>
  <c r="I29" i="12"/>
  <c r="K29" i="12" s="1"/>
  <c r="C54" i="12"/>
  <c r="C37" i="12"/>
  <c r="D54" i="12"/>
  <c r="D37" i="12"/>
  <c r="C53" i="12"/>
  <c r="C36" i="12"/>
  <c r="C38" i="12" s="1"/>
  <c r="C43" i="12" s="1"/>
  <c r="C26" i="12"/>
  <c r="C31" i="12" s="1"/>
  <c r="B53" i="12"/>
  <c r="B36" i="12"/>
  <c r="B26" i="12"/>
  <c r="B31" i="12" s="1"/>
  <c r="G24" i="12"/>
  <c r="C58" i="12"/>
  <c r="C41" i="12"/>
  <c r="J41" i="12" s="1"/>
  <c r="J29" i="12"/>
  <c r="B54" i="12"/>
  <c r="B37" i="12"/>
  <c r="G25" i="12"/>
  <c r="C66" i="13"/>
  <c r="C76" i="13" s="1"/>
  <c r="E66" i="13"/>
  <c r="K66" i="13" s="1"/>
  <c r="K76" i="13" s="1"/>
  <c r="B52" i="13"/>
  <c r="G28" i="13"/>
  <c r="B38" i="13"/>
  <c r="G38" i="13" s="1"/>
  <c r="I28" i="13"/>
  <c r="B49" i="13"/>
  <c r="B30" i="13"/>
  <c r="B35" i="13"/>
  <c r="G25" i="13"/>
  <c r="E73" i="13"/>
  <c r="F78" i="12"/>
  <c r="F80" i="12" s="1"/>
  <c r="F85" i="12" s="1"/>
  <c r="F68" i="12"/>
  <c r="F73" i="12" s="1"/>
  <c r="I13" i="12"/>
  <c r="I18" i="12" s="1"/>
  <c r="K11" i="12"/>
  <c r="K13" i="12" s="1"/>
  <c r="K18" i="12" s="1"/>
  <c r="C73" i="13"/>
  <c r="L11" i="13"/>
  <c r="L16" i="13" s="1"/>
  <c r="I16" i="13"/>
  <c r="J19" i="10"/>
  <c r="I19" i="10"/>
  <c r="E55" i="12" l="1"/>
  <c r="E60" i="12" s="1"/>
  <c r="E66" i="12" s="1"/>
  <c r="E78" i="12" s="1"/>
  <c r="G37" i="12"/>
  <c r="E38" i="12"/>
  <c r="E43" i="12" s="1"/>
  <c r="C68" i="13"/>
  <c r="J66" i="13"/>
  <c r="J76" i="13" s="1"/>
  <c r="J58" i="12"/>
  <c r="G53" i="12"/>
  <c r="B55" i="12"/>
  <c r="B60" i="12" s="1"/>
  <c r="B66" i="12" s="1"/>
  <c r="D38" i="12"/>
  <c r="D43" i="12" s="1"/>
  <c r="G54" i="12"/>
  <c r="J24" i="12"/>
  <c r="G26" i="12"/>
  <c r="G31" i="12" s="1"/>
  <c r="I24" i="12"/>
  <c r="G41" i="12"/>
  <c r="I41" i="12"/>
  <c r="D55" i="12"/>
  <c r="D60" i="12" s="1"/>
  <c r="D71" i="12" s="1"/>
  <c r="D83" i="12" s="1"/>
  <c r="J25" i="12"/>
  <c r="J37" i="12" s="1"/>
  <c r="I25" i="12"/>
  <c r="G36" i="12"/>
  <c r="B38" i="12"/>
  <c r="B43" i="12" s="1"/>
  <c r="C55" i="12"/>
  <c r="C60" i="12" s="1"/>
  <c r="C71" i="12" s="1"/>
  <c r="C66" i="12"/>
  <c r="C67" i="12"/>
  <c r="C79" i="12" s="1"/>
  <c r="I58" i="12"/>
  <c r="G58" i="12"/>
  <c r="E68" i="13"/>
  <c r="E76" i="13"/>
  <c r="E78" i="13" s="1"/>
  <c r="C78" i="13"/>
  <c r="G35" i="13"/>
  <c r="G40" i="13" s="1"/>
  <c r="B40" i="13"/>
  <c r="G49" i="13"/>
  <c r="B54" i="13"/>
  <c r="B63" i="13" s="1"/>
  <c r="I52" i="13"/>
  <c r="L52" i="13" s="1"/>
  <c r="G52" i="13"/>
  <c r="G30" i="13"/>
  <c r="J25" i="13"/>
  <c r="I25" i="13"/>
  <c r="K25" i="13"/>
  <c r="I38" i="13"/>
  <c r="L38" i="13" s="1"/>
  <c r="L28" i="13"/>
  <c r="K19" i="10"/>
  <c r="E67" i="12" l="1"/>
  <c r="E79" i="12" s="1"/>
  <c r="E80" i="12" s="1"/>
  <c r="E85" i="12" s="1"/>
  <c r="E71" i="12"/>
  <c r="E83" i="12" s="1"/>
  <c r="E68" i="12"/>
  <c r="E73" i="12" s="1"/>
  <c r="G38" i="12"/>
  <c r="G43" i="12" s="1"/>
  <c r="K58" i="12"/>
  <c r="D66" i="12"/>
  <c r="D78" i="12" s="1"/>
  <c r="D80" i="12" s="1"/>
  <c r="D85" i="12" s="1"/>
  <c r="D67" i="12"/>
  <c r="D79" i="12" s="1"/>
  <c r="B78" i="12"/>
  <c r="J71" i="12"/>
  <c r="C83" i="12"/>
  <c r="J83" i="12" s="1"/>
  <c r="B67" i="12"/>
  <c r="B68" i="12" s="1"/>
  <c r="K24" i="12"/>
  <c r="I26" i="12"/>
  <c r="I31" i="12" s="1"/>
  <c r="I36" i="12"/>
  <c r="I54" i="12"/>
  <c r="J54" i="12"/>
  <c r="I53" i="12"/>
  <c r="G55" i="12"/>
  <c r="G60" i="12" s="1"/>
  <c r="J53" i="12"/>
  <c r="B71" i="12"/>
  <c r="C78" i="12"/>
  <c r="C80" i="12" s="1"/>
  <c r="C85" i="12" s="1"/>
  <c r="C68" i="12"/>
  <c r="C73" i="12" s="1"/>
  <c r="I37" i="12"/>
  <c r="K37" i="12" s="1"/>
  <c r="K25" i="12"/>
  <c r="K26" i="12" s="1"/>
  <c r="K31" i="12" s="1"/>
  <c r="K41" i="12"/>
  <c r="F34" i="23"/>
  <c r="F35" i="23" s="1"/>
  <c r="J26" i="12"/>
  <c r="J31" i="12" s="1"/>
  <c r="J36" i="12"/>
  <c r="J38" i="12" s="1"/>
  <c r="J43" i="12" s="1"/>
  <c r="B66" i="13"/>
  <c r="B76" i="13" s="1"/>
  <c r="G76" i="13" s="1"/>
  <c r="B73" i="13"/>
  <c r="G63" i="13"/>
  <c r="K35" i="13"/>
  <c r="K40" i="13" s="1"/>
  <c r="K30" i="13"/>
  <c r="G66" i="13"/>
  <c r="I30" i="13"/>
  <c r="L25" i="13"/>
  <c r="L30" i="13" s="1"/>
  <c r="I35" i="13"/>
  <c r="I49" i="13"/>
  <c r="K49" i="13"/>
  <c r="K54" i="13" s="1"/>
  <c r="J49" i="13"/>
  <c r="J54" i="13" s="1"/>
  <c r="G54" i="13"/>
  <c r="J30" i="13"/>
  <c r="J35" i="13"/>
  <c r="J40" i="13" s="1"/>
  <c r="F12" i="11"/>
  <c r="F17" i="11" s="1"/>
  <c r="D12" i="11"/>
  <c r="D17" i="11" s="1"/>
  <c r="D36" i="11" s="1"/>
  <c r="J15" i="11"/>
  <c r="I15" i="11"/>
  <c r="F40" i="11"/>
  <c r="E40" i="11"/>
  <c r="D40" i="11"/>
  <c r="F36" i="11"/>
  <c r="H12" i="11"/>
  <c r="H17" i="11" s="1"/>
  <c r="J6" i="11"/>
  <c r="E15" i="10"/>
  <c r="F15" i="10"/>
  <c r="D15" i="10"/>
  <c r="G10" i="10"/>
  <c r="K13" i="10"/>
  <c r="G66" i="12" l="1"/>
  <c r="I66" i="12" s="1"/>
  <c r="B68" i="13"/>
  <c r="I66" i="13"/>
  <c r="J55" i="12"/>
  <c r="J60" i="12" s="1"/>
  <c r="D68" i="12"/>
  <c r="D73" i="12" s="1"/>
  <c r="K54" i="12"/>
  <c r="B73" i="12"/>
  <c r="I38" i="12"/>
  <c r="K36" i="12"/>
  <c r="K38" i="12" s="1"/>
  <c r="K43" i="12" s="1"/>
  <c r="I55" i="12"/>
  <c r="I60" i="12" s="1"/>
  <c r="K53" i="12"/>
  <c r="J66" i="12"/>
  <c r="B79" i="12"/>
  <c r="G79" i="12" s="1"/>
  <c r="G67" i="12"/>
  <c r="B83" i="12"/>
  <c r="I71" i="12"/>
  <c r="K71" i="12" s="1"/>
  <c r="G71" i="12"/>
  <c r="G78" i="12"/>
  <c r="B80" i="12"/>
  <c r="B85" i="12" s="1"/>
  <c r="L49" i="13"/>
  <c r="L54" i="13" s="1"/>
  <c r="I54" i="13"/>
  <c r="I40" i="13"/>
  <c r="L35" i="13"/>
  <c r="L40" i="13" s="1"/>
  <c r="I76" i="13"/>
  <c r="L66" i="13"/>
  <c r="J63" i="13"/>
  <c r="I63" i="13"/>
  <c r="K63" i="13"/>
  <c r="G68" i="13"/>
  <c r="G69" i="13" s="1"/>
  <c r="G73" i="13"/>
  <c r="G78" i="13" s="1"/>
  <c r="B78" i="13"/>
  <c r="F37" i="10"/>
  <c r="E24" i="10"/>
  <c r="E34" i="10" s="1"/>
  <c r="E27" i="10"/>
  <c r="E37" i="10" s="1"/>
  <c r="E39" i="10" s="1"/>
  <c r="D34" i="10"/>
  <c r="I13" i="10"/>
  <c r="E12" i="11"/>
  <c r="E17" i="11" s="1"/>
  <c r="C12" i="11"/>
  <c r="C17" i="11" s="1"/>
  <c r="B12" i="11"/>
  <c r="B17" i="11" s="1"/>
  <c r="I10" i="10"/>
  <c r="K10" i="10"/>
  <c r="K15" i="10" s="1"/>
  <c r="J10" i="10"/>
  <c r="C15" i="10"/>
  <c r="J13" i="10"/>
  <c r="G13" i="10"/>
  <c r="G15" i="10" s="1"/>
  <c r="K15" i="11"/>
  <c r="G10" i="11"/>
  <c r="G15" i="11"/>
  <c r="K55" i="12" l="1"/>
  <c r="G68" i="12"/>
  <c r="G73" i="12" s="1"/>
  <c r="K60" i="12"/>
  <c r="G80" i="12"/>
  <c r="G83" i="12"/>
  <c r="I83" i="12"/>
  <c r="J67" i="12"/>
  <c r="J79" i="12" s="1"/>
  <c r="I67" i="12"/>
  <c r="I68" i="12" s="1"/>
  <c r="I73" i="12" s="1"/>
  <c r="J78" i="12"/>
  <c r="I78" i="12"/>
  <c r="K66" i="12"/>
  <c r="F27" i="23"/>
  <c r="F28" i="23" s="1"/>
  <c r="F46" i="23" s="1"/>
  <c r="F48" i="23" s="1"/>
  <c r="F51" i="23" s="1"/>
  <c r="I43" i="12"/>
  <c r="J73" i="13"/>
  <c r="J78" i="13" s="1"/>
  <c r="J68" i="13"/>
  <c r="J69" i="13" s="1"/>
  <c r="F36" i="24"/>
  <c r="L63" i="13"/>
  <c r="L68" i="13" s="1"/>
  <c r="I68" i="13"/>
  <c r="I69" i="13" s="1"/>
  <c r="I73" i="13"/>
  <c r="K73" i="13"/>
  <c r="K78" i="13" s="1"/>
  <c r="K68" i="13"/>
  <c r="K69" i="13" s="1"/>
  <c r="L76" i="13"/>
  <c r="F36" i="26"/>
  <c r="F37" i="26" s="1"/>
  <c r="K27" i="10"/>
  <c r="K37" i="10" s="1"/>
  <c r="F34" i="10"/>
  <c r="F39" i="10" s="1"/>
  <c r="F29" i="10"/>
  <c r="E29" i="10"/>
  <c r="C24" i="10"/>
  <c r="C34" i="10" s="1"/>
  <c r="C27" i="10"/>
  <c r="L13" i="10"/>
  <c r="B15" i="10"/>
  <c r="E36" i="11"/>
  <c r="E25" i="11"/>
  <c r="E30" i="11" s="1"/>
  <c r="G11" i="11"/>
  <c r="I11" i="11" s="1"/>
  <c r="J15" i="10"/>
  <c r="C36" i="11"/>
  <c r="I15" i="10"/>
  <c r="L10" i="10"/>
  <c r="L15" i="10" s="1"/>
  <c r="D25" i="11"/>
  <c r="D30" i="11" s="1"/>
  <c r="D35" i="11"/>
  <c r="D37" i="11" s="1"/>
  <c r="D42" i="11" s="1"/>
  <c r="F35" i="11"/>
  <c r="F37" i="11" s="1"/>
  <c r="F42" i="11" s="1"/>
  <c r="F25" i="11"/>
  <c r="F30" i="11" s="1"/>
  <c r="C40" i="11"/>
  <c r="J40" i="11" s="1"/>
  <c r="J28" i="11"/>
  <c r="C35" i="11"/>
  <c r="J10" i="11"/>
  <c r="I10" i="11"/>
  <c r="I28" i="11"/>
  <c r="B40" i="11"/>
  <c r="G28" i="11"/>
  <c r="G85" i="12" l="1"/>
  <c r="K78" i="12"/>
  <c r="J80" i="12"/>
  <c r="J85" i="12" s="1"/>
  <c r="J68" i="12"/>
  <c r="J73" i="12" s="1"/>
  <c r="F34" i="25"/>
  <c r="F35" i="25" s="1"/>
  <c r="K83" i="12"/>
  <c r="I79" i="12"/>
  <c r="K79" i="12" s="1"/>
  <c r="K67" i="12"/>
  <c r="K68" i="12" s="1"/>
  <c r="K73" i="12" s="1"/>
  <c r="L73" i="13"/>
  <c r="L78" i="13" s="1"/>
  <c r="I78" i="13"/>
  <c r="F30" i="26"/>
  <c r="F37" i="24"/>
  <c r="F49" i="24" s="1"/>
  <c r="F51" i="24" s="1"/>
  <c r="F56" i="23"/>
  <c r="J11" i="11"/>
  <c r="K11" i="11" s="1"/>
  <c r="G12" i="11"/>
  <c r="G17" i="11" s="1"/>
  <c r="B36" i="11"/>
  <c r="G36" i="11" s="1"/>
  <c r="C37" i="11"/>
  <c r="C42" i="11" s="1"/>
  <c r="E35" i="11"/>
  <c r="E37" i="11" s="1"/>
  <c r="E42" i="11" s="1"/>
  <c r="G24" i="11"/>
  <c r="C25" i="11"/>
  <c r="C30" i="11" s="1"/>
  <c r="C37" i="10"/>
  <c r="C39" i="10" s="1"/>
  <c r="J27" i="10"/>
  <c r="J37" i="10" s="1"/>
  <c r="C29" i="10"/>
  <c r="K28" i="11"/>
  <c r="I12" i="11"/>
  <c r="I17" i="11" s="1"/>
  <c r="K10" i="11"/>
  <c r="G40" i="11"/>
  <c r="I40" i="11"/>
  <c r="K40" i="11" s="1"/>
  <c r="K80" i="12" l="1"/>
  <c r="K85" i="12" s="1"/>
  <c r="I80" i="12"/>
  <c r="F89" i="23"/>
  <c r="F90" i="23" s="1"/>
  <c r="F82" i="23" s="1"/>
  <c r="F54" i="24"/>
  <c r="F59" i="24" s="1"/>
  <c r="F31" i="26"/>
  <c r="F49" i="26" s="1"/>
  <c r="F51" i="26" s="1"/>
  <c r="F54" i="26" s="1"/>
  <c r="F59" i="26" s="1"/>
  <c r="J12" i="11"/>
  <c r="J17" i="11" s="1"/>
  <c r="I27" i="10"/>
  <c r="I37" i="10" s="1"/>
  <c r="L37" i="10" s="1"/>
  <c r="B37" i="10"/>
  <c r="B34" i="10"/>
  <c r="B29" i="10"/>
  <c r="G24" i="10"/>
  <c r="J24" i="11"/>
  <c r="J36" i="11" s="1"/>
  <c r="I24" i="11"/>
  <c r="K12" i="11"/>
  <c r="K17" i="11" s="1"/>
  <c r="F27" i="25" l="1"/>
  <c r="F28" i="25" s="1"/>
  <c r="F46" i="25" s="1"/>
  <c r="F48" i="25" s="1"/>
  <c r="I85" i="12"/>
  <c r="F89" i="26"/>
  <c r="F90" i="26" s="1"/>
  <c r="F84" i="26" s="1"/>
  <c r="F89" i="24"/>
  <c r="F90" i="24" s="1"/>
  <c r="F84" i="24" s="1"/>
  <c r="L27" i="10"/>
  <c r="I36" i="11"/>
  <c r="K36" i="11" s="1"/>
  <c r="G34" i="10"/>
  <c r="B39" i="10"/>
  <c r="K24" i="10"/>
  <c r="J24" i="10"/>
  <c r="I24" i="10"/>
  <c r="K24" i="11"/>
  <c r="F51" i="25" l="1"/>
  <c r="F56" i="25" s="1"/>
  <c r="F89" i="25" s="1"/>
  <c r="F90" i="25" s="1"/>
  <c r="F82" i="25" s="1"/>
  <c r="J29" i="10"/>
  <c r="J34" i="10"/>
  <c r="J39" i="10" s="1"/>
  <c r="K34" i="10"/>
  <c r="K39" i="10" s="1"/>
  <c r="K29" i="10"/>
  <c r="L24" i="10"/>
  <c r="L29" i="10" s="1"/>
  <c r="I34" i="10"/>
  <c r="I29" i="10"/>
  <c r="I39" i="10" l="1"/>
  <c r="L34" i="10"/>
  <c r="L39" i="10" s="1"/>
  <c r="G21" i="10"/>
  <c r="D29" i="10"/>
  <c r="D37" i="10"/>
  <c r="D39" i="10" s="1"/>
  <c r="B35" i="11"/>
  <c r="B37" i="11" s="1"/>
  <c r="B42" i="11" s="1"/>
  <c r="G35" i="11"/>
  <c r="G37" i="11" s="1"/>
  <c r="G42" i="11" s="1"/>
  <c r="G23" i="11"/>
  <c r="G25" i="11" s="1"/>
  <c r="G30" i="11" s="1"/>
  <c r="B25" i="11"/>
  <c r="B30" i="11" s="1"/>
  <c r="G20" i="11"/>
  <c r="I23" i="11" l="1"/>
  <c r="I35" i="11" s="1"/>
  <c r="G27" i="10"/>
  <c r="G29" i="10" s="1"/>
  <c r="G37" i="10"/>
  <c r="G39" i="10" s="1"/>
  <c r="J23" i="11"/>
  <c r="J35" i="11" s="1"/>
  <c r="J37" i="11" s="1"/>
  <c r="J42" i="11" s="1"/>
  <c r="I37" i="11"/>
  <c r="I42" i="11" s="1"/>
  <c r="I25" i="11"/>
  <c r="I30" i="11" s="1"/>
  <c r="J25" i="11" l="1"/>
  <c r="J30" i="11" s="1"/>
  <c r="K23" i="11"/>
  <c r="K25" i="11" s="1"/>
  <c r="K30" i="11" s="1"/>
  <c r="K35" i="11"/>
  <c r="K37" i="11" s="1"/>
  <c r="K42" i="11" s="1"/>
</calcChain>
</file>

<file path=xl/comments1.xml><?xml version="1.0" encoding="utf-8"?>
<comments xmlns="http://schemas.openxmlformats.org/spreadsheetml/2006/main">
  <authors>
    <author>RFF9457</author>
    <author>White, Amy (UTC)</author>
  </authors>
  <commentList>
    <comment ref="I7" authorId="0" shapeId="0">
      <text>
        <r>
          <rPr>
            <b/>
            <sz val="9"/>
            <color indexed="81"/>
            <rFont val="Tahoma"/>
            <family val="2"/>
          </rPr>
          <t>RFF9457:</t>
        </r>
        <r>
          <rPr>
            <sz val="9"/>
            <color indexed="81"/>
            <rFont val="Tahoma"/>
            <family val="2"/>
          </rPr>
          <t xml:space="preserve">
P/T Ratio</t>
        </r>
      </text>
    </comment>
    <comment ref="I11" authorId="1" shapeId="0">
      <text>
        <r>
          <rPr>
            <b/>
            <sz val="9"/>
            <color indexed="81"/>
            <rFont val="Tahoma"/>
            <family val="2"/>
          </rPr>
          <t>White, Amy (UTC):</t>
        </r>
        <r>
          <rPr>
            <sz val="9"/>
            <color indexed="81"/>
            <rFont val="Tahoma"/>
            <family val="2"/>
          </rPr>
          <t xml:space="preserve">
Traced to file 1.1 2016.12 ROO -G.pdf printout
</t>
        </r>
      </text>
    </comment>
    <comment ref="I12" authorId="1" shapeId="0">
      <text>
        <r>
          <rPr>
            <b/>
            <sz val="9"/>
            <color indexed="81"/>
            <rFont val="Tahoma"/>
            <family val="2"/>
          </rPr>
          <t>White, Amy (UTC):</t>
        </r>
        <r>
          <rPr>
            <sz val="9"/>
            <color indexed="81"/>
            <rFont val="Tahoma"/>
            <family val="2"/>
          </rPr>
          <t xml:space="preserve">
Traced to file 1.1 2016.12 ROO -G.pdf printout</t>
        </r>
      </text>
    </comment>
    <comment ref="I16" authorId="1" shapeId="0">
      <text>
        <r>
          <rPr>
            <b/>
            <sz val="9"/>
            <color indexed="81"/>
            <rFont val="Tahoma"/>
            <family val="2"/>
          </rPr>
          <t>White, Amy (UTC):</t>
        </r>
        <r>
          <rPr>
            <sz val="9"/>
            <color indexed="81"/>
            <rFont val="Tahoma"/>
            <family val="2"/>
          </rPr>
          <t xml:space="preserve">
Traced to file 1.1 2016.12 ROO -G
.pdf printout</t>
        </r>
      </text>
    </comment>
    <comment ref="I38" authorId="1" shapeId="0">
      <text>
        <r>
          <rPr>
            <b/>
            <sz val="9"/>
            <color indexed="81"/>
            <rFont val="Tahoma"/>
            <family val="2"/>
          </rPr>
          <t>White, Amy (UTC):</t>
        </r>
        <r>
          <rPr>
            <sz val="9"/>
            <color indexed="81"/>
            <rFont val="Tahoma"/>
            <family val="2"/>
          </rPr>
          <t xml:space="preserve">
This adjustment amount goes forward to model </t>
        </r>
      </text>
    </comment>
    <comment ref="I43" authorId="1" shapeId="0">
      <text>
        <r>
          <rPr>
            <b/>
            <sz val="9"/>
            <color indexed="81"/>
            <rFont val="Tahoma"/>
            <family val="2"/>
          </rPr>
          <t>White, Amy (UTC):</t>
        </r>
        <r>
          <rPr>
            <sz val="9"/>
            <color indexed="81"/>
            <rFont val="Tahoma"/>
            <family val="2"/>
          </rPr>
          <t xml:space="preserve">
This adjustment amount goes forward to model </t>
        </r>
      </text>
    </comment>
    <comment ref="I49" authorId="0" shapeId="0">
      <text>
        <r>
          <rPr>
            <b/>
            <sz val="9"/>
            <color indexed="81"/>
            <rFont val="Tahoma"/>
            <family val="2"/>
          </rPr>
          <t>RFF9457:</t>
        </r>
        <r>
          <rPr>
            <sz val="9"/>
            <color indexed="81"/>
            <rFont val="Tahoma"/>
            <family val="2"/>
          </rPr>
          <t xml:space="preserve">
P/T Ratio</t>
        </r>
      </text>
    </comment>
    <comment ref="G60" authorId="1" shapeId="0">
      <text>
        <r>
          <rPr>
            <b/>
            <sz val="9"/>
            <color indexed="81"/>
            <rFont val="Tahoma"/>
            <family val="2"/>
          </rPr>
          <t>White, Amy (UTC):</t>
        </r>
        <r>
          <rPr>
            <sz val="9"/>
            <color indexed="81"/>
            <rFont val="Tahoma"/>
            <family val="2"/>
          </rPr>
          <t xml:space="preserve">
used as basis of current period expense in file 1)CB - Property Tax ADJ REVISED </t>
        </r>
      </text>
    </comment>
    <comment ref="K60" authorId="1" shapeId="0">
      <text>
        <r>
          <rPr>
            <b/>
            <sz val="9"/>
            <color indexed="81"/>
            <rFont val="Tahoma"/>
            <family val="2"/>
          </rPr>
          <t>White, Amy (UTC):</t>
        </r>
        <r>
          <rPr>
            <sz val="9"/>
            <color indexed="81"/>
            <rFont val="Tahoma"/>
            <family val="2"/>
          </rPr>
          <t xml:space="preserve">
Staff has used the amount calculated in the restating adjustment as the basis of the 2018 pro forma property tax expense </t>
        </r>
      </text>
    </comment>
  </commentList>
</comments>
</file>

<file path=xl/comments10.xml><?xml version="1.0" encoding="utf-8"?>
<comments xmlns="http://schemas.openxmlformats.org/spreadsheetml/2006/main">
  <authors>
    <author>White, Amy (UTC)</author>
  </authors>
  <commentList>
    <comment ref="E9" authorId="0" shapeId="0">
      <text>
        <r>
          <rPr>
            <b/>
            <sz val="9"/>
            <color indexed="81"/>
            <rFont val="Tahoma"/>
            <family val="2"/>
          </rPr>
          <t>White, Amy (UTC):</t>
        </r>
        <r>
          <rPr>
            <sz val="9"/>
            <color indexed="81"/>
            <rFont val="Tahoma"/>
            <family val="2"/>
          </rPr>
          <t xml:space="preserve">
This is the 2016 restated result 
</t>
        </r>
      </text>
    </comment>
    <comment ref="F9" authorId="0" shapeId="0">
      <text>
        <r>
          <rPr>
            <b/>
            <sz val="9"/>
            <color indexed="81"/>
            <rFont val="Tahoma"/>
            <family val="2"/>
          </rPr>
          <t>White, Amy (UTC):</t>
        </r>
        <r>
          <rPr>
            <sz val="9"/>
            <color indexed="81"/>
            <rFont val="Tahoma"/>
            <family val="2"/>
          </rPr>
          <t xml:space="preserve">
Original value 14720
</t>
        </r>
      </text>
    </comment>
    <comment ref="J9" authorId="0" shapeId="0">
      <text>
        <r>
          <rPr>
            <b/>
            <sz val="9"/>
            <color indexed="81"/>
            <rFont val="Tahoma"/>
            <family val="2"/>
          </rPr>
          <t>White, Amy (UTC):</t>
        </r>
        <r>
          <rPr>
            <sz val="9"/>
            <color indexed="81"/>
            <rFont val="Tahoma"/>
            <family val="2"/>
          </rPr>
          <t xml:space="preserve">
DR 160 T31
</t>
        </r>
      </text>
    </comment>
    <comment ref="M9" authorId="0" shapeId="0">
      <text>
        <r>
          <rPr>
            <b/>
            <sz val="9"/>
            <color indexed="81"/>
            <rFont val="Tahoma"/>
            <family val="2"/>
          </rPr>
          <t>White, Amy (UTC):</t>
        </r>
        <r>
          <rPr>
            <sz val="9"/>
            <color indexed="81"/>
            <rFont val="Tahoma"/>
            <family val="2"/>
          </rPr>
          <t xml:space="preserve">
These numbers are carried forward to the file 2.5 PF 2018 - Property Tax ADJ and were used as the basis for the company's original pro forma adjustments
</t>
        </r>
      </text>
    </comment>
    <comment ref="F11" authorId="0" shapeId="0">
      <text>
        <r>
          <rPr>
            <b/>
            <sz val="9"/>
            <color indexed="81"/>
            <rFont val="Tahoma"/>
            <family val="2"/>
          </rPr>
          <t>White, Amy (UTC):</t>
        </r>
        <r>
          <rPr>
            <sz val="9"/>
            <color indexed="81"/>
            <rFont val="Tahoma"/>
            <family val="2"/>
          </rPr>
          <t xml:space="preserve">
Original value 6,289
traced to updated calculation file in response to staff DR 160</t>
        </r>
      </text>
    </comment>
    <comment ref="J11" authorId="0" shapeId="0">
      <text>
        <r>
          <rPr>
            <b/>
            <sz val="9"/>
            <color indexed="81"/>
            <rFont val="Tahoma"/>
            <family val="2"/>
          </rPr>
          <t>White, Amy (UTC):</t>
        </r>
        <r>
          <rPr>
            <sz val="9"/>
            <color indexed="81"/>
            <rFont val="Tahoma"/>
            <family val="2"/>
          </rPr>
          <t xml:space="preserve">
traced to updated calculation file in response to staff DR 160 T54
</t>
        </r>
      </text>
    </comment>
    <comment ref="F12" authorId="0" shapeId="0">
      <text>
        <r>
          <rPr>
            <b/>
            <sz val="9"/>
            <color indexed="81"/>
            <rFont val="Tahoma"/>
            <family val="2"/>
          </rPr>
          <t>White, Amy (UTC):</t>
        </r>
        <r>
          <rPr>
            <sz val="9"/>
            <color indexed="81"/>
            <rFont val="Tahoma"/>
            <family val="2"/>
          </rPr>
          <t xml:space="preserve">
Original value 10,590
traced to updated calculation file in response to staff DR 160</t>
        </r>
      </text>
    </comment>
    <comment ref="J12" authorId="0" shapeId="0">
      <text>
        <r>
          <rPr>
            <b/>
            <sz val="9"/>
            <color indexed="81"/>
            <rFont val="Tahoma"/>
            <family val="2"/>
          </rPr>
          <t>White, Amy (UTC):</t>
        </r>
        <r>
          <rPr>
            <sz val="9"/>
            <color indexed="81"/>
            <rFont val="Tahoma"/>
            <family val="2"/>
          </rPr>
          <t xml:space="preserve">
DR 160 T78
</t>
        </r>
      </text>
    </comment>
    <comment ref="F13" authorId="0" shapeId="0">
      <text>
        <r>
          <rPr>
            <b/>
            <sz val="9"/>
            <color indexed="81"/>
            <rFont val="Tahoma"/>
            <family val="2"/>
          </rPr>
          <t>White, Amy (UTC):</t>
        </r>
        <r>
          <rPr>
            <sz val="9"/>
            <color indexed="81"/>
            <rFont val="Tahoma"/>
            <family val="2"/>
          </rPr>
          <t xml:space="preserve">
Original value 11
traced to updated calculation file in response to staff DR 160</t>
        </r>
      </text>
    </comment>
    <comment ref="J13" authorId="0" shapeId="0">
      <text>
        <r>
          <rPr>
            <b/>
            <sz val="9"/>
            <color indexed="81"/>
            <rFont val="Tahoma"/>
            <family val="2"/>
          </rPr>
          <t>White, Amy (UTC):</t>
        </r>
        <r>
          <rPr>
            <sz val="9"/>
            <color indexed="81"/>
            <rFont val="Tahoma"/>
            <family val="2"/>
          </rPr>
          <t xml:space="preserve">
DR 160 T99
</t>
        </r>
      </text>
    </comment>
    <comment ref="F14" authorId="0" shapeId="0">
      <text>
        <r>
          <rPr>
            <b/>
            <sz val="9"/>
            <color indexed="81"/>
            <rFont val="Tahoma"/>
            <family val="2"/>
          </rPr>
          <t>White, Amy (UTC):</t>
        </r>
        <r>
          <rPr>
            <sz val="9"/>
            <color indexed="81"/>
            <rFont val="Tahoma"/>
            <family val="2"/>
          </rPr>
          <t xml:space="preserve">
Original value 2,624
traced to updated calculation file in response to staff DR 160</t>
        </r>
      </text>
    </comment>
    <comment ref="J14" authorId="0" shapeId="0">
      <text>
        <r>
          <rPr>
            <b/>
            <sz val="9"/>
            <color indexed="81"/>
            <rFont val="Tahoma"/>
            <family val="2"/>
          </rPr>
          <t>White, Amy (UTC):</t>
        </r>
        <r>
          <rPr>
            <sz val="9"/>
            <color indexed="81"/>
            <rFont val="Tahoma"/>
            <family val="2"/>
          </rPr>
          <t xml:space="preserve">
DR 160 T115
</t>
        </r>
      </text>
    </comment>
    <comment ref="J20" authorId="0" shapeId="0">
      <text>
        <r>
          <rPr>
            <b/>
            <sz val="9"/>
            <color indexed="81"/>
            <rFont val="Tahoma"/>
            <family val="2"/>
          </rPr>
          <t>White, Amy (UTC):</t>
        </r>
        <r>
          <rPr>
            <sz val="9"/>
            <color indexed="81"/>
            <rFont val="Tahoma"/>
            <family val="2"/>
          </rPr>
          <t xml:space="preserve">
DR 160 T134
</t>
        </r>
      </text>
    </comment>
    <comment ref="J21" authorId="0" shapeId="0">
      <text>
        <r>
          <rPr>
            <b/>
            <sz val="9"/>
            <color indexed="81"/>
            <rFont val="Tahoma"/>
            <family val="2"/>
          </rPr>
          <t>White, Amy (UTC):</t>
        </r>
        <r>
          <rPr>
            <sz val="9"/>
            <color indexed="81"/>
            <rFont val="Tahoma"/>
            <family val="2"/>
          </rPr>
          <t xml:space="preserve">
T151 DR 160</t>
        </r>
      </text>
    </comment>
    <comment ref="J22" authorId="0" shapeId="0">
      <text>
        <r>
          <rPr>
            <b/>
            <sz val="9"/>
            <color indexed="81"/>
            <rFont val="Tahoma"/>
            <family val="2"/>
          </rPr>
          <t>White, Amy (UTC):</t>
        </r>
        <r>
          <rPr>
            <sz val="9"/>
            <color indexed="81"/>
            <rFont val="Tahoma"/>
            <family val="2"/>
          </rPr>
          <t xml:space="preserve">
DR 160 T169
</t>
        </r>
      </text>
    </comment>
  </commentList>
</comments>
</file>

<file path=xl/comments2.xml><?xml version="1.0" encoding="utf-8"?>
<comments xmlns="http://schemas.openxmlformats.org/spreadsheetml/2006/main">
  <authors>
    <author>White, Amy (UTC)</author>
    <author>Author</author>
  </authors>
  <commentList>
    <comment ref="T13" authorId="0" shapeId="0">
      <text>
        <r>
          <rPr>
            <b/>
            <sz val="9"/>
            <color indexed="81"/>
            <rFont val="Tahoma"/>
            <family val="2"/>
          </rPr>
          <t>White, Amy (UTC):</t>
        </r>
        <r>
          <rPr>
            <sz val="9"/>
            <color indexed="81"/>
            <rFont val="Tahoma"/>
            <family val="2"/>
          </rPr>
          <t xml:space="preserve">
As originally filed by the company
</t>
        </r>
      </text>
    </comment>
    <comment ref="Y23" authorId="1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As originally filed, 97.7962
</t>
        </r>
      </text>
    </comment>
    <comment ref="Y24" authorId="1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As originally filed, 54.0193%
</t>
        </r>
      </text>
    </comment>
    <comment ref="Y25" authorId="0" shapeId="0">
      <text>
        <r>
          <rPr>
            <b/>
            <sz val="9"/>
            <color indexed="81"/>
            <rFont val="Tahoma"/>
            <family val="2"/>
          </rPr>
          <t>White, Amy (UTC):</t>
        </r>
        <r>
          <rPr>
            <sz val="9"/>
            <color indexed="81"/>
            <rFont val="Tahoma"/>
            <family val="2"/>
          </rPr>
          <t xml:space="preserve">
This is a 4% increase from the 2017 actual.  From 2016 to 2017 actuals, there was a 4% increase. </t>
        </r>
      </text>
    </comment>
    <comment ref="Q28" authorId="0" shapeId="0">
      <text>
        <r>
          <rPr>
            <b/>
            <sz val="9"/>
            <color indexed="81"/>
            <rFont val="Tahoma"/>
            <family val="2"/>
          </rPr>
          <t>White, Amy (UTC):</t>
        </r>
        <r>
          <rPr>
            <sz val="9"/>
            <color indexed="81"/>
            <rFont val="Tahoma"/>
            <family val="2"/>
          </rPr>
          <t xml:space="preserve">
ties to response to ICNU DR 54
</t>
        </r>
      </text>
    </comment>
    <comment ref="O33" authorId="1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This is essentially dividing N31 / N28, as has been done in prior years, just hardcoded 
</t>
        </r>
      </text>
    </comment>
    <comment ref="Q33" authorId="1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Recalculated using prior period methodology and actual amount from DR 41 response. This was originally calculated with this formula: 
=Sum(N29*(1=O29))</t>
        </r>
      </text>
    </comment>
    <comment ref="U33" authorId="0" shapeId="0">
      <text>
        <r>
          <rPr>
            <b/>
            <sz val="9"/>
            <color indexed="81"/>
            <rFont val="Tahoma"/>
            <family val="2"/>
          </rPr>
          <t>White, Amy (UTC):</t>
        </r>
        <r>
          <rPr>
            <sz val="9"/>
            <color indexed="81"/>
            <rFont val="Tahoma"/>
            <family val="2"/>
          </rPr>
          <t xml:space="preserve">
recalculated by staff using prior rate case methodology 
The result ties to Avista's result in DR 40
</t>
        </r>
      </text>
    </comment>
    <comment ref="Q35" authorId="1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updated by actual amt from DR 41
ties to amount in Avista Resp to ICNU DR 54
</t>
        </r>
      </text>
    </comment>
    <comment ref="T38" authorId="0" shapeId="0">
      <text>
        <r>
          <rPr>
            <b/>
            <sz val="9"/>
            <color indexed="81"/>
            <rFont val="Tahoma"/>
            <family val="2"/>
          </rPr>
          <t>White, Amy (UTC):</t>
        </r>
        <r>
          <rPr>
            <sz val="9"/>
            <color indexed="81"/>
            <rFont val="Tahoma"/>
            <family val="2"/>
          </rPr>
          <t xml:space="preserve">
As originally filed by the company</t>
        </r>
      </text>
    </comment>
    <comment ref="Q58" authorId="1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Not adjusted as DR 41 supplement showed no change in actual amount
</t>
        </r>
      </text>
    </comment>
    <comment ref="T61" authorId="0" shapeId="0">
      <text>
        <r>
          <rPr>
            <b/>
            <sz val="9"/>
            <color indexed="81"/>
            <rFont val="Tahoma"/>
            <family val="2"/>
          </rPr>
          <t>White, Amy (UTC):</t>
        </r>
        <r>
          <rPr>
            <sz val="9"/>
            <color indexed="81"/>
            <rFont val="Tahoma"/>
            <family val="2"/>
          </rPr>
          <t xml:space="preserve">
As originally filed by the company</t>
        </r>
      </text>
    </comment>
    <comment ref="Q82" authorId="1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Not adjusted as DR 41 supplement showed no change in actual amount
</t>
        </r>
      </text>
    </comment>
    <comment ref="T85" authorId="0" shapeId="0">
      <text>
        <r>
          <rPr>
            <b/>
            <sz val="9"/>
            <color indexed="81"/>
            <rFont val="Tahoma"/>
            <family val="2"/>
          </rPr>
          <t>White, Amy (UTC):</t>
        </r>
        <r>
          <rPr>
            <sz val="9"/>
            <color indexed="81"/>
            <rFont val="Tahoma"/>
            <family val="2"/>
          </rPr>
          <t xml:space="preserve">
As originally filed by the company</t>
        </r>
      </text>
    </comment>
    <comment ref="Q103" authorId="1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Not adjusted as DR 41 supplement showed no change in actual amount
</t>
        </r>
      </text>
    </comment>
    <comment ref="T105" authorId="0" shapeId="0">
      <text>
        <r>
          <rPr>
            <b/>
            <sz val="9"/>
            <color indexed="81"/>
            <rFont val="Tahoma"/>
            <family val="2"/>
          </rPr>
          <t>White, Amy (UTC):</t>
        </r>
        <r>
          <rPr>
            <sz val="9"/>
            <color indexed="81"/>
            <rFont val="Tahoma"/>
            <family val="2"/>
          </rPr>
          <t xml:space="preserve">
As originally filed by the company</t>
        </r>
      </text>
    </comment>
    <comment ref="Q119" authorId="1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Not adjusted as DR 41 supplement showed no change in actual amount
</t>
        </r>
      </text>
    </comment>
    <comment ref="T123" authorId="0" shapeId="0">
      <text>
        <r>
          <rPr>
            <b/>
            <sz val="9"/>
            <color indexed="81"/>
            <rFont val="Tahoma"/>
            <family val="2"/>
          </rPr>
          <t>White, Amy (UTC):</t>
        </r>
        <r>
          <rPr>
            <sz val="9"/>
            <color indexed="81"/>
            <rFont val="Tahoma"/>
            <family val="2"/>
          </rPr>
          <t xml:space="preserve">
As originally filed by the company</t>
        </r>
      </text>
    </comment>
    <comment ref="Q134" authorId="0" shapeId="0">
      <text>
        <r>
          <rPr>
            <b/>
            <sz val="9"/>
            <color indexed="81"/>
            <rFont val="Tahoma"/>
            <family val="2"/>
          </rPr>
          <t>White, Amy (UTC):</t>
        </r>
        <r>
          <rPr>
            <sz val="9"/>
            <color indexed="81"/>
            <rFont val="Tahoma"/>
            <family val="2"/>
          </rPr>
          <t xml:space="preserve">
ties to response to ICNU DR 54
P131
</t>
        </r>
      </text>
    </comment>
    <comment ref="Q135" authorId="0" shapeId="0">
      <text>
        <r>
          <rPr>
            <b/>
            <sz val="9"/>
            <color indexed="81"/>
            <rFont val="Tahoma"/>
            <family val="2"/>
          </rPr>
          <t>White, Amy (UTC):</t>
        </r>
        <r>
          <rPr>
            <sz val="9"/>
            <color indexed="81"/>
            <rFont val="Tahoma"/>
            <family val="2"/>
          </rPr>
          <t xml:space="preserve">
Ties to response to ICNU DR 54 P132
</t>
        </r>
      </text>
    </comment>
    <comment ref="T141" authorId="0" shapeId="0">
      <text>
        <r>
          <rPr>
            <b/>
            <sz val="9"/>
            <color indexed="81"/>
            <rFont val="Tahoma"/>
            <family val="2"/>
          </rPr>
          <t>White, Amy (UTC):</t>
        </r>
        <r>
          <rPr>
            <sz val="9"/>
            <color indexed="81"/>
            <rFont val="Tahoma"/>
            <family val="2"/>
          </rPr>
          <t xml:space="preserve">
As originally filed by the company</t>
        </r>
      </text>
    </comment>
    <comment ref="T158" authorId="0" shapeId="0">
      <text>
        <r>
          <rPr>
            <b/>
            <sz val="9"/>
            <color indexed="81"/>
            <rFont val="Tahoma"/>
            <family val="2"/>
          </rPr>
          <t>White, Amy (UTC):</t>
        </r>
        <r>
          <rPr>
            <sz val="9"/>
            <color indexed="81"/>
            <rFont val="Tahoma"/>
            <family val="2"/>
          </rPr>
          <t xml:space="preserve">
As originally filed by the company</t>
        </r>
      </text>
    </comment>
    <comment ref="T181" authorId="0" shapeId="0">
      <text>
        <r>
          <rPr>
            <b/>
            <sz val="9"/>
            <color indexed="81"/>
            <rFont val="Tahoma"/>
            <family val="2"/>
          </rPr>
          <t>White, Amy (UTC):</t>
        </r>
        <r>
          <rPr>
            <sz val="9"/>
            <color indexed="81"/>
            <rFont val="Tahoma"/>
            <family val="2"/>
          </rPr>
          <t xml:space="preserve">
As originally filed by the company</t>
        </r>
      </text>
    </comment>
    <comment ref="H205" authorId="1" shapeId="0">
      <text>
        <r>
          <rPr>
            <b/>
            <sz val="8"/>
            <color indexed="81"/>
            <rFont val="Tahoma"/>
            <family val="2"/>
          </rPr>
          <t>Author:</t>
        </r>
        <r>
          <rPr>
            <sz val="8"/>
            <color indexed="81"/>
            <rFont val="Tahoma"/>
            <family val="2"/>
          </rPr>
          <t xml:space="preserve">
Checked with Howard Grimsrud. 2012
 adds to plt-in-svc are in line with original estimate from a yr ago.
</t>
        </r>
      </text>
    </comment>
  </commentList>
</comments>
</file>

<file path=xl/comments3.xml><?xml version="1.0" encoding="utf-8"?>
<comments xmlns="http://schemas.openxmlformats.org/spreadsheetml/2006/main">
  <authors>
    <author>White, Amy (UTC)</author>
  </authors>
  <commentList>
    <comment ref="I11" authorId="0" shapeId="0">
      <text>
        <r>
          <rPr>
            <b/>
            <sz val="9"/>
            <color indexed="81"/>
            <rFont val="Tahoma"/>
            <family val="2"/>
          </rPr>
          <t>White, Amy (UTC):</t>
        </r>
        <r>
          <rPr>
            <sz val="9"/>
            <color indexed="81"/>
            <rFont val="Tahoma"/>
            <family val="2"/>
          </rPr>
          <t xml:space="preserve">
traced to company file 1.1 2016.12_ROO - G.pdf</t>
        </r>
      </text>
    </comment>
    <comment ref="B14" authorId="0" shapeId="0">
      <text>
        <r>
          <rPr>
            <b/>
            <sz val="9"/>
            <color indexed="81"/>
            <rFont val="Tahoma"/>
            <family val="2"/>
          </rPr>
          <t>White, Amy (UTC):</t>
        </r>
        <r>
          <rPr>
            <sz val="9"/>
            <color indexed="81"/>
            <rFont val="Tahoma"/>
            <family val="2"/>
          </rPr>
          <t xml:space="preserve">
Traced to file 1.1 2016.12 ROO -G
.pdf printout</t>
        </r>
      </text>
    </comment>
    <comment ref="I14" authorId="0" shapeId="0">
      <text>
        <r>
          <rPr>
            <b/>
            <sz val="9"/>
            <color indexed="81"/>
            <rFont val="Tahoma"/>
            <family val="2"/>
          </rPr>
          <t>White, Amy (UTC):</t>
        </r>
        <r>
          <rPr>
            <sz val="9"/>
            <color indexed="81"/>
            <rFont val="Tahoma"/>
            <family val="2"/>
          </rPr>
          <t xml:space="preserve">
traced to company file 1.1 2016.12_ROO - G.pdf</t>
        </r>
      </text>
    </comment>
    <comment ref="A22" authorId="0" shapeId="0">
      <text>
        <r>
          <rPr>
            <b/>
            <sz val="9"/>
            <color indexed="81"/>
            <rFont val="Tahoma"/>
            <family val="2"/>
          </rPr>
          <t>White, Amy (UTC):</t>
        </r>
        <r>
          <rPr>
            <sz val="9"/>
            <color indexed="81"/>
            <rFont val="Tahoma"/>
            <family val="2"/>
          </rPr>
          <t xml:space="preserve">
This amount as revised by the company
</t>
        </r>
      </text>
    </comment>
  </commentList>
</comments>
</file>

<file path=xl/comments4.xml><?xml version="1.0" encoding="utf-8"?>
<comments xmlns="http://schemas.openxmlformats.org/spreadsheetml/2006/main">
  <authors>
    <author>RFF9457</author>
  </authors>
  <commentList>
    <comment ref="I5" authorId="0" shapeId="0">
      <text>
        <r>
          <rPr>
            <b/>
            <sz val="9"/>
            <color indexed="81"/>
            <rFont val="Tahoma"/>
            <family val="2"/>
          </rPr>
          <t>RFF9457:</t>
        </r>
        <r>
          <rPr>
            <sz val="9"/>
            <color indexed="81"/>
            <rFont val="Tahoma"/>
            <family val="2"/>
          </rPr>
          <t xml:space="preserve">
P/T Ratio</t>
        </r>
      </text>
    </comment>
  </commentList>
</comments>
</file>

<file path=xl/comments5.xml><?xml version="1.0" encoding="utf-8"?>
<comments xmlns="http://schemas.openxmlformats.org/spreadsheetml/2006/main">
  <authors>
    <author>RFF9457</author>
    <author>White, Amy (UTC)</author>
  </authors>
  <commentList>
    <comment ref="I6" authorId="0" shapeId="0">
      <text>
        <r>
          <rPr>
            <b/>
            <sz val="9"/>
            <color indexed="81"/>
            <rFont val="Tahoma"/>
            <family val="2"/>
          </rPr>
          <t>RFF9457:</t>
        </r>
        <r>
          <rPr>
            <sz val="9"/>
            <color indexed="81"/>
            <rFont val="Tahoma"/>
            <family val="2"/>
          </rPr>
          <t xml:space="preserve">
P/T Ratio</t>
        </r>
      </text>
    </comment>
    <comment ref="G17" authorId="1" shapeId="0">
      <text>
        <r>
          <rPr>
            <b/>
            <sz val="9"/>
            <color indexed="81"/>
            <rFont val="Tahoma"/>
            <family val="2"/>
          </rPr>
          <t>White, Amy (UTC):</t>
        </r>
        <r>
          <rPr>
            <sz val="9"/>
            <color indexed="81"/>
            <rFont val="Tahoma"/>
            <family val="2"/>
          </rPr>
          <t xml:space="preserve">
used as basis of current period expense in file 1)CB - Property Tax ADJ REVISED </t>
        </r>
      </text>
    </comment>
    <comment ref="B19" authorId="1" shapeId="0">
      <text>
        <r>
          <rPr>
            <b/>
            <sz val="9"/>
            <color indexed="81"/>
            <rFont val="Tahoma"/>
            <family val="2"/>
          </rPr>
          <t>White, Amy (UTC):</t>
        </r>
        <r>
          <rPr>
            <sz val="9"/>
            <color indexed="81"/>
            <rFont val="Tahoma"/>
            <family val="2"/>
          </rPr>
          <t xml:space="preserve">
How were these pro forma amounts developed? </t>
        </r>
      </text>
    </comment>
    <comment ref="B20" authorId="1" shapeId="0">
      <text>
        <r>
          <rPr>
            <b/>
            <sz val="9"/>
            <color indexed="81"/>
            <rFont val="Tahoma"/>
            <family val="2"/>
          </rPr>
          <t>White, Amy (UTC):</t>
        </r>
        <r>
          <rPr>
            <sz val="9"/>
            <color indexed="81"/>
            <rFont val="Tahoma"/>
            <family val="2"/>
          </rPr>
          <t xml:space="preserve">
DR to AG 8.30.  </t>
        </r>
      </text>
    </comment>
  </commentList>
</comments>
</file>

<file path=xl/comments6.xml><?xml version="1.0" encoding="utf-8"?>
<comments xmlns="http://schemas.openxmlformats.org/spreadsheetml/2006/main">
  <authors>
    <author>Author</author>
  </authors>
  <commentList>
    <comment ref="B20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less licensed vehicles, Tribal exemption, exempt software.</t>
        </r>
      </text>
    </comment>
    <comment ref="B25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Certification report comes separate from annual assessment report</t>
        </r>
      </text>
    </comment>
    <comment ref="B28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Not sure why this line is here.  Left over fromYvonne.</t>
        </r>
      </text>
    </comment>
    <comment ref="B126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less licensed vehicles, Tribal exemption, exempt software.</t>
        </r>
      </text>
    </comment>
    <comment ref="B131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Certification report comes separate from annual assessment report</t>
        </r>
      </text>
    </comment>
  </commentList>
</comments>
</file>

<file path=xl/comments7.xml><?xml version="1.0" encoding="utf-8"?>
<comments xmlns="http://schemas.openxmlformats.org/spreadsheetml/2006/main">
  <authors>
    <author>Author</author>
  </authors>
  <commentList>
    <comment ref="B20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less licensed vehicles, Tribal exemption, exempt software.</t>
        </r>
      </text>
    </comment>
    <comment ref="B25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Certification report comes separate from annual assessment report</t>
        </r>
      </text>
    </comment>
    <comment ref="B28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Not sure why this line is here.  Left over fromYvonne.</t>
        </r>
      </text>
    </comment>
    <comment ref="B126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less licensed vehicles, Tribal exemption, exempt software.</t>
        </r>
      </text>
    </comment>
    <comment ref="B131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Certification report comes separate from annual assessment report</t>
        </r>
      </text>
    </comment>
  </commentList>
</comments>
</file>

<file path=xl/comments8.xml><?xml version="1.0" encoding="utf-8"?>
<comments xmlns="http://schemas.openxmlformats.org/spreadsheetml/2006/main">
  <authors>
    <author>Author</author>
  </authors>
  <commentList>
    <comment ref="H204" authorId="0" shapeId="0">
      <text>
        <r>
          <rPr>
            <b/>
            <sz val="8"/>
            <color indexed="81"/>
            <rFont val="Tahoma"/>
            <family val="2"/>
          </rPr>
          <t>Author:</t>
        </r>
        <r>
          <rPr>
            <sz val="8"/>
            <color indexed="81"/>
            <rFont val="Tahoma"/>
            <family val="2"/>
          </rPr>
          <t xml:space="preserve">
Checked with Howard Grimsrud. 2012
 adds to plt-in-svc are in line with original estimate from a yr ago.
</t>
        </r>
      </text>
    </comment>
  </commentList>
</comments>
</file>

<file path=xl/comments9.xml><?xml version="1.0" encoding="utf-8"?>
<comments xmlns="http://schemas.openxmlformats.org/spreadsheetml/2006/main">
  <authors>
    <author>Author</author>
  </authors>
  <commentList>
    <comment ref="B22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less licensed vehicles, Tribal exemption, exempt software.</t>
        </r>
      </text>
    </comment>
    <comment ref="B27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Certification report comes separate from annual assessment report</t>
        </r>
      </text>
    </comment>
    <comment ref="B30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Not sure why this line is here.  Left over fromYvonne.</t>
        </r>
      </text>
    </comment>
    <comment ref="B128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less licensed vehicles, Tribal exemption, exempt software.</t>
        </r>
      </text>
    </comment>
    <comment ref="B133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Certification report comes separate from annual assessment report</t>
        </r>
      </text>
    </comment>
    <comment ref="H204" authorId="0" shapeId="0">
      <text>
        <r>
          <rPr>
            <b/>
            <sz val="8"/>
            <color indexed="81"/>
            <rFont val="Tahoma"/>
            <family val="2"/>
          </rPr>
          <t>Author:</t>
        </r>
        <r>
          <rPr>
            <sz val="8"/>
            <color indexed="81"/>
            <rFont val="Tahoma"/>
            <family val="2"/>
          </rPr>
          <t xml:space="preserve">
Checked with Howard Grimsrud. 2012
 adds to plt-in-svc are in line with original estimate from a yr ago.
</t>
        </r>
      </text>
    </comment>
  </commentList>
</comments>
</file>

<file path=xl/sharedStrings.xml><?xml version="1.0" encoding="utf-8"?>
<sst xmlns="http://schemas.openxmlformats.org/spreadsheetml/2006/main" count="2415" uniqueCount="492">
  <si>
    <t>Macro1</t>
  </si>
  <si>
    <t>Macro2</t>
  </si>
  <si>
    <t>Macro3</t>
  </si>
  <si>
    <t>Macro4</t>
  </si>
  <si>
    <t>Macro5</t>
  </si>
  <si>
    <t>Macro6</t>
  </si>
  <si>
    <t>Macro7</t>
  </si>
  <si>
    <t>Macro8</t>
  </si>
  <si>
    <t>Macro9</t>
  </si>
  <si>
    <t>Recover</t>
  </si>
  <si>
    <t>Macro10</t>
  </si>
  <si>
    <t>Macro11</t>
  </si>
  <si>
    <t>Macro12</t>
  </si>
  <si>
    <t>Macro13</t>
  </si>
  <si>
    <t>Macro14</t>
  </si>
  <si>
    <t>Macro15</t>
  </si>
  <si>
    <t>Macro16</t>
  </si>
  <si>
    <t>Macro17</t>
  </si>
  <si>
    <t>Macro18</t>
  </si>
  <si>
    <t>Macro19</t>
  </si>
  <si>
    <t>Macro20</t>
  </si>
  <si>
    <t>Macro21</t>
  </si>
  <si>
    <t>Macro22</t>
  </si>
  <si>
    <t>Macro23</t>
  </si>
  <si>
    <t>Macro24</t>
  </si>
  <si>
    <t>Macro25</t>
  </si>
  <si>
    <t>Macro26</t>
  </si>
  <si>
    <t>Macro27</t>
  </si>
  <si>
    <t>Macro28</t>
  </si>
  <si>
    <t>Macro29</t>
  </si>
  <si>
    <t>Macro30</t>
  </si>
  <si>
    <t>Macro31</t>
  </si>
  <si>
    <t>Macro32</t>
  </si>
  <si>
    <t>Macro33</t>
  </si>
  <si>
    <t>Macro34</t>
  </si>
  <si>
    <t>Macro35</t>
  </si>
  <si>
    <t>Macro36</t>
  </si>
  <si>
    <t>Macro37</t>
  </si>
  <si>
    <t>Macro38</t>
  </si>
  <si>
    <t>Macro39</t>
  </si>
  <si>
    <t>Macro40</t>
  </si>
  <si>
    <t>Macro41</t>
  </si>
  <si>
    <t>Macro42</t>
  </si>
  <si>
    <t>Macro43</t>
  </si>
  <si>
    <t>Macro44</t>
  </si>
  <si>
    <t>Macro45</t>
  </si>
  <si>
    <t>Macro46</t>
  </si>
  <si>
    <t>Macro47</t>
  </si>
  <si>
    <t>Macro48</t>
  </si>
  <si>
    <t>Macro49</t>
  </si>
  <si>
    <t>Macro50</t>
  </si>
  <si>
    <t>Macro51</t>
  </si>
  <si>
    <t>Macro52</t>
  </si>
  <si>
    <t>Macro53</t>
  </si>
  <si>
    <t>Macro54</t>
  </si>
  <si>
    <t>Macro55</t>
  </si>
  <si>
    <t>Macro56</t>
  </si>
  <si>
    <t>Macro57</t>
  </si>
  <si>
    <t>Macro58</t>
  </si>
  <si>
    <t>Macro59</t>
  </si>
  <si>
    <t>Macro60</t>
  </si>
  <si>
    <t>Macro61</t>
  </si>
  <si>
    <t>Macro62</t>
  </si>
  <si>
    <t>Macro63</t>
  </si>
  <si>
    <t>Macro64</t>
  </si>
  <si>
    <t>Macro65</t>
  </si>
  <si>
    <t>Macro66</t>
  </si>
  <si>
    <t>Macro67</t>
  </si>
  <si>
    <t>Macro68</t>
  </si>
  <si>
    <t>Macro69</t>
  </si>
  <si>
    <t>Macro70</t>
  </si>
  <si>
    <t>Macro71</t>
  </si>
  <si>
    <t>Macro72</t>
  </si>
  <si>
    <t>Auto_Open</t>
  </si>
  <si>
    <t>Adjustment</t>
  </si>
  <si>
    <t>ALLOCATION</t>
  </si>
  <si>
    <t>Washington</t>
  </si>
  <si>
    <t>Idaho</t>
  </si>
  <si>
    <t>Montana</t>
  </si>
  <si>
    <t>Oregon</t>
  </si>
  <si>
    <t>Colstrip</t>
  </si>
  <si>
    <t>Total</t>
  </si>
  <si>
    <t>Actual Per Results</t>
  </si>
  <si>
    <t>Dist:</t>
  </si>
  <si>
    <t>U/G Storage Allocation</t>
  </si>
  <si>
    <t>U/G Storage:</t>
  </si>
  <si>
    <t>P/T:</t>
  </si>
  <si>
    <t xml:space="preserve">   P/T Total</t>
  </si>
  <si>
    <t>P/T</t>
  </si>
  <si>
    <t>Commission Basis Expense - 2016</t>
  </si>
  <si>
    <t>2018 Period Expense</t>
  </si>
  <si>
    <t>PAYMENTS MADE TO JURISDICTIONS FOR NATURAL GAS</t>
  </si>
  <si>
    <t>U/G Storage (1):</t>
  </si>
  <si>
    <t>Current Period Expense</t>
  </si>
  <si>
    <t>PAYMENTS MADE TO JURISDICTIONS FOR ELECTRIC</t>
  </si>
  <si>
    <t>ties</t>
  </si>
  <si>
    <t xml:space="preserve">ties </t>
  </si>
  <si>
    <t xml:space="preserve">The company has inflated the restated 2016 cost by 19% overall without any calculations provided for the pro forma amount </t>
  </si>
  <si>
    <t>in thousands</t>
  </si>
  <si>
    <t>BOOK VALUE @ DEC</t>
  </si>
  <si>
    <t>YEAR ASSESSED</t>
  </si>
  <si>
    <t>YEAR TAX ACCRUED</t>
  </si>
  <si>
    <t>YEAR TAX PAYABLE ( oregon &amp; california)</t>
  </si>
  <si>
    <t>2017-2018</t>
  </si>
  <si>
    <t>2017 Estimate</t>
  </si>
  <si>
    <t>WASHINGTON - ELECTRIC</t>
  </si>
  <si>
    <t>HIST COST INDICATOR-State Assessment</t>
  </si>
  <si>
    <t>Actual per State DOR</t>
  </si>
  <si>
    <t>ESTIMATED SYSTEM VALUE</t>
  </si>
  <si>
    <t>ADD : NET ADDITIONS TO PLANT</t>
  </si>
  <si>
    <t>LESS: Intangibles Other</t>
  </si>
  <si>
    <t>ADD : Smart Grid CIAC</t>
  </si>
  <si>
    <t>LESS : Vehicles</t>
  </si>
  <si>
    <t>LESS : DEPR EST (see Form 1 page 115 rounded)</t>
  </si>
  <si>
    <t>TAXABLE PERCENTAGE - Total Plant net of Exemptions- page 3 of WA Appraisal</t>
  </si>
  <si>
    <t>STATE ALLOCATION % - 3 Factor calculation - page 9 of WA Appraisal</t>
  </si>
  <si>
    <t>ALLOCATED VALUE</t>
  </si>
  <si>
    <t>add:adjustments</t>
  </si>
  <si>
    <t>GROSS ASSESSED VALUE</t>
  </si>
  <si>
    <t>Actual</t>
  </si>
  <si>
    <t>**EQUALIZED VALUE per state Certification Report</t>
  </si>
  <si>
    <t>equalization factor (state adj to reflect annual assessment impacts)</t>
  </si>
  <si>
    <t>2016 ratio</t>
  </si>
  <si>
    <t>ASSESSED VALUE - (for county taxation)</t>
  </si>
  <si>
    <t>Calculation</t>
  </si>
  <si>
    <t>OTHER</t>
  </si>
  <si>
    <t>TAX RATE (actuals from WA payment summary sheet - wgted rate)</t>
  </si>
  <si>
    <t>2016 weighted average rate</t>
  </si>
  <si>
    <t>TAX</t>
  </si>
  <si>
    <t>2017 WA estimated property tax</t>
  </si>
  <si>
    <t>IDAHO - ELECTRIC</t>
  </si>
  <si>
    <t>HIST COST INDICATOR</t>
  </si>
  <si>
    <t>LESS : DEPR EST</t>
  </si>
  <si>
    <t>LESS : OTHER</t>
  </si>
  <si>
    <t>TAXABLE PERCENTAGE</t>
  </si>
  <si>
    <t>STATE ALLOCATION %</t>
  </si>
  <si>
    <t>RATIO</t>
  </si>
  <si>
    <t>ASSESSED VALUE</t>
  </si>
  <si>
    <t>TAX RATE</t>
  </si>
  <si>
    <t>2017 ID estimated property tax</t>
  </si>
  <si>
    <t>MONTANA - ELECTRIC</t>
  </si>
  <si>
    <t>(combine  E &amp; G)</t>
  </si>
  <si>
    <t>ASSESSED VALUE - before Intangible adj</t>
  </si>
  <si>
    <r>
      <t xml:space="preserve">ASSESSED VALUE - </t>
    </r>
    <r>
      <rPr>
        <b/>
        <u/>
        <sz val="8"/>
        <rFont val="Helv"/>
      </rPr>
      <t>after</t>
    </r>
    <r>
      <rPr>
        <b/>
        <sz val="8"/>
        <rFont val="Helv"/>
      </rPr>
      <t xml:space="preserve"> Intangible adj</t>
    </r>
  </si>
  <si>
    <t>ADD : NET ADDITIONS TO PLANT - E &amp; G</t>
  </si>
  <si>
    <t>LESS : INTANGIBLE EST</t>
  </si>
  <si>
    <t>add: adjustments</t>
  </si>
  <si>
    <t>EQUALIZATION FACTOR</t>
  </si>
  <si>
    <t>GROSS MARKET VALUE</t>
  </si>
  <si>
    <r>
      <t>RATIO (</t>
    </r>
    <r>
      <rPr>
        <b/>
        <sz val="8"/>
        <color rgb="FF0000CC"/>
        <rFont val="Helv"/>
      </rPr>
      <t>see County allocation report</t>
    </r>
    <r>
      <rPr>
        <b/>
        <sz val="8"/>
        <rFont val="Helv"/>
      </rPr>
      <t>)</t>
    </r>
  </si>
  <si>
    <t>weighted average ratio</t>
  </si>
  <si>
    <t>taxable VALUE</t>
  </si>
  <si>
    <t>adjustments</t>
  </si>
  <si>
    <t>taxable value</t>
  </si>
  <si>
    <t>2017 MT estimated property tax</t>
  </si>
  <si>
    <t>OREGON - ELECTRIC</t>
  </si>
  <si>
    <t>17/18 Estimate</t>
  </si>
  <si>
    <t>(Imnaha transmission line)</t>
  </si>
  <si>
    <t>2016/2017 assessment value</t>
  </si>
  <si>
    <t>ADD : LOLO-OXBOW TRANSMISSION LINE - LOCATION 640 (ptn in ID, ptn in OR)</t>
  </si>
  <si>
    <t>ADD: POLL CONTROL EQUIP</t>
  </si>
  <si>
    <t>2016/2017 tax rate</t>
  </si>
  <si>
    <t>2017/2018 OR electric transmission estimated property tax</t>
  </si>
  <si>
    <t>Coyote Springs II &amp; misc</t>
  </si>
  <si>
    <t>LESS : DEPR</t>
  </si>
  <si>
    <t>ADD : 100% CS II GENERATING PLANT March 1, 2003 ?</t>
  </si>
  <si>
    <t>na</t>
  </si>
  <si>
    <t>Other Misc property taxes</t>
  </si>
  <si>
    <t>In Lieu of Ad Valorem Taxes for 5 year staring in 2003 - Flat Rate</t>
  </si>
  <si>
    <t>Estimated levy rate</t>
  </si>
  <si>
    <t>% ownership of plant</t>
  </si>
  <si>
    <t>Tax due from Avista Corp</t>
  </si>
  <si>
    <t>2017/2018 OR electric production estimated property tax</t>
  </si>
  <si>
    <t>WASHINGTON - GAS</t>
  </si>
  <si>
    <t>LESS : DEPR EST(see Form 1 pg 115 - Rounded)</t>
  </si>
  <si>
    <t xml:space="preserve"> 2016 ratio</t>
  </si>
  <si>
    <t>IDAHO - GAS</t>
  </si>
  <si>
    <t>OREGON - GAS</t>
  </si>
  <si>
    <t>ESTIMATED STATE VALUE</t>
  </si>
  <si>
    <t>ADD : NET ADDs TO PLANT (OREGON ONLY)</t>
  </si>
  <si>
    <t>STATE VALUE</t>
  </si>
  <si>
    <t>Adjustments:</t>
  </si>
  <si>
    <t>2016/2017 weighted average rate</t>
  </si>
  <si>
    <t>2017/2018 OR estimated property tax</t>
  </si>
  <si>
    <t>REVISED</t>
  </si>
  <si>
    <r>
      <t xml:space="preserve">PROPERTY TAX ESTIMATES FOR </t>
    </r>
    <r>
      <rPr>
        <b/>
        <u/>
        <sz val="10"/>
        <color indexed="12"/>
        <rFont val="Helv"/>
      </rPr>
      <t xml:space="preserve"> 2017-2021 5YR FORECAST </t>
    </r>
    <r>
      <rPr>
        <b/>
        <sz val="10"/>
        <color indexed="12"/>
        <rFont val="Helv"/>
      </rPr>
      <t/>
    </r>
  </si>
  <si>
    <t>2017-2021</t>
  </si>
  <si>
    <t>at 09/21/2017</t>
  </si>
  <si>
    <t>SUMMARY:</t>
  </si>
  <si>
    <t>Estimate</t>
  </si>
  <si>
    <t>ELECTRIC:</t>
  </si>
  <si>
    <t xml:space="preserve">     WASHINGTON</t>
  </si>
  <si>
    <t xml:space="preserve">     EST ADJ TO WASH</t>
  </si>
  <si>
    <t xml:space="preserve">     IDAHO</t>
  </si>
  <si>
    <t xml:space="preserve">     MONTANA</t>
  </si>
  <si>
    <t xml:space="preserve">     OREGON - Transm line only</t>
  </si>
  <si>
    <t xml:space="preserve">     OREGON - Coyote Springs II</t>
  </si>
  <si>
    <t xml:space="preserve">          SUBTOTAL</t>
  </si>
  <si>
    <t>GAS:</t>
  </si>
  <si>
    <t xml:space="preserve">     WASHINGTON </t>
  </si>
  <si>
    <t xml:space="preserve">     OREGON</t>
  </si>
  <si>
    <t>TOTAL EST TAX</t>
  </si>
  <si>
    <t>2016-2021</t>
  </si>
  <si>
    <t>at 12/06/2016</t>
  </si>
  <si>
    <t>ACTUAL/Estimate</t>
  </si>
  <si>
    <t>Less:</t>
  </si>
  <si>
    <t>Revised</t>
  </si>
  <si>
    <t>2% Escalation</t>
  </si>
  <si>
    <t xml:space="preserve">     OREGON - Transm line only (see below)</t>
  </si>
  <si>
    <t xml:space="preserve">     OREGON - Coyote Springs II (see below)</t>
  </si>
  <si>
    <t>2015 Payment</t>
  </si>
  <si>
    <t>1/1/2016-6/30/2016</t>
  </si>
  <si>
    <t>7/1/2016-12/31/2016</t>
  </si>
  <si>
    <t>2016 Expense</t>
  </si>
  <si>
    <t xml:space="preserve">   OREGON</t>
  </si>
  <si>
    <t>2017 Payment</t>
  </si>
  <si>
    <t>1/1/2018-6/30/2018</t>
  </si>
  <si>
    <t>7/1/2018-12/31/2018</t>
  </si>
  <si>
    <t>2018 Expense</t>
  </si>
  <si>
    <t>Total Electric</t>
  </si>
  <si>
    <t>2018 Payment</t>
  </si>
  <si>
    <t>1/1/2019-6/30/2019</t>
  </si>
  <si>
    <t>7/1/2019-12/31/2019</t>
  </si>
  <si>
    <t>2019 Expense</t>
  </si>
  <si>
    <t xml:space="preserve">Total Electric - </t>
  </si>
  <si>
    <t xml:space="preserve">in OOOs </t>
  </si>
  <si>
    <t>extracted from</t>
  </si>
  <si>
    <t>resp to DR 160</t>
  </si>
  <si>
    <t>Source: filename 5)2016-2019 to Forecast 12_28_16</t>
  </si>
  <si>
    <t>Estimate 2018</t>
  </si>
  <si>
    <t>w/2% escalation</t>
  </si>
  <si>
    <t>AS ORIG FILED</t>
  </si>
  <si>
    <t>2016-2020</t>
  </si>
  <si>
    <t>Link to supplemental</t>
  </si>
  <si>
    <t xml:space="preserve"> </t>
  </si>
  <si>
    <t>at 5/18/2016</t>
  </si>
  <si>
    <t>resp to DR 41</t>
  </si>
  <si>
    <t>resp to DR 40</t>
  </si>
  <si>
    <t>ACTUAL 2016 Amts</t>
  </si>
  <si>
    <t>company comments</t>
  </si>
  <si>
    <t>2010-2011</t>
  </si>
  <si>
    <t>2011-2012</t>
  </si>
  <si>
    <t>2012-2013</t>
  </si>
  <si>
    <t>2013-2014</t>
  </si>
  <si>
    <t>2014-2015</t>
  </si>
  <si>
    <t>2015-2016</t>
  </si>
  <si>
    <t>2016-2017</t>
  </si>
  <si>
    <t>2018-2019</t>
  </si>
  <si>
    <t>2019-2020</t>
  </si>
  <si>
    <t>2020-2021</t>
  </si>
  <si>
    <t>2021-2022</t>
  </si>
  <si>
    <t>Company's Revised</t>
  </si>
  <si>
    <t>2010 Actual</t>
  </si>
  <si>
    <t>2011 Actual</t>
  </si>
  <si>
    <t>2012 Actual</t>
  </si>
  <si>
    <t>2013 ACTUALS</t>
  </si>
  <si>
    <t>2014 ACTUALS</t>
  </si>
  <si>
    <t>2015 ACTUALS</t>
  </si>
  <si>
    <t>2016 Estimate</t>
  </si>
  <si>
    <t>2018 Estimate</t>
  </si>
  <si>
    <t>2019 Estimate</t>
  </si>
  <si>
    <t>2020 Estimate</t>
  </si>
  <si>
    <t>2021 Estimate</t>
  </si>
  <si>
    <t>equalization factor</t>
  </si>
  <si>
    <t xml:space="preserve">as originally filed </t>
  </si>
  <si>
    <t>2010 ACTUAL</t>
  </si>
  <si>
    <t>2013 Actual</t>
  </si>
  <si>
    <t>2014 Actual</t>
  </si>
  <si>
    <t>2015 Actual</t>
  </si>
  <si>
    <t>2016 ACTUAL</t>
  </si>
  <si>
    <t>AMENDED VALUE</t>
  </si>
  <si>
    <r>
      <t xml:space="preserve">HIST COST INDICATOR - </t>
    </r>
    <r>
      <rPr>
        <b/>
        <u/>
        <sz val="8"/>
        <rFont val="Helv"/>
      </rPr>
      <t>after</t>
    </r>
    <r>
      <rPr>
        <b/>
        <sz val="8"/>
        <rFont val="Helv"/>
      </rPr>
      <t xml:space="preserve"> IPP reduction</t>
    </r>
  </si>
  <si>
    <t>10/11 ACTUAL</t>
  </si>
  <si>
    <t>11/12 Actual</t>
  </si>
  <si>
    <t>12/13 Actual</t>
  </si>
  <si>
    <t>13/14 Actual</t>
  </si>
  <si>
    <t>14/15 Actual</t>
  </si>
  <si>
    <t>15/16 Actual</t>
  </si>
  <si>
    <t>16/17 Actual</t>
  </si>
  <si>
    <t>18/19 Estimate</t>
  </si>
  <si>
    <t>19/20 Estimate</t>
  </si>
  <si>
    <t>2020/2021 Estimate</t>
  </si>
  <si>
    <t>2021/2022 Estimate</t>
  </si>
  <si>
    <t>as originally filed</t>
  </si>
  <si>
    <t xml:space="preserve">2010 Actual </t>
  </si>
  <si>
    <t>2013 Actuals</t>
  </si>
  <si>
    <t>2014 Actuals</t>
  </si>
  <si>
    <t>2015 Actuals</t>
  </si>
  <si>
    <t>HIST COST OREGON</t>
  </si>
  <si>
    <r>
      <t xml:space="preserve">PROPERTY TAX ESTIMATES FOR </t>
    </r>
    <r>
      <rPr>
        <b/>
        <u/>
        <sz val="10"/>
        <color indexed="12"/>
        <rFont val="Helv"/>
      </rPr>
      <t xml:space="preserve"> 2016-2020 5YR FORECAST </t>
    </r>
    <r>
      <rPr>
        <b/>
        <sz val="10"/>
        <color indexed="12"/>
        <rFont val="Helv"/>
      </rPr>
      <t/>
    </r>
  </si>
  <si>
    <t>REVISED :To Rosemary Coulson ??</t>
  </si>
  <si>
    <t>at 10/13/2015</t>
  </si>
  <si>
    <t xml:space="preserve">Actual </t>
  </si>
  <si>
    <r>
      <rPr>
        <b/>
        <sz val="8"/>
        <rFont val="Helv"/>
      </rPr>
      <t>ACTUAL</t>
    </r>
    <r>
      <rPr>
        <b/>
        <sz val="8"/>
        <color indexed="10"/>
        <rFont val="Helv"/>
      </rPr>
      <t>/Estimate</t>
    </r>
  </si>
  <si>
    <t>Uses 2% levy increases</t>
  </si>
  <si>
    <t xml:space="preserve">2017 Estimate </t>
  </si>
  <si>
    <t xml:space="preserve">Source: Avista Rep to Staff DR 40 Supp Attach A tab Natural Gas </t>
  </si>
  <si>
    <t>source: Avista Resp to Staff DR 40 Supp Attach A tab Electric</t>
  </si>
  <si>
    <t>PRO FORMA ADJ As ORIGINALLY FILED</t>
  </si>
  <si>
    <t>Source: 1)CB - Property Tax ADJ REVISED</t>
  </si>
  <si>
    <t xml:space="preserve">Current Period Expense </t>
  </si>
  <si>
    <t xml:space="preserve">as orig filed </t>
  </si>
  <si>
    <t xml:space="preserve">AVISTA UTILITIES  </t>
  </si>
  <si>
    <t>ACTUAL</t>
  </si>
  <si>
    <t>RESULTS</t>
  </si>
  <si>
    <t>TWELVE MONTHS ENDED DECEMBER 31, 2016</t>
  </si>
  <si>
    <t xml:space="preserve">(000'S OF DOLLARS)  </t>
  </si>
  <si>
    <t>Restate</t>
  </si>
  <si>
    <t xml:space="preserve">Pro Forma </t>
  </si>
  <si>
    <t>Pro Forma</t>
  </si>
  <si>
    <t>Line</t>
  </si>
  <si>
    <t xml:space="preserve">Results of </t>
  </si>
  <si>
    <t>Property</t>
  </si>
  <si>
    <t>No.</t>
  </si>
  <si>
    <t>DESCRIPTION</t>
  </si>
  <si>
    <t xml:space="preserve">Operations </t>
  </si>
  <si>
    <t>Taxes</t>
  </si>
  <si>
    <t>Tax</t>
  </si>
  <si>
    <t xml:space="preserve">Adjustment Number </t>
  </si>
  <si>
    <t>Workpaper Reference</t>
  </si>
  <si>
    <t>E-ROO</t>
  </si>
  <si>
    <t>E-RPT</t>
  </si>
  <si>
    <t>E-PPT</t>
  </si>
  <si>
    <t xml:space="preserve">REVENUES  </t>
  </si>
  <si>
    <t xml:space="preserve">Total General Business  </t>
  </si>
  <si>
    <t xml:space="preserve">Interdepartmental Sales  </t>
  </si>
  <si>
    <t xml:space="preserve">Sales for Resale  </t>
  </si>
  <si>
    <t xml:space="preserve">Total Sales of Electricity  </t>
  </si>
  <si>
    <t xml:space="preserve">Other Revenue  </t>
  </si>
  <si>
    <t xml:space="preserve">Total Electric Revenue  </t>
  </si>
  <si>
    <t xml:space="preserve">EXPENSES  </t>
  </si>
  <si>
    <t xml:space="preserve">Production and Transmission  </t>
  </si>
  <si>
    <t xml:space="preserve">Operating Expenses  </t>
  </si>
  <si>
    <t xml:space="preserve">Purchased Power  </t>
  </si>
  <si>
    <t xml:space="preserve">Depreciation/Amortization  </t>
  </si>
  <si>
    <t>Regulatory Amortization</t>
  </si>
  <si>
    <t xml:space="preserve">Taxes  </t>
  </si>
  <si>
    <t xml:space="preserve">Total Production &amp; Transmission  </t>
  </si>
  <si>
    <t xml:space="preserve">Distribution  </t>
  </si>
  <si>
    <t>Depreciation/Amortization</t>
  </si>
  <si>
    <t xml:space="preserve">Total Distribution  </t>
  </si>
  <si>
    <t xml:space="preserve">Customer Accounting  </t>
  </si>
  <si>
    <t xml:space="preserve">Customer Service &amp; Information  </t>
  </si>
  <si>
    <t xml:space="preserve">Sales Expenses  </t>
  </si>
  <si>
    <t xml:space="preserve">Administrative &amp; General  </t>
  </si>
  <si>
    <t xml:space="preserve">Total Admin. &amp; General  </t>
  </si>
  <si>
    <t xml:space="preserve">Total Electric Expenses  </t>
  </si>
  <si>
    <t xml:space="preserve">OPERATING INCOME BEFORE FIT  </t>
  </si>
  <si>
    <t xml:space="preserve">FEDERAL INCOME TAX  </t>
  </si>
  <si>
    <t xml:space="preserve">Current Accrual </t>
  </si>
  <si>
    <t>Debt Interest</t>
  </si>
  <si>
    <t xml:space="preserve">Deferred Income Taxes  </t>
  </si>
  <si>
    <t>Amortized ITC - Noxon</t>
  </si>
  <si>
    <t xml:space="preserve">NET OPERATING INCOME  </t>
  </si>
  <si>
    <t xml:space="preserve">RATE BASE  </t>
  </si>
  <si>
    <t xml:space="preserve">PLANT IN SERVICE  </t>
  </si>
  <si>
    <t xml:space="preserve">Intangible  </t>
  </si>
  <si>
    <t xml:space="preserve">Production  </t>
  </si>
  <si>
    <t xml:space="preserve">Transmission  </t>
  </si>
  <si>
    <t xml:space="preserve">General  </t>
  </si>
  <si>
    <t xml:space="preserve">Total Plant in Service  </t>
  </si>
  <si>
    <t>ACCUMULATED DEPRECIATION/AMORT</t>
  </si>
  <si>
    <t>Total Accumulated Depreciation</t>
  </si>
  <si>
    <t xml:space="preserve">NET PLANT </t>
  </si>
  <si>
    <t xml:space="preserve">DEFERRED TAXES  </t>
  </si>
  <si>
    <t>Net Plant After DFIT</t>
  </si>
  <si>
    <t>DEFERRED DEBITS AND CREDITS &amp; OTHER</t>
  </si>
  <si>
    <t xml:space="preserve">WORKING CAPITAL </t>
  </si>
  <si>
    <t xml:space="preserve">TOTAL RATE BASE  </t>
  </si>
  <si>
    <t xml:space="preserve">RATE OF RETURN  </t>
  </si>
  <si>
    <t xml:space="preserve">REVENUE REQUIREMENT </t>
  </si>
  <si>
    <t>Revenue Conversion Factor</t>
  </si>
  <si>
    <t>NOI Requirement</t>
  </si>
  <si>
    <t>Revenue Requirement</t>
  </si>
  <si>
    <t>Per</t>
  </si>
  <si>
    <t xml:space="preserve">Results </t>
  </si>
  <si>
    <t>Report</t>
  </si>
  <si>
    <t>Adjsutment Number</t>
  </si>
  <si>
    <t>G-ROO</t>
  </si>
  <si>
    <t>G-RPT</t>
  </si>
  <si>
    <t>G-PPT</t>
  </si>
  <si>
    <t>REVENUES</t>
  </si>
  <si>
    <t>Total General Business</t>
  </si>
  <si>
    <t>Total Transportation</t>
  </si>
  <si>
    <t>Other Revenues</t>
  </si>
  <si>
    <t>Total Gas Revenues</t>
  </si>
  <si>
    <t>EXPENSES</t>
  </si>
  <si>
    <t>Production Expenses</t>
  </si>
  <si>
    <t>City Gate Purchases</t>
  </si>
  <si>
    <t>Purchased Gas Expense</t>
  </si>
  <si>
    <t>Net Nat Gas Storage Trans</t>
  </si>
  <si>
    <t>Total Production</t>
  </si>
  <si>
    <t>Underground Storage</t>
  </si>
  <si>
    <t>Operating Expenses</t>
  </si>
  <si>
    <t>Total Underground Storage</t>
  </si>
  <si>
    <t>Distribution</t>
  </si>
  <si>
    <t>Total Distribution</t>
  </si>
  <si>
    <t>Customer Accounting</t>
  </si>
  <si>
    <t>Customer Service &amp; Information</t>
  </si>
  <si>
    <t>Sales Expenses</t>
  </si>
  <si>
    <t>Administrative &amp; General</t>
  </si>
  <si>
    <t>Regulatory Amortizations</t>
  </si>
  <si>
    <t>Total Admin. &amp; General</t>
  </si>
  <si>
    <t>Total Gas Expense</t>
  </si>
  <si>
    <t>OPERATING INCOME BEFORE FIT</t>
  </si>
  <si>
    <t>FEDERAL INCOME TAX</t>
  </si>
  <si>
    <t>Current Accrual</t>
  </si>
  <si>
    <t>Deferred FIT</t>
  </si>
  <si>
    <t>Amort ITC</t>
  </si>
  <si>
    <t>NET OPERATING INCOME</t>
  </si>
  <si>
    <t>RATE BASE</t>
  </si>
  <si>
    <t>PLANT IN SERVICE</t>
  </si>
  <si>
    <t>Distribution Plant</t>
  </si>
  <si>
    <t>General Plant</t>
  </si>
  <si>
    <t>Total Plant in Service</t>
  </si>
  <si>
    <t>Total Accumulated Depreciation/Amortization</t>
  </si>
  <si>
    <t>NET PLANT</t>
  </si>
  <si>
    <t>DEFERRED TAXES</t>
  </si>
  <si>
    <t>GAS INVENTORY</t>
  </si>
  <si>
    <t>GAIN ON SALE OF BUILDING</t>
  </si>
  <si>
    <t>TOTAL RATE BASE</t>
  </si>
  <si>
    <t>RATE OF RETURN</t>
  </si>
  <si>
    <t>REVENUE REQUIREMENT</t>
  </si>
  <si>
    <t>Pro Forma Rate of Return</t>
  </si>
  <si>
    <t xml:space="preserve">(2016 restated to actual) </t>
  </si>
  <si>
    <t xml:space="preserve">The adjustments have been compiled in this w/p so </t>
  </si>
  <si>
    <t xml:space="preserve">   staff could be sure that the pro forma adjustment </t>
  </si>
  <si>
    <t xml:space="preserve">  was based on the amtl of the restated expense</t>
  </si>
  <si>
    <t xml:space="preserve">Gas pro forma as originally filed </t>
  </si>
  <si>
    <t>UE-170485/UG-170486</t>
  </si>
  <si>
    <t xml:space="preserve">Source: 2.5) PF 2018 - Property Tax ADJ </t>
  </si>
  <si>
    <t xml:space="preserve">Avista Utilities </t>
  </si>
  <si>
    <t xml:space="preserve">Avista Utilities  </t>
  </si>
  <si>
    <t xml:space="preserve">2.02 Restate Prop Tax </t>
  </si>
  <si>
    <t xml:space="preserve">3.06 Pro Forma Property Tax </t>
  </si>
  <si>
    <t xml:space="preserve">Calculation of Adj 2.02, Restate Property Tax and Adj 3.06,Pro Forma Property Tax- Electric  </t>
  </si>
  <si>
    <t xml:space="preserve">2.02 Restate Property Tax </t>
  </si>
  <si>
    <t>Calculation of Adj 2.02, Restate Property Tax and Adj 3.06,Pro Forma Property Tax- Natural Gas</t>
  </si>
  <si>
    <t xml:space="preserve">WASHINGTON ELECTRIC RESULTS </t>
  </si>
  <si>
    <t>Dockets UE-170485 / UG-170486</t>
  </si>
  <si>
    <t xml:space="preserve">WASHINGTON NATURAL GAS RESULTS </t>
  </si>
  <si>
    <t>2.02 Restate Property Taxes-as filed-natural gas</t>
  </si>
  <si>
    <t xml:space="preserve">2.02 Restate Property Taxes-as filed-electric </t>
  </si>
  <si>
    <t>3.06 Pro Forma Property Tax-as filed-electric</t>
  </si>
  <si>
    <t xml:space="preserve">3.06 Pro Forma Property Tax-as filed-natural gas </t>
  </si>
  <si>
    <t xml:space="preserve">2017 update </t>
  </si>
  <si>
    <t>YEAR TAX PAYABLE ( oregon )</t>
  </si>
  <si>
    <t>% Change</t>
  </si>
  <si>
    <t xml:space="preserve"> in $000s</t>
  </si>
  <si>
    <t xml:space="preserve">          SUBTOTAL ELECTRIC</t>
  </si>
  <si>
    <t>NATURAL GAS:</t>
  </si>
  <si>
    <t xml:space="preserve">          SUBTOTAL NATURAL GAS</t>
  </si>
  <si>
    <t>TOTAL PROPERTY TAX</t>
  </si>
  <si>
    <t xml:space="preserve">Company Response to DR 41 </t>
  </si>
  <si>
    <t>Actual Property Tax Expense for 2016</t>
  </si>
  <si>
    <t>Link to Supplemental</t>
  </si>
  <si>
    <t xml:space="preserve">Source: Avista Resp to Staff DR 41 Supp Attach A </t>
  </si>
  <si>
    <t>UG-170485 / UG-170586</t>
  </si>
  <si>
    <t xml:space="preserve">Property Tax Expense updated </t>
  </si>
  <si>
    <t>Company comments</t>
  </si>
  <si>
    <t xml:space="preserve">Line </t>
  </si>
  <si>
    <t xml:space="preserve">No. </t>
  </si>
  <si>
    <t>Revised Forecasts for Property Tax Expense</t>
  </si>
  <si>
    <t xml:space="preserve">Source: file Avista Resp to Staff DR 160 Attach A </t>
  </si>
  <si>
    <t>No</t>
  </si>
  <si>
    <t xml:space="preserve">Total Electric </t>
  </si>
  <si>
    <t>these estimates</t>
  </si>
  <si>
    <t xml:space="preserve">carried to </t>
  </si>
  <si>
    <t>pro forma</t>
  </si>
  <si>
    <t>Original Property tax estimates for 2016-2020</t>
  </si>
  <si>
    <t>difference</t>
  </si>
  <si>
    <t xml:space="preserve">difference </t>
  </si>
  <si>
    <t xml:space="preserve"> as originally filed </t>
  </si>
  <si>
    <t>AVISTA UTILITIES</t>
  </si>
  <si>
    <t xml:space="preserve">(000'S OF DOLLARS)   </t>
  </si>
  <si>
    <t>Difference</t>
  </si>
  <si>
    <t>source: company filename2.5)PF 2018-Property Tax ADJ</t>
  </si>
  <si>
    <t xml:space="preserve">             source: company file 1) CB - Property Tax ADJ REVISED tab G-RPT</t>
  </si>
  <si>
    <t xml:space="preserve">                        source: company file 1) CB - Property Tax ADJ REVISED tab G-RPT</t>
  </si>
  <si>
    <t xml:space="preserve">The adjustments have been compiled together so </t>
  </si>
  <si>
    <t>Current Period Expense (actual)</t>
  </si>
  <si>
    <t>at 05/02/2017</t>
  </si>
  <si>
    <t>ASSESSED VALUE OREGON</t>
  </si>
  <si>
    <t xml:space="preserve">Actual Property Tax Expense through 2016 and </t>
  </si>
  <si>
    <t xml:space="preserve">  Estimated Property Tax through 2021</t>
  </si>
  <si>
    <t xml:space="preserve">source: filename Avista Resp to ICNU DR 54 Attach B </t>
  </si>
  <si>
    <t xml:space="preserve">UE-170485/UG-170486 </t>
  </si>
  <si>
    <t xml:space="preserve">source: filename Avista Resp to Staff DR 160 Attach A </t>
  </si>
  <si>
    <t>company estimated amounts</t>
  </si>
  <si>
    <t>company actual amount</t>
  </si>
  <si>
    <t xml:space="preserve"> Staff Calculation</t>
  </si>
  <si>
    <t>excluded DOR  net value from intangible exclusion calc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</si>
</sst>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2">
    <numFmt numFmtId="5" formatCode="&quot;$&quot;#,##0_);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0.0000%"/>
    <numFmt numFmtId="167" formatCode="0.000%"/>
    <numFmt numFmtId="168" formatCode="0.00000"/>
    <numFmt numFmtId="169" formatCode="0.0000"/>
    <numFmt numFmtId="170" formatCode="0.000"/>
    <numFmt numFmtId="171" formatCode="#,##0.0"/>
    <numFmt numFmtId="172" formatCode="_(* #,##0.00000_);_(* \(#,##0.00000\);_(* &quot;-&quot;??_);_(@_)"/>
    <numFmt numFmtId="173" formatCode="_(* #,##0.000000_);_(* \(#,##0.000000\);_(* &quot;-&quot;??_);_(@_)"/>
    <numFmt numFmtId="174" formatCode="#,##0.000"/>
    <numFmt numFmtId="175" formatCode="0.00000%"/>
    <numFmt numFmtId="176" formatCode="0.000000"/>
    <numFmt numFmtId="177" formatCode="0.000000%"/>
    <numFmt numFmtId="178" formatCode="_(* #,##0.000000_);_(* \(#,##0.000000\);_(* &quot;-&quot;_);_(@_)"/>
    <numFmt numFmtId="179" formatCode="&quot;$&quot;#,##0"/>
    <numFmt numFmtId="180" formatCode="#,##0.00000"/>
  </numFmts>
  <fonts count="106">
    <font>
      <sz val="10"/>
      <name val="Arial"/>
      <family val="2"/>
    </font>
    <font>
      <sz val="10"/>
      <name val="Tahoma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0"/>
      <name val="Arial"/>
      <family val="2"/>
    </font>
    <font>
      <b/>
      <sz val="10"/>
      <name val="Arial"/>
      <family val="2"/>
    </font>
    <font>
      <b/>
      <i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sz val="12"/>
      <color rgb="FF9C0006"/>
      <name val="Calibri"/>
      <family val="2"/>
      <scheme val="minor"/>
    </font>
    <font>
      <sz val="8"/>
      <name val="Helv"/>
    </font>
    <font>
      <b/>
      <sz val="10"/>
      <name val="Helv"/>
    </font>
    <font>
      <b/>
      <sz val="8"/>
      <name val="Helv"/>
    </font>
    <font>
      <b/>
      <sz val="8"/>
      <color indexed="10"/>
      <name val="Helv"/>
    </font>
    <font>
      <b/>
      <u/>
      <sz val="8"/>
      <name val="Helv"/>
    </font>
    <font>
      <sz val="8"/>
      <color indexed="10"/>
      <name val="Helv"/>
    </font>
    <font>
      <sz val="8"/>
      <color rgb="FFFF0000"/>
      <name val="Helv"/>
    </font>
    <font>
      <b/>
      <sz val="8"/>
      <color rgb="FF0000CC"/>
      <name val="Helv"/>
    </font>
    <font>
      <b/>
      <i/>
      <sz val="8"/>
      <name val="Helv"/>
    </font>
    <font>
      <sz val="10"/>
      <color indexed="10"/>
      <name val="Helv"/>
    </font>
    <font>
      <b/>
      <sz val="14"/>
      <color rgb="FF0000CC"/>
      <name val="Arial"/>
      <family val="2"/>
    </font>
    <font>
      <b/>
      <sz val="10"/>
      <color indexed="12"/>
      <name val="Helv"/>
    </font>
    <font>
      <b/>
      <u/>
      <sz val="10"/>
      <color indexed="12"/>
      <name val="Helv"/>
    </font>
    <font>
      <b/>
      <sz val="10"/>
      <color rgb="FFFF0000"/>
      <name val="Helv"/>
    </font>
    <font>
      <b/>
      <sz val="10"/>
      <color rgb="FF0000CC"/>
      <name val="Helv"/>
    </font>
    <font>
      <sz val="10"/>
      <name val="Helv"/>
    </font>
    <font>
      <b/>
      <sz val="10"/>
      <color indexed="10"/>
      <name val="Helv"/>
    </font>
    <font>
      <sz val="8"/>
      <name val="Arial"/>
      <family val="2"/>
    </font>
    <font>
      <sz val="10"/>
      <color rgb="FFFF0000"/>
      <name val="Arial"/>
      <family val="2"/>
    </font>
    <font>
      <b/>
      <sz val="12"/>
      <color rgb="FF0000CC"/>
      <name val="Arial"/>
      <family val="2"/>
    </font>
    <font>
      <sz val="12"/>
      <color theme="1"/>
      <name val="Calibri"/>
      <family val="2"/>
    </font>
    <font>
      <sz val="9"/>
      <color theme="1"/>
      <name val="Calibri"/>
      <family val="2"/>
      <scheme val="minor"/>
    </font>
    <font>
      <b/>
      <sz val="14"/>
      <color rgb="FFFF0000"/>
      <name val="Arial"/>
      <family val="2"/>
    </font>
    <font>
      <b/>
      <sz val="12"/>
      <color rgb="FFFF0000"/>
      <name val="Arial"/>
      <family val="2"/>
    </font>
    <font>
      <b/>
      <sz val="8"/>
      <color rgb="FFFF0000"/>
      <name val="Helv"/>
    </font>
    <font>
      <sz val="10"/>
      <color rgb="FFFF0000"/>
      <name val="Helv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0"/>
      <name val="Helv"/>
    </font>
    <font>
      <i/>
      <sz val="10"/>
      <name val="Helv"/>
    </font>
    <font>
      <b/>
      <i/>
      <sz val="10"/>
      <name val="Arial"/>
      <family val="2"/>
    </font>
    <font>
      <b/>
      <i/>
      <sz val="10"/>
      <name val="Calibri"/>
      <family val="2"/>
      <scheme val="minor"/>
    </font>
    <font>
      <i/>
      <sz val="10"/>
      <name val="Calibri"/>
      <family val="2"/>
      <scheme val="minor"/>
    </font>
    <font>
      <i/>
      <sz val="9"/>
      <name val="Calibri"/>
      <family val="2"/>
      <scheme val="minor"/>
    </font>
    <font>
      <b/>
      <sz val="8"/>
      <color rgb="FFFF0000"/>
      <name val="Arial"/>
      <family val="2"/>
    </font>
    <font>
      <b/>
      <i/>
      <sz val="14"/>
      <color rgb="FFFF0000"/>
      <name val="Arial"/>
      <family val="2"/>
    </font>
    <font>
      <i/>
      <sz val="9"/>
      <name val="Arial"/>
      <family val="2"/>
    </font>
    <font>
      <i/>
      <sz val="8"/>
      <name val="Helv"/>
    </font>
    <font>
      <b/>
      <i/>
      <sz val="8"/>
      <color indexed="10"/>
      <name val="Helv"/>
    </font>
    <font>
      <sz val="14"/>
      <name val="Helv"/>
    </font>
    <font>
      <b/>
      <sz val="8"/>
      <color rgb="FF660066"/>
      <name val="Helv"/>
    </font>
    <font>
      <b/>
      <sz val="11"/>
      <color rgb="FFFF0000"/>
      <name val="Helv"/>
    </font>
    <font>
      <i/>
      <sz val="8"/>
      <color indexed="10"/>
      <name val="Helv"/>
    </font>
    <font>
      <b/>
      <sz val="9"/>
      <color rgb="FFFF0000"/>
      <name val="Arial"/>
      <family val="2"/>
    </font>
    <font>
      <b/>
      <sz val="9"/>
      <color rgb="FF006600"/>
      <name val="Helv"/>
    </font>
    <font>
      <b/>
      <sz val="9"/>
      <name val="Helv"/>
    </font>
    <font>
      <b/>
      <sz val="9"/>
      <color rgb="FFFF0000"/>
      <name val="Helv"/>
    </font>
    <font>
      <b/>
      <sz val="10"/>
      <color rgb="FF006600"/>
      <name val="Helv"/>
    </font>
    <font>
      <b/>
      <i/>
      <sz val="10"/>
      <color rgb="FF006600"/>
      <name val="Helv"/>
    </font>
    <font>
      <sz val="14"/>
      <color indexed="10"/>
      <name val="Helv"/>
    </font>
    <font>
      <b/>
      <sz val="8"/>
      <color rgb="FF006600"/>
      <name val="Helv"/>
    </font>
    <font>
      <b/>
      <sz val="9"/>
      <color rgb="FF006600"/>
      <name val="Arial"/>
      <family val="2"/>
    </font>
    <font>
      <b/>
      <i/>
      <sz val="10"/>
      <color rgb="FFFF0000"/>
      <name val="Helv"/>
    </font>
    <font>
      <sz val="11"/>
      <color indexed="10"/>
      <name val="Helv"/>
    </font>
    <font>
      <b/>
      <sz val="7"/>
      <name val="Helv"/>
    </font>
    <font>
      <b/>
      <i/>
      <sz val="7"/>
      <name val="Helv"/>
    </font>
    <font>
      <b/>
      <sz val="8"/>
      <color rgb="FF990033"/>
      <name val="Helv"/>
    </font>
    <font>
      <b/>
      <sz val="14"/>
      <color indexed="10"/>
      <name val="Helv"/>
    </font>
    <font>
      <b/>
      <sz val="14"/>
      <name val="Helv"/>
    </font>
    <font>
      <b/>
      <i/>
      <sz val="10"/>
      <color indexed="10"/>
      <name val="Helv"/>
    </font>
    <font>
      <sz val="9"/>
      <name val="Helv"/>
    </font>
    <font>
      <i/>
      <sz val="10"/>
      <color indexed="10"/>
      <name val="Helv"/>
    </font>
    <font>
      <sz val="10"/>
      <color rgb="FF0000CC"/>
      <name val="Arial"/>
      <family val="2"/>
    </font>
    <font>
      <b/>
      <sz val="10"/>
      <color rgb="FFA50021"/>
      <name val="Helv"/>
    </font>
    <font>
      <b/>
      <u/>
      <sz val="8"/>
      <color rgb="FFFF0000"/>
      <name val="Helv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0"/>
      <name val="Geneva"/>
      <family val="2"/>
    </font>
    <font>
      <sz val="9"/>
      <name val="Times New Roman"/>
      <family val="1"/>
    </font>
    <font>
      <b/>
      <sz val="10"/>
      <name val="Times New Roman"/>
      <family val="1"/>
    </font>
    <font>
      <b/>
      <sz val="9"/>
      <name val="Times New Roman"/>
      <family val="1"/>
    </font>
    <font>
      <b/>
      <u/>
      <sz val="9"/>
      <name val="Times New Roman"/>
      <family val="1"/>
    </font>
    <font>
      <b/>
      <sz val="9"/>
      <color rgb="FFFF0000"/>
      <name val="Times New Roman"/>
      <family val="1"/>
    </font>
    <font>
      <u/>
      <sz val="7.5"/>
      <color theme="0"/>
      <name val="Arial"/>
      <family val="2"/>
    </font>
    <font>
      <sz val="10"/>
      <name val="Times New Roman"/>
      <family val="1"/>
    </font>
    <font>
      <b/>
      <i/>
      <sz val="11"/>
      <color theme="1"/>
      <name val="Calibri"/>
      <family val="2"/>
      <scheme val="minor"/>
    </font>
    <font>
      <b/>
      <i/>
      <sz val="12"/>
      <color rgb="FF0000CC"/>
      <name val="Arial"/>
      <family val="2"/>
    </font>
    <font>
      <b/>
      <i/>
      <sz val="11"/>
      <color rgb="FFFF0000"/>
      <name val="Arial"/>
      <family val="2"/>
    </font>
    <font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9"/>
      <name val="Helv"/>
    </font>
    <font>
      <b/>
      <i/>
      <sz val="9"/>
      <name val="Helv"/>
    </font>
    <font>
      <b/>
      <i/>
      <sz val="9"/>
      <name val="Arial"/>
      <family val="2"/>
    </font>
    <font>
      <sz val="11"/>
      <name val="Times New Roman"/>
      <family val="1"/>
    </font>
    <font>
      <sz val="11"/>
      <color theme="1"/>
      <name val="Times New Roman"/>
      <family val="1"/>
    </font>
    <font>
      <b/>
      <sz val="11"/>
      <name val="Times New Roman"/>
      <family val="1"/>
    </font>
    <font>
      <i/>
      <sz val="11"/>
      <color theme="1"/>
      <name val="Times New Roman"/>
      <family val="1"/>
    </font>
    <font>
      <i/>
      <sz val="10"/>
      <color theme="1"/>
      <name val="Calibri"/>
      <family val="2"/>
    </font>
    <font>
      <i/>
      <sz val="9"/>
      <color theme="1"/>
      <name val="Calibri"/>
      <family val="2"/>
      <scheme val="minor"/>
    </font>
    <font>
      <sz val="9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C7CE"/>
      </patternFill>
    </fill>
    <fill>
      <patternFill patternType="solid">
        <fgColor rgb="FF66FFFF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D8E4BC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66FFFF"/>
        <bgColor rgb="FF000000"/>
      </patternFill>
    </fill>
    <fill>
      <patternFill patternType="solid">
        <fgColor rgb="FFE6B8B7"/>
        <bgColor rgb="FF000000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000"/>
        <bgColor indexed="64"/>
      </patternFill>
    </fill>
  </fills>
  <borders count="5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double">
        <color rgb="FFFF0000"/>
      </left>
      <right style="double">
        <color rgb="FFFF0000"/>
      </right>
      <top style="double">
        <color rgb="FFFF0000"/>
      </top>
      <bottom style="double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</borders>
  <cellStyleXfs count="16">
    <xf numFmtId="0" fontId="0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5" fillId="6" borderId="0" applyNumberFormat="0" applyBorder="0" applyAlignment="0" applyProtection="0"/>
    <xf numFmtId="0" fontId="83" fillId="0" borderId="0"/>
    <xf numFmtId="0" fontId="83" fillId="0" borderId="0"/>
    <xf numFmtId="0" fontId="83" fillId="0" borderId="0"/>
    <xf numFmtId="0" fontId="89" fillId="0" borderId="0" applyNumberFormat="0" applyFill="0" applyBorder="0" applyAlignment="0" applyProtection="0">
      <alignment vertical="top"/>
      <protection locked="0"/>
    </xf>
    <xf numFmtId="0" fontId="83" fillId="0" borderId="0"/>
    <xf numFmtId="0" fontId="83" fillId="0" borderId="0"/>
    <xf numFmtId="0" fontId="83" fillId="0" borderId="0"/>
  </cellStyleXfs>
  <cellXfs count="1299">
    <xf numFmtId="0" fontId="0" fillId="0" borderId="0" xfId="0"/>
    <xf numFmtId="0" fontId="6" fillId="0" borderId="0" xfId="3" applyFont="1" applyAlignment="1">
      <alignment horizontal="left"/>
    </xf>
    <xf numFmtId="0" fontId="6" fillId="0" borderId="0" xfId="3" applyFont="1"/>
    <xf numFmtId="0" fontId="5" fillId="0" borderId="0" xfId="3" applyFont="1" applyBorder="1" applyAlignment="1">
      <alignment horizontal="center"/>
    </xf>
    <xf numFmtId="10" fontId="7" fillId="0" borderId="0" xfId="5" applyNumberFormat="1" applyFont="1" applyAlignment="1">
      <alignment horizontal="center"/>
    </xf>
    <xf numFmtId="0" fontId="8" fillId="0" borderId="0" xfId="3" applyFont="1" applyAlignment="1">
      <alignment horizontal="center" wrapText="1"/>
    </xf>
    <xf numFmtId="0" fontId="5" fillId="0" borderId="0" xfId="3" applyFont="1" applyAlignment="1">
      <alignment horizontal="left"/>
    </xf>
    <xf numFmtId="164" fontId="7" fillId="0" borderId="0" xfId="2" applyNumberFormat="1" applyFont="1"/>
    <xf numFmtId="164" fontId="6" fillId="0" borderId="0" xfId="3" applyNumberFormat="1" applyFont="1"/>
    <xf numFmtId="0" fontId="6" fillId="0" borderId="0" xfId="3" quotePrefix="1" applyFont="1"/>
    <xf numFmtId="164" fontId="7" fillId="0" borderId="1" xfId="2" applyNumberFormat="1" applyFont="1" applyBorder="1"/>
    <xf numFmtId="164" fontId="6" fillId="0" borderId="1" xfId="3" applyNumberFormat="1" applyFont="1" applyBorder="1"/>
    <xf numFmtId="164" fontId="7" fillId="0" borderId="5" xfId="2" applyNumberFormat="1" applyFont="1" applyBorder="1"/>
    <xf numFmtId="0" fontId="6" fillId="0" borderId="0" xfId="4" applyFont="1"/>
    <xf numFmtId="0" fontId="8" fillId="2" borderId="6" xfId="3" applyFont="1" applyFill="1" applyBorder="1" applyAlignment="1">
      <alignment horizontal="center" wrapText="1"/>
    </xf>
    <xf numFmtId="164" fontId="7" fillId="2" borderId="3" xfId="2" applyNumberFormat="1" applyFont="1" applyFill="1" applyBorder="1"/>
    <xf numFmtId="0" fontId="6" fillId="2" borderId="7" xfId="3" applyFont="1" applyFill="1" applyBorder="1"/>
    <xf numFmtId="0" fontId="6" fillId="2" borderId="8" xfId="3" applyFont="1" applyFill="1" applyBorder="1"/>
    <xf numFmtId="0" fontId="6" fillId="2" borderId="9" xfId="3" applyFont="1" applyFill="1" applyBorder="1" applyAlignment="1">
      <alignment horizontal="left"/>
    </xf>
    <xf numFmtId="0" fontId="6" fillId="2" borderId="0" xfId="3" applyFont="1" applyFill="1" applyBorder="1"/>
    <xf numFmtId="0" fontId="6" fillId="2" borderId="10" xfId="3" applyFont="1" applyFill="1" applyBorder="1"/>
    <xf numFmtId="164" fontId="7" fillId="2" borderId="0" xfId="2" applyNumberFormat="1" applyFont="1" applyFill="1" applyBorder="1"/>
    <xf numFmtId="164" fontId="6" fillId="2" borderId="0" xfId="3" applyNumberFormat="1" applyFont="1" applyFill="1" applyBorder="1"/>
    <xf numFmtId="164" fontId="6" fillId="2" borderId="10" xfId="3" applyNumberFormat="1" applyFont="1" applyFill="1" applyBorder="1"/>
    <xf numFmtId="164" fontId="7" fillId="2" borderId="1" xfId="2" applyNumberFormat="1" applyFont="1" applyFill="1" applyBorder="1"/>
    <xf numFmtId="164" fontId="6" fillId="2" borderId="1" xfId="3" applyNumberFormat="1" applyFont="1" applyFill="1" applyBorder="1"/>
    <xf numFmtId="164" fontId="6" fillId="2" borderId="11" xfId="3" applyNumberFormat="1" applyFont="1" applyFill="1" applyBorder="1"/>
    <xf numFmtId="0" fontId="6" fillId="2" borderId="12" xfId="3" applyFont="1" applyFill="1" applyBorder="1" applyAlignment="1">
      <alignment horizontal="left"/>
    </xf>
    <xf numFmtId="164" fontId="7" fillId="2" borderId="5" xfId="2" applyNumberFormat="1" applyFont="1" applyFill="1" applyBorder="1"/>
    <xf numFmtId="164" fontId="7" fillId="2" borderId="13" xfId="2" applyNumberFormat="1" applyFont="1" applyFill="1" applyBorder="1"/>
    <xf numFmtId="0" fontId="6" fillId="2" borderId="5" xfId="3" applyFont="1" applyFill="1" applyBorder="1"/>
    <xf numFmtId="0" fontId="6" fillId="2" borderId="13" xfId="3" applyFont="1" applyFill="1" applyBorder="1"/>
    <xf numFmtId="0" fontId="8" fillId="0" borderId="6" xfId="3" applyFont="1" applyBorder="1" applyAlignment="1">
      <alignment horizontal="left"/>
    </xf>
    <xf numFmtId="0" fontId="6" fillId="0" borderId="7" xfId="3" applyFont="1" applyBorder="1"/>
    <xf numFmtId="0" fontId="6" fillId="0" borderId="8" xfId="3" applyFont="1" applyBorder="1"/>
    <xf numFmtId="0" fontId="6" fillId="0" borderId="9" xfId="3" applyFont="1" applyBorder="1" applyAlignment="1">
      <alignment horizontal="left"/>
    </xf>
    <xf numFmtId="0" fontId="6" fillId="0" borderId="0" xfId="3" applyFont="1" applyBorder="1"/>
    <xf numFmtId="0" fontId="6" fillId="0" borderId="10" xfId="3" applyFont="1" applyBorder="1"/>
    <xf numFmtId="164" fontId="7" fillId="0" borderId="0" xfId="2" applyNumberFormat="1" applyFont="1" applyBorder="1"/>
    <xf numFmtId="164" fontId="6" fillId="0" borderId="10" xfId="3" applyNumberFormat="1" applyFont="1" applyBorder="1"/>
    <xf numFmtId="164" fontId="6" fillId="0" borderId="11" xfId="3" applyNumberFormat="1" applyFont="1" applyBorder="1"/>
    <xf numFmtId="164" fontId="7" fillId="0" borderId="16" xfId="2" applyNumberFormat="1" applyFont="1" applyBorder="1"/>
    <xf numFmtId="164" fontId="7" fillId="0" borderId="13" xfId="2" applyNumberFormat="1" applyFont="1" applyBorder="1"/>
    <xf numFmtId="0" fontId="6" fillId="0" borderId="12" xfId="3" applyFont="1" applyBorder="1" applyAlignment="1">
      <alignment horizontal="left"/>
    </xf>
    <xf numFmtId="0" fontId="6" fillId="0" borderId="5" xfId="3" applyFont="1" applyBorder="1"/>
    <xf numFmtId="0" fontId="6" fillId="0" borderId="13" xfId="3" applyFont="1" applyBorder="1"/>
    <xf numFmtId="0" fontId="6" fillId="0" borderId="0" xfId="3" applyAlignment="1">
      <alignment horizontal="left"/>
    </xf>
    <xf numFmtId="0" fontId="6" fillId="0" borderId="0" xfId="3"/>
    <xf numFmtId="10" fontId="0" fillId="0" borderId="0" xfId="5" applyNumberFormat="1" applyFont="1" applyAlignment="1">
      <alignment horizontal="center"/>
    </xf>
    <xf numFmtId="164" fontId="0" fillId="0" borderId="0" xfId="2" applyNumberFormat="1" applyFont="1"/>
    <xf numFmtId="164" fontId="0" fillId="0" borderId="0" xfId="2" applyNumberFormat="1" applyFont="1" applyFill="1"/>
    <xf numFmtId="164" fontId="6" fillId="0" borderId="0" xfId="3" applyNumberFormat="1"/>
    <xf numFmtId="164" fontId="0" fillId="0" borderId="1" xfId="2" applyNumberFormat="1" applyFont="1" applyBorder="1"/>
    <xf numFmtId="164" fontId="6" fillId="0" borderId="1" xfId="3" applyNumberFormat="1" applyBorder="1"/>
    <xf numFmtId="164" fontId="0" fillId="0" borderId="14" xfId="2" applyNumberFormat="1" applyFont="1" applyBorder="1"/>
    <xf numFmtId="164" fontId="0" fillId="0" borderId="5" xfId="2" applyNumberFormat="1" applyFont="1" applyBorder="1"/>
    <xf numFmtId="0" fontId="6" fillId="2" borderId="7" xfId="3" applyFill="1" applyBorder="1"/>
    <xf numFmtId="0" fontId="6" fillId="2" borderId="8" xfId="3" applyFill="1" applyBorder="1"/>
    <xf numFmtId="0" fontId="6" fillId="2" borderId="9" xfId="3" applyFill="1" applyBorder="1" applyAlignment="1">
      <alignment horizontal="left"/>
    </xf>
    <xf numFmtId="0" fontId="6" fillId="2" borderId="0" xfId="3" applyFill="1" applyBorder="1"/>
    <xf numFmtId="0" fontId="6" fillId="2" borderId="10" xfId="3" applyFill="1" applyBorder="1"/>
    <xf numFmtId="164" fontId="2" fillId="2" borderId="0" xfId="2" applyNumberFormat="1" applyFont="1" applyFill="1" applyBorder="1"/>
    <xf numFmtId="164" fontId="6" fillId="2" borderId="0" xfId="3" applyNumberFormat="1" applyFill="1" applyBorder="1"/>
    <xf numFmtId="164" fontId="6" fillId="2" borderId="10" xfId="3" applyNumberFormat="1" applyFill="1" applyBorder="1"/>
    <xf numFmtId="164" fontId="2" fillId="2" borderId="1" xfId="2" applyNumberFormat="1" applyFont="1" applyFill="1" applyBorder="1"/>
    <xf numFmtId="164" fontId="2" fillId="2" borderId="14" xfId="2" applyNumberFormat="1" applyFont="1" applyFill="1" applyBorder="1"/>
    <xf numFmtId="164" fontId="2" fillId="2" borderId="15" xfId="2" applyNumberFormat="1" applyFont="1" applyFill="1" applyBorder="1"/>
    <xf numFmtId="164" fontId="6" fillId="2" borderId="1" xfId="3" applyNumberFormat="1" applyFill="1" applyBorder="1"/>
    <xf numFmtId="164" fontId="6" fillId="2" borderId="11" xfId="3" applyNumberFormat="1" applyFill="1" applyBorder="1"/>
    <xf numFmtId="164" fontId="2" fillId="2" borderId="5" xfId="2" applyNumberFormat="1" applyFont="1" applyFill="1" applyBorder="1"/>
    <xf numFmtId="165" fontId="2" fillId="2" borderId="0" xfId="5" applyNumberFormat="1" applyFont="1" applyFill="1" applyBorder="1"/>
    <xf numFmtId="164" fontId="2" fillId="2" borderId="13" xfId="2" applyNumberFormat="1" applyFont="1" applyFill="1" applyBorder="1"/>
    <xf numFmtId="0" fontId="6" fillId="2" borderId="12" xfId="3" applyFill="1" applyBorder="1" applyAlignment="1">
      <alignment horizontal="left"/>
    </xf>
    <xf numFmtId="0" fontId="6" fillId="2" borderId="5" xfId="3" applyFill="1" applyBorder="1"/>
    <xf numFmtId="0" fontId="6" fillId="2" borderId="13" xfId="3" applyFill="1" applyBorder="1"/>
    <xf numFmtId="0" fontId="6" fillId="0" borderId="7" xfId="3" applyBorder="1"/>
    <xf numFmtId="0" fontId="6" fillId="0" borderId="8" xfId="3" applyBorder="1"/>
    <xf numFmtId="0" fontId="6" fillId="0" borderId="9" xfId="3" applyBorder="1" applyAlignment="1">
      <alignment horizontal="left"/>
    </xf>
    <xf numFmtId="0" fontId="6" fillId="0" borderId="0" xfId="3" applyBorder="1"/>
    <xf numFmtId="0" fontId="6" fillId="0" borderId="10" xfId="3" applyBorder="1"/>
    <xf numFmtId="164" fontId="0" fillId="0" borderId="0" xfId="2" applyNumberFormat="1" applyFont="1" applyBorder="1"/>
    <xf numFmtId="43" fontId="0" fillId="0" borderId="0" xfId="1" applyFont="1" applyBorder="1"/>
    <xf numFmtId="164" fontId="6" fillId="0" borderId="10" xfId="3" applyNumberFormat="1" applyBorder="1"/>
    <xf numFmtId="164" fontId="0" fillId="0" borderId="15" xfId="2" applyNumberFormat="1" applyFont="1" applyBorder="1"/>
    <xf numFmtId="164" fontId="6" fillId="0" borderId="11" xfId="3" applyNumberFormat="1" applyBorder="1"/>
    <xf numFmtId="165" fontId="0" fillId="0" borderId="0" xfId="5" applyNumberFormat="1" applyFont="1" applyBorder="1"/>
    <xf numFmtId="164" fontId="2" fillId="0" borderId="16" xfId="2" applyNumberFormat="1" applyFont="1" applyBorder="1"/>
    <xf numFmtId="164" fontId="0" fillId="0" borderId="13" xfId="2" applyNumberFormat="1" applyFont="1" applyBorder="1"/>
    <xf numFmtId="0" fontId="6" fillId="0" borderId="12" xfId="3" applyBorder="1" applyAlignment="1">
      <alignment horizontal="left"/>
    </xf>
    <xf numFmtId="0" fontId="6" fillId="0" borderId="5" xfId="3" applyBorder="1"/>
    <xf numFmtId="0" fontId="6" fillId="0" borderId="13" xfId="3" applyBorder="1"/>
    <xf numFmtId="164" fontId="2" fillId="2" borderId="3" xfId="2" applyNumberFormat="1" applyFont="1" applyFill="1" applyBorder="1"/>
    <xf numFmtId="10" fontId="7" fillId="0" borderId="0" xfId="5" applyNumberFormat="1" applyFont="1" applyFill="1" applyAlignment="1">
      <alignment horizontal="center"/>
    </xf>
    <xf numFmtId="164" fontId="0" fillId="3" borderId="5" xfId="2" applyNumberFormat="1" applyFont="1" applyFill="1" applyBorder="1"/>
    <xf numFmtId="165" fontId="9" fillId="0" borderId="0" xfId="6" applyNumberFormat="1" applyFont="1"/>
    <xf numFmtId="0" fontId="6" fillId="0" borderId="0" xfId="3" applyFont="1" applyFill="1"/>
    <xf numFmtId="0" fontId="10" fillId="0" borderId="0" xfId="0" applyFont="1"/>
    <xf numFmtId="0" fontId="9" fillId="0" borderId="0" xfId="3" applyFont="1"/>
    <xf numFmtId="0" fontId="11" fillId="0" borderId="0" xfId="0" applyFont="1"/>
    <xf numFmtId="164" fontId="2" fillId="5" borderId="3" xfId="2" applyNumberFormat="1" applyFont="1" applyFill="1" applyBorder="1"/>
    <xf numFmtId="164" fontId="7" fillId="5" borderId="3" xfId="2" applyNumberFormat="1" applyFont="1" applyFill="1" applyBorder="1"/>
    <xf numFmtId="0" fontId="0" fillId="0" borderId="0" xfId="0" applyAlignment="1">
      <alignment horizontal="center"/>
    </xf>
    <xf numFmtId="0" fontId="16" fillId="0" borderId="0" xfId="0" applyFont="1" applyAlignment="1">
      <alignment horizontal="center"/>
    </xf>
    <xf numFmtId="0" fontId="16" fillId="4" borderId="17" xfId="0" applyFont="1" applyFill="1" applyBorder="1" applyAlignment="1">
      <alignment horizontal="center"/>
    </xf>
    <xf numFmtId="0" fontId="16" fillId="4" borderId="18" xfId="0" applyFont="1" applyFill="1" applyBorder="1" applyAlignment="1">
      <alignment horizontal="center"/>
    </xf>
    <xf numFmtId="0" fontId="17" fillId="0" borderId="0" xfId="0" applyFont="1" applyAlignment="1">
      <alignment horizontal="center"/>
    </xf>
    <xf numFmtId="0" fontId="17" fillId="4" borderId="18" xfId="0" applyFont="1" applyFill="1" applyBorder="1" applyAlignment="1">
      <alignment horizontal="center"/>
    </xf>
    <xf numFmtId="0" fontId="16" fillId="0" borderId="19" xfId="0" applyFont="1" applyBorder="1" applyAlignment="1">
      <alignment horizontal="center"/>
    </xf>
    <xf numFmtId="0" fontId="16" fillId="7" borderId="17" xfId="0" quotePrefix="1" applyFont="1" applyFill="1" applyBorder="1" applyAlignment="1">
      <alignment horizontal="center"/>
    </xf>
    <xf numFmtId="0" fontId="18" fillId="0" borderId="20" xfId="0" applyFont="1" applyBorder="1"/>
    <xf numFmtId="0" fontId="18" fillId="7" borderId="21" xfId="0" applyFont="1" applyFill="1" applyBorder="1"/>
    <xf numFmtId="0" fontId="18" fillId="0" borderId="22" xfId="0" applyFont="1" applyBorder="1"/>
    <xf numFmtId="0" fontId="19" fillId="4" borderId="21" xfId="0" applyFont="1" applyFill="1" applyBorder="1" applyAlignment="1">
      <alignment horizontal="center"/>
    </xf>
    <xf numFmtId="0" fontId="20" fillId="0" borderId="22" xfId="0" applyFont="1" applyBorder="1"/>
    <xf numFmtId="0" fontId="21" fillId="4" borderId="18" xfId="0" applyFont="1" applyFill="1" applyBorder="1" applyAlignment="1">
      <alignment horizontal="center"/>
    </xf>
    <xf numFmtId="3" fontId="17" fillId="7" borderId="18" xfId="0" applyNumberFormat="1" applyFont="1" applyFill="1" applyBorder="1" applyAlignment="1">
      <alignment horizontal="right"/>
    </xf>
    <xf numFmtId="3" fontId="16" fillId="7" borderId="18" xfId="0" applyNumberFormat="1" applyFont="1" applyFill="1" applyBorder="1" applyAlignment="1">
      <alignment horizontal="right"/>
    </xf>
    <xf numFmtId="0" fontId="18" fillId="0" borderId="22" xfId="0" applyFont="1" applyFill="1" applyBorder="1"/>
    <xf numFmtId="3" fontId="16" fillId="7" borderId="21" xfId="0" applyNumberFormat="1" applyFont="1" applyFill="1" applyBorder="1" applyAlignment="1">
      <alignment horizontal="right"/>
    </xf>
    <xf numFmtId="166" fontId="17" fillId="7" borderId="18" xfId="0" applyNumberFormat="1" applyFont="1" applyFill="1" applyBorder="1" applyAlignment="1">
      <alignment horizontal="right"/>
    </xf>
    <xf numFmtId="166" fontId="17" fillId="7" borderId="21" xfId="0" applyNumberFormat="1" applyFont="1" applyFill="1" applyBorder="1" applyAlignment="1">
      <alignment horizontal="right"/>
    </xf>
    <xf numFmtId="167" fontId="21" fillId="4" borderId="21" xfId="5" applyNumberFormat="1" applyFont="1" applyFill="1" applyBorder="1" applyAlignment="1">
      <alignment horizontal="right"/>
    </xf>
    <xf numFmtId="3" fontId="21" fillId="4" borderId="18" xfId="0" applyNumberFormat="1" applyFont="1" applyFill="1" applyBorder="1" applyAlignment="1">
      <alignment horizontal="right"/>
    </xf>
    <xf numFmtId="3" fontId="21" fillId="4" borderId="17" xfId="0" applyNumberFormat="1" applyFont="1" applyFill="1" applyBorder="1" applyAlignment="1">
      <alignment horizontal="right"/>
    </xf>
    <xf numFmtId="168" fontId="15" fillId="6" borderId="21" xfId="8" applyNumberFormat="1" applyBorder="1" applyAlignment="1">
      <alignment horizontal="right"/>
    </xf>
    <xf numFmtId="0" fontId="21" fillId="4" borderId="18" xfId="0" applyFont="1" applyFill="1" applyBorder="1" applyAlignment="1">
      <alignment horizontal="right"/>
    </xf>
    <xf numFmtId="3" fontId="21" fillId="4" borderId="23" xfId="0" applyNumberFormat="1" applyFont="1" applyFill="1" applyBorder="1"/>
    <xf numFmtId="0" fontId="16" fillId="0" borderId="1" xfId="0" applyFont="1" applyFill="1" applyBorder="1"/>
    <xf numFmtId="0" fontId="18" fillId="0" borderId="17" xfId="0" applyFont="1" applyBorder="1"/>
    <xf numFmtId="0" fontId="16" fillId="7" borderId="17" xfId="0" applyFont="1" applyFill="1" applyBorder="1"/>
    <xf numFmtId="0" fontId="18" fillId="0" borderId="18" xfId="0" applyFont="1" applyBorder="1"/>
    <xf numFmtId="0" fontId="18" fillId="7" borderId="21" xfId="0" applyFont="1" applyFill="1" applyBorder="1" applyAlignment="1">
      <alignment horizontal="center"/>
    </xf>
    <xf numFmtId="0" fontId="20" fillId="0" borderId="18" xfId="0" applyFont="1" applyBorder="1"/>
    <xf numFmtId="0" fontId="16" fillId="7" borderId="18" xfId="0" applyFont="1" applyFill="1" applyBorder="1"/>
    <xf numFmtId="3" fontId="19" fillId="7" borderId="18" xfId="0" applyNumberFormat="1" applyFont="1" applyFill="1" applyBorder="1" applyAlignment="1">
      <alignment horizontal="right"/>
    </xf>
    <xf numFmtId="3" fontId="22" fillId="7" borderId="18" xfId="0" applyNumberFormat="1" applyFont="1" applyFill="1" applyBorder="1" applyAlignment="1">
      <alignment horizontal="right"/>
    </xf>
    <xf numFmtId="3" fontId="19" fillId="8" borderId="21" xfId="0" applyNumberFormat="1" applyFont="1" applyFill="1" applyBorder="1" applyAlignment="1">
      <alignment horizontal="center"/>
    </xf>
    <xf numFmtId="166" fontId="17" fillId="8" borderId="21" xfId="0" applyNumberFormat="1" applyFont="1" applyFill="1" applyBorder="1" applyAlignment="1">
      <alignment horizontal="right"/>
    </xf>
    <xf numFmtId="3" fontId="17" fillId="8" borderId="18" xfId="0" applyNumberFormat="1" applyFont="1" applyFill="1" applyBorder="1" applyAlignment="1">
      <alignment horizontal="right"/>
    </xf>
    <xf numFmtId="3" fontId="17" fillId="8" borderId="21" xfId="0" applyNumberFormat="1" applyFont="1" applyFill="1" applyBorder="1" applyAlignment="1">
      <alignment horizontal="right"/>
    </xf>
    <xf numFmtId="2" fontId="17" fillId="7" borderId="21" xfId="0" applyNumberFormat="1" applyFont="1" applyFill="1" applyBorder="1" applyAlignment="1">
      <alignment horizontal="right"/>
    </xf>
    <xf numFmtId="168" fontId="21" fillId="4" borderId="21" xfId="0" applyNumberFormat="1" applyFont="1" applyFill="1" applyBorder="1" applyAlignment="1">
      <alignment horizontal="right"/>
    </xf>
    <xf numFmtId="0" fontId="18" fillId="0" borderId="21" xfId="0" applyFont="1" applyBorder="1"/>
    <xf numFmtId="0" fontId="18" fillId="0" borderId="0" xfId="0" applyFont="1"/>
    <xf numFmtId="0" fontId="16" fillId="0" borderId="0" xfId="0" applyFont="1" applyFill="1" applyBorder="1"/>
    <xf numFmtId="0" fontId="18" fillId="0" borderId="19" xfId="0" applyFont="1" applyBorder="1"/>
    <xf numFmtId="0" fontId="16" fillId="7" borderId="18" xfId="0" applyFont="1" applyFill="1" applyBorder="1" applyAlignment="1">
      <alignment horizontal="center"/>
    </xf>
    <xf numFmtId="0" fontId="18" fillId="0" borderId="22" xfId="0" applyFont="1" applyBorder="1" applyAlignment="1">
      <alignment horizontal="left"/>
    </xf>
    <xf numFmtId="3" fontId="17" fillId="7" borderId="24" xfId="0" applyNumberFormat="1" applyFont="1" applyFill="1" applyBorder="1"/>
    <xf numFmtId="2" fontId="17" fillId="7" borderId="18" xfId="0" applyNumberFormat="1" applyFont="1" applyFill="1" applyBorder="1" applyAlignment="1">
      <alignment horizontal="right"/>
    </xf>
    <xf numFmtId="0" fontId="18" fillId="0" borderId="22" xfId="0" quotePrefix="1" applyFont="1" applyBorder="1" applyAlignment="1">
      <alignment horizontal="left"/>
    </xf>
    <xf numFmtId="169" fontId="17" fillId="8" borderId="21" xfId="0" applyNumberFormat="1" applyFont="1" applyFill="1" applyBorder="1" applyAlignment="1">
      <alignment horizontal="right"/>
    </xf>
    <xf numFmtId="3" fontId="17" fillId="7" borderId="17" xfId="0" applyNumberFormat="1" applyFont="1" applyFill="1" applyBorder="1" applyAlignment="1">
      <alignment horizontal="right"/>
    </xf>
    <xf numFmtId="0" fontId="18" fillId="0" borderId="0" xfId="0" applyFont="1" applyBorder="1"/>
    <xf numFmtId="3" fontId="16" fillId="0" borderId="0" xfId="0" applyNumberFormat="1" applyFont="1" applyFill="1" applyBorder="1" applyAlignment="1">
      <alignment horizontal="center"/>
    </xf>
    <xf numFmtId="0" fontId="16" fillId="4" borderId="17" xfId="0" applyFont="1" applyFill="1" applyBorder="1"/>
    <xf numFmtId="0" fontId="16" fillId="4" borderId="18" xfId="0" applyFont="1" applyFill="1" applyBorder="1"/>
    <xf numFmtId="166" fontId="21" fillId="4" borderId="18" xfId="0" applyNumberFormat="1" applyFont="1" applyFill="1" applyBorder="1" applyAlignment="1">
      <alignment horizontal="right"/>
    </xf>
    <xf numFmtId="166" fontId="21" fillId="4" borderId="21" xfId="0" applyNumberFormat="1" applyFont="1" applyFill="1" applyBorder="1" applyAlignment="1">
      <alignment horizontal="right"/>
    </xf>
    <xf numFmtId="2" fontId="21" fillId="4" borderId="18" xfId="0" applyNumberFormat="1" applyFont="1" applyFill="1" applyBorder="1" applyAlignment="1">
      <alignment horizontal="right"/>
    </xf>
    <xf numFmtId="169" fontId="21" fillId="4" borderId="21" xfId="0" applyNumberFormat="1" applyFont="1" applyFill="1" applyBorder="1" applyAlignment="1">
      <alignment horizontal="right"/>
    </xf>
    <xf numFmtId="3" fontId="21" fillId="4" borderId="21" xfId="0" applyNumberFormat="1" applyFont="1" applyFill="1" applyBorder="1"/>
    <xf numFmtId="0" fontId="20" fillId="0" borderId="17" xfId="0" applyFont="1" applyBorder="1"/>
    <xf numFmtId="0" fontId="18" fillId="7" borderId="24" xfId="0" applyFont="1" applyFill="1" applyBorder="1" applyAlignment="1">
      <alignment horizontal="center"/>
    </xf>
    <xf numFmtId="0" fontId="18" fillId="0" borderId="18" xfId="0" applyFont="1" applyBorder="1" applyAlignment="1">
      <alignment horizontal="left"/>
    </xf>
    <xf numFmtId="0" fontId="17" fillId="7" borderId="18" xfId="0" applyFont="1" applyFill="1" applyBorder="1" applyAlignment="1">
      <alignment horizontal="center"/>
    </xf>
    <xf numFmtId="3" fontId="17" fillId="7" borderId="18" xfId="2" applyNumberFormat="1" applyFont="1" applyFill="1" applyBorder="1"/>
    <xf numFmtId="3" fontId="17" fillId="7" borderId="18" xfId="2" applyNumberFormat="1" applyFont="1" applyFill="1" applyBorder="1" applyAlignment="1">
      <alignment horizontal="right"/>
    </xf>
    <xf numFmtId="10" fontId="17" fillId="7" borderId="21" xfId="5" applyNumberFormat="1" applyFont="1" applyFill="1" applyBorder="1" applyAlignment="1">
      <alignment horizontal="center"/>
    </xf>
    <xf numFmtId="1" fontId="17" fillId="7" borderId="24" xfId="5" applyNumberFormat="1" applyFont="1" applyFill="1" applyBorder="1"/>
    <xf numFmtId="0" fontId="17" fillId="7" borderId="24" xfId="0" applyFont="1" applyFill="1" applyBorder="1"/>
    <xf numFmtId="9" fontId="21" fillId="4" borderId="24" xfId="5" applyFont="1" applyFill="1" applyBorder="1"/>
    <xf numFmtId="9" fontId="21" fillId="4" borderId="21" xfId="5" applyFont="1" applyFill="1" applyBorder="1"/>
    <xf numFmtId="3" fontId="19" fillId="4" borderId="21" xfId="0" applyNumberFormat="1" applyFont="1" applyFill="1" applyBorder="1"/>
    <xf numFmtId="0" fontId="17" fillId="7" borderId="18" xfId="0" applyFont="1" applyFill="1" applyBorder="1"/>
    <xf numFmtId="167" fontId="18" fillId="4" borderId="21" xfId="5" applyNumberFormat="1" applyFont="1" applyFill="1" applyBorder="1" applyAlignment="1">
      <alignment horizontal="right"/>
    </xf>
    <xf numFmtId="3" fontId="17" fillId="4" borderId="18" xfId="0" applyNumberFormat="1" applyFont="1" applyFill="1" applyBorder="1" applyAlignment="1">
      <alignment horizontal="right"/>
    </xf>
    <xf numFmtId="0" fontId="16" fillId="0" borderId="17" xfId="0" applyFont="1" applyFill="1" applyBorder="1"/>
    <xf numFmtId="0" fontId="24" fillId="0" borderId="18" xfId="0" applyFont="1" applyBorder="1"/>
    <xf numFmtId="3" fontId="17" fillId="7" borderId="21" xfId="0" applyNumberFormat="1" applyFont="1" applyFill="1" applyBorder="1" applyAlignment="1">
      <alignment horizontal="right"/>
    </xf>
    <xf numFmtId="3" fontId="25" fillId="4" borderId="21" xfId="0" applyNumberFormat="1" applyFont="1" applyFill="1" applyBorder="1"/>
    <xf numFmtId="10" fontId="17" fillId="7" borderId="18" xfId="0" applyNumberFormat="1" applyFont="1" applyFill="1" applyBorder="1" applyAlignment="1">
      <alignment horizontal="right"/>
    </xf>
    <xf numFmtId="170" fontId="17" fillId="7" borderId="21" xfId="0" applyNumberFormat="1" applyFont="1" applyFill="1" applyBorder="1" applyAlignment="1">
      <alignment horizontal="right"/>
    </xf>
    <xf numFmtId="0" fontId="18" fillId="0" borderId="0" xfId="0" applyFont="1" applyFill="1"/>
    <xf numFmtId="0" fontId="0" fillId="0" borderId="19" xfId="0" applyBorder="1"/>
    <xf numFmtId="0" fontId="26" fillId="8" borderId="25" xfId="0" applyFont="1" applyFill="1" applyBorder="1" applyAlignment="1">
      <alignment horizontal="center"/>
    </xf>
    <xf numFmtId="0" fontId="27" fillId="0" borderId="22" xfId="0" quotePrefix="1" applyFont="1" applyBorder="1" applyAlignment="1">
      <alignment horizontal="left"/>
    </xf>
    <xf numFmtId="0" fontId="26" fillId="8" borderId="26" xfId="0" applyFont="1" applyFill="1" applyBorder="1" applyAlignment="1">
      <alignment horizontal="center"/>
    </xf>
    <xf numFmtId="0" fontId="29" fillId="4" borderId="22" xfId="0" applyFont="1" applyFill="1" applyBorder="1"/>
    <xf numFmtId="0" fontId="26" fillId="8" borderId="27" xfId="0" applyFont="1" applyFill="1" applyBorder="1" applyAlignment="1">
      <alignment horizontal="center"/>
    </xf>
    <xf numFmtId="0" fontId="30" fillId="0" borderId="22" xfId="0" applyFont="1" applyBorder="1"/>
    <xf numFmtId="0" fontId="17" fillId="0" borderId="28" xfId="0" applyFont="1" applyFill="1" applyBorder="1"/>
    <xf numFmtId="0" fontId="17" fillId="0" borderId="22" xfId="0" applyFont="1" applyBorder="1"/>
    <xf numFmtId="0" fontId="19" fillId="4" borderId="17" xfId="0" applyFont="1" applyFill="1" applyBorder="1" applyAlignment="1">
      <alignment horizontal="center"/>
    </xf>
    <xf numFmtId="0" fontId="31" fillId="4" borderId="18" xfId="0" applyFont="1" applyFill="1" applyBorder="1"/>
    <xf numFmtId="0" fontId="17" fillId="0" borderId="22" xfId="0" applyFont="1" applyBorder="1" applyAlignment="1">
      <alignment horizontal="left"/>
    </xf>
    <xf numFmtId="3" fontId="25" fillId="4" borderId="18" xfId="0" applyNumberFormat="1" applyFont="1" applyFill="1" applyBorder="1"/>
    <xf numFmtId="0" fontId="17" fillId="0" borderId="22" xfId="0" quotePrefix="1" applyFont="1" applyBorder="1" applyAlignment="1">
      <alignment horizontal="left"/>
    </xf>
    <xf numFmtId="3" fontId="32" fillId="4" borderId="21" xfId="0" applyNumberFormat="1" applyFont="1" applyFill="1" applyBorder="1"/>
    <xf numFmtId="3" fontId="25" fillId="9" borderId="18" xfId="0" applyNumberFormat="1" applyFont="1" applyFill="1" applyBorder="1"/>
    <xf numFmtId="3" fontId="25" fillId="9" borderId="23" xfId="0" applyNumberFormat="1" applyFont="1" applyFill="1" applyBorder="1"/>
    <xf numFmtId="0" fontId="33" fillId="0" borderId="14" xfId="0" applyFont="1" applyFill="1" applyBorder="1"/>
    <xf numFmtId="0" fontId="34" fillId="0" borderId="0" xfId="0" applyFont="1" applyFill="1" applyBorder="1" applyAlignment="1">
      <alignment horizontal="center"/>
    </xf>
    <xf numFmtId="0" fontId="35" fillId="10" borderId="25" xfId="0" applyFont="1" applyFill="1" applyBorder="1" applyAlignment="1">
      <alignment horizontal="center"/>
    </xf>
    <xf numFmtId="0" fontId="36" fillId="0" borderId="0" xfId="0" applyFont="1" applyFill="1" applyBorder="1"/>
    <xf numFmtId="0" fontId="35" fillId="0" borderId="0" xfId="0" applyFont="1" applyFill="1" applyBorder="1" applyAlignment="1">
      <alignment horizontal="center"/>
    </xf>
    <xf numFmtId="0" fontId="37" fillId="0" borderId="0" xfId="0" applyFont="1"/>
    <xf numFmtId="0" fontId="33" fillId="0" borderId="0" xfId="0" applyFont="1" applyFill="1" applyBorder="1"/>
    <xf numFmtId="0" fontId="38" fillId="0" borderId="0" xfId="0" applyFont="1" applyFill="1" applyBorder="1" applyAlignment="1">
      <alignment horizontal="center"/>
    </xf>
    <xf numFmtId="0" fontId="35" fillId="10" borderId="26" xfId="0" applyFont="1" applyFill="1" applyBorder="1" applyAlignment="1">
      <alignment horizontal="center"/>
    </xf>
    <xf numFmtId="0" fontId="35" fillId="10" borderId="27" xfId="0" applyFont="1" applyFill="1" applyBorder="1" applyAlignment="1">
      <alignment horizontal="center"/>
    </xf>
    <xf numFmtId="0" fontId="39" fillId="0" borderId="0" xfId="0" applyFont="1" applyFill="1" applyBorder="1" applyAlignment="1">
      <alignment horizontal="center"/>
    </xf>
    <xf numFmtId="0" fontId="30" fillId="0" borderId="22" xfId="0" applyFont="1" applyFill="1" applyBorder="1"/>
    <xf numFmtId="0" fontId="17" fillId="0" borderId="22" xfId="0" applyFont="1" applyFill="1" applyBorder="1"/>
    <xf numFmtId="0" fontId="40" fillId="0" borderId="17" xfId="0" applyFont="1" applyFill="1" applyBorder="1" applyAlignment="1">
      <alignment horizontal="center"/>
    </xf>
    <xf numFmtId="0" fontId="40" fillId="11" borderId="17" xfId="0" applyFont="1" applyFill="1" applyBorder="1" applyAlignment="1">
      <alignment horizontal="center"/>
    </xf>
    <xf numFmtId="0" fontId="40" fillId="0" borderId="21" xfId="0" applyFont="1" applyFill="1" applyBorder="1" applyAlignment="1">
      <alignment horizontal="center"/>
    </xf>
    <xf numFmtId="0" fontId="40" fillId="11" borderId="21" xfId="0" applyFont="1" applyFill="1" applyBorder="1" applyAlignment="1">
      <alignment horizontal="center"/>
    </xf>
    <xf numFmtId="0" fontId="31" fillId="0" borderId="18" xfId="0" applyFont="1" applyFill="1" applyBorder="1"/>
    <xf numFmtId="0" fontId="31" fillId="11" borderId="18" xfId="0" applyFont="1" applyFill="1" applyBorder="1"/>
    <xf numFmtId="0" fontId="17" fillId="0" borderId="22" xfId="0" applyFont="1" applyFill="1" applyBorder="1" applyAlignment="1">
      <alignment horizontal="left"/>
    </xf>
    <xf numFmtId="164" fontId="41" fillId="11" borderId="18" xfId="2" applyNumberFormat="1" applyFont="1" applyFill="1" applyBorder="1"/>
    <xf numFmtId="164" fontId="29" fillId="0" borderId="18" xfId="2" applyNumberFormat="1" applyFont="1" applyFill="1" applyBorder="1"/>
    <xf numFmtId="164" fontId="41" fillId="0" borderId="18" xfId="2" applyNumberFormat="1" applyFont="1" applyFill="1" applyBorder="1"/>
    <xf numFmtId="10" fontId="41" fillId="0" borderId="18" xfId="5" applyNumberFormat="1" applyFont="1" applyFill="1" applyBorder="1"/>
    <xf numFmtId="3" fontId="41" fillId="0" borderId="18" xfId="0" applyNumberFormat="1" applyFont="1" applyFill="1" applyBorder="1"/>
    <xf numFmtId="164" fontId="41" fillId="12" borderId="18" xfId="2" applyNumberFormat="1" applyFont="1" applyFill="1" applyBorder="1"/>
    <xf numFmtId="164" fontId="17" fillId="12" borderId="18" xfId="2" applyNumberFormat="1" applyFont="1" applyFill="1" applyBorder="1"/>
    <xf numFmtId="0" fontId="17" fillId="0" borderId="22" xfId="0" quotePrefix="1" applyFont="1" applyFill="1" applyBorder="1" applyAlignment="1">
      <alignment horizontal="left"/>
    </xf>
    <xf numFmtId="171" fontId="17" fillId="0" borderId="18" xfId="0" applyNumberFormat="1" applyFont="1" applyFill="1" applyBorder="1"/>
    <xf numFmtId="171" fontId="17" fillId="0" borderId="21" xfId="0" applyNumberFormat="1" applyFont="1" applyFill="1" applyBorder="1"/>
    <xf numFmtId="164" fontId="17" fillId="12" borderId="21" xfId="2" applyNumberFormat="1" applyFont="1" applyFill="1" applyBorder="1"/>
    <xf numFmtId="164" fontId="41" fillId="0" borderId="21" xfId="2" applyNumberFormat="1" applyFont="1" applyFill="1" applyBorder="1"/>
    <xf numFmtId="164" fontId="41" fillId="11" borderId="21" xfId="2" applyNumberFormat="1" applyFont="1" applyFill="1" applyBorder="1"/>
    <xf numFmtId="164" fontId="29" fillId="0" borderId="21" xfId="2" applyNumberFormat="1" applyFont="1" applyFill="1" applyBorder="1"/>
    <xf numFmtId="10" fontId="42" fillId="4" borderId="0" xfId="5" applyNumberFormat="1" applyFont="1" applyFill="1"/>
    <xf numFmtId="10" fontId="43" fillId="4" borderId="0" xfId="5" applyNumberFormat="1" applyFont="1" applyFill="1"/>
    <xf numFmtId="9" fontId="41" fillId="0" borderId="18" xfId="2" applyNumberFormat="1" applyFont="1" applyFill="1" applyBorder="1"/>
    <xf numFmtId="3" fontId="17" fillId="0" borderId="18" xfId="0" applyNumberFormat="1" applyFont="1" applyFill="1" applyBorder="1"/>
    <xf numFmtId="3" fontId="41" fillId="0" borderId="21" xfId="0" applyNumberFormat="1" applyFont="1" applyFill="1" applyBorder="1"/>
    <xf numFmtId="164" fontId="29" fillId="12" borderId="21" xfId="2" applyNumberFormat="1" applyFont="1" applyFill="1" applyBorder="1"/>
    <xf numFmtId="164" fontId="41" fillId="13" borderId="18" xfId="2" applyNumberFormat="1" applyFont="1" applyFill="1" applyBorder="1"/>
    <xf numFmtId="3" fontId="41" fillId="0" borderId="23" xfId="0" applyNumberFormat="1" applyFont="1" applyFill="1" applyBorder="1"/>
    <xf numFmtId="164" fontId="41" fillId="13" borderId="23" xfId="2" applyNumberFormat="1" applyFont="1" applyFill="1" applyBorder="1"/>
    <xf numFmtId="164" fontId="41" fillId="0" borderId="23" xfId="2" applyNumberFormat="1" applyFont="1" applyFill="1" applyBorder="1"/>
    <xf numFmtId="10" fontId="0" fillId="0" borderId="0" xfId="5" applyNumberFormat="1" applyFont="1"/>
    <xf numFmtId="0" fontId="0" fillId="0" borderId="0" xfId="0" applyFill="1"/>
    <xf numFmtId="9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164" fontId="0" fillId="0" borderId="29" xfId="2" applyNumberFormat="1" applyFont="1" applyBorder="1"/>
    <xf numFmtId="3" fontId="0" fillId="0" borderId="0" xfId="0" applyNumberFormat="1"/>
    <xf numFmtId="0" fontId="44" fillId="0" borderId="28" xfId="0" applyFont="1" applyFill="1" applyBorder="1"/>
    <xf numFmtId="0" fontId="24" fillId="0" borderId="17" xfId="0" applyFont="1" applyFill="1" applyBorder="1" applyAlignment="1">
      <alignment horizontal="center"/>
    </xf>
    <xf numFmtId="0" fontId="24" fillId="0" borderId="21" xfId="0" applyFont="1" applyFill="1" applyBorder="1" applyAlignment="1">
      <alignment horizontal="center"/>
    </xf>
    <xf numFmtId="0" fontId="45" fillId="0" borderId="18" xfId="0" applyFont="1" applyFill="1" applyBorder="1"/>
    <xf numFmtId="10" fontId="31" fillId="0" borderId="18" xfId="5" applyNumberFormat="1" applyFont="1" applyFill="1" applyBorder="1"/>
    <xf numFmtId="172" fontId="31" fillId="0" borderId="18" xfId="0" applyNumberFormat="1" applyFont="1" applyFill="1" applyBorder="1"/>
    <xf numFmtId="3" fontId="45" fillId="0" borderId="18" xfId="7" applyNumberFormat="1" applyFont="1" applyFill="1" applyBorder="1"/>
    <xf numFmtId="164" fontId="44" fillId="0" borderId="18" xfId="2" applyNumberFormat="1" applyFont="1" applyFill="1" applyBorder="1"/>
    <xf numFmtId="10" fontId="29" fillId="0" borderId="18" xfId="5" applyNumberFormat="1" applyFont="1" applyFill="1" applyBorder="1"/>
    <xf numFmtId="3" fontId="45" fillId="0" borderId="18" xfId="5" applyNumberFormat="1" applyFont="1" applyFill="1" applyBorder="1"/>
    <xf numFmtId="164" fontId="31" fillId="0" borderId="18" xfId="2" applyNumberFormat="1" applyFont="1" applyFill="1" applyBorder="1"/>
    <xf numFmtId="173" fontId="41" fillId="0" borderId="18" xfId="2" applyNumberFormat="1" applyFont="1" applyFill="1" applyBorder="1"/>
    <xf numFmtId="164" fontId="44" fillId="0" borderId="21" xfId="2" applyNumberFormat="1" applyFont="1" applyFill="1" applyBorder="1"/>
    <xf numFmtId="165" fontId="29" fillId="0" borderId="18" xfId="5" applyNumberFormat="1" applyFont="1" applyFill="1" applyBorder="1"/>
    <xf numFmtId="164" fontId="45" fillId="0" borderId="21" xfId="2" applyNumberFormat="1" applyFont="1" applyFill="1" applyBorder="1"/>
    <xf numFmtId="164" fontId="31" fillId="0" borderId="21" xfId="2" applyNumberFormat="1" applyFont="1" applyFill="1" applyBorder="1"/>
    <xf numFmtId="164" fontId="45" fillId="0" borderId="23" xfId="2" applyNumberFormat="1" applyFont="1" applyFill="1" applyBorder="1"/>
    <xf numFmtId="0" fontId="33" fillId="0" borderId="0" xfId="0" applyFont="1"/>
    <xf numFmtId="165" fontId="0" fillId="0" borderId="0" xfId="5" applyNumberFormat="1" applyFont="1"/>
    <xf numFmtId="165" fontId="0" fillId="0" borderId="0" xfId="5" applyNumberFormat="1" applyFont="1" applyFill="1"/>
    <xf numFmtId="0" fontId="26" fillId="9" borderId="25" xfId="0" applyFont="1" applyFill="1" applyBorder="1" applyAlignment="1">
      <alignment horizontal="center"/>
    </xf>
    <xf numFmtId="0" fontId="9" fillId="0" borderId="0" xfId="0" applyFont="1" applyFill="1"/>
    <xf numFmtId="0" fontId="47" fillId="0" borderId="0" xfId="0" applyFont="1" applyFill="1" applyAlignment="1">
      <alignment horizontal="right"/>
    </xf>
    <xf numFmtId="0" fontId="33" fillId="0" borderId="0" xfId="0" applyFont="1" applyBorder="1"/>
    <xf numFmtId="0" fontId="0" fillId="0" borderId="0" xfId="0" applyFill="1" applyBorder="1"/>
    <xf numFmtId="0" fontId="26" fillId="9" borderId="26" xfId="0" applyFont="1" applyFill="1" applyBorder="1" applyAlignment="1">
      <alignment horizontal="center"/>
    </xf>
    <xf numFmtId="0" fontId="46" fillId="0" borderId="0" xfId="0" applyFont="1" applyFill="1" applyBorder="1" applyAlignment="1">
      <alignment horizontal="center"/>
    </xf>
    <xf numFmtId="0" fontId="9" fillId="0" borderId="0" xfId="0" applyFont="1" applyFill="1" applyBorder="1"/>
    <xf numFmtId="0" fontId="0" fillId="0" borderId="0" xfId="0" applyBorder="1"/>
    <xf numFmtId="0" fontId="26" fillId="0" borderId="0" xfId="0" applyFont="1" applyBorder="1" applyAlignment="1">
      <alignment horizontal="center"/>
    </xf>
    <xf numFmtId="0" fontId="50" fillId="0" borderId="0" xfId="0" applyFont="1" applyBorder="1" applyAlignment="1">
      <alignment horizontal="center" wrapText="1"/>
    </xf>
    <xf numFmtId="0" fontId="50" fillId="0" borderId="0" xfId="0" applyFont="1" applyFill="1" applyBorder="1" applyAlignment="1">
      <alignment horizontal="center" wrapText="1"/>
    </xf>
    <xf numFmtId="0" fontId="26" fillId="0" borderId="0" xfId="0" applyFont="1" applyBorder="1" applyAlignment="1">
      <alignment horizontal="left"/>
    </xf>
    <xf numFmtId="165" fontId="0" fillId="0" borderId="0" xfId="5" applyNumberFormat="1" applyFont="1" applyFill="1" applyBorder="1"/>
    <xf numFmtId="0" fontId="26" fillId="9" borderId="27" xfId="0" applyFont="1" applyFill="1" applyBorder="1" applyAlignment="1">
      <alignment horizontal="center"/>
    </xf>
    <xf numFmtId="0" fontId="51" fillId="0" borderId="0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165" fontId="0" fillId="0" borderId="0" xfId="5" applyNumberFormat="1" applyFont="1" applyFill="1" applyAlignment="1">
      <alignment horizontal="center"/>
    </xf>
    <xf numFmtId="0" fontId="16" fillId="7" borderId="17" xfId="0" applyFont="1" applyFill="1" applyBorder="1" applyAlignment="1">
      <alignment horizontal="center"/>
    </xf>
    <xf numFmtId="0" fontId="16" fillId="0" borderId="17" xfId="0" applyFont="1" applyFill="1" applyBorder="1" applyAlignment="1">
      <alignment horizontal="center"/>
    </xf>
    <xf numFmtId="165" fontId="16" fillId="0" borderId="17" xfId="5" applyNumberFormat="1" applyFont="1" applyFill="1" applyBorder="1" applyAlignment="1">
      <alignment horizontal="center"/>
    </xf>
    <xf numFmtId="0" fontId="16" fillId="0" borderId="18" xfId="0" applyFont="1" applyFill="1" applyBorder="1" applyAlignment="1">
      <alignment horizontal="center"/>
    </xf>
    <xf numFmtId="165" fontId="16" fillId="0" borderId="18" xfId="5" applyNumberFormat="1" applyFont="1" applyFill="1" applyBorder="1" applyAlignment="1">
      <alignment horizontal="center"/>
    </xf>
    <xf numFmtId="0" fontId="45" fillId="0" borderId="18" xfId="0" applyFont="1" applyFill="1" applyBorder="1" applyAlignment="1">
      <alignment horizontal="center"/>
    </xf>
    <xf numFmtId="0" fontId="53" fillId="0" borderId="18" xfId="0" applyFont="1" applyFill="1" applyBorder="1" applyAlignment="1">
      <alignment horizontal="center"/>
    </xf>
    <xf numFmtId="0" fontId="17" fillId="0" borderId="18" xfId="0" applyFont="1" applyFill="1" applyBorder="1" applyAlignment="1">
      <alignment horizontal="center"/>
    </xf>
    <xf numFmtId="165" fontId="17" fillId="0" borderId="18" xfId="5" applyNumberFormat="1" applyFont="1" applyFill="1" applyBorder="1" applyAlignment="1">
      <alignment horizontal="center"/>
    </xf>
    <xf numFmtId="0" fontId="44" fillId="0" borderId="18" xfId="0" applyFont="1" applyFill="1" applyBorder="1" applyAlignment="1">
      <alignment horizontal="center"/>
    </xf>
    <xf numFmtId="0" fontId="16" fillId="0" borderId="17" xfId="0" quotePrefix="1" applyFont="1" applyFill="1" applyBorder="1" applyAlignment="1">
      <alignment horizontal="center"/>
    </xf>
    <xf numFmtId="0" fontId="16" fillId="4" borderId="17" xfId="0" quotePrefix="1" applyFont="1" applyFill="1" applyBorder="1" applyAlignment="1">
      <alignment horizontal="center"/>
    </xf>
    <xf numFmtId="0" fontId="45" fillId="0" borderId="17" xfId="0" quotePrefix="1" applyFont="1" applyFill="1" applyBorder="1" applyAlignment="1">
      <alignment horizontal="center"/>
    </xf>
    <xf numFmtId="0" fontId="18" fillId="0" borderId="21" xfId="0" applyFont="1" applyFill="1" applyBorder="1"/>
    <xf numFmtId="165" fontId="18" fillId="0" borderId="21" xfId="5" applyNumberFormat="1" applyFont="1" applyFill="1" applyBorder="1"/>
    <xf numFmtId="0" fontId="18" fillId="4" borderId="21" xfId="0" applyFont="1" applyFill="1" applyBorder="1"/>
    <xf numFmtId="0" fontId="44" fillId="0" borderId="21" xfId="0" applyFont="1" applyFill="1" applyBorder="1"/>
    <xf numFmtId="0" fontId="19" fillId="0" borderId="21" xfId="0" applyFont="1" applyFill="1" applyBorder="1" applyAlignment="1">
      <alignment horizontal="center"/>
    </xf>
    <xf numFmtId="165" fontId="19" fillId="0" borderId="21" xfId="5" applyNumberFormat="1" applyFont="1" applyFill="1" applyBorder="1" applyAlignment="1">
      <alignment horizontal="center"/>
    </xf>
    <xf numFmtId="0" fontId="44" fillId="0" borderId="21" xfId="0" applyFont="1" applyFill="1" applyBorder="1" applyAlignment="1">
      <alignment horizontal="center"/>
    </xf>
    <xf numFmtId="0" fontId="54" fillId="0" borderId="21" xfId="0" applyFont="1" applyFill="1" applyBorder="1" applyAlignment="1">
      <alignment horizontal="center"/>
    </xf>
    <xf numFmtId="0" fontId="55" fillId="7" borderId="18" xfId="0" applyFont="1" applyFill="1" applyBorder="1" applyAlignment="1">
      <alignment horizontal="center"/>
    </xf>
    <xf numFmtId="0" fontId="18" fillId="7" borderId="18" xfId="0" applyFont="1" applyFill="1" applyBorder="1"/>
    <xf numFmtId="0" fontId="18" fillId="0" borderId="18" xfId="0" applyFont="1" applyFill="1" applyBorder="1"/>
    <xf numFmtId="165" fontId="16" fillId="0" borderId="18" xfId="5" applyNumberFormat="1" applyFont="1" applyFill="1" applyBorder="1"/>
    <xf numFmtId="0" fontId="16" fillId="0" borderId="18" xfId="0" applyFont="1" applyFill="1" applyBorder="1"/>
    <xf numFmtId="0" fontId="21" fillId="7" borderId="18" xfId="0" applyFont="1" applyFill="1" applyBorder="1" applyAlignment="1">
      <alignment horizontal="center"/>
    </xf>
    <xf numFmtId="0" fontId="18" fillId="7" borderId="18" xfId="0" applyFont="1" applyFill="1" applyBorder="1" applyAlignment="1">
      <alignment horizontal="center"/>
    </xf>
    <xf numFmtId="0" fontId="18" fillId="0" borderId="18" xfId="0" applyFont="1" applyFill="1" applyBorder="1" applyAlignment="1">
      <alignment horizontal="center"/>
    </xf>
    <xf numFmtId="165" fontId="21" fillId="0" borderId="18" xfId="5" applyNumberFormat="1" applyFont="1" applyFill="1" applyBorder="1" applyAlignment="1">
      <alignment horizontal="center"/>
    </xf>
    <xf numFmtId="0" fontId="21" fillId="0" borderId="18" xfId="0" applyFont="1" applyFill="1" applyBorder="1" applyAlignment="1">
      <alignment horizontal="center"/>
    </xf>
    <xf numFmtId="3" fontId="18" fillId="7" borderId="18" xfId="0" applyNumberFormat="1" applyFont="1" applyFill="1" applyBorder="1" applyAlignment="1">
      <alignment horizontal="right"/>
    </xf>
    <xf numFmtId="3" fontId="18" fillId="0" borderId="18" xfId="0" applyNumberFormat="1" applyFont="1" applyFill="1" applyBorder="1" applyAlignment="1">
      <alignment horizontal="right"/>
    </xf>
    <xf numFmtId="165" fontId="21" fillId="0" borderId="18" xfId="5" applyNumberFormat="1" applyFont="1" applyFill="1" applyBorder="1" applyAlignment="1">
      <alignment horizontal="right"/>
    </xf>
    <xf numFmtId="3" fontId="21" fillId="0" borderId="18" xfId="0" applyNumberFormat="1" applyFont="1" applyFill="1" applyBorder="1" applyAlignment="1">
      <alignment horizontal="right"/>
    </xf>
    <xf numFmtId="3" fontId="17" fillId="0" borderId="18" xfId="0" applyNumberFormat="1" applyFont="1" applyFill="1" applyBorder="1" applyAlignment="1">
      <alignment horizontal="right"/>
    </xf>
    <xf numFmtId="3" fontId="45" fillId="0" borderId="18" xfId="0" applyNumberFormat="1" applyFont="1" applyFill="1" applyBorder="1" applyAlignment="1">
      <alignment horizontal="right"/>
    </xf>
    <xf numFmtId="3" fontId="44" fillId="0" borderId="18" xfId="0" applyNumberFormat="1" applyFont="1" applyFill="1" applyBorder="1" applyAlignment="1">
      <alignment horizontal="right"/>
    </xf>
    <xf numFmtId="3" fontId="21" fillId="7" borderId="18" xfId="0" applyNumberFormat="1" applyFont="1" applyFill="1" applyBorder="1" applyAlignment="1">
      <alignment horizontal="right"/>
    </xf>
    <xf numFmtId="174" fontId="17" fillId="0" borderId="18" xfId="0" applyNumberFormat="1" applyFont="1" applyFill="1" applyBorder="1" applyAlignment="1">
      <alignment horizontal="right"/>
    </xf>
    <xf numFmtId="3" fontId="21" fillId="14" borderId="18" xfId="0" applyNumberFormat="1" applyFont="1" applyFill="1" applyBorder="1" applyAlignment="1">
      <alignment horizontal="right"/>
    </xf>
    <xf numFmtId="3" fontId="18" fillId="7" borderId="21" xfId="0" applyNumberFormat="1" applyFont="1" applyFill="1" applyBorder="1" applyAlignment="1">
      <alignment horizontal="right"/>
    </xf>
    <xf numFmtId="3" fontId="21" fillId="7" borderId="21" xfId="0" applyNumberFormat="1" applyFont="1" applyFill="1" applyBorder="1" applyAlignment="1">
      <alignment horizontal="right"/>
    </xf>
    <xf numFmtId="3" fontId="21" fillId="0" borderId="21" xfId="0" applyNumberFormat="1" applyFont="1" applyFill="1" applyBorder="1" applyAlignment="1">
      <alignment horizontal="right"/>
    </xf>
    <xf numFmtId="165" fontId="21" fillId="0" borderId="21" xfId="5" applyNumberFormat="1" applyFont="1" applyFill="1" applyBorder="1" applyAlignment="1">
      <alignment horizontal="right"/>
    </xf>
    <xf numFmtId="3" fontId="17" fillId="0" borderId="21" xfId="0" applyNumberFormat="1" applyFont="1" applyFill="1" applyBorder="1" applyAlignment="1">
      <alignment horizontal="right"/>
    </xf>
    <xf numFmtId="3" fontId="45" fillId="0" borderId="21" xfId="0" applyNumberFormat="1" applyFont="1" applyFill="1" applyBorder="1" applyAlignment="1">
      <alignment horizontal="right"/>
    </xf>
    <xf numFmtId="3" fontId="44" fillId="0" borderId="21" xfId="0" applyNumberFormat="1" applyFont="1" applyFill="1" applyBorder="1" applyAlignment="1">
      <alignment horizontal="right"/>
    </xf>
    <xf numFmtId="3" fontId="21" fillId="14" borderId="21" xfId="0" applyNumberFormat="1" applyFont="1" applyFill="1" applyBorder="1" applyAlignment="1">
      <alignment horizontal="right"/>
    </xf>
    <xf numFmtId="166" fontId="18" fillId="7" borderId="18" xfId="0" applyNumberFormat="1" applyFont="1" applyFill="1" applyBorder="1" applyAlignment="1">
      <alignment horizontal="right"/>
    </xf>
    <xf numFmtId="166" fontId="18" fillId="0" borderId="18" xfId="0" applyNumberFormat="1" applyFont="1" applyFill="1" applyBorder="1" applyAlignment="1">
      <alignment horizontal="right"/>
    </xf>
    <xf numFmtId="175" fontId="18" fillId="7" borderId="18" xfId="0" applyNumberFormat="1" applyFont="1" applyFill="1" applyBorder="1" applyAlignment="1">
      <alignment horizontal="right"/>
    </xf>
    <xf numFmtId="166" fontId="21" fillId="0" borderId="18" xfId="0" applyNumberFormat="1" applyFont="1" applyFill="1" applyBorder="1" applyAlignment="1">
      <alignment horizontal="right"/>
    </xf>
    <xf numFmtId="166" fontId="17" fillId="0" borderId="18" xfId="0" applyNumberFormat="1" applyFont="1" applyFill="1" applyBorder="1" applyAlignment="1">
      <alignment horizontal="right"/>
    </xf>
    <xf numFmtId="166" fontId="45" fillId="0" borderId="18" xfId="0" applyNumberFormat="1" applyFont="1" applyFill="1" applyBorder="1" applyAlignment="1">
      <alignment horizontal="right"/>
    </xf>
    <xf numFmtId="166" fontId="44" fillId="0" borderId="18" xfId="0" applyNumberFormat="1" applyFont="1" applyFill="1" applyBorder="1" applyAlignment="1">
      <alignment horizontal="right"/>
    </xf>
    <xf numFmtId="166" fontId="18" fillId="7" borderId="21" xfId="0" applyNumberFormat="1" applyFont="1" applyFill="1" applyBorder="1" applyAlignment="1">
      <alignment horizontal="right"/>
    </xf>
    <xf numFmtId="166" fontId="18" fillId="0" borderId="21" xfId="0" applyNumberFormat="1" applyFont="1" applyFill="1" applyBorder="1" applyAlignment="1">
      <alignment horizontal="right"/>
    </xf>
    <xf numFmtId="165" fontId="56" fillId="0" borderId="21" xfId="5" applyNumberFormat="1" applyFont="1" applyFill="1" applyBorder="1" applyAlignment="1">
      <alignment horizontal="right"/>
    </xf>
    <xf numFmtId="175" fontId="18" fillId="7" borderId="21" xfId="0" applyNumberFormat="1" applyFont="1" applyFill="1" applyBorder="1" applyAlignment="1">
      <alignment horizontal="right"/>
    </xf>
    <xf numFmtId="166" fontId="21" fillId="0" borderId="21" xfId="0" applyNumberFormat="1" applyFont="1" applyFill="1" applyBorder="1" applyAlignment="1">
      <alignment horizontal="right"/>
    </xf>
    <xf numFmtId="166" fontId="17" fillId="0" borderId="21" xfId="0" applyNumberFormat="1" applyFont="1" applyFill="1" applyBorder="1" applyAlignment="1">
      <alignment horizontal="right"/>
    </xf>
    <xf numFmtId="166" fontId="45" fillId="0" borderId="21" xfId="0" applyNumberFormat="1" applyFont="1" applyFill="1" applyBorder="1" applyAlignment="1">
      <alignment horizontal="right"/>
    </xf>
    <xf numFmtId="166" fontId="44" fillId="0" borderId="21" xfId="0" applyNumberFormat="1" applyFont="1" applyFill="1" applyBorder="1" applyAlignment="1">
      <alignment horizontal="right"/>
    </xf>
    <xf numFmtId="170" fontId="18" fillId="7" borderId="21" xfId="0" applyNumberFormat="1" applyFont="1" applyFill="1" applyBorder="1" applyAlignment="1">
      <alignment horizontal="right"/>
    </xf>
    <xf numFmtId="169" fontId="18" fillId="7" borderId="21" xfId="0" applyNumberFormat="1" applyFont="1" applyFill="1" applyBorder="1" applyAlignment="1">
      <alignment horizontal="right"/>
    </xf>
    <xf numFmtId="169" fontId="19" fillId="0" borderId="21" xfId="0" applyNumberFormat="1" applyFont="1" applyFill="1" applyBorder="1" applyAlignment="1">
      <alignment horizontal="right"/>
    </xf>
    <xf numFmtId="170" fontId="21" fillId="0" borderId="21" xfId="0" applyNumberFormat="1" applyFont="1" applyFill="1" applyBorder="1" applyAlignment="1">
      <alignment horizontal="right"/>
    </xf>
    <xf numFmtId="170" fontId="57" fillId="4" borderId="21" xfId="0" applyNumberFormat="1" applyFont="1" applyFill="1" applyBorder="1" applyAlignment="1">
      <alignment horizontal="right"/>
    </xf>
    <xf numFmtId="170" fontId="45" fillId="0" borderId="21" xfId="0" applyNumberFormat="1" applyFont="1" applyFill="1" applyBorder="1" applyAlignment="1">
      <alignment horizontal="right"/>
    </xf>
    <xf numFmtId="170" fontId="21" fillId="4" borderId="21" xfId="0" applyNumberFormat="1" applyFont="1" applyFill="1" applyBorder="1" applyAlignment="1">
      <alignment horizontal="right"/>
    </xf>
    <xf numFmtId="169" fontId="44" fillId="0" borderId="21" xfId="0" applyNumberFormat="1" applyFont="1" applyFill="1" applyBorder="1" applyAlignment="1">
      <alignment horizontal="right"/>
    </xf>
    <xf numFmtId="3" fontId="57" fillId="4" borderId="18" xfId="0" applyNumberFormat="1" applyFont="1" applyFill="1" applyBorder="1" applyAlignment="1">
      <alignment horizontal="right"/>
    </xf>
    <xf numFmtId="3" fontId="58" fillId="0" borderId="18" xfId="0" applyNumberFormat="1" applyFont="1" applyFill="1" applyBorder="1" applyAlignment="1">
      <alignment horizontal="right"/>
    </xf>
    <xf numFmtId="3" fontId="18" fillId="7" borderId="17" xfId="0" applyNumberFormat="1" applyFont="1" applyFill="1" applyBorder="1" applyAlignment="1">
      <alignment horizontal="right"/>
    </xf>
    <xf numFmtId="3" fontId="18" fillId="0" borderId="17" xfId="0" applyNumberFormat="1" applyFont="1" applyFill="1" applyBorder="1" applyAlignment="1">
      <alignment horizontal="right"/>
    </xf>
    <xf numFmtId="165" fontId="21" fillId="0" borderId="17" xfId="5" applyNumberFormat="1" applyFont="1" applyFill="1" applyBorder="1" applyAlignment="1">
      <alignment horizontal="right"/>
    </xf>
    <xf numFmtId="3" fontId="21" fillId="0" borderId="17" xfId="0" applyNumberFormat="1" applyFont="1" applyFill="1" applyBorder="1" applyAlignment="1">
      <alignment horizontal="right"/>
    </xf>
    <xf numFmtId="3" fontId="45" fillId="0" borderId="17" xfId="0" applyNumberFormat="1" applyFont="1" applyFill="1" applyBorder="1" applyAlignment="1">
      <alignment horizontal="right"/>
    </xf>
    <xf numFmtId="3" fontId="58" fillId="0" borderId="17" xfId="0" applyNumberFormat="1" applyFont="1" applyFill="1" applyBorder="1" applyAlignment="1">
      <alignment horizontal="right"/>
    </xf>
    <xf numFmtId="3" fontId="44" fillId="0" borderId="17" xfId="0" applyNumberFormat="1" applyFont="1" applyFill="1" applyBorder="1" applyAlignment="1">
      <alignment horizontal="right"/>
    </xf>
    <xf numFmtId="10" fontId="23" fillId="7" borderId="0" xfId="5" applyNumberFormat="1" applyFont="1" applyFill="1"/>
    <xf numFmtId="176" fontId="18" fillId="7" borderId="21" xfId="0" applyNumberFormat="1" applyFont="1" applyFill="1" applyBorder="1" applyAlignment="1">
      <alignment horizontal="right"/>
    </xf>
    <xf numFmtId="168" fontId="18" fillId="7" borderId="21" xfId="0" applyNumberFormat="1" applyFont="1" applyFill="1" applyBorder="1" applyAlignment="1">
      <alignment horizontal="right"/>
    </xf>
    <xf numFmtId="165" fontId="59" fillId="7" borderId="0" xfId="5" applyNumberFormat="1" applyFont="1" applyFill="1"/>
    <xf numFmtId="168" fontId="21" fillId="0" borderId="0" xfId="0" applyNumberFormat="1" applyFont="1" applyFill="1" applyBorder="1" applyAlignment="1">
      <alignment horizontal="right"/>
    </xf>
    <xf numFmtId="165" fontId="60" fillId="7" borderId="0" xfId="5" applyNumberFormat="1" applyFont="1" applyFill="1"/>
    <xf numFmtId="168" fontId="61" fillId="7" borderId="21" xfId="0" applyNumberFormat="1" applyFont="1" applyFill="1" applyBorder="1" applyAlignment="1">
      <alignment horizontal="right"/>
    </xf>
    <xf numFmtId="165" fontId="62" fillId="7" borderId="0" xfId="5" applyNumberFormat="1" applyFont="1" applyFill="1"/>
    <xf numFmtId="10" fontId="63" fillId="4" borderId="0" xfId="5" applyNumberFormat="1" applyFont="1" applyFill="1"/>
    <xf numFmtId="168" fontId="45" fillId="0" borderId="0" xfId="0" applyNumberFormat="1" applyFont="1" applyFill="1" applyBorder="1" applyAlignment="1">
      <alignment horizontal="right"/>
    </xf>
    <xf numFmtId="0" fontId="16" fillId="7" borderId="18" xfId="0" applyFont="1" applyFill="1" applyBorder="1" applyAlignment="1">
      <alignment horizontal="right"/>
    </xf>
    <xf numFmtId="0" fontId="18" fillId="7" borderId="18" xfId="0" applyFont="1" applyFill="1" applyBorder="1" applyAlignment="1">
      <alignment horizontal="right"/>
    </xf>
    <xf numFmtId="0" fontId="21" fillId="0" borderId="18" xfId="0" applyFont="1" applyFill="1" applyBorder="1" applyAlignment="1">
      <alignment horizontal="right"/>
    </xf>
    <xf numFmtId="0" fontId="45" fillId="0" borderId="18" xfId="0" applyFont="1" applyFill="1" applyBorder="1" applyAlignment="1">
      <alignment horizontal="right"/>
    </xf>
    <xf numFmtId="0" fontId="58" fillId="0" borderId="18" xfId="0" applyFont="1" applyFill="1" applyBorder="1" applyAlignment="1">
      <alignment horizontal="right"/>
    </xf>
    <xf numFmtId="3" fontId="18" fillId="7" borderId="23" xfId="0" applyNumberFormat="1" applyFont="1" applyFill="1" applyBorder="1"/>
    <xf numFmtId="3" fontId="21" fillId="0" borderId="23" xfId="0" applyNumberFormat="1" applyFont="1" applyFill="1" applyBorder="1"/>
    <xf numFmtId="165" fontId="21" fillId="0" borderId="23" xfId="5" applyNumberFormat="1" applyFont="1" applyFill="1" applyBorder="1"/>
    <xf numFmtId="3" fontId="45" fillId="0" borderId="23" xfId="0" applyNumberFormat="1" applyFont="1" applyFill="1" applyBorder="1"/>
    <xf numFmtId="3" fontId="58" fillId="0" borderId="23" xfId="0" applyNumberFormat="1" applyFont="1" applyFill="1" applyBorder="1"/>
    <xf numFmtId="0" fontId="16" fillId="7" borderId="1" xfId="0" applyFont="1" applyFill="1" applyBorder="1"/>
    <xf numFmtId="165" fontId="16" fillId="0" borderId="1" xfId="5" applyNumberFormat="1" applyFont="1" applyFill="1" applyBorder="1"/>
    <xf numFmtId="0" fontId="18" fillId="0" borderId="1" xfId="0" applyFont="1" applyFill="1" applyBorder="1" applyAlignment="1">
      <alignment horizontal="center"/>
    </xf>
    <xf numFmtId="0" fontId="53" fillId="0" borderId="1" xfId="0" applyFont="1" applyFill="1" applyBorder="1"/>
    <xf numFmtId="0" fontId="45" fillId="0" borderId="1" xfId="0" applyFont="1" applyFill="1" applyBorder="1"/>
    <xf numFmtId="165" fontId="16" fillId="0" borderId="17" xfId="5" applyNumberFormat="1" applyFont="1" applyFill="1" applyBorder="1"/>
    <xf numFmtId="0" fontId="45" fillId="0" borderId="17" xfId="0" applyFont="1" applyFill="1" applyBorder="1"/>
    <xf numFmtId="0" fontId="53" fillId="0" borderId="17" xfId="0" applyFont="1" applyFill="1" applyBorder="1"/>
    <xf numFmtId="0" fontId="18" fillId="0" borderId="21" xfId="0" applyFont="1" applyFill="1" applyBorder="1" applyAlignment="1">
      <alignment horizontal="center"/>
    </xf>
    <xf numFmtId="0" fontId="53" fillId="0" borderId="18" xfId="0" applyFont="1" applyFill="1" applyBorder="1"/>
    <xf numFmtId="165" fontId="19" fillId="0" borderId="18" xfId="5" applyNumberFormat="1" applyFont="1" applyFill="1" applyBorder="1" applyAlignment="1">
      <alignment horizontal="right"/>
    </xf>
    <xf numFmtId="3" fontId="19" fillId="0" borderId="18" xfId="0" applyNumberFormat="1" applyFont="1" applyFill="1" applyBorder="1" applyAlignment="1">
      <alignment horizontal="right"/>
    </xf>
    <xf numFmtId="3" fontId="19" fillId="4" borderId="18" xfId="0" applyNumberFormat="1" applyFont="1" applyFill="1" applyBorder="1" applyAlignment="1">
      <alignment horizontal="right"/>
    </xf>
    <xf numFmtId="3" fontId="22" fillId="0" borderId="18" xfId="0" applyNumberFormat="1" applyFont="1" applyFill="1" applyBorder="1" applyAlignment="1">
      <alignment horizontal="right"/>
    </xf>
    <xf numFmtId="165" fontId="22" fillId="0" borderId="18" xfId="5" applyNumberFormat="1" applyFont="1" applyFill="1" applyBorder="1" applyAlignment="1">
      <alignment horizontal="right"/>
    </xf>
    <xf numFmtId="3" fontId="22" fillId="15" borderId="18" xfId="0" applyNumberFormat="1" applyFont="1" applyFill="1" applyBorder="1" applyAlignment="1">
      <alignment horizontal="right"/>
    </xf>
    <xf numFmtId="3" fontId="21" fillId="4" borderId="21" xfId="0" applyNumberFormat="1" applyFont="1" applyFill="1" applyBorder="1" applyAlignment="1">
      <alignment horizontal="right"/>
    </xf>
    <xf numFmtId="177" fontId="18" fillId="7" borderId="21" xfId="0" applyNumberFormat="1" applyFont="1" applyFill="1" applyBorder="1" applyAlignment="1">
      <alignment horizontal="right"/>
    </xf>
    <xf numFmtId="3" fontId="18" fillId="0" borderId="21" xfId="0" applyNumberFormat="1" applyFont="1" applyFill="1" applyBorder="1" applyAlignment="1">
      <alignment horizontal="right"/>
    </xf>
    <xf numFmtId="2" fontId="18" fillId="7" borderId="21" xfId="0" applyNumberFormat="1" applyFont="1" applyFill="1" applyBorder="1" applyAlignment="1">
      <alignment horizontal="right"/>
    </xf>
    <xf numFmtId="2" fontId="18" fillId="0" borderId="21" xfId="0" applyNumberFormat="1" applyFont="1" applyFill="1" applyBorder="1" applyAlignment="1">
      <alignment horizontal="right"/>
    </xf>
    <xf numFmtId="2" fontId="21" fillId="0" borderId="21" xfId="0" applyNumberFormat="1" applyFont="1" applyFill="1" applyBorder="1" applyAlignment="1">
      <alignment horizontal="right"/>
    </xf>
    <xf numFmtId="2" fontId="17" fillId="0" borderId="21" xfId="0" applyNumberFormat="1" applyFont="1" applyFill="1" applyBorder="1" applyAlignment="1">
      <alignment horizontal="right"/>
    </xf>
    <xf numFmtId="2" fontId="45" fillId="0" borderId="21" xfId="0" applyNumberFormat="1" applyFont="1" applyFill="1" applyBorder="1" applyAlignment="1">
      <alignment horizontal="right"/>
    </xf>
    <xf numFmtId="2" fontId="44" fillId="0" borderId="21" xfId="0" applyNumberFormat="1" applyFont="1" applyFill="1" applyBorder="1" applyAlignment="1">
      <alignment horizontal="right"/>
    </xf>
    <xf numFmtId="2" fontId="21" fillId="4" borderId="21" xfId="0" applyNumberFormat="1" applyFont="1" applyFill="1" applyBorder="1" applyAlignment="1">
      <alignment horizontal="right"/>
    </xf>
    <xf numFmtId="165" fontId="66" fillId="7" borderId="0" xfId="5" applyNumberFormat="1" applyFont="1" applyFill="1"/>
    <xf numFmtId="167" fontId="66" fillId="7" borderId="0" xfId="5" applyNumberFormat="1" applyFont="1" applyFill="1"/>
    <xf numFmtId="165" fontId="67" fillId="7" borderId="0" xfId="5" applyNumberFormat="1" applyFont="1" applyFill="1"/>
    <xf numFmtId="168" fontId="18" fillId="0" borderId="0" xfId="0" applyNumberFormat="1" applyFont="1" applyFill="1" applyBorder="1" applyAlignment="1">
      <alignment horizontal="right"/>
    </xf>
    <xf numFmtId="165" fontId="63" fillId="7" borderId="0" xfId="5" applyNumberFormat="1" applyFont="1" applyFill="1"/>
    <xf numFmtId="10" fontId="29" fillId="7" borderId="0" xfId="5" applyNumberFormat="1" applyFont="1" applyFill="1"/>
    <xf numFmtId="0" fontId="18" fillId="0" borderId="18" xfId="0" applyFont="1" applyFill="1" applyBorder="1" applyAlignment="1">
      <alignment horizontal="right"/>
    </xf>
    <xf numFmtId="3" fontId="18" fillId="0" borderId="23" xfId="0" applyNumberFormat="1" applyFont="1" applyFill="1" applyBorder="1"/>
    <xf numFmtId="3" fontId="17" fillId="7" borderId="23" xfId="0" applyNumberFormat="1" applyFont="1" applyFill="1" applyBorder="1"/>
    <xf numFmtId="0" fontId="16" fillId="7" borderId="0" xfId="0" applyFont="1" applyFill="1" applyBorder="1"/>
    <xf numFmtId="165" fontId="16" fillId="0" borderId="0" xfId="5" applyNumberFormat="1" applyFont="1" applyFill="1" applyBorder="1"/>
    <xf numFmtId="0" fontId="18" fillId="0" borderId="0" xfId="0" applyFont="1" applyFill="1" applyBorder="1" applyAlignment="1">
      <alignment horizontal="center"/>
    </xf>
    <xf numFmtId="0" fontId="45" fillId="0" borderId="0" xfId="0" applyFont="1" applyFill="1" applyBorder="1"/>
    <xf numFmtId="0" fontId="53" fillId="0" borderId="0" xfId="0" applyFont="1" applyFill="1" applyBorder="1"/>
    <xf numFmtId="0" fontId="18" fillId="7" borderId="17" xfId="0" applyFont="1" applyFill="1" applyBorder="1"/>
    <xf numFmtId="0" fontId="18" fillId="0" borderId="17" xfId="0" applyFont="1" applyFill="1" applyBorder="1"/>
    <xf numFmtId="3" fontId="18" fillId="7" borderId="24" xfId="0" applyNumberFormat="1" applyFont="1" applyFill="1" applyBorder="1"/>
    <xf numFmtId="0" fontId="17" fillId="0" borderId="0" xfId="0" applyFont="1"/>
    <xf numFmtId="3" fontId="18" fillId="0" borderId="24" xfId="0" applyNumberFormat="1" applyFont="1" applyFill="1" applyBorder="1"/>
    <xf numFmtId="165" fontId="19" fillId="0" borderId="24" xfId="5" applyNumberFormat="1" applyFont="1" applyFill="1" applyBorder="1"/>
    <xf numFmtId="3" fontId="19" fillId="0" borderId="24" xfId="0" applyNumberFormat="1" applyFont="1" applyFill="1" applyBorder="1"/>
    <xf numFmtId="3" fontId="17" fillId="0" borderId="24" xfId="0" applyNumberFormat="1" applyFont="1" applyFill="1" applyBorder="1"/>
    <xf numFmtId="3" fontId="44" fillId="0" borderId="24" xfId="0" applyNumberFormat="1" applyFont="1" applyFill="1" applyBorder="1"/>
    <xf numFmtId="3" fontId="19" fillId="4" borderId="24" xfId="0" applyNumberFormat="1" applyFont="1" applyFill="1" applyBorder="1"/>
    <xf numFmtId="3" fontId="19" fillId="15" borderId="18" xfId="0" applyNumberFormat="1" applyFont="1" applyFill="1" applyBorder="1" applyAlignment="1">
      <alignment horizontal="right"/>
    </xf>
    <xf numFmtId="3" fontId="16" fillId="0" borderId="18" xfId="0" applyNumberFormat="1" applyFont="1" applyFill="1" applyBorder="1" applyAlignment="1">
      <alignment horizontal="right"/>
    </xf>
    <xf numFmtId="3" fontId="21" fillId="15" borderId="18" xfId="0" applyNumberFormat="1" applyFont="1" applyFill="1" applyBorder="1" applyAlignment="1">
      <alignment horizontal="right"/>
    </xf>
    <xf numFmtId="3" fontId="16" fillId="0" borderId="21" xfId="0" applyNumberFormat="1" applyFont="1" applyFill="1" applyBorder="1" applyAlignment="1">
      <alignment horizontal="right"/>
    </xf>
    <xf numFmtId="2" fontId="18" fillId="7" borderId="18" xfId="0" applyNumberFormat="1" applyFont="1" applyFill="1" applyBorder="1" applyAlignment="1">
      <alignment horizontal="right"/>
    </xf>
    <xf numFmtId="2" fontId="18" fillId="0" borderId="18" xfId="0" applyNumberFormat="1" applyFont="1" applyFill="1" applyBorder="1" applyAlignment="1">
      <alignment horizontal="right"/>
    </xf>
    <xf numFmtId="2" fontId="21" fillId="0" borderId="18" xfId="0" applyNumberFormat="1" applyFont="1" applyFill="1" applyBorder="1" applyAlignment="1">
      <alignment horizontal="right"/>
    </xf>
    <xf numFmtId="2" fontId="17" fillId="0" borderId="18" xfId="0" applyNumberFormat="1" applyFont="1" applyFill="1" applyBorder="1" applyAlignment="1">
      <alignment horizontal="right"/>
    </xf>
    <xf numFmtId="2" fontId="45" fillId="0" borderId="18" xfId="0" applyNumberFormat="1" applyFont="1" applyFill="1" applyBorder="1" applyAlignment="1">
      <alignment horizontal="right"/>
    </xf>
    <xf numFmtId="2" fontId="44" fillId="0" borderId="18" xfId="0" applyNumberFormat="1" applyFont="1" applyFill="1" applyBorder="1" applyAlignment="1">
      <alignment horizontal="right"/>
    </xf>
    <xf numFmtId="169" fontId="16" fillId="0" borderId="21" xfId="0" applyNumberFormat="1" applyFont="1" applyFill="1" applyBorder="1" applyAlignment="1">
      <alignment horizontal="right"/>
    </xf>
    <xf numFmtId="169" fontId="21" fillId="0" borderId="21" xfId="0" applyNumberFormat="1" applyFont="1" applyFill="1" applyBorder="1" applyAlignment="1">
      <alignment horizontal="right"/>
    </xf>
    <xf numFmtId="169" fontId="17" fillId="7" borderId="21" xfId="0" applyNumberFormat="1" applyFont="1" applyFill="1" applyBorder="1" applyAlignment="1">
      <alignment horizontal="right"/>
    </xf>
    <xf numFmtId="169" fontId="29" fillId="0" borderId="21" xfId="0" applyNumberFormat="1" applyFont="1" applyFill="1" applyBorder="1" applyAlignment="1">
      <alignment horizontal="right"/>
    </xf>
    <xf numFmtId="169" fontId="45" fillId="0" borderId="21" xfId="0" applyNumberFormat="1" applyFont="1" applyFill="1" applyBorder="1" applyAlignment="1">
      <alignment horizontal="right"/>
    </xf>
    <xf numFmtId="169" fontId="68" fillId="0" borderId="21" xfId="0" applyNumberFormat="1" applyFont="1" applyFill="1" applyBorder="1" applyAlignment="1">
      <alignment horizontal="right"/>
    </xf>
    <xf numFmtId="3" fontId="29" fillId="0" borderId="18" xfId="0" applyNumberFormat="1" applyFont="1" applyFill="1" applyBorder="1" applyAlignment="1">
      <alignment horizontal="right"/>
    </xf>
    <xf numFmtId="3" fontId="68" fillId="0" borderId="18" xfId="0" applyNumberFormat="1" applyFont="1" applyFill="1" applyBorder="1" applyAlignment="1">
      <alignment horizontal="right"/>
    </xf>
    <xf numFmtId="3" fontId="16" fillId="0" borderId="17" xfId="0" applyNumberFormat="1" applyFont="1" applyFill="1" applyBorder="1" applyAlignment="1">
      <alignment horizontal="right"/>
    </xf>
    <xf numFmtId="10" fontId="66" fillId="7" borderId="0" xfId="5" applyNumberFormat="1" applyFont="1" applyFill="1"/>
    <xf numFmtId="167" fontId="40" fillId="7" borderId="0" xfId="5" applyNumberFormat="1" applyFont="1" applyFill="1"/>
    <xf numFmtId="10" fontId="63" fillId="7" borderId="0" xfId="5" applyNumberFormat="1" applyFont="1" applyFill="1"/>
    <xf numFmtId="168" fontId="17" fillId="7" borderId="21" xfId="0" applyNumberFormat="1" applyFont="1" applyFill="1" applyBorder="1" applyAlignment="1">
      <alignment horizontal="right"/>
    </xf>
    <xf numFmtId="0" fontId="17" fillId="7" borderId="18" xfId="0" applyFont="1" applyFill="1" applyBorder="1" applyAlignment="1">
      <alignment horizontal="right"/>
    </xf>
    <xf numFmtId="165" fontId="16" fillId="0" borderId="0" xfId="5" applyNumberFormat="1" applyFont="1" applyFill="1" applyBorder="1" applyAlignment="1">
      <alignment horizontal="center"/>
    </xf>
    <xf numFmtId="3" fontId="18" fillId="0" borderId="0" xfId="0" applyNumberFormat="1" applyFont="1" applyFill="1" applyBorder="1" applyAlignment="1">
      <alignment horizontal="center"/>
    </xf>
    <xf numFmtId="3" fontId="45" fillId="0" borderId="0" xfId="0" applyNumberFormat="1" applyFont="1" applyFill="1" applyBorder="1" applyAlignment="1">
      <alignment horizontal="center"/>
    </xf>
    <xf numFmtId="3" fontId="53" fillId="0" borderId="0" xfId="0" applyNumberFormat="1" applyFont="1" applyFill="1" applyBorder="1" applyAlignment="1">
      <alignment horizontal="center"/>
    </xf>
    <xf numFmtId="0" fontId="24" fillId="0" borderId="17" xfId="0" applyFont="1" applyFill="1" applyBorder="1"/>
    <xf numFmtId="0" fontId="24" fillId="0" borderId="18" xfId="0" applyFont="1" applyFill="1" applyBorder="1"/>
    <xf numFmtId="0" fontId="24" fillId="0" borderId="18" xfId="0" applyFont="1" applyFill="1" applyBorder="1" applyAlignment="1">
      <alignment horizontal="center"/>
    </xf>
    <xf numFmtId="169" fontId="18" fillId="0" borderId="21" xfId="0" applyNumberFormat="1" applyFont="1" applyFill="1" applyBorder="1" applyAlignment="1">
      <alignment horizontal="right"/>
    </xf>
    <xf numFmtId="169" fontId="17" fillId="0" borderId="21" xfId="0" applyNumberFormat="1" applyFont="1" applyFill="1" applyBorder="1" applyAlignment="1">
      <alignment horizontal="right"/>
    </xf>
    <xf numFmtId="3" fontId="17" fillId="0" borderId="17" xfId="0" applyNumberFormat="1" applyFont="1" applyFill="1" applyBorder="1" applyAlignment="1">
      <alignment horizontal="right"/>
    </xf>
    <xf numFmtId="10" fontId="40" fillId="7" borderId="0" xfId="5" applyNumberFormat="1" applyFont="1" applyFill="1"/>
    <xf numFmtId="0" fontId="24" fillId="0" borderId="18" xfId="0" applyFont="1" applyFill="1" applyBorder="1" applyAlignment="1">
      <alignment horizontal="right"/>
    </xf>
    <xf numFmtId="3" fontId="18" fillId="7" borderId="21" xfId="0" applyNumberFormat="1" applyFont="1" applyFill="1" applyBorder="1"/>
    <xf numFmtId="3" fontId="18" fillId="0" borderId="21" xfId="0" applyNumberFormat="1" applyFont="1" applyFill="1" applyBorder="1"/>
    <xf numFmtId="165" fontId="21" fillId="0" borderId="21" xfId="5" applyNumberFormat="1" applyFont="1" applyFill="1" applyBorder="1"/>
    <xf numFmtId="3" fontId="21" fillId="0" borderId="21" xfId="0" applyNumberFormat="1" applyFont="1" applyFill="1" applyBorder="1"/>
    <xf numFmtId="171" fontId="18" fillId="7" borderId="21" xfId="0" applyNumberFormat="1" applyFont="1" applyFill="1" applyBorder="1"/>
    <xf numFmtId="171" fontId="18" fillId="0" borderId="21" xfId="0" applyNumberFormat="1" applyFont="1" applyFill="1" applyBorder="1"/>
    <xf numFmtId="3" fontId="45" fillId="0" borderId="21" xfId="0" applyNumberFormat="1" applyFont="1" applyFill="1" applyBorder="1"/>
    <xf numFmtId="171" fontId="24" fillId="0" borderId="21" xfId="0" applyNumberFormat="1" applyFont="1" applyFill="1" applyBorder="1"/>
    <xf numFmtId="3" fontId="16" fillId="7" borderId="0" xfId="0" applyNumberFormat="1" applyFont="1" applyFill="1" applyBorder="1" applyAlignment="1">
      <alignment horizontal="center"/>
    </xf>
    <xf numFmtId="0" fontId="18" fillId="0" borderId="24" xfId="0" applyFont="1" applyFill="1" applyBorder="1" applyAlignment="1">
      <alignment horizontal="center"/>
    </xf>
    <xf numFmtId="165" fontId="19" fillId="0" borderId="24" xfId="5" applyNumberFormat="1" applyFont="1" applyFill="1" applyBorder="1" applyAlignment="1">
      <alignment horizontal="center"/>
    </xf>
    <xf numFmtId="0" fontId="19" fillId="0" borderId="24" xfId="0" applyFont="1" applyFill="1" applyBorder="1" applyAlignment="1">
      <alignment horizontal="center"/>
    </xf>
    <xf numFmtId="0" fontId="19" fillId="4" borderId="24" xfId="0" applyFont="1" applyFill="1" applyBorder="1" applyAlignment="1">
      <alignment horizontal="center"/>
    </xf>
    <xf numFmtId="0" fontId="18" fillId="7" borderId="17" xfId="0" applyFont="1" applyFill="1" applyBorder="1" applyAlignment="1">
      <alignment horizontal="center"/>
    </xf>
    <xf numFmtId="0" fontId="70" fillId="7" borderId="18" xfId="0" applyFont="1" applyFill="1" applyBorder="1" applyAlignment="1">
      <alignment horizontal="center"/>
    </xf>
    <xf numFmtId="0" fontId="70" fillId="0" borderId="18" xfId="0" applyFont="1" applyFill="1" applyBorder="1" applyAlignment="1">
      <alignment horizontal="center"/>
    </xf>
    <xf numFmtId="0" fontId="71" fillId="0" borderId="18" xfId="0" applyFont="1" applyFill="1" applyBorder="1" applyAlignment="1">
      <alignment horizontal="center"/>
    </xf>
    <xf numFmtId="0" fontId="72" fillId="7" borderId="18" xfId="0" applyFont="1" applyFill="1" applyBorder="1" applyAlignment="1">
      <alignment horizontal="center"/>
    </xf>
    <xf numFmtId="3" fontId="18" fillId="7" borderId="18" xfId="2" applyNumberFormat="1" applyFont="1" applyFill="1" applyBorder="1"/>
    <xf numFmtId="3" fontId="18" fillId="0" borderId="0" xfId="2" applyNumberFormat="1" applyFont="1" applyFill="1" applyBorder="1"/>
    <xf numFmtId="165" fontId="21" fillId="0" borderId="0" xfId="5" applyNumberFormat="1" applyFont="1" applyFill="1" applyBorder="1"/>
    <xf numFmtId="3" fontId="21" fillId="0" borderId="18" xfId="2" applyNumberFormat="1" applyFont="1" applyFill="1" applyBorder="1"/>
    <xf numFmtId="3" fontId="17" fillId="0" borderId="18" xfId="2" applyNumberFormat="1" applyFont="1" applyFill="1" applyBorder="1"/>
    <xf numFmtId="3" fontId="45" fillId="0" borderId="18" xfId="2" applyNumberFormat="1" applyFont="1" applyFill="1" applyBorder="1"/>
    <xf numFmtId="3" fontId="44" fillId="0" borderId="18" xfId="2" applyNumberFormat="1" applyFont="1" applyFill="1" applyBorder="1"/>
    <xf numFmtId="3" fontId="21" fillId="4" borderId="18" xfId="2" applyNumberFormat="1" applyFont="1" applyFill="1" applyBorder="1"/>
    <xf numFmtId="3" fontId="18" fillId="0" borderId="0" xfId="0" applyNumberFormat="1" applyFont="1" applyFill="1" applyBorder="1" applyAlignment="1">
      <alignment horizontal="right"/>
    </xf>
    <xf numFmtId="165" fontId="21" fillId="0" borderId="0" xfId="5" applyNumberFormat="1" applyFont="1" applyFill="1" applyBorder="1" applyAlignment="1">
      <alignment horizontal="right"/>
    </xf>
    <xf numFmtId="3" fontId="24" fillId="0" borderId="18" xfId="0" applyNumberFormat="1" applyFont="1" applyFill="1" applyBorder="1" applyAlignment="1">
      <alignment horizontal="right"/>
    </xf>
    <xf numFmtId="3" fontId="18" fillId="7" borderId="18" xfId="2" applyNumberFormat="1" applyFont="1" applyFill="1" applyBorder="1" applyAlignment="1">
      <alignment horizontal="right"/>
    </xf>
    <xf numFmtId="3" fontId="18" fillId="0" borderId="0" xfId="2" applyNumberFormat="1" applyFont="1" applyFill="1" applyBorder="1" applyAlignment="1">
      <alignment horizontal="right"/>
    </xf>
    <xf numFmtId="3" fontId="21" fillId="7" borderId="18" xfId="2" applyNumberFormat="1" applyFont="1" applyFill="1" applyBorder="1" applyAlignment="1">
      <alignment horizontal="right"/>
    </xf>
    <xf numFmtId="3" fontId="21" fillId="0" borderId="18" xfId="2" applyNumberFormat="1" applyFont="1" applyFill="1" applyBorder="1" applyAlignment="1">
      <alignment horizontal="right"/>
    </xf>
    <xf numFmtId="3" fontId="18" fillId="0" borderId="18" xfId="2" applyNumberFormat="1" applyFont="1" applyFill="1" applyBorder="1" applyAlignment="1">
      <alignment horizontal="right"/>
    </xf>
    <xf numFmtId="3" fontId="45" fillId="0" borderId="18" xfId="2" applyNumberFormat="1" applyFont="1" applyFill="1" applyBorder="1" applyAlignment="1">
      <alignment horizontal="right"/>
    </xf>
    <xf numFmtId="3" fontId="24" fillId="0" borderId="18" xfId="2" applyNumberFormat="1" applyFont="1" applyFill="1" applyBorder="1" applyAlignment="1">
      <alignment horizontal="right"/>
    </xf>
    <xf numFmtId="3" fontId="21" fillId="4" borderId="18" xfId="2" applyNumberFormat="1" applyFont="1" applyFill="1" applyBorder="1" applyAlignment="1">
      <alignment horizontal="right"/>
    </xf>
    <xf numFmtId="10" fontId="18" fillId="7" borderId="21" xfId="5" applyNumberFormat="1" applyFont="1" applyFill="1" applyBorder="1" applyAlignment="1">
      <alignment horizontal="center"/>
    </xf>
    <xf numFmtId="10" fontId="18" fillId="0" borderId="0" xfId="5" applyNumberFormat="1" applyFont="1" applyFill="1" applyBorder="1" applyAlignment="1">
      <alignment horizontal="center"/>
    </xf>
    <xf numFmtId="10" fontId="16" fillId="7" borderId="21" xfId="5" applyNumberFormat="1" applyFont="1" applyFill="1" applyBorder="1" applyAlignment="1">
      <alignment horizontal="center"/>
    </xf>
    <xf numFmtId="10" fontId="18" fillId="0" borderId="21" xfId="5" applyNumberFormat="1" applyFont="1" applyFill="1" applyBorder="1" applyAlignment="1">
      <alignment horizontal="center"/>
    </xf>
    <xf numFmtId="10" fontId="45" fillId="0" borderId="21" xfId="5" applyNumberFormat="1" applyFont="1" applyFill="1" applyBorder="1" applyAlignment="1">
      <alignment horizontal="center"/>
    </xf>
    <xf numFmtId="10" fontId="24" fillId="0" borderId="21" xfId="5" applyNumberFormat="1" applyFont="1" applyFill="1" applyBorder="1" applyAlignment="1">
      <alignment horizontal="center"/>
    </xf>
    <xf numFmtId="10" fontId="21" fillId="4" borderId="21" xfId="5" applyNumberFormat="1" applyFont="1" applyFill="1" applyBorder="1" applyAlignment="1">
      <alignment horizontal="center"/>
    </xf>
    <xf numFmtId="1" fontId="18" fillId="7" borderId="24" xfId="5" applyNumberFormat="1" applyFont="1" applyFill="1" applyBorder="1"/>
    <xf numFmtId="1" fontId="18" fillId="0" borderId="0" xfId="5" applyNumberFormat="1" applyFont="1" applyFill="1" applyBorder="1"/>
    <xf numFmtId="1" fontId="16" fillId="7" borderId="24" xfId="5" applyNumberFormat="1" applyFont="1" applyFill="1" applyBorder="1"/>
    <xf numFmtId="1" fontId="18" fillId="0" borderId="24" xfId="5" applyNumberFormat="1" applyFont="1" applyFill="1" applyBorder="1"/>
    <xf numFmtId="1" fontId="45" fillId="0" borderId="24" xfId="5" applyNumberFormat="1" applyFont="1" applyFill="1" applyBorder="1"/>
    <xf numFmtId="1" fontId="24" fillId="0" borderId="24" xfId="5" applyNumberFormat="1" applyFont="1" applyFill="1" applyBorder="1"/>
    <xf numFmtId="1" fontId="21" fillId="4" borderId="24" xfId="5" applyNumberFormat="1" applyFont="1" applyFill="1" applyBorder="1"/>
    <xf numFmtId="0" fontId="18" fillId="7" borderId="24" xfId="0" applyFont="1" applyFill="1" applyBorder="1"/>
    <xf numFmtId="0" fontId="18" fillId="0" borderId="0" xfId="0" applyFont="1" applyFill="1" applyBorder="1"/>
    <xf numFmtId="0" fontId="16" fillId="7" borderId="24" xfId="0" applyFont="1" applyFill="1" applyBorder="1"/>
    <xf numFmtId="0" fontId="18" fillId="0" borderId="24" xfId="0" applyFont="1" applyFill="1" applyBorder="1"/>
    <xf numFmtId="0" fontId="45" fillId="0" borderId="24" xfId="0" applyFont="1" applyFill="1" applyBorder="1"/>
    <xf numFmtId="0" fontId="24" fillId="0" borderId="24" xfId="0" applyFont="1" applyFill="1" applyBorder="1"/>
    <xf numFmtId="0" fontId="21" fillId="4" borderId="24" xfId="0" applyFont="1" applyFill="1" applyBorder="1"/>
    <xf numFmtId="165" fontId="40" fillId="7" borderId="0" xfId="5" applyNumberFormat="1" applyFont="1" applyFill="1"/>
    <xf numFmtId="165" fontId="29" fillId="7" borderId="0" xfId="5" applyNumberFormat="1" applyFont="1" applyFill="1"/>
    <xf numFmtId="10" fontId="40" fillId="7" borderId="24" xfId="5" applyNumberFormat="1" applyFont="1" applyFill="1" applyBorder="1"/>
    <xf numFmtId="9" fontId="18" fillId="7" borderId="24" xfId="5" applyFont="1" applyFill="1" applyBorder="1"/>
    <xf numFmtId="9" fontId="18" fillId="0" borderId="0" xfId="5" applyFont="1" applyFill="1" applyBorder="1"/>
    <xf numFmtId="9" fontId="18" fillId="0" borderId="24" xfId="5" applyFont="1" applyFill="1" applyBorder="1"/>
    <xf numFmtId="9" fontId="45" fillId="0" borderId="24" xfId="5" applyFont="1" applyFill="1" applyBorder="1"/>
    <xf numFmtId="9" fontId="24" fillId="0" borderId="24" xfId="5" applyFont="1" applyFill="1" applyBorder="1"/>
    <xf numFmtId="9" fontId="18" fillId="7" borderId="21" xfId="5" applyFont="1" applyFill="1" applyBorder="1"/>
    <xf numFmtId="9" fontId="18" fillId="0" borderId="21" xfId="5" applyFont="1" applyFill="1" applyBorder="1"/>
    <xf numFmtId="9" fontId="45" fillId="0" borderId="21" xfId="5" applyFont="1" applyFill="1" applyBorder="1"/>
    <xf numFmtId="9" fontId="24" fillId="0" borderId="21" xfId="5" applyFont="1" applyFill="1" applyBorder="1"/>
    <xf numFmtId="3" fontId="18" fillId="0" borderId="0" xfId="0" applyNumberFormat="1" applyFont="1" applyFill="1" applyBorder="1"/>
    <xf numFmtId="165" fontId="19" fillId="0" borderId="0" xfId="5" applyNumberFormat="1" applyFont="1" applyFill="1" applyBorder="1"/>
    <xf numFmtId="3" fontId="44" fillId="0" borderId="21" xfId="0" applyNumberFormat="1" applyFont="1" applyFill="1" applyBorder="1"/>
    <xf numFmtId="0" fontId="74" fillId="7" borderId="18" xfId="0" applyFont="1" applyFill="1" applyBorder="1" applyAlignment="1">
      <alignment horizontal="center"/>
    </xf>
    <xf numFmtId="0" fontId="17" fillId="0" borderId="18" xfId="0" applyFont="1" applyFill="1" applyBorder="1"/>
    <xf numFmtId="0" fontId="44" fillId="0" borderId="18" xfId="0" applyFont="1" applyFill="1" applyBorder="1"/>
    <xf numFmtId="3" fontId="21" fillId="7" borderId="18" xfId="0" applyNumberFormat="1" applyFont="1" applyFill="1" applyBorder="1" applyAlignment="1">
      <alignment horizontal="center"/>
    </xf>
    <xf numFmtId="166" fontId="33" fillId="0" borderId="0" xfId="5" applyNumberFormat="1" applyFont="1"/>
    <xf numFmtId="166" fontId="18" fillId="7" borderId="21" xfId="5" applyNumberFormat="1" applyFont="1" applyFill="1" applyBorder="1" applyAlignment="1">
      <alignment horizontal="right"/>
    </xf>
    <xf numFmtId="166" fontId="19" fillId="0" borderId="21" xfId="5" applyNumberFormat="1" applyFont="1" applyFill="1" applyBorder="1" applyAlignment="1">
      <alignment horizontal="right"/>
    </xf>
    <xf numFmtId="166" fontId="21" fillId="0" borderId="21" xfId="5" applyNumberFormat="1" applyFont="1" applyFill="1" applyBorder="1" applyAlignment="1">
      <alignment horizontal="right"/>
    </xf>
    <xf numFmtId="166" fontId="61" fillId="7" borderId="21" xfId="5" applyNumberFormat="1" applyFont="1" applyFill="1" applyBorder="1" applyAlignment="1">
      <alignment horizontal="right"/>
    </xf>
    <xf numFmtId="166" fontId="32" fillId="0" borderId="21" xfId="5" applyNumberFormat="1" applyFont="1" applyFill="1" applyBorder="1" applyAlignment="1">
      <alignment horizontal="right"/>
    </xf>
    <xf numFmtId="166" fontId="45" fillId="0" borderId="21" xfId="5" applyNumberFormat="1" applyFont="1" applyFill="1" applyBorder="1" applyAlignment="1">
      <alignment horizontal="right"/>
    </xf>
    <xf numFmtId="166" fontId="75" fillId="0" borderId="21" xfId="5" applyNumberFormat="1" applyFont="1" applyFill="1" applyBorder="1" applyAlignment="1">
      <alignment horizontal="right"/>
    </xf>
    <xf numFmtId="166" fontId="21" fillId="4" borderId="21" xfId="5" applyNumberFormat="1" applyFont="1" applyFill="1" applyBorder="1" applyAlignment="1">
      <alignment horizontal="right"/>
    </xf>
    <xf numFmtId="10" fontId="63" fillId="0" borderId="0" xfId="5" applyNumberFormat="1" applyFont="1" applyFill="1"/>
    <xf numFmtId="3" fontId="45" fillId="0" borderId="0" xfId="0" applyNumberFormat="1" applyFont="1" applyFill="1" applyBorder="1" applyAlignment="1">
      <alignment horizontal="right"/>
    </xf>
    <xf numFmtId="10" fontId="64" fillId="0" borderId="0" xfId="5" applyNumberFormat="1" applyFont="1" applyFill="1"/>
    <xf numFmtId="168" fontId="16" fillId="7" borderId="21" xfId="0" applyNumberFormat="1" applyFont="1" applyFill="1" applyBorder="1" applyAlignment="1">
      <alignment horizontal="right"/>
    </xf>
    <xf numFmtId="165" fontId="11" fillId="7" borderId="0" xfId="5" applyNumberFormat="1" applyFont="1" applyFill="1"/>
    <xf numFmtId="0" fontId="76" fillId="7" borderId="18" xfId="0" applyFont="1" applyFill="1" applyBorder="1" applyAlignment="1">
      <alignment horizontal="right"/>
    </xf>
    <xf numFmtId="3" fontId="61" fillId="7" borderId="23" xfId="0" applyNumberFormat="1" applyFont="1" applyFill="1" applyBorder="1"/>
    <xf numFmtId="3" fontId="16" fillId="7" borderId="17" xfId="0" applyNumberFormat="1" applyFont="1" applyFill="1" applyBorder="1" applyAlignment="1">
      <alignment horizontal="right"/>
    </xf>
    <xf numFmtId="3" fontId="17" fillId="7" borderId="21" xfId="0" applyNumberFormat="1" applyFont="1" applyFill="1" applyBorder="1"/>
    <xf numFmtId="3" fontId="77" fillId="0" borderId="21" xfId="0" applyNumberFormat="1" applyFont="1" applyFill="1" applyBorder="1"/>
    <xf numFmtId="0" fontId="44" fillId="0" borderId="24" xfId="0" applyFont="1" applyFill="1" applyBorder="1" applyAlignment="1">
      <alignment horizontal="center"/>
    </xf>
    <xf numFmtId="0" fontId="24" fillId="0" borderId="24" xfId="0" applyFont="1" applyFill="1" applyBorder="1" applyAlignment="1">
      <alignment horizontal="center"/>
    </xf>
    <xf numFmtId="3" fontId="21" fillId="16" borderId="18" xfId="0" applyNumberFormat="1" applyFont="1" applyFill="1" applyBorder="1" applyAlignment="1">
      <alignment horizontal="right"/>
    </xf>
    <xf numFmtId="10" fontId="18" fillId="7" borderId="18" xfId="0" applyNumberFormat="1" applyFont="1" applyFill="1" applyBorder="1" applyAlignment="1">
      <alignment horizontal="right"/>
    </xf>
    <xf numFmtId="10" fontId="18" fillId="0" borderId="18" xfId="0" applyNumberFormat="1" applyFont="1" applyFill="1" applyBorder="1" applyAlignment="1">
      <alignment horizontal="right"/>
    </xf>
    <xf numFmtId="10" fontId="21" fillId="0" borderId="18" xfId="0" applyNumberFormat="1" applyFont="1" applyFill="1" applyBorder="1" applyAlignment="1">
      <alignment horizontal="right"/>
    </xf>
    <xf numFmtId="10" fontId="17" fillId="0" borderId="18" xfId="0" applyNumberFormat="1" applyFont="1" applyFill="1" applyBorder="1" applyAlignment="1">
      <alignment horizontal="right"/>
    </xf>
    <xf numFmtId="10" fontId="45" fillId="0" borderId="18" xfId="0" applyNumberFormat="1" applyFont="1" applyFill="1" applyBorder="1" applyAlignment="1">
      <alignment horizontal="right"/>
    </xf>
    <xf numFmtId="10" fontId="44" fillId="0" borderId="18" xfId="0" applyNumberFormat="1" applyFont="1" applyFill="1" applyBorder="1" applyAlignment="1">
      <alignment horizontal="right"/>
    </xf>
    <xf numFmtId="10" fontId="21" fillId="4" borderId="18" xfId="0" applyNumberFormat="1" applyFont="1" applyFill="1" applyBorder="1" applyAlignment="1">
      <alignment horizontal="right"/>
    </xf>
    <xf numFmtId="170" fontId="18" fillId="0" borderId="21" xfId="0" applyNumberFormat="1" applyFont="1" applyFill="1" applyBorder="1" applyAlignment="1">
      <alignment horizontal="right"/>
    </xf>
    <xf numFmtId="170" fontId="17" fillId="0" borderId="21" xfId="0" applyNumberFormat="1" applyFont="1" applyFill="1" applyBorder="1" applyAlignment="1">
      <alignment horizontal="right"/>
    </xf>
    <xf numFmtId="170" fontId="44" fillId="0" borderId="21" xfId="0" applyNumberFormat="1" applyFont="1" applyFill="1" applyBorder="1" applyAlignment="1">
      <alignment horizontal="right"/>
    </xf>
    <xf numFmtId="176" fontId="61" fillId="7" borderId="21" xfId="0" applyNumberFormat="1" applyFont="1" applyFill="1" applyBorder="1" applyAlignment="1">
      <alignment horizontal="right"/>
    </xf>
    <xf numFmtId="0" fontId="61" fillId="7" borderId="18" xfId="0" applyFont="1" applyFill="1" applyBorder="1" applyAlignment="1">
      <alignment horizontal="right"/>
    </xf>
    <xf numFmtId="3" fontId="16" fillId="7" borderId="23" xfId="0" applyNumberFormat="1" applyFont="1" applyFill="1" applyBorder="1"/>
    <xf numFmtId="3" fontId="24" fillId="0" borderId="23" xfId="0" applyNumberFormat="1" applyFont="1" applyFill="1" applyBorder="1"/>
    <xf numFmtId="0" fontId="53" fillId="0" borderId="0" xfId="0" applyFont="1" applyFill="1"/>
    <xf numFmtId="0" fontId="0" fillId="0" borderId="1" xfId="0" applyBorder="1"/>
    <xf numFmtId="165" fontId="0" fillId="0" borderId="1" xfId="5" applyNumberFormat="1" applyFont="1" applyBorder="1"/>
    <xf numFmtId="0" fontId="33" fillId="0" borderId="14" xfId="0" applyFont="1" applyBorder="1"/>
    <xf numFmtId="0" fontId="0" fillId="0" borderId="14" xfId="0" applyBorder="1"/>
    <xf numFmtId="165" fontId="0" fillId="0" borderId="14" xfId="5" applyNumberFormat="1" applyFont="1" applyBorder="1"/>
    <xf numFmtId="0" fontId="0" fillId="0" borderId="30" xfId="0" applyBorder="1"/>
    <xf numFmtId="0" fontId="0" fillId="0" borderId="14" xfId="0" applyFill="1" applyBorder="1"/>
    <xf numFmtId="165" fontId="0" fillId="0" borderId="14" xfId="5" applyNumberFormat="1" applyFont="1" applyFill="1" applyBorder="1"/>
    <xf numFmtId="0" fontId="78" fillId="0" borderId="25" xfId="0" applyFont="1" applyBorder="1" applyAlignment="1">
      <alignment horizontal="center"/>
    </xf>
    <xf numFmtId="0" fontId="0" fillId="0" borderId="30" xfId="0" applyFill="1" applyBorder="1"/>
    <xf numFmtId="0" fontId="26" fillId="0" borderId="0" xfId="0" applyFont="1" applyFill="1" applyBorder="1" applyAlignment="1">
      <alignment horizontal="center"/>
    </xf>
    <xf numFmtId="0" fontId="26" fillId="0" borderId="26" xfId="0" applyFont="1" applyBorder="1" applyAlignment="1">
      <alignment horizontal="center"/>
    </xf>
    <xf numFmtId="0" fontId="0" fillId="0" borderId="28" xfId="0" applyFill="1" applyBorder="1"/>
    <xf numFmtId="0" fontId="17" fillId="0" borderId="1" xfId="0" applyFont="1" applyFill="1" applyBorder="1"/>
    <xf numFmtId="0" fontId="17" fillId="0" borderId="31" xfId="0" applyFont="1" applyFill="1" applyBorder="1"/>
    <xf numFmtId="165" fontId="17" fillId="0" borderId="1" xfId="5" applyNumberFormat="1" applyFont="1" applyFill="1" applyBorder="1"/>
    <xf numFmtId="0" fontId="26" fillId="0" borderId="27" xfId="0" applyFont="1" applyFill="1" applyBorder="1" applyAlignment="1">
      <alignment horizontal="center"/>
    </xf>
    <xf numFmtId="0" fontId="17" fillId="0" borderId="0" xfId="0" applyFont="1" applyFill="1" applyBorder="1"/>
    <xf numFmtId="165" fontId="17" fillId="0" borderId="28" xfId="5" applyNumberFormat="1" applyFont="1" applyFill="1" applyBorder="1"/>
    <xf numFmtId="0" fontId="44" fillId="0" borderId="28" xfId="0" applyFont="1" applyFill="1" applyBorder="1" applyAlignment="1">
      <alignment horizontal="right"/>
    </xf>
    <xf numFmtId="0" fontId="19" fillId="0" borderId="17" xfId="0" applyFont="1" applyFill="1" applyBorder="1" applyAlignment="1">
      <alignment horizontal="center"/>
    </xf>
    <xf numFmtId="165" fontId="19" fillId="0" borderId="17" xfId="5" applyNumberFormat="1" applyFont="1" applyFill="1" applyBorder="1" applyAlignment="1">
      <alignment horizontal="center"/>
    </xf>
    <xf numFmtId="0" fontId="44" fillId="0" borderId="17" xfId="0" applyFont="1" applyFill="1" applyBorder="1" applyAlignment="1">
      <alignment horizontal="center"/>
    </xf>
    <xf numFmtId="0" fontId="54" fillId="0" borderId="17" xfId="0" applyFont="1" applyFill="1" applyBorder="1" applyAlignment="1">
      <alignment horizontal="center"/>
    </xf>
    <xf numFmtId="0" fontId="31" fillId="7" borderId="18" xfId="0" applyFont="1" applyFill="1" applyBorder="1"/>
    <xf numFmtId="165" fontId="31" fillId="0" borderId="18" xfId="5" applyNumberFormat="1" applyFont="1" applyFill="1" applyBorder="1"/>
    <xf numFmtId="3" fontId="17" fillId="7" borderId="18" xfId="0" applyNumberFormat="1" applyFont="1" applyFill="1" applyBorder="1"/>
    <xf numFmtId="3" fontId="25" fillId="0" borderId="18" xfId="0" applyNumberFormat="1" applyFont="1" applyFill="1" applyBorder="1"/>
    <xf numFmtId="165" fontId="25" fillId="0" borderId="18" xfId="5" applyNumberFormat="1" applyFont="1" applyFill="1" applyBorder="1"/>
    <xf numFmtId="3" fontId="32" fillId="0" borderId="18" xfId="0" applyNumberFormat="1" applyFont="1" applyFill="1" applyBorder="1"/>
    <xf numFmtId="3" fontId="45" fillId="0" borderId="18" xfId="0" applyNumberFormat="1" applyFont="1" applyFill="1" applyBorder="1"/>
    <xf numFmtId="3" fontId="75" fillId="0" borderId="18" xfId="0" applyNumberFormat="1" applyFont="1" applyFill="1" applyBorder="1"/>
    <xf numFmtId="3" fontId="79" fillId="7" borderId="18" xfId="0" applyNumberFormat="1" applyFont="1" applyFill="1" applyBorder="1"/>
    <xf numFmtId="3" fontId="31" fillId="7" borderId="18" xfId="0" applyNumberFormat="1" applyFont="1" applyFill="1" applyBorder="1"/>
    <xf numFmtId="3" fontId="25" fillId="7" borderId="18" xfId="0" applyNumberFormat="1" applyFont="1" applyFill="1" applyBorder="1"/>
    <xf numFmtId="3" fontId="77" fillId="0" borderId="18" xfId="0" applyNumberFormat="1" applyFont="1" applyFill="1" applyBorder="1"/>
    <xf numFmtId="3" fontId="17" fillId="9" borderId="18" xfId="0" applyNumberFormat="1" applyFont="1" applyFill="1" applyBorder="1"/>
    <xf numFmtId="171" fontId="17" fillId="7" borderId="18" xfId="0" applyNumberFormat="1" applyFont="1" applyFill="1" applyBorder="1"/>
    <xf numFmtId="171" fontId="44" fillId="0" borderId="18" xfId="0" applyNumberFormat="1" applyFont="1" applyFill="1" applyBorder="1"/>
    <xf numFmtId="3" fontId="17" fillId="0" borderId="21" xfId="0" applyNumberFormat="1" applyFont="1" applyFill="1" applyBorder="1"/>
    <xf numFmtId="165" fontId="25" fillId="0" borderId="21" xfId="5" applyNumberFormat="1" applyFont="1" applyFill="1" applyBorder="1"/>
    <xf numFmtId="3" fontId="25" fillId="0" borderId="21" xfId="0" applyNumberFormat="1" applyFont="1" applyFill="1" applyBorder="1"/>
    <xf numFmtId="171" fontId="44" fillId="0" borderId="21" xfId="0" applyNumberFormat="1" applyFont="1" applyFill="1" applyBorder="1"/>
    <xf numFmtId="3" fontId="32" fillId="0" borderId="21" xfId="0" applyNumberFormat="1" applyFont="1" applyFill="1" applyBorder="1"/>
    <xf numFmtId="3" fontId="75" fillId="0" borderId="21" xfId="0" applyNumberFormat="1" applyFont="1" applyFill="1" applyBorder="1"/>
    <xf numFmtId="3" fontId="32" fillId="7" borderId="21" xfId="0" applyNumberFormat="1" applyFont="1" applyFill="1" applyBorder="1"/>
    <xf numFmtId="3" fontId="25" fillId="0" borderId="23" xfId="0" applyNumberFormat="1" applyFont="1" applyFill="1" applyBorder="1"/>
    <xf numFmtId="165" fontId="25" fillId="0" borderId="23" xfId="5" applyNumberFormat="1" applyFont="1" applyFill="1" applyBorder="1"/>
    <xf numFmtId="3" fontId="17" fillId="9" borderId="23" xfId="0" applyNumberFormat="1" applyFont="1" applyFill="1" applyBorder="1"/>
    <xf numFmtId="3" fontId="77" fillId="0" borderId="23" xfId="0" applyNumberFormat="1" applyFont="1" applyFill="1" applyBorder="1"/>
    <xf numFmtId="0" fontId="33" fillId="0" borderId="1" xfId="0" applyFont="1" applyBorder="1"/>
    <xf numFmtId="3" fontId="31" fillId="0" borderId="31" xfId="0" applyNumberFormat="1" applyFont="1" applyFill="1" applyBorder="1"/>
    <xf numFmtId="166" fontId="17" fillId="0" borderId="31" xfId="5" applyNumberFormat="1" applyFont="1" applyFill="1" applyBorder="1"/>
    <xf numFmtId="167" fontId="63" fillId="0" borderId="31" xfId="5" applyNumberFormat="1" applyFont="1" applyFill="1" applyBorder="1"/>
    <xf numFmtId="3" fontId="31" fillId="0" borderId="28" xfId="0" applyNumberFormat="1" applyFont="1" applyFill="1" applyBorder="1"/>
    <xf numFmtId="165" fontId="31" fillId="0" borderId="28" xfId="5" applyNumberFormat="1" applyFont="1" applyFill="1" applyBorder="1"/>
    <xf numFmtId="3" fontId="17" fillId="0" borderId="28" xfId="0" applyNumberFormat="1" applyFont="1" applyFill="1" applyBorder="1" applyAlignment="1">
      <alignment horizontal="center"/>
    </xf>
    <xf numFmtId="3" fontId="45" fillId="0" borderId="28" xfId="0" applyNumberFormat="1" applyFont="1" applyFill="1" applyBorder="1"/>
    <xf numFmtId="3" fontId="44" fillId="0" borderId="28" xfId="0" applyNumberFormat="1" applyFont="1" applyFill="1" applyBorder="1" applyAlignment="1">
      <alignment horizontal="right"/>
    </xf>
    <xf numFmtId="3" fontId="18" fillId="0" borderId="28" xfId="0" applyNumberFormat="1" applyFont="1" applyFill="1" applyBorder="1" applyAlignment="1">
      <alignment horizontal="center"/>
    </xf>
    <xf numFmtId="3" fontId="16" fillId="0" borderId="28" xfId="0" applyNumberFormat="1" applyFont="1" applyFill="1" applyBorder="1" applyAlignment="1">
      <alignment horizontal="center"/>
    </xf>
    <xf numFmtId="165" fontId="16" fillId="0" borderId="28" xfId="5" applyNumberFormat="1" applyFont="1" applyFill="1" applyBorder="1" applyAlignment="1">
      <alignment horizontal="center"/>
    </xf>
    <xf numFmtId="3" fontId="45" fillId="0" borderId="28" xfId="0" applyNumberFormat="1" applyFont="1" applyFill="1" applyBorder="1" applyAlignment="1">
      <alignment horizontal="center"/>
    </xf>
    <xf numFmtId="3" fontId="53" fillId="0" borderId="28" xfId="0" applyNumberFormat="1" applyFont="1" applyFill="1" applyBorder="1" applyAlignment="1">
      <alignment horizontal="center"/>
    </xf>
    <xf numFmtId="0" fontId="80" fillId="0" borderId="28" xfId="0" applyFont="1" applyFill="1" applyBorder="1" applyAlignment="1">
      <alignment horizontal="center"/>
    </xf>
    <xf numFmtId="0" fontId="18" fillId="0" borderId="28" xfId="0" applyFont="1" applyFill="1" applyBorder="1" applyAlignment="1">
      <alignment horizontal="center"/>
    </xf>
    <xf numFmtId="0" fontId="16" fillId="0" borderId="28" xfId="0" applyFont="1" applyFill="1" applyBorder="1" applyAlignment="1">
      <alignment horizontal="center"/>
    </xf>
    <xf numFmtId="0" fontId="45" fillId="0" borderId="28" xfId="0" applyFont="1" applyFill="1" applyBorder="1" applyAlignment="1">
      <alignment horizontal="center"/>
    </xf>
    <xf numFmtId="0" fontId="53" fillId="0" borderId="28" xfId="0" applyFont="1" applyFill="1" applyBorder="1" applyAlignment="1">
      <alignment horizontal="center"/>
    </xf>
    <xf numFmtId="0" fontId="0" fillId="0" borderId="20" xfId="0" applyBorder="1"/>
    <xf numFmtId="3" fontId="61" fillId="0" borderId="31" xfId="0" applyNumberFormat="1" applyFont="1" applyFill="1" applyBorder="1" applyAlignment="1">
      <alignment horizontal="center"/>
    </xf>
    <xf numFmtId="3" fontId="17" fillId="0" borderId="31" xfId="0" applyNumberFormat="1" applyFont="1" applyFill="1" applyBorder="1"/>
    <xf numFmtId="165" fontId="17" fillId="0" borderId="31" xfId="5" applyNumberFormat="1" applyFont="1" applyFill="1" applyBorder="1"/>
    <xf numFmtId="3" fontId="44" fillId="0" borderId="31" xfId="0" applyNumberFormat="1" applyFont="1" applyFill="1" applyBorder="1"/>
    <xf numFmtId="3" fontId="44" fillId="0" borderId="31" xfId="0" applyNumberFormat="1" applyFont="1" applyFill="1" applyBorder="1" applyAlignment="1">
      <alignment horizontal="right"/>
    </xf>
    <xf numFmtId="0" fontId="31" fillId="0" borderId="0" xfId="0" applyFont="1" applyFill="1"/>
    <xf numFmtId="165" fontId="31" fillId="0" borderId="0" xfId="5" applyNumberFormat="1" applyFont="1" applyFill="1"/>
    <xf numFmtId="0" fontId="45" fillId="0" borderId="0" xfId="0" applyFont="1" applyFill="1"/>
    <xf numFmtId="0" fontId="44" fillId="0" borderId="0" xfId="0" applyFont="1" applyFill="1" applyAlignment="1">
      <alignment horizontal="right"/>
    </xf>
    <xf numFmtId="0" fontId="48" fillId="0" borderId="0" xfId="0" applyFont="1" applyFill="1"/>
    <xf numFmtId="0" fontId="18" fillId="4" borderId="18" xfId="0" applyFont="1" applyFill="1" applyBorder="1" applyAlignment="1">
      <alignment horizontal="center"/>
    </xf>
    <xf numFmtId="0" fontId="9" fillId="0" borderId="0" xfId="3" applyFont="1" applyAlignment="1">
      <alignment horizontal="left"/>
    </xf>
    <xf numFmtId="164" fontId="0" fillId="0" borderId="0" xfId="0" applyNumberFormat="1"/>
    <xf numFmtId="0" fontId="84" fillId="0" borderId="0" xfId="9" applyNumberFormat="1" applyFont="1" applyAlignment="1">
      <alignment horizontal="center"/>
    </xf>
    <xf numFmtId="0" fontId="84" fillId="0" borderId="0" xfId="9" applyFont="1"/>
    <xf numFmtId="41" fontId="84" fillId="0" borderId="0" xfId="9" applyNumberFormat="1" applyFont="1" applyFill="1"/>
    <xf numFmtId="41" fontId="84" fillId="0" borderId="0" xfId="9" applyNumberFormat="1" applyFont="1"/>
    <xf numFmtId="41" fontId="86" fillId="0" borderId="0" xfId="9" applyNumberFormat="1" applyFont="1" applyFill="1"/>
    <xf numFmtId="0" fontId="84" fillId="0" borderId="0" xfId="9" applyNumberFormat="1" applyFont="1" applyAlignment="1">
      <alignment horizontal="left"/>
    </xf>
    <xf numFmtId="3" fontId="87" fillId="0" borderId="18" xfId="10" applyNumberFormat="1" applyFont="1" applyBorder="1" applyAlignment="1">
      <alignment horizontal="center" vertical="center"/>
    </xf>
    <xf numFmtId="41" fontId="86" fillId="0" borderId="0" xfId="9" applyNumberFormat="1" applyFont="1" applyFill="1" applyAlignment="1">
      <alignment horizontal="center"/>
    </xf>
    <xf numFmtId="41" fontId="86" fillId="0" borderId="0" xfId="9" applyNumberFormat="1" applyFont="1" applyFill="1" applyAlignment="1"/>
    <xf numFmtId="41" fontId="86" fillId="0" borderId="0" xfId="9" applyNumberFormat="1" applyFont="1" applyFill="1" applyBorder="1" applyAlignment="1">
      <alignment horizontal="center" wrapText="1"/>
    </xf>
    <xf numFmtId="3" fontId="86" fillId="0" borderId="18" xfId="10" applyNumberFormat="1" applyFont="1" applyBorder="1" applyAlignment="1">
      <alignment horizontal="center"/>
    </xf>
    <xf numFmtId="41" fontId="88" fillId="0" borderId="18" xfId="9" applyNumberFormat="1" applyFont="1" applyFill="1" applyBorder="1" applyAlignment="1">
      <alignment horizontal="center" wrapText="1"/>
    </xf>
    <xf numFmtId="3" fontId="86" fillId="0" borderId="0" xfId="10" applyNumberFormat="1" applyFont="1" applyAlignment="1">
      <alignment horizontal="center"/>
    </xf>
    <xf numFmtId="3" fontId="86" fillId="0" borderId="0" xfId="10" applyNumberFormat="1" applyFont="1" applyFill="1" applyAlignment="1">
      <alignment horizontal="center"/>
    </xf>
    <xf numFmtId="0" fontId="86" fillId="0" borderId="0" xfId="9" applyFont="1" applyAlignment="1">
      <alignment horizontal="center"/>
    </xf>
    <xf numFmtId="0" fontId="86" fillId="0" borderId="0" xfId="9" applyNumberFormat="1" applyFont="1" applyAlignment="1">
      <alignment horizontal="center"/>
    </xf>
    <xf numFmtId="41" fontId="86" fillId="0" borderId="18" xfId="9" applyNumberFormat="1" applyFont="1" applyFill="1" applyBorder="1" applyAlignment="1">
      <alignment horizontal="center"/>
    </xf>
    <xf numFmtId="41" fontId="86" fillId="0" borderId="0" xfId="10" applyNumberFormat="1" applyFont="1" applyFill="1" applyAlignment="1">
      <alignment horizontal="center"/>
    </xf>
    <xf numFmtId="3" fontId="86" fillId="0" borderId="1" xfId="10" applyNumberFormat="1" applyFont="1" applyFill="1" applyBorder="1" applyAlignment="1">
      <alignment horizontal="center"/>
    </xf>
    <xf numFmtId="0" fontId="86" fillId="0" borderId="17" xfId="9" applyNumberFormat="1" applyFont="1" applyBorder="1" applyAlignment="1">
      <alignment horizontal="center"/>
    </xf>
    <xf numFmtId="0" fontId="86" fillId="0" borderId="19" xfId="9" applyFont="1" applyBorder="1" applyAlignment="1">
      <alignment horizontal="center"/>
    </xf>
    <xf numFmtId="0" fontId="86" fillId="0" borderId="14" xfId="9" applyFont="1" applyBorder="1" applyAlignment="1">
      <alignment horizontal="center"/>
    </xf>
    <xf numFmtId="0" fontId="86" fillId="0" borderId="17" xfId="9" applyFont="1" applyBorder="1" applyAlignment="1">
      <alignment horizontal="center"/>
    </xf>
    <xf numFmtId="41" fontId="86" fillId="0" borderId="30" xfId="9" applyNumberFormat="1" applyFont="1" applyFill="1" applyBorder="1" applyAlignment="1">
      <alignment horizontal="center"/>
    </xf>
    <xf numFmtId="41" fontId="86" fillId="0" borderId="17" xfId="9" applyNumberFormat="1" applyFont="1" applyFill="1" applyBorder="1" applyAlignment="1">
      <alignment horizontal="center"/>
    </xf>
    <xf numFmtId="0" fontId="86" fillId="0" borderId="18" xfId="9" applyNumberFormat="1" applyFont="1" applyBorder="1" applyAlignment="1">
      <alignment horizontal="center"/>
    </xf>
    <xf numFmtId="0" fontId="86" fillId="0" borderId="22" xfId="9" applyFont="1" applyBorder="1" applyAlignment="1">
      <alignment horizontal="center"/>
    </xf>
    <xf numFmtId="0" fontId="86" fillId="0" borderId="0" xfId="9" applyFont="1" applyBorder="1" applyAlignment="1">
      <alignment horizontal="center"/>
    </xf>
    <xf numFmtId="41" fontId="86" fillId="0" borderId="28" xfId="9" applyNumberFormat="1" applyFont="1" applyFill="1" applyBorder="1" applyAlignment="1">
      <alignment horizontal="center"/>
    </xf>
    <xf numFmtId="0" fontId="86" fillId="0" borderId="21" xfId="9" applyNumberFormat="1" applyFont="1" applyBorder="1" applyAlignment="1">
      <alignment horizontal="center"/>
    </xf>
    <xf numFmtId="0" fontId="86" fillId="0" borderId="20" xfId="9" applyFont="1" applyBorder="1" applyAlignment="1">
      <alignment horizontal="center"/>
    </xf>
    <xf numFmtId="0" fontId="86" fillId="0" borderId="1" xfId="9" applyFont="1" applyBorder="1" applyAlignment="1">
      <alignment horizontal="center"/>
    </xf>
    <xf numFmtId="41" fontId="86" fillId="0" borderId="21" xfId="9" applyNumberFormat="1" applyFont="1" applyFill="1" applyBorder="1" applyAlignment="1">
      <alignment horizontal="center"/>
    </xf>
    <xf numFmtId="41" fontId="86" fillId="0" borderId="31" xfId="9" applyNumberFormat="1" applyFont="1" applyFill="1" applyBorder="1" applyAlignment="1">
      <alignment horizontal="center"/>
    </xf>
    <xf numFmtId="2" fontId="86" fillId="0" borderId="0" xfId="9" applyNumberFormat="1" applyFont="1" applyAlignment="1">
      <alignment horizontal="center"/>
    </xf>
    <xf numFmtId="2" fontId="84" fillId="0" borderId="0" xfId="9" applyNumberFormat="1" applyFont="1" applyAlignment="1">
      <alignment horizontal="left"/>
    </xf>
    <xf numFmtId="2" fontId="86" fillId="0" borderId="0" xfId="12" applyNumberFormat="1" applyFont="1" applyAlignment="1" applyProtection="1">
      <alignment horizontal="center"/>
    </xf>
    <xf numFmtId="2" fontId="86" fillId="0" borderId="0" xfId="12" applyNumberFormat="1" applyFont="1" applyFill="1" applyAlignment="1" applyProtection="1">
      <alignment horizontal="center"/>
    </xf>
    <xf numFmtId="41" fontId="84" fillId="0" borderId="0" xfId="9" applyNumberFormat="1" applyFont="1" applyFill="1" applyBorder="1"/>
    <xf numFmtId="37" fontId="84" fillId="0" borderId="0" xfId="9" applyNumberFormat="1" applyFont="1" applyAlignment="1">
      <alignment horizontal="center"/>
    </xf>
    <xf numFmtId="5" fontId="84" fillId="0" borderId="0" xfId="9" applyNumberFormat="1" applyFont="1"/>
    <xf numFmtId="5" fontId="84" fillId="0" borderId="0" xfId="9" applyNumberFormat="1" applyFont="1" applyFill="1"/>
    <xf numFmtId="5" fontId="84" fillId="0" borderId="0" xfId="11" applyNumberFormat="1" applyFont="1" applyFill="1" applyBorder="1"/>
    <xf numFmtId="37" fontId="84" fillId="0" borderId="0" xfId="9" applyNumberFormat="1" applyFont="1"/>
    <xf numFmtId="37" fontId="84" fillId="0" borderId="0" xfId="9" applyNumberFormat="1" applyFont="1" applyFill="1"/>
    <xf numFmtId="37" fontId="84" fillId="0" borderId="1" xfId="9" applyNumberFormat="1" applyFont="1" applyFill="1" applyBorder="1"/>
    <xf numFmtId="41" fontId="84" fillId="0" borderId="1" xfId="9" applyNumberFormat="1" applyFont="1" applyBorder="1"/>
    <xf numFmtId="41" fontId="84" fillId="0" borderId="1" xfId="9" applyNumberFormat="1" applyFont="1" applyFill="1" applyBorder="1"/>
    <xf numFmtId="10" fontId="84" fillId="0" borderId="0" xfId="6" applyNumberFormat="1" applyFont="1" applyFill="1" applyBorder="1"/>
    <xf numFmtId="37" fontId="84" fillId="0" borderId="0" xfId="9" applyNumberFormat="1" applyFont="1" applyFill="1" applyBorder="1"/>
    <xf numFmtId="37" fontId="84" fillId="0" borderId="0" xfId="9" applyNumberFormat="1" applyFont="1" applyFill="1" applyAlignment="1">
      <alignment horizontal="center"/>
    </xf>
    <xf numFmtId="1" fontId="84" fillId="0" borderId="0" xfId="13" applyNumberFormat="1" applyFont="1" applyAlignment="1">
      <alignment horizontal="center"/>
    </xf>
    <xf numFmtId="9" fontId="84" fillId="0" borderId="0" xfId="6" applyFont="1"/>
    <xf numFmtId="41" fontId="84" fillId="0" borderId="0" xfId="9" applyNumberFormat="1" applyFont="1" applyBorder="1"/>
    <xf numFmtId="3" fontId="84" fillId="0" borderId="0" xfId="13" applyNumberFormat="1" applyFont="1" applyAlignment="1">
      <alignment horizontal="center"/>
    </xf>
    <xf numFmtId="5" fontId="84" fillId="0" borderId="32" xfId="9" applyNumberFormat="1" applyFont="1" applyFill="1" applyBorder="1"/>
    <xf numFmtId="5" fontId="84" fillId="0" borderId="32" xfId="9" applyNumberFormat="1" applyFont="1" applyBorder="1"/>
    <xf numFmtId="41" fontId="84" fillId="0" borderId="32" xfId="9" applyNumberFormat="1" applyFont="1" applyFill="1" applyBorder="1"/>
    <xf numFmtId="3" fontId="84" fillId="0" borderId="0" xfId="13" applyNumberFormat="1" applyFont="1" applyFill="1" applyAlignment="1">
      <alignment horizontal="center"/>
    </xf>
    <xf numFmtId="5" fontId="84" fillId="0" borderId="0" xfId="9" applyNumberFormat="1" applyFont="1" applyFill="1" applyBorder="1"/>
    <xf numFmtId="41" fontId="84" fillId="0" borderId="14" xfId="9" applyNumberFormat="1" applyFont="1" applyFill="1" applyBorder="1"/>
    <xf numFmtId="41" fontId="84" fillId="0" borderId="33" xfId="9" applyNumberFormat="1" applyFont="1" applyFill="1" applyBorder="1"/>
    <xf numFmtId="10" fontId="84" fillId="0" borderId="0" xfId="6" applyNumberFormat="1" applyFont="1" applyFill="1"/>
    <xf numFmtId="41" fontId="84" fillId="0" borderId="0" xfId="6" applyNumberFormat="1" applyFont="1"/>
    <xf numFmtId="41" fontId="84" fillId="0" borderId="0" xfId="6" applyNumberFormat="1" applyFont="1" applyFill="1"/>
    <xf numFmtId="0" fontId="84" fillId="0" borderId="0" xfId="9" applyFont="1" applyAlignment="1">
      <alignment vertical="top"/>
    </xf>
    <xf numFmtId="0" fontId="84" fillId="0" borderId="0" xfId="9" applyFont="1" applyFill="1"/>
    <xf numFmtId="167" fontId="84" fillId="0" borderId="0" xfId="6" applyNumberFormat="1" applyFont="1" applyFill="1"/>
    <xf numFmtId="0" fontId="84" fillId="4" borderId="0" xfId="9" applyFont="1" applyFill="1"/>
    <xf numFmtId="41" fontId="84" fillId="4" borderId="1" xfId="9" applyNumberFormat="1" applyFont="1" applyFill="1" applyBorder="1"/>
    <xf numFmtId="0" fontId="84" fillId="0" borderId="0" xfId="9" applyNumberFormat="1" applyFont="1" applyBorder="1" applyAlignment="1">
      <alignment horizontal="center"/>
    </xf>
    <xf numFmtId="0" fontId="84" fillId="0" borderId="0" xfId="9" applyFont="1" applyBorder="1"/>
    <xf numFmtId="41" fontId="84" fillId="4" borderId="0" xfId="9" applyNumberFormat="1" applyFont="1" applyFill="1" applyBorder="1"/>
    <xf numFmtId="0" fontId="84" fillId="0" borderId="0" xfId="9" applyNumberFormat="1" applyFont="1" applyFill="1" applyBorder="1" applyAlignment="1">
      <alignment horizontal="center"/>
    </xf>
    <xf numFmtId="0" fontId="84" fillId="0" borderId="0" xfId="9" applyFont="1" applyFill="1" applyBorder="1"/>
    <xf numFmtId="0" fontId="84" fillId="0" borderId="0" xfId="10" applyNumberFormat="1" applyFont="1" applyAlignment="1">
      <alignment horizontal="center"/>
    </xf>
    <xf numFmtId="0" fontId="84" fillId="0" borderId="0" xfId="10" applyFont="1"/>
    <xf numFmtId="3" fontId="84" fillId="0" borderId="0" xfId="10" applyNumberFormat="1" applyFont="1"/>
    <xf numFmtId="0" fontId="84" fillId="0" borderId="0" xfId="10" applyNumberFormat="1" applyFont="1" applyAlignment="1">
      <alignment horizontal="left"/>
    </xf>
    <xf numFmtId="0" fontId="90" fillId="0" borderId="0" xfId="0" applyFont="1"/>
    <xf numFmtId="3" fontId="87" fillId="0" borderId="18" xfId="14" applyNumberFormat="1" applyFont="1" applyBorder="1" applyAlignment="1">
      <alignment horizontal="center" vertical="center"/>
    </xf>
    <xf numFmtId="41" fontId="86" fillId="0" borderId="0" xfId="15" applyNumberFormat="1" applyFont="1" applyFill="1"/>
    <xf numFmtId="0" fontId="88" fillId="0" borderId="0" xfId="10" applyNumberFormat="1" applyFont="1" applyFill="1" applyAlignment="1">
      <alignment horizontal="center"/>
    </xf>
    <xf numFmtId="0" fontId="84" fillId="0" borderId="0" xfId="10" applyFont="1" applyAlignment="1">
      <alignment horizontal="center"/>
    </xf>
    <xf numFmtId="3" fontId="86" fillId="0" borderId="0" xfId="14" applyNumberFormat="1" applyFont="1" applyFill="1" applyAlignment="1">
      <alignment horizontal="center"/>
    </xf>
    <xf numFmtId="3" fontId="84" fillId="0" borderId="0" xfId="10" applyNumberFormat="1" applyFont="1" applyFill="1" applyAlignment="1">
      <alignment horizontal="center"/>
    </xf>
    <xf numFmtId="0" fontId="86" fillId="0" borderId="0" xfId="10" applyNumberFormat="1" applyFont="1" applyAlignment="1">
      <alignment horizontal="center"/>
    </xf>
    <xf numFmtId="0" fontId="86" fillId="0" borderId="0" xfId="10" applyFont="1" applyAlignment="1">
      <alignment horizontal="center"/>
    </xf>
    <xf numFmtId="3" fontId="85" fillId="0" borderId="0" xfId="0" applyNumberFormat="1" applyFont="1" applyFill="1" applyAlignment="1"/>
    <xf numFmtId="41" fontId="86" fillId="0" borderId="0" xfId="14" applyNumberFormat="1" applyFont="1" applyFill="1" applyAlignment="1">
      <alignment horizontal="center"/>
    </xf>
    <xf numFmtId="41" fontId="84" fillId="0" borderId="0" xfId="14" applyNumberFormat="1" applyFont="1" applyFill="1" applyAlignment="1">
      <alignment horizontal="center"/>
    </xf>
    <xf numFmtId="0" fontId="86" fillId="0" borderId="17" xfId="10" applyNumberFormat="1" applyFont="1" applyBorder="1" applyAlignment="1">
      <alignment horizontal="center"/>
    </xf>
    <xf numFmtId="0" fontId="86" fillId="0" borderId="19" xfId="10" applyFont="1" applyBorder="1" applyAlignment="1">
      <alignment horizontal="center"/>
    </xf>
    <xf numFmtId="0" fontId="86" fillId="0" borderId="14" xfId="10" applyFont="1" applyBorder="1" applyAlignment="1">
      <alignment horizontal="center"/>
    </xf>
    <xf numFmtId="0" fontId="84" fillId="0" borderId="30" xfId="10" applyFont="1" applyBorder="1"/>
    <xf numFmtId="3" fontId="86" fillId="0" borderId="17" xfId="10" applyNumberFormat="1" applyFont="1" applyBorder="1" applyAlignment="1">
      <alignment horizontal="center"/>
    </xf>
    <xf numFmtId="3" fontId="86" fillId="0" borderId="17" xfId="10" applyNumberFormat="1" applyFont="1" applyFill="1" applyBorder="1" applyAlignment="1">
      <alignment horizontal="center"/>
    </xf>
    <xf numFmtId="0" fontId="86" fillId="0" borderId="18" xfId="10" applyNumberFormat="1" applyFont="1" applyBorder="1" applyAlignment="1">
      <alignment horizontal="center"/>
    </xf>
    <xf numFmtId="0" fontId="86" fillId="0" borderId="22" xfId="10" applyFont="1" applyBorder="1" applyAlignment="1">
      <alignment horizontal="center"/>
    </xf>
    <xf numFmtId="0" fontId="86" fillId="0" borderId="0" xfId="10" applyFont="1" applyBorder="1" applyAlignment="1">
      <alignment horizontal="center"/>
    </xf>
    <xf numFmtId="0" fontId="84" fillId="0" borderId="28" xfId="10" applyFont="1" applyBorder="1"/>
    <xf numFmtId="3" fontId="86" fillId="0" borderId="18" xfId="10" applyNumberFormat="1" applyFont="1" applyFill="1" applyBorder="1" applyAlignment="1">
      <alignment horizontal="center"/>
    </xf>
    <xf numFmtId="0" fontId="86" fillId="0" borderId="21" xfId="10" applyNumberFormat="1" applyFont="1" applyBorder="1" applyAlignment="1">
      <alignment horizontal="center"/>
    </xf>
    <xf numFmtId="0" fontId="86" fillId="0" borderId="20" xfId="10" applyFont="1" applyBorder="1" applyAlignment="1">
      <alignment horizontal="center"/>
    </xf>
    <xf numFmtId="0" fontId="86" fillId="0" borderId="1" xfId="10" applyFont="1" applyBorder="1" applyAlignment="1">
      <alignment horizontal="center"/>
    </xf>
    <xf numFmtId="0" fontId="86" fillId="0" borderId="31" xfId="10" applyFont="1" applyBorder="1" applyAlignment="1">
      <alignment horizontal="center"/>
    </xf>
    <xf numFmtId="3" fontId="86" fillId="0" borderId="21" xfId="10" applyNumberFormat="1" applyFont="1" applyBorder="1" applyAlignment="1">
      <alignment horizontal="center"/>
    </xf>
    <xf numFmtId="3" fontId="86" fillId="0" borderId="21" xfId="10" applyNumberFormat="1" applyFont="1" applyFill="1" applyBorder="1" applyAlignment="1">
      <alignment horizontal="center"/>
    </xf>
    <xf numFmtId="0" fontId="84" fillId="0" borderId="0" xfId="10" applyFont="1" applyAlignment="1">
      <alignment horizontal="left"/>
    </xf>
    <xf numFmtId="4" fontId="86" fillId="0" borderId="0" xfId="10" applyNumberFormat="1" applyFont="1" applyAlignment="1">
      <alignment horizontal="center"/>
    </xf>
    <xf numFmtId="4" fontId="86" fillId="0" borderId="0" xfId="10" applyNumberFormat="1" applyFont="1" applyFill="1" applyBorder="1" applyAlignment="1">
      <alignment horizontal="center"/>
    </xf>
    <xf numFmtId="3" fontId="84" fillId="0" borderId="0" xfId="10" applyNumberFormat="1" applyFont="1" applyFill="1" applyBorder="1"/>
    <xf numFmtId="5" fontId="84" fillId="0" borderId="0" xfId="10" applyNumberFormat="1" applyFont="1"/>
    <xf numFmtId="42" fontId="84" fillId="0" borderId="0" xfId="10" applyNumberFormat="1" applyFont="1"/>
    <xf numFmtId="42" fontId="84" fillId="0" borderId="0" xfId="11" applyNumberFormat="1" applyFont="1" applyFill="1"/>
    <xf numFmtId="37" fontId="84" fillId="0" borderId="0" xfId="10" applyNumberFormat="1" applyFont="1"/>
    <xf numFmtId="41" fontId="84" fillId="0" borderId="0" xfId="10" applyNumberFormat="1" applyFont="1"/>
    <xf numFmtId="41" fontId="84" fillId="0" borderId="0" xfId="11" applyNumberFormat="1" applyFont="1" applyFill="1"/>
    <xf numFmtId="41" fontId="84" fillId="0" borderId="0" xfId="11" applyNumberFormat="1" applyFont="1" applyFill="1" applyBorder="1"/>
    <xf numFmtId="41" fontId="84" fillId="0" borderId="1" xfId="10" applyNumberFormat="1" applyFont="1" applyBorder="1"/>
    <xf numFmtId="41" fontId="84" fillId="0" borderId="1" xfId="11" applyNumberFormat="1" applyFont="1" applyFill="1" applyBorder="1"/>
    <xf numFmtId="41" fontId="84" fillId="0" borderId="0" xfId="10" applyNumberFormat="1" applyFont="1" applyFill="1"/>
    <xf numFmtId="0" fontId="84" fillId="0" borderId="0" xfId="0" applyFont="1"/>
    <xf numFmtId="42" fontId="84" fillId="0" borderId="32" xfId="10" applyNumberFormat="1" applyFont="1" applyBorder="1"/>
    <xf numFmtId="42" fontId="86" fillId="0" borderId="32" xfId="10" applyNumberFormat="1" applyFont="1" applyBorder="1"/>
    <xf numFmtId="41" fontId="84" fillId="0" borderId="33" xfId="10" applyNumberFormat="1" applyFont="1" applyBorder="1"/>
    <xf numFmtId="41" fontId="84" fillId="0" borderId="0" xfId="10" applyNumberFormat="1" applyFont="1" applyBorder="1"/>
    <xf numFmtId="0" fontId="84" fillId="0" borderId="0" xfId="10" applyNumberFormat="1" applyFont="1" applyBorder="1" applyAlignment="1">
      <alignment horizontal="center"/>
    </xf>
    <xf numFmtId="37" fontId="84" fillId="0" borderId="0" xfId="10" applyNumberFormat="1" applyFont="1" applyBorder="1"/>
    <xf numFmtId="0" fontId="84" fillId="0" borderId="0" xfId="10" applyFont="1" applyBorder="1"/>
    <xf numFmtId="5" fontId="86" fillId="0" borderId="0" xfId="10" applyNumberFormat="1" applyFont="1"/>
    <xf numFmtId="10" fontId="84" fillId="0" borderId="0" xfId="6" applyNumberFormat="1" applyFont="1"/>
    <xf numFmtId="0" fontId="84" fillId="0" borderId="0" xfId="10" applyNumberFormat="1" applyFont="1" applyFill="1" applyAlignment="1">
      <alignment horizontal="left"/>
    </xf>
    <xf numFmtId="0" fontId="84" fillId="0" borderId="0" xfId="10" applyFont="1" applyFill="1"/>
    <xf numFmtId="0" fontId="84" fillId="0" borderId="0" xfId="10" applyNumberFormat="1" applyFont="1" applyFill="1" applyAlignment="1">
      <alignment horizontal="center"/>
    </xf>
    <xf numFmtId="178" fontId="84" fillId="0" borderId="0" xfId="9" applyNumberFormat="1" applyFont="1" applyFill="1"/>
    <xf numFmtId="3" fontId="84" fillId="0" borderId="0" xfId="9" applyNumberFormat="1" applyFont="1" applyFill="1"/>
    <xf numFmtId="0" fontId="84" fillId="0" borderId="0" xfId="10" applyNumberFormat="1" applyFont="1" applyFill="1" applyBorder="1" applyAlignment="1">
      <alignment horizontal="center"/>
    </xf>
    <xf numFmtId="0" fontId="84" fillId="0" borderId="0" xfId="10" applyFont="1" applyFill="1" applyBorder="1"/>
    <xf numFmtId="3" fontId="84" fillId="0" borderId="0" xfId="9" applyNumberFormat="1" applyFont="1" applyFill="1" applyBorder="1"/>
    <xf numFmtId="0" fontId="84" fillId="0" borderId="0" xfId="9" applyFont="1" applyFill="1" applyBorder="1" applyAlignment="1">
      <alignment horizontal="right"/>
    </xf>
    <xf numFmtId="3" fontId="84" fillId="0" borderId="0" xfId="10" applyNumberFormat="1" applyFont="1" applyBorder="1"/>
    <xf numFmtId="0" fontId="49" fillId="0" borderId="0" xfId="0" applyFont="1" applyFill="1" applyAlignment="1">
      <alignment horizontal="left"/>
    </xf>
    <xf numFmtId="3" fontId="96" fillId="0" borderId="0" xfId="0" applyNumberFormat="1" applyFont="1" applyFill="1" applyBorder="1" applyAlignment="1">
      <alignment horizontal="left"/>
    </xf>
    <xf numFmtId="3" fontId="96" fillId="0" borderId="28" xfId="0" applyNumberFormat="1" applyFont="1" applyFill="1" applyBorder="1" applyAlignment="1">
      <alignment horizontal="left"/>
    </xf>
    <xf numFmtId="0" fontId="96" fillId="0" borderId="28" xfId="0" applyFont="1" applyFill="1" applyBorder="1" applyAlignment="1">
      <alignment horizontal="left"/>
    </xf>
    <xf numFmtId="3" fontId="97" fillId="0" borderId="31" xfId="0" applyNumberFormat="1" applyFont="1" applyFill="1" applyBorder="1" applyAlignment="1">
      <alignment horizontal="left"/>
    </xf>
    <xf numFmtId="0" fontId="96" fillId="0" borderId="0" xfId="0" applyFont="1" applyFill="1" applyAlignment="1">
      <alignment horizontal="left"/>
    </xf>
    <xf numFmtId="0" fontId="0" fillId="0" borderId="0" xfId="0" applyFont="1" applyFill="1" applyBorder="1" applyAlignment="1">
      <alignment horizontal="left"/>
    </xf>
    <xf numFmtId="37" fontId="0" fillId="0" borderId="0" xfId="0" applyNumberFormat="1"/>
    <xf numFmtId="0" fontId="44" fillId="0" borderId="27" xfId="0" applyFont="1" applyFill="1" applyBorder="1" applyAlignment="1">
      <alignment horizontal="right"/>
    </xf>
    <xf numFmtId="0" fontId="99" fillId="0" borderId="0" xfId="0" applyFont="1" applyAlignment="1">
      <alignment horizontal="center"/>
    </xf>
    <xf numFmtId="0" fontId="100" fillId="0" borderId="0" xfId="0" applyFont="1"/>
    <xf numFmtId="0" fontId="99" fillId="0" borderId="17" xfId="0" applyFont="1" applyFill="1" applyBorder="1" applyAlignment="1">
      <alignment horizontal="center"/>
    </xf>
    <xf numFmtId="165" fontId="100" fillId="0" borderId="17" xfId="5" applyNumberFormat="1" applyFont="1" applyFill="1" applyBorder="1"/>
    <xf numFmtId="0" fontId="99" fillId="0" borderId="18" xfId="0" applyFont="1" applyFill="1" applyBorder="1" applyAlignment="1">
      <alignment horizontal="center"/>
    </xf>
    <xf numFmtId="165" fontId="100" fillId="0" borderId="18" xfId="5" applyNumberFormat="1" applyFont="1" applyFill="1" applyBorder="1"/>
    <xf numFmtId="0" fontId="101" fillId="0" borderId="0" xfId="0" applyFont="1" applyAlignment="1">
      <alignment horizontal="center"/>
    </xf>
    <xf numFmtId="0" fontId="101" fillId="0" borderId="18" xfId="0" applyFont="1" applyFill="1" applyBorder="1" applyAlignment="1">
      <alignment horizontal="center"/>
    </xf>
    <xf numFmtId="165" fontId="100" fillId="0" borderId="21" xfId="5" applyNumberFormat="1" applyFont="1" applyFill="1" applyBorder="1"/>
    <xf numFmtId="0" fontId="99" fillId="0" borderId="19" xfId="0" applyFont="1" applyBorder="1" applyAlignment="1">
      <alignment horizontal="center"/>
    </xf>
    <xf numFmtId="0" fontId="99" fillId="0" borderId="17" xfId="0" quotePrefix="1" applyFont="1" applyFill="1" applyBorder="1" applyAlignment="1">
      <alignment horizontal="center"/>
    </xf>
    <xf numFmtId="0" fontId="101" fillId="0" borderId="20" xfId="0" applyFont="1" applyBorder="1" applyAlignment="1">
      <alignment horizontal="center"/>
    </xf>
    <xf numFmtId="0" fontId="101" fillId="0" borderId="21" xfId="0" applyFont="1" applyFill="1" applyBorder="1" applyAlignment="1">
      <alignment horizontal="center"/>
    </xf>
    <xf numFmtId="0" fontId="101" fillId="0" borderId="22" xfId="0" applyFont="1" applyBorder="1"/>
    <xf numFmtId="0" fontId="101" fillId="0" borderId="22" xfId="0" applyFont="1" applyBorder="1" applyAlignment="1">
      <alignment horizontal="left"/>
    </xf>
    <xf numFmtId="179" fontId="100" fillId="0" borderId="0" xfId="7" applyNumberFormat="1" applyFont="1"/>
    <xf numFmtId="9" fontId="100" fillId="0" borderId="0" xfId="5" applyFont="1"/>
    <xf numFmtId="179" fontId="100" fillId="17" borderId="0" xfId="7" applyNumberFormat="1" applyFont="1" applyFill="1"/>
    <xf numFmtId="179" fontId="100" fillId="4" borderId="0" xfId="7" applyNumberFormat="1" applyFont="1" applyFill="1"/>
    <xf numFmtId="0" fontId="101" fillId="0" borderId="22" xfId="0" quotePrefix="1" applyFont="1" applyBorder="1" applyAlignment="1">
      <alignment horizontal="left"/>
    </xf>
    <xf numFmtId="179" fontId="100" fillId="0" borderId="0" xfId="0" applyNumberFormat="1" applyFont="1"/>
    <xf numFmtId="0" fontId="26" fillId="9" borderId="6" xfId="0" applyFont="1" applyFill="1" applyBorder="1" applyAlignment="1">
      <alignment horizontal="center"/>
    </xf>
    <xf numFmtId="0" fontId="26" fillId="9" borderId="9" xfId="0" applyFont="1" applyFill="1" applyBorder="1" applyAlignment="1">
      <alignment horizontal="center"/>
    </xf>
    <xf numFmtId="0" fontId="26" fillId="8" borderId="12" xfId="0" applyFont="1" applyFill="1" applyBorder="1" applyAlignment="1">
      <alignment horizontal="center"/>
    </xf>
    <xf numFmtId="0" fontId="46" fillId="0" borderId="26" xfId="0" applyFont="1" applyFill="1" applyBorder="1" applyAlignment="1">
      <alignment horizontal="center"/>
    </xf>
    <xf numFmtId="0" fontId="48" fillId="0" borderId="27" xfId="0" applyFont="1" applyFill="1" applyBorder="1" applyAlignment="1">
      <alignment horizontal="center"/>
    </xf>
    <xf numFmtId="0" fontId="102" fillId="0" borderId="0" xfId="0" applyFont="1"/>
    <xf numFmtId="0" fontId="103" fillId="0" borderId="19" xfId="0" applyFont="1" applyFill="1" applyBorder="1"/>
    <xf numFmtId="0" fontId="46" fillId="0" borderId="25" xfId="0" applyFont="1" applyFill="1" applyBorder="1" applyAlignment="1">
      <alignment horizontal="center"/>
    </xf>
    <xf numFmtId="0" fontId="49" fillId="0" borderId="25" xfId="0" applyFont="1" applyFill="1" applyBorder="1" applyAlignment="1">
      <alignment horizontal="center"/>
    </xf>
    <xf numFmtId="0" fontId="52" fillId="0" borderId="26" xfId="0" applyFont="1" applyFill="1" applyBorder="1" applyAlignment="1">
      <alignment horizontal="center"/>
    </xf>
    <xf numFmtId="0" fontId="104" fillId="0" borderId="0" xfId="0" applyFont="1"/>
    <xf numFmtId="0" fontId="97" fillId="0" borderId="28" xfId="0" applyFont="1" applyFill="1" applyBorder="1"/>
    <xf numFmtId="167" fontId="18" fillId="7" borderId="21" xfId="5" applyNumberFormat="1" applyFont="1" applyFill="1" applyBorder="1" applyAlignment="1">
      <alignment horizontal="right"/>
    </xf>
    <xf numFmtId="167" fontId="21" fillId="0" borderId="18" xfId="5" applyNumberFormat="1" applyFont="1" applyFill="1" applyBorder="1" applyAlignment="1">
      <alignment horizontal="right"/>
    </xf>
    <xf numFmtId="3" fontId="16" fillId="4" borderId="0" xfId="0" applyNumberFormat="1" applyFont="1" applyFill="1" applyBorder="1" applyAlignment="1">
      <alignment horizontal="center"/>
    </xf>
    <xf numFmtId="0" fontId="0" fillId="4" borderId="0" xfId="0" applyFill="1"/>
    <xf numFmtId="0" fontId="31" fillId="7" borderId="17" xfId="0" applyFont="1" applyFill="1" applyBorder="1" applyAlignment="1">
      <alignment horizontal="left"/>
    </xf>
    <xf numFmtId="0" fontId="105" fillId="0" borderId="0" xfId="0" applyFont="1"/>
    <xf numFmtId="0" fontId="16" fillId="0" borderId="19" xfId="0" applyFont="1" applyFill="1" applyBorder="1" applyAlignment="1">
      <alignment horizontal="center"/>
    </xf>
    <xf numFmtId="0" fontId="16" fillId="0" borderId="22" xfId="0" applyFont="1" applyFill="1" applyBorder="1" applyAlignment="1">
      <alignment horizontal="center"/>
    </xf>
    <xf numFmtId="0" fontId="17" fillId="0" borderId="22" xfId="0" applyFont="1" applyFill="1" applyBorder="1" applyAlignment="1">
      <alignment horizontal="center"/>
    </xf>
    <xf numFmtId="0" fontId="16" fillId="0" borderId="19" xfId="0" quotePrefix="1" applyFont="1" applyFill="1" applyBorder="1" applyAlignment="1">
      <alignment horizontal="center"/>
    </xf>
    <xf numFmtId="0" fontId="18" fillId="0" borderId="20" xfId="0" applyFont="1" applyFill="1" applyBorder="1"/>
    <xf numFmtId="0" fontId="19" fillId="0" borderId="20" xfId="0" applyFont="1" applyFill="1" applyBorder="1" applyAlignment="1">
      <alignment horizontal="center"/>
    </xf>
    <xf numFmtId="3" fontId="17" fillId="0" borderId="22" xfId="0" applyNumberFormat="1" applyFont="1" applyFill="1" applyBorder="1" applyAlignment="1">
      <alignment horizontal="right"/>
    </xf>
    <xf numFmtId="174" fontId="17" fillId="0" borderId="22" xfId="0" applyNumberFormat="1" applyFont="1" applyFill="1" applyBorder="1" applyAlignment="1">
      <alignment horizontal="right"/>
    </xf>
    <xf numFmtId="3" fontId="17" fillId="0" borderId="20" xfId="0" applyNumberFormat="1" applyFont="1" applyFill="1" applyBorder="1" applyAlignment="1">
      <alignment horizontal="right"/>
    </xf>
    <xf numFmtId="166" fontId="17" fillId="0" borderId="22" xfId="0" applyNumberFormat="1" applyFont="1" applyFill="1" applyBorder="1" applyAlignment="1">
      <alignment horizontal="right"/>
    </xf>
    <xf numFmtId="166" fontId="17" fillId="0" borderId="20" xfId="0" applyNumberFormat="1" applyFont="1" applyFill="1" applyBorder="1" applyAlignment="1">
      <alignment horizontal="right"/>
    </xf>
    <xf numFmtId="170" fontId="21" fillId="0" borderId="20" xfId="0" applyNumberFormat="1" applyFont="1" applyFill="1" applyBorder="1" applyAlignment="1">
      <alignment horizontal="right"/>
    </xf>
    <xf numFmtId="3" fontId="21" fillId="0" borderId="22" xfId="0" applyNumberFormat="1" applyFont="1" applyFill="1" applyBorder="1" applyAlignment="1">
      <alignment horizontal="right"/>
    </xf>
    <xf numFmtId="3" fontId="21" fillId="0" borderId="19" xfId="0" applyNumberFormat="1" applyFont="1" applyFill="1" applyBorder="1" applyAlignment="1">
      <alignment horizontal="right"/>
    </xf>
    <xf numFmtId="0" fontId="21" fillId="0" borderId="22" xfId="0" applyFont="1" applyFill="1" applyBorder="1" applyAlignment="1">
      <alignment horizontal="right"/>
    </xf>
    <xf numFmtId="3" fontId="21" fillId="0" borderId="35" xfId="0" applyNumberFormat="1" applyFont="1" applyFill="1" applyBorder="1"/>
    <xf numFmtId="0" fontId="16" fillId="0" borderId="19" xfId="0" applyFont="1" applyFill="1" applyBorder="1"/>
    <xf numFmtId="0" fontId="16" fillId="0" borderId="22" xfId="0" applyFont="1" applyFill="1" applyBorder="1"/>
    <xf numFmtId="2" fontId="17" fillId="0" borderId="20" xfId="0" applyNumberFormat="1" applyFont="1" applyFill="1" applyBorder="1" applyAlignment="1">
      <alignment horizontal="right"/>
    </xf>
    <xf numFmtId="3" fontId="17" fillId="0" borderId="36" xfId="0" applyNumberFormat="1" applyFont="1" applyFill="1" applyBorder="1"/>
    <xf numFmtId="2" fontId="17" fillId="0" borderId="22" xfId="0" applyNumberFormat="1" applyFont="1" applyFill="1" applyBorder="1" applyAlignment="1">
      <alignment horizontal="right"/>
    </xf>
    <xf numFmtId="169" fontId="29" fillId="0" borderId="20" xfId="0" applyNumberFormat="1" applyFont="1" applyFill="1" applyBorder="1" applyAlignment="1">
      <alignment horizontal="right"/>
    </xf>
    <xf numFmtId="3" fontId="29" fillId="0" borderId="22" xfId="0" applyNumberFormat="1" applyFont="1" applyFill="1" applyBorder="1" applyAlignment="1">
      <alignment horizontal="right"/>
    </xf>
    <xf numFmtId="0" fontId="18" fillId="0" borderId="19" xfId="0" applyFont="1" applyFill="1" applyBorder="1"/>
    <xf numFmtId="0" fontId="18" fillId="0" borderId="20" xfId="0" applyFont="1" applyFill="1" applyBorder="1" applyAlignment="1">
      <alignment horizontal="center"/>
    </xf>
    <xf numFmtId="0" fontId="18" fillId="0" borderId="22" xfId="0" applyFont="1" applyFill="1" applyBorder="1" applyAlignment="1">
      <alignment horizontal="center"/>
    </xf>
    <xf numFmtId="169" fontId="17" fillId="0" borderId="20" xfId="0" applyNumberFormat="1" applyFont="1" applyFill="1" applyBorder="1" applyAlignment="1">
      <alignment horizontal="right"/>
    </xf>
    <xf numFmtId="3" fontId="17" fillId="0" borderId="19" xfId="0" applyNumberFormat="1" applyFont="1" applyFill="1" applyBorder="1" applyAlignment="1">
      <alignment horizontal="right"/>
    </xf>
    <xf numFmtId="0" fontId="18" fillId="0" borderId="22" xfId="0" applyFont="1" applyFill="1" applyBorder="1" applyAlignment="1">
      <alignment horizontal="right"/>
    </xf>
    <xf numFmtId="171" fontId="18" fillId="0" borderId="20" xfId="0" applyNumberFormat="1" applyFont="1" applyFill="1" applyBorder="1"/>
    <xf numFmtId="0" fontId="70" fillId="0" borderId="22" xfId="0" applyFont="1" applyFill="1" applyBorder="1" applyAlignment="1">
      <alignment horizontal="center"/>
    </xf>
    <xf numFmtId="3" fontId="17" fillId="0" borderId="22" xfId="2" applyNumberFormat="1" applyFont="1" applyFill="1" applyBorder="1"/>
    <xf numFmtId="3" fontId="18" fillId="0" borderId="22" xfId="0" applyNumberFormat="1" applyFont="1" applyFill="1" applyBorder="1" applyAlignment="1">
      <alignment horizontal="right"/>
    </xf>
    <xf numFmtId="3" fontId="18" fillId="0" borderId="22" xfId="2" applyNumberFormat="1" applyFont="1" applyFill="1" applyBorder="1" applyAlignment="1">
      <alignment horizontal="right"/>
    </xf>
    <xf numFmtId="10" fontId="18" fillId="0" borderId="20" xfId="5" applyNumberFormat="1" applyFont="1" applyFill="1" applyBorder="1" applyAlignment="1">
      <alignment horizontal="center"/>
    </xf>
    <xf numFmtId="1" fontId="18" fillId="0" borderId="36" xfId="5" applyNumberFormat="1" applyFont="1" applyFill="1" applyBorder="1"/>
    <xf numFmtId="0" fontId="18" fillId="0" borderId="36" xfId="0" applyFont="1" applyFill="1" applyBorder="1"/>
    <xf numFmtId="9" fontId="18" fillId="0" borderId="36" xfId="5" applyFont="1" applyFill="1" applyBorder="1"/>
    <xf numFmtId="9" fontId="18" fillId="0" borderId="20" xfId="5" applyFont="1" applyFill="1" applyBorder="1"/>
    <xf numFmtId="166" fontId="32" fillId="0" borderId="20" xfId="5" applyNumberFormat="1" applyFont="1" applyFill="1" applyBorder="1" applyAlignment="1">
      <alignment horizontal="right"/>
    </xf>
    <xf numFmtId="3" fontId="21" fillId="0" borderId="20" xfId="0" applyNumberFormat="1" applyFont="1" applyFill="1" applyBorder="1"/>
    <xf numFmtId="0" fontId="18" fillId="0" borderId="36" xfId="0" applyFont="1" applyFill="1" applyBorder="1" applyAlignment="1">
      <alignment horizontal="center"/>
    </xf>
    <xf numFmtId="10" fontId="17" fillId="0" borderId="22" xfId="0" applyNumberFormat="1" applyFont="1" applyFill="1" applyBorder="1" applyAlignment="1">
      <alignment horizontal="right"/>
    </xf>
    <xf numFmtId="170" fontId="17" fillId="0" borderId="20" xfId="0" applyNumberFormat="1" applyFont="1" applyFill="1" applyBorder="1" applyAlignment="1">
      <alignment horizontal="right"/>
    </xf>
    <xf numFmtId="3" fontId="18" fillId="0" borderId="35" xfId="0" applyNumberFormat="1" applyFont="1" applyFill="1" applyBorder="1"/>
    <xf numFmtId="0" fontId="19" fillId="0" borderId="19" xfId="0" applyFont="1" applyFill="1" applyBorder="1" applyAlignment="1">
      <alignment horizontal="center"/>
    </xf>
    <xf numFmtId="0" fontId="31" fillId="0" borderId="22" xfId="0" applyFont="1" applyFill="1" applyBorder="1"/>
    <xf numFmtId="3" fontId="32" fillId="0" borderId="22" xfId="0" applyNumberFormat="1" applyFont="1" applyFill="1" applyBorder="1"/>
    <xf numFmtId="3" fontId="25" fillId="0" borderId="22" xfId="0" applyNumberFormat="1" applyFont="1" applyFill="1" applyBorder="1"/>
    <xf numFmtId="171" fontId="17" fillId="0" borderId="22" xfId="0" applyNumberFormat="1" applyFont="1" applyFill="1" applyBorder="1"/>
    <xf numFmtId="171" fontId="17" fillId="0" borderId="20" xfId="0" applyNumberFormat="1" applyFont="1" applyFill="1" applyBorder="1"/>
    <xf numFmtId="3" fontId="32" fillId="0" borderId="20" xfId="0" applyNumberFormat="1" applyFont="1" applyFill="1" applyBorder="1"/>
    <xf numFmtId="3" fontId="17" fillId="0" borderId="22" xfId="0" applyNumberFormat="1" applyFont="1" applyFill="1" applyBorder="1"/>
    <xf numFmtId="3" fontId="25" fillId="0" borderId="20" xfId="0" applyNumberFormat="1" applyFont="1" applyFill="1" applyBorder="1"/>
    <xf numFmtId="3" fontId="25" fillId="0" borderId="35" xfId="0" applyNumberFormat="1" applyFont="1" applyFill="1" applyBorder="1"/>
    <xf numFmtId="0" fontId="92" fillId="9" borderId="8" xfId="0" applyFont="1" applyFill="1" applyBorder="1" applyAlignment="1">
      <alignment horizontal="center"/>
    </xf>
    <xf numFmtId="0" fontId="92" fillId="9" borderId="0" xfId="0" applyFont="1" applyFill="1" applyBorder="1" applyAlignment="1">
      <alignment horizontal="center"/>
    </xf>
    <xf numFmtId="0" fontId="92" fillId="8" borderId="5" xfId="0" applyFont="1" applyFill="1" applyBorder="1" applyAlignment="1">
      <alignment horizontal="center"/>
    </xf>
    <xf numFmtId="0" fontId="91" fillId="0" borderId="25" xfId="0" applyFont="1" applyFill="1" applyBorder="1" applyAlignment="1">
      <alignment horizontal="center"/>
    </xf>
    <xf numFmtId="0" fontId="9" fillId="0" borderId="26" xfId="0" applyFont="1" applyFill="1" applyBorder="1" applyAlignment="1">
      <alignment horizontal="center"/>
    </xf>
    <xf numFmtId="0" fontId="93" fillId="0" borderId="26" xfId="0" applyFont="1" applyFill="1" applyBorder="1" applyAlignment="1">
      <alignment horizontal="center"/>
    </xf>
    <xf numFmtId="0" fontId="53" fillId="0" borderId="39" xfId="0" applyFont="1" applyFill="1" applyBorder="1" applyAlignment="1">
      <alignment horizontal="center"/>
    </xf>
    <xf numFmtId="0" fontId="53" fillId="0" borderId="26" xfId="0" applyFont="1" applyFill="1" applyBorder="1" applyAlignment="1">
      <alignment horizontal="center"/>
    </xf>
    <xf numFmtId="0" fontId="44" fillId="0" borderId="26" xfId="0" applyFont="1" applyFill="1" applyBorder="1" applyAlignment="1">
      <alignment horizontal="center"/>
    </xf>
    <xf numFmtId="0" fontId="53" fillId="0" borderId="39" xfId="0" quotePrefix="1" applyFont="1" applyFill="1" applyBorder="1" applyAlignment="1">
      <alignment horizontal="center"/>
    </xf>
    <xf numFmtId="0" fontId="24" fillId="0" borderId="40" xfId="0" applyFont="1" applyFill="1" applyBorder="1"/>
    <xf numFmtId="0" fontId="54" fillId="0" borderId="40" xfId="0" applyFont="1" applyFill="1" applyBorder="1" applyAlignment="1">
      <alignment horizontal="center"/>
    </xf>
    <xf numFmtId="3" fontId="44" fillId="0" borderId="26" xfId="0" applyNumberFormat="1" applyFont="1" applyFill="1" applyBorder="1" applyAlignment="1">
      <alignment horizontal="right"/>
    </xf>
    <xf numFmtId="174" fontId="44" fillId="0" borderId="26" xfId="0" applyNumberFormat="1" applyFont="1" applyFill="1" applyBorder="1" applyAlignment="1">
      <alignment horizontal="right"/>
    </xf>
    <xf numFmtId="3" fontId="44" fillId="0" borderId="40" xfId="0" applyNumberFormat="1" applyFont="1" applyFill="1" applyBorder="1" applyAlignment="1">
      <alignment horizontal="right"/>
    </xf>
    <xf numFmtId="166" fontId="44" fillId="0" borderId="26" xfId="0" applyNumberFormat="1" applyFont="1" applyFill="1" applyBorder="1" applyAlignment="1">
      <alignment horizontal="right"/>
    </xf>
    <xf numFmtId="166" fontId="44" fillId="0" borderId="40" xfId="0" applyNumberFormat="1" applyFont="1" applyFill="1" applyBorder="1" applyAlignment="1">
      <alignment horizontal="right"/>
    </xf>
    <xf numFmtId="170" fontId="58" fillId="0" borderId="40" xfId="0" applyNumberFormat="1" applyFont="1" applyFill="1" applyBorder="1" applyAlignment="1">
      <alignment horizontal="right"/>
    </xf>
    <xf numFmtId="3" fontId="58" fillId="0" borderId="26" xfId="0" applyNumberFormat="1" applyFont="1" applyFill="1" applyBorder="1" applyAlignment="1">
      <alignment horizontal="right"/>
    </xf>
    <xf numFmtId="3" fontId="58" fillId="0" borderId="39" xfId="0" applyNumberFormat="1" applyFont="1" applyFill="1" applyBorder="1" applyAlignment="1">
      <alignment horizontal="right"/>
    </xf>
    <xf numFmtId="0" fontId="58" fillId="0" borderId="26" xfId="0" applyFont="1" applyFill="1" applyBorder="1" applyAlignment="1">
      <alignment horizontal="right"/>
    </xf>
    <xf numFmtId="3" fontId="58" fillId="0" borderId="41" xfId="0" applyNumberFormat="1" applyFont="1" applyFill="1" applyBorder="1"/>
    <xf numFmtId="0" fontId="53" fillId="0" borderId="40" xfId="0" applyFont="1" applyFill="1" applyBorder="1"/>
    <xf numFmtId="0" fontId="53" fillId="0" borderId="39" xfId="0" applyFont="1" applyFill="1" applyBorder="1"/>
    <xf numFmtId="0" fontId="53" fillId="0" borderId="26" xfId="0" applyFont="1" applyFill="1" applyBorder="1"/>
    <xf numFmtId="2" fontId="44" fillId="0" borderId="40" xfId="0" applyNumberFormat="1" applyFont="1" applyFill="1" applyBorder="1" applyAlignment="1">
      <alignment horizontal="right"/>
    </xf>
    <xf numFmtId="3" fontId="44" fillId="0" borderId="42" xfId="0" applyNumberFormat="1" applyFont="1" applyFill="1" applyBorder="1"/>
    <xf numFmtId="2" fontId="44" fillId="0" borderId="26" xfId="0" applyNumberFormat="1" applyFont="1" applyFill="1" applyBorder="1" applyAlignment="1">
      <alignment horizontal="right"/>
    </xf>
    <xf numFmtId="169" fontId="68" fillId="0" borderId="40" xfId="0" applyNumberFormat="1" applyFont="1" applyFill="1" applyBorder="1" applyAlignment="1">
      <alignment horizontal="right"/>
    </xf>
    <xf numFmtId="3" fontId="68" fillId="0" borderId="26" xfId="0" applyNumberFormat="1" applyFont="1" applyFill="1" applyBorder="1" applyAlignment="1">
      <alignment horizontal="right"/>
    </xf>
    <xf numFmtId="3" fontId="53" fillId="0" borderId="26" xfId="0" applyNumberFormat="1" applyFont="1" applyFill="1" applyBorder="1" applyAlignment="1">
      <alignment horizontal="center"/>
    </xf>
    <xf numFmtId="0" fontId="24" fillId="0" borderId="39" xfId="0" applyFont="1" applyFill="1" applyBorder="1"/>
    <xf numFmtId="0" fontId="24" fillId="0" borderId="40" xfId="0" applyFont="1" applyFill="1" applyBorder="1" applyAlignment="1">
      <alignment horizontal="center"/>
    </xf>
    <xf numFmtId="0" fontId="24" fillId="0" borderId="26" xfId="0" applyFont="1" applyFill="1" applyBorder="1"/>
    <xf numFmtId="0" fontId="24" fillId="0" borderId="26" xfId="0" applyFont="1" applyFill="1" applyBorder="1" applyAlignment="1">
      <alignment horizontal="center"/>
    </xf>
    <xf numFmtId="169" fontId="44" fillId="0" borderId="40" xfId="0" applyNumberFormat="1" applyFont="1" applyFill="1" applyBorder="1" applyAlignment="1">
      <alignment horizontal="right"/>
    </xf>
    <xf numFmtId="3" fontId="44" fillId="0" borderId="39" xfId="0" applyNumberFormat="1" applyFont="1" applyFill="1" applyBorder="1" applyAlignment="1">
      <alignment horizontal="right"/>
    </xf>
    <xf numFmtId="0" fontId="24" fillId="0" borderId="26" xfId="0" applyFont="1" applyFill="1" applyBorder="1" applyAlignment="1">
      <alignment horizontal="right"/>
    </xf>
    <xf numFmtId="171" fontId="24" fillId="0" borderId="40" xfId="0" applyNumberFormat="1" applyFont="1" applyFill="1" applyBorder="1"/>
    <xf numFmtId="0" fontId="71" fillId="0" borderId="26" xfId="0" applyFont="1" applyFill="1" applyBorder="1" applyAlignment="1">
      <alignment horizontal="center"/>
    </xf>
    <xf numFmtId="3" fontId="44" fillId="0" borderId="26" xfId="2" applyNumberFormat="1" applyFont="1" applyFill="1" applyBorder="1"/>
    <xf numFmtId="3" fontId="24" fillId="0" borderId="26" xfId="0" applyNumberFormat="1" applyFont="1" applyFill="1" applyBorder="1" applyAlignment="1">
      <alignment horizontal="right"/>
    </xf>
    <xf numFmtId="3" fontId="24" fillId="0" borderId="26" xfId="2" applyNumberFormat="1" applyFont="1" applyFill="1" applyBorder="1" applyAlignment="1">
      <alignment horizontal="right"/>
    </xf>
    <xf numFmtId="10" fontId="24" fillId="0" borderId="40" xfId="5" applyNumberFormat="1" applyFont="1" applyFill="1" applyBorder="1" applyAlignment="1">
      <alignment horizontal="center"/>
    </xf>
    <xf numFmtId="1" fontId="24" fillId="0" borderId="42" xfId="5" applyNumberFormat="1" applyFont="1" applyFill="1" applyBorder="1"/>
    <xf numFmtId="0" fontId="24" fillId="0" borderId="42" xfId="0" applyFont="1" applyFill="1" applyBorder="1"/>
    <xf numFmtId="9" fontId="24" fillId="0" borderId="42" xfId="5" applyFont="1" applyFill="1" applyBorder="1"/>
    <xf numFmtId="9" fontId="24" fillId="0" borderId="40" xfId="5" applyFont="1" applyFill="1" applyBorder="1"/>
    <xf numFmtId="0" fontId="44" fillId="0" borderId="26" xfId="0" applyFont="1" applyFill="1" applyBorder="1"/>
    <xf numFmtId="166" fontId="75" fillId="0" borderId="40" xfId="5" applyNumberFormat="1" applyFont="1" applyFill="1" applyBorder="1" applyAlignment="1">
      <alignment horizontal="right"/>
    </xf>
    <xf numFmtId="164" fontId="64" fillId="0" borderId="26" xfId="2" applyNumberFormat="1" applyFont="1" applyFill="1" applyBorder="1"/>
    <xf numFmtId="3" fontId="58" fillId="0" borderId="40" xfId="0" applyNumberFormat="1" applyFont="1" applyFill="1" applyBorder="1"/>
    <xf numFmtId="0" fontId="24" fillId="0" borderId="42" xfId="0" applyFont="1" applyFill="1" applyBorder="1" applyAlignment="1">
      <alignment horizontal="center"/>
    </xf>
    <xf numFmtId="10" fontId="44" fillId="0" borderId="26" xfId="0" applyNumberFormat="1" applyFont="1" applyFill="1" applyBorder="1" applyAlignment="1">
      <alignment horizontal="right"/>
    </xf>
    <xf numFmtId="170" fontId="44" fillId="0" borderId="40" xfId="0" applyNumberFormat="1" applyFont="1" applyFill="1" applyBorder="1" applyAlignment="1">
      <alignment horizontal="right"/>
    </xf>
    <xf numFmtId="3" fontId="24" fillId="0" borderId="41" xfId="0" applyNumberFormat="1" applyFont="1" applyFill="1" applyBorder="1"/>
    <xf numFmtId="0" fontId="51" fillId="0" borderId="26" xfId="0" applyFont="1" applyFill="1" applyBorder="1" applyAlignment="1">
      <alignment horizontal="center"/>
    </xf>
    <xf numFmtId="0" fontId="54" fillId="0" borderId="39" xfId="0" applyFont="1" applyFill="1" applyBorder="1" applyAlignment="1">
      <alignment horizontal="center"/>
    </xf>
    <xf numFmtId="0" fontId="45" fillId="0" borderId="26" xfId="0" applyFont="1" applyFill="1" applyBorder="1"/>
    <xf numFmtId="3" fontId="75" fillId="0" borderId="26" xfId="0" applyNumberFormat="1" applyFont="1" applyFill="1" applyBorder="1"/>
    <xf numFmtId="3" fontId="77" fillId="0" borderId="26" xfId="0" applyNumberFormat="1" applyFont="1" applyFill="1" applyBorder="1"/>
    <xf numFmtId="171" fontId="44" fillId="0" borderId="26" xfId="0" applyNumberFormat="1" applyFont="1" applyFill="1" applyBorder="1"/>
    <xf numFmtId="171" fontId="44" fillId="0" borderId="40" xfId="0" applyNumberFormat="1" applyFont="1" applyFill="1" applyBorder="1"/>
    <xf numFmtId="3" fontId="75" fillId="0" borderId="40" xfId="0" applyNumberFormat="1" applyFont="1" applyFill="1" applyBorder="1"/>
    <xf numFmtId="3" fontId="44" fillId="0" borderId="26" xfId="0" applyNumberFormat="1" applyFont="1" applyFill="1" applyBorder="1"/>
    <xf numFmtId="3" fontId="77" fillId="0" borderId="40" xfId="0" applyNumberFormat="1" applyFont="1" applyFill="1" applyBorder="1"/>
    <xf numFmtId="3" fontId="77" fillId="0" borderId="27" xfId="0" applyNumberFormat="1" applyFont="1" applyFill="1" applyBorder="1"/>
    <xf numFmtId="0" fontId="53" fillId="0" borderId="14" xfId="0" applyFont="1" applyFill="1" applyBorder="1"/>
    <xf numFmtId="0" fontId="49" fillId="0" borderId="8" xfId="0" applyFont="1" applyFill="1" applyBorder="1" applyAlignment="1">
      <alignment horizontal="center"/>
    </xf>
    <xf numFmtId="0" fontId="52" fillId="0" borderId="10" xfId="0" applyFont="1" applyFill="1" applyBorder="1" applyAlignment="1">
      <alignment horizontal="center"/>
    </xf>
    <xf numFmtId="0" fontId="49" fillId="0" borderId="13" xfId="0" applyFont="1" applyFill="1" applyBorder="1" applyAlignment="1">
      <alignment horizontal="center"/>
    </xf>
    <xf numFmtId="166" fontId="97" fillId="0" borderId="28" xfId="0" applyNumberFormat="1" applyFont="1" applyFill="1" applyBorder="1" applyAlignment="1">
      <alignment horizontal="left"/>
    </xf>
    <xf numFmtId="3" fontId="97" fillId="0" borderId="28" xfId="0" applyNumberFormat="1" applyFont="1" applyFill="1" applyBorder="1" applyAlignment="1">
      <alignment horizontal="left"/>
    </xf>
    <xf numFmtId="169" fontId="97" fillId="0" borderId="31" xfId="0" applyNumberFormat="1" applyFont="1" applyFill="1" applyBorder="1" applyAlignment="1">
      <alignment horizontal="left"/>
    </xf>
    <xf numFmtId="3" fontId="96" fillId="0" borderId="30" xfId="0" applyNumberFormat="1" applyFont="1" applyFill="1" applyBorder="1" applyAlignment="1">
      <alignment horizontal="left"/>
    </xf>
    <xf numFmtId="3" fontId="96" fillId="0" borderId="37" xfId="0" applyNumberFormat="1" applyFont="1" applyFill="1" applyBorder="1" applyAlignment="1">
      <alignment horizontal="left"/>
    </xf>
    <xf numFmtId="0" fontId="96" fillId="0" borderId="30" xfId="0" applyFont="1" applyFill="1" applyBorder="1" applyAlignment="1">
      <alignment horizontal="left"/>
    </xf>
    <xf numFmtId="0" fontId="97" fillId="0" borderId="31" xfId="0" applyFont="1" applyFill="1" applyBorder="1" applyAlignment="1">
      <alignment horizontal="left"/>
    </xf>
    <xf numFmtId="3" fontId="96" fillId="0" borderId="31" xfId="0" applyNumberFormat="1" applyFont="1" applyFill="1" applyBorder="1" applyAlignment="1">
      <alignment horizontal="left"/>
    </xf>
    <xf numFmtId="166" fontId="96" fillId="0" borderId="31" xfId="0" applyNumberFormat="1" applyFont="1" applyFill="1" applyBorder="1" applyAlignment="1">
      <alignment horizontal="left"/>
    </xf>
    <xf numFmtId="2" fontId="96" fillId="0" borderId="31" xfId="0" applyNumberFormat="1" applyFont="1" applyFill="1" applyBorder="1" applyAlignment="1">
      <alignment horizontal="left"/>
    </xf>
    <xf numFmtId="3" fontId="97" fillId="0" borderId="38" xfId="0" applyNumberFormat="1" applyFont="1" applyFill="1" applyBorder="1" applyAlignment="1">
      <alignment horizontal="left"/>
    </xf>
    <xf numFmtId="166" fontId="96" fillId="0" borderId="28" xfId="0" applyNumberFormat="1" applyFont="1" applyFill="1" applyBorder="1" applyAlignment="1">
      <alignment horizontal="left"/>
    </xf>
    <xf numFmtId="2" fontId="96" fillId="0" borderId="28" xfId="0" applyNumberFormat="1" applyFont="1" applyFill="1" applyBorder="1" applyAlignment="1">
      <alignment horizontal="left"/>
    </xf>
    <xf numFmtId="3" fontId="97" fillId="0" borderId="28" xfId="2" applyNumberFormat="1" applyFont="1" applyFill="1" applyBorder="1" applyAlignment="1">
      <alignment horizontal="left"/>
    </xf>
    <xf numFmtId="3" fontId="96" fillId="0" borderId="28" xfId="2" applyNumberFormat="1" applyFont="1" applyFill="1" applyBorder="1" applyAlignment="1">
      <alignment horizontal="left"/>
    </xf>
    <xf numFmtId="10" fontId="96" fillId="0" borderId="31" xfId="5" applyNumberFormat="1" applyFont="1" applyFill="1" applyBorder="1" applyAlignment="1">
      <alignment horizontal="left"/>
    </xf>
    <xf numFmtId="1" fontId="96" fillId="0" borderId="38" xfId="5" applyNumberFormat="1" applyFont="1" applyFill="1" applyBorder="1" applyAlignment="1">
      <alignment horizontal="left"/>
    </xf>
    <xf numFmtId="0" fontId="96" fillId="0" borderId="38" xfId="0" applyFont="1" applyFill="1" applyBorder="1" applyAlignment="1">
      <alignment horizontal="left"/>
    </xf>
    <xf numFmtId="9" fontId="96" fillId="0" borderId="38" xfId="5" applyFont="1" applyFill="1" applyBorder="1" applyAlignment="1">
      <alignment horizontal="left"/>
    </xf>
    <xf numFmtId="9" fontId="96" fillId="0" borderId="31" xfId="5" applyFont="1" applyFill="1" applyBorder="1" applyAlignment="1">
      <alignment horizontal="left"/>
    </xf>
    <xf numFmtId="166" fontId="97" fillId="0" borderId="31" xfId="5" applyNumberFormat="1" applyFont="1" applyFill="1" applyBorder="1" applyAlignment="1">
      <alignment horizontal="left"/>
    </xf>
    <xf numFmtId="0" fontId="97" fillId="0" borderId="38" xfId="0" applyFont="1" applyFill="1" applyBorder="1" applyAlignment="1">
      <alignment horizontal="left"/>
    </xf>
    <xf numFmtId="10" fontId="96" fillId="0" borderId="28" xfId="0" applyNumberFormat="1" applyFont="1" applyFill="1" applyBorder="1" applyAlignment="1">
      <alignment horizontal="left"/>
    </xf>
    <xf numFmtId="170" fontId="96" fillId="0" borderId="31" xfId="0" applyNumberFormat="1" applyFont="1" applyFill="1" applyBorder="1" applyAlignment="1">
      <alignment horizontal="left"/>
    </xf>
    <xf numFmtId="0" fontId="44" fillId="0" borderId="26" xfId="0" applyFont="1" applyFill="1" applyBorder="1" applyAlignment="1">
      <alignment horizontal="right"/>
    </xf>
    <xf numFmtId="0" fontId="44" fillId="0" borderId="39" xfId="0" quotePrefix="1" applyFont="1" applyFill="1" applyBorder="1" applyAlignment="1">
      <alignment horizontal="right"/>
    </xf>
    <xf numFmtId="0" fontId="44" fillId="0" borderId="40" xfId="0" applyFont="1" applyFill="1" applyBorder="1" applyAlignment="1">
      <alignment horizontal="right"/>
    </xf>
    <xf numFmtId="168" fontId="44" fillId="0" borderId="26" xfId="0" applyNumberFormat="1" applyFont="1" applyFill="1" applyBorder="1" applyAlignment="1">
      <alignment horizontal="right"/>
    </xf>
    <xf numFmtId="3" fontId="44" fillId="0" borderId="41" xfId="0" applyNumberFormat="1" applyFont="1" applyFill="1" applyBorder="1" applyAlignment="1">
      <alignment horizontal="right"/>
    </xf>
    <xf numFmtId="0" fontId="44" fillId="0" borderId="39" xfId="0" applyFont="1" applyFill="1" applyBorder="1" applyAlignment="1">
      <alignment horizontal="right"/>
    </xf>
    <xf numFmtId="3" fontId="44" fillId="0" borderId="42" xfId="0" applyNumberFormat="1" applyFont="1" applyFill="1" applyBorder="1" applyAlignment="1">
      <alignment horizontal="right"/>
    </xf>
    <xf numFmtId="3" fontId="44" fillId="0" borderId="26" xfId="2" applyNumberFormat="1" applyFont="1" applyFill="1" applyBorder="1" applyAlignment="1">
      <alignment horizontal="right"/>
    </xf>
    <xf numFmtId="10" fontId="44" fillId="0" borderId="40" xfId="5" applyNumberFormat="1" applyFont="1" applyFill="1" applyBorder="1" applyAlignment="1">
      <alignment horizontal="right"/>
    </xf>
    <xf numFmtId="1" fontId="44" fillId="0" borderId="42" xfId="5" applyNumberFormat="1" applyFont="1" applyFill="1" applyBorder="1" applyAlignment="1">
      <alignment horizontal="right"/>
    </xf>
    <xf numFmtId="0" fontId="44" fillId="0" borderId="42" xfId="0" applyFont="1" applyFill="1" applyBorder="1" applyAlignment="1">
      <alignment horizontal="right"/>
    </xf>
    <xf numFmtId="9" fontId="44" fillId="0" borderId="26" xfId="6" applyFont="1" applyFill="1" applyBorder="1" applyAlignment="1">
      <alignment horizontal="right"/>
    </xf>
    <xf numFmtId="9" fontId="44" fillId="0" borderId="40" xfId="5" applyFont="1" applyFill="1" applyBorder="1" applyAlignment="1">
      <alignment horizontal="right"/>
    </xf>
    <xf numFmtId="3" fontId="45" fillId="0" borderId="26" xfId="0" applyNumberFormat="1" applyFont="1" applyFill="1" applyBorder="1" applyAlignment="1">
      <alignment horizontal="right"/>
    </xf>
    <xf numFmtId="166" fontId="44" fillId="0" borderId="40" xfId="5" applyNumberFormat="1" applyFont="1" applyFill="1" applyBorder="1" applyAlignment="1">
      <alignment horizontal="right"/>
    </xf>
    <xf numFmtId="180" fontId="44" fillId="0" borderId="26" xfId="0" applyNumberFormat="1" applyFont="1" applyFill="1" applyBorder="1" applyAlignment="1">
      <alignment horizontal="right"/>
    </xf>
    <xf numFmtId="0" fontId="46" fillId="0" borderId="26" xfId="0" applyFont="1" applyFill="1" applyBorder="1" applyAlignment="1">
      <alignment horizontal="right"/>
    </xf>
    <xf numFmtId="3" fontId="25" fillId="0" borderId="40" xfId="0" applyNumberFormat="1" applyFont="1" applyFill="1" applyBorder="1"/>
    <xf numFmtId="3" fontId="25" fillId="0" borderId="27" xfId="0" applyNumberFormat="1" applyFont="1" applyFill="1" applyBorder="1"/>
    <xf numFmtId="0" fontId="96" fillId="0" borderId="43" xfId="0" applyFont="1" applyFill="1" applyBorder="1" applyAlignment="1">
      <alignment horizontal="left"/>
    </xf>
    <xf numFmtId="0" fontId="96" fillId="0" borderId="44" xfId="0" applyFont="1" applyFill="1" applyBorder="1" applyAlignment="1">
      <alignment horizontal="left"/>
    </xf>
    <xf numFmtId="0" fontId="97" fillId="0" borderId="44" xfId="0" applyFont="1" applyFill="1" applyBorder="1" applyAlignment="1">
      <alignment horizontal="left"/>
    </xf>
    <xf numFmtId="0" fontId="96" fillId="0" borderId="44" xfId="0" quotePrefix="1" applyFont="1" applyFill="1" applyBorder="1" applyAlignment="1">
      <alignment horizontal="left"/>
    </xf>
    <xf numFmtId="3" fontId="97" fillId="0" borderId="44" xfId="0" applyNumberFormat="1" applyFont="1" applyFill="1" applyBorder="1" applyAlignment="1">
      <alignment horizontal="left"/>
    </xf>
    <xf numFmtId="166" fontId="97" fillId="0" borderId="44" xfId="0" applyNumberFormat="1" applyFont="1" applyFill="1" applyBorder="1" applyAlignment="1">
      <alignment horizontal="left"/>
    </xf>
    <xf numFmtId="166" fontId="97" fillId="0" borderId="45" xfId="0" applyNumberFormat="1" applyFont="1" applyFill="1" applyBorder="1" applyAlignment="1">
      <alignment horizontal="left"/>
    </xf>
    <xf numFmtId="169" fontId="97" fillId="0" borderId="45" xfId="0" applyNumberFormat="1" applyFont="1" applyFill="1" applyBorder="1" applyAlignment="1">
      <alignment horizontal="left"/>
    </xf>
    <xf numFmtId="3" fontId="96" fillId="0" borderId="44" xfId="0" applyNumberFormat="1" applyFont="1" applyFill="1" applyBorder="1" applyAlignment="1">
      <alignment horizontal="left"/>
    </xf>
    <xf numFmtId="3" fontId="96" fillId="0" borderId="46" xfId="0" applyNumberFormat="1" applyFont="1" applyFill="1" applyBorder="1" applyAlignment="1">
      <alignment horizontal="left"/>
    </xf>
    <xf numFmtId="168" fontId="96" fillId="0" borderId="44" xfId="0" applyNumberFormat="1" applyFont="1" applyFill="1" applyBorder="1" applyAlignment="1">
      <alignment horizontal="left"/>
    </xf>
    <xf numFmtId="0" fontId="96" fillId="0" borderId="47" xfId="0" applyFont="1" applyFill="1" applyBorder="1" applyAlignment="1">
      <alignment horizontal="left"/>
    </xf>
    <xf numFmtId="168" fontId="97" fillId="0" borderId="44" xfId="0" applyNumberFormat="1" applyFont="1" applyFill="1" applyBorder="1" applyAlignment="1">
      <alignment horizontal="left"/>
    </xf>
    <xf numFmtId="3" fontId="96" fillId="0" borderId="48" xfId="0" applyNumberFormat="1" applyFont="1" applyFill="1" applyBorder="1" applyAlignment="1">
      <alignment horizontal="left"/>
    </xf>
    <xf numFmtId="0" fontId="96" fillId="0" borderId="46" xfId="0" applyFont="1" applyFill="1" applyBorder="1" applyAlignment="1">
      <alignment horizontal="left"/>
    </xf>
    <xf numFmtId="0" fontId="97" fillId="0" borderId="45" xfId="0" applyFont="1" applyFill="1" applyBorder="1" applyAlignment="1">
      <alignment horizontal="left"/>
    </xf>
    <xf numFmtId="166" fontId="96" fillId="0" borderId="45" xfId="0" applyNumberFormat="1" applyFont="1" applyFill="1" applyBorder="1" applyAlignment="1">
      <alignment horizontal="left"/>
    </xf>
    <xf numFmtId="2" fontId="96" fillId="0" borderId="44" xfId="0" applyNumberFormat="1" applyFont="1" applyFill="1" applyBorder="1" applyAlignment="1">
      <alignment horizontal="left"/>
    </xf>
    <xf numFmtId="169" fontId="96" fillId="0" borderId="45" xfId="0" applyNumberFormat="1" applyFont="1" applyFill="1" applyBorder="1" applyAlignment="1">
      <alignment horizontal="left"/>
    </xf>
    <xf numFmtId="168" fontId="96" fillId="0" borderId="49" xfId="0" applyNumberFormat="1" applyFont="1" applyFill="1" applyBorder="1" applyAlignment="1">
      <alignment horizontal="left"/>
    </xf>
    <xf numFmtId="0" fontId="96" fillId="0" borderId="45" xfId="0" applyFont="1" applyFill="1" applyBorder="1" applyAlignment="1">
      <alignment horizontal="left"/>
    </xf>
    <xf numFmtId="168" fontId="96" fillId="0" borderId="45" xfId="0" applyNumberFormat="1" applyFont="1" applyFill="1" applyBorder="1" applyAlignment="1">
      <alignment horizontal="left"/>
    </xf>
    <xf numFmtId="0" fontId="96" fillId="0" borderId="49" xfId="0" applyFont="1" applyFill="1" applyBorder="1" applyAlignment="1">
      <alignment horizontal="left"/>
    </xf>
    <xf numFmtId="0" fontId="96" fillId="0" borderId="50" xfId="0" applyFont="1" applyFill="1" applyBorder="1" applyAlignment="1">
      <alignment horizontal="left"/>
    </xf>
    <xf numFmtId="0" fontId="98" fillId="0" borderId="44" xfId="0" applyFont="1" applyFill="1" applyBorder="1" applyAlignment="1">
      <alignment horizontal="left"/>
    </xf>
    <xf numFmtId="0" fontId="97" fillId="0" borderId="46" xfId="0" applyFont="1" applyFill="1" applyBorder="1" applyAlignment="1">
      <alignment horizontal="left"/>
    </xf>
    <xf numFmtId="3" fontId="96" fillId="0" borderId="45" xfId="0" applyNumberFormat="1" applyFont="1" applyFill="1" applyBorder="1" applyAlignment="1">
      <alignment horizontal="left"/>
    </xf>
    <xf numFmtId="0" fontId="53" fillId="0" borderId="0" xfId="0" applyFont="1" applyFill="1" applyBorder="1" applyAlignment="1">
      <alignment horizontal="right"/>
    </xf>
    <xf numFmtId="0" fontId="53" fillId="0" borderId="17" xfId="0" applyFont="1" applyFill="1" applyBorder="1" applyAlignment="1">
      <alignment horizontal="right"/>
    </xf>
    <xf numFmtId="3" fontId="53" fillId="0" borderId="0" xfId="0" applyNumberFormat="1" applyFont="1" applyFill="1" applyBorder="1" applyAlignment="1">
      <alignment horizontal="right"/>
    </xf>
    <xf numFmtId="0" fontId="6" fillId="0" borderId="0" xfId="3" applyFill="1" applyAlignment="1">
      <alignment horizontal="left"/>
    </xf>
    <xf numFmtId="0" fontId="10" fillId="0" borderId="0" xfId="0" applyFont="1" applyFill="1"/>
    <xf numFmtId="0" fontId="6" fillId="0" borderId="0" xfId="3" applyFill="1"/>
    <xf numFmtId="0" fontId="5" fillId="0" borderId="0" xfId="3" applyFont="1" applyFill="1" applyBorder="1" applyAlignment="1">
      <alignment horizontal="center"/>
    </xf>
    <xf numFmtId="10" fontId="0" fillId="0" borderId="0" xfId="5" applyNumberFormat="1" applyFont="1" applyFill="1" applyAlignment="1">
      <alignment horizontal="center"/>
    </xf>
    <xf numFmtId="10" fontId="6" fillId="0" borderId="0" xfId="3" applyNumberFormat="1" applyFill="1"/>
    <xf numFmtId="0" fontId="8" fillId="0" borderId="0" xfId="3" applyFont="1" applyFill="1" applyAlignment="1">
      <alignment horizontal="center" wrapText="1"/>
    </xf>
    <xf numFmtId="0" fontId="5" fillId="0" borderId="0" xfId="3" applyFont="1" applyFill="1" applyAlignment="1">
      <alignment horizontal="left"/>
    </xf>
    <xf numFmtId="164" fontId="5" fillId="0" borderId="0" xfId="3" applyNumberFormat="1" applyFont="1" applyFill="1"/>
    <xf numFmtId="164" fontId="6" fillId="0" borderId="0" xfId="3" applyNumberFormat="1" applyFill="1"/>
    <xf numFmtId="164" fontId="0" fillId="0" borderId="1" xfId="2" applyNumberFormat="1" applyFont="1" applyFill="1" applyBorder="1"/>
    <xf numFmtId="164" fontId="5" fillId="0" borderId="1" xfId="3" applyNumberFormat="1" applyFont="1" applyFill="1" applyBorder="1"/>
    <xf numFmtId="164" fontId="0" fillId="0" borderId="14" xfId="2" applyNumberFormat="1" applyFont="1" applyFill="1" applyBorder="1"/>
    <xf numFmtId="164" fontId="11" fillId="0" borderId="1" xfId="2" applyNumberFormat="1" applyFont="1" applyFill="1" applyBorder="1"/>
    <xf numFmtId="164" fontId="6" fillId="0" borderId="1" xfId="3" applyNumberFormat="1" applyFill="1" applyBorder="1"/>
    <xf numFmtId="164" fontId="0" fillId="0" borderId="5" xfId="2" applyNumberFormat="1" applyFont="1" applyFill="1" applyBorder="1"/>
    <xf numFmtId="0" fontId="9" fillId="0" borderId="0" xfId="3" applyFont="1" applyFill="1" applyAlignment="1">
      <alignment horizontal="left"/>
    </xf>
    <xf numFmtId="164" fontId="9" fillId="0" borderId="0" xfId="1" applyNumberFormat="1" applyFont="1" applyFill="1"/>
    <xf numFmtId="0" fontId="8" fillId="0" borderId="6" xfId="3" applyFont="1" applyFill="1" applyBorder="1" applyAlignment="1">
      <alignment horizontal="center" wrapText="1"/>
    </xf>
    <xf numFmtId="164" fontId="2" fillId="0" borderId="3" xfId="2" applyNumberFormat="1" applyFont="1" applyFill="1" applyBorder="1"/>
    <xf numFmtId="0" fontId="6" fillId="0" borderId="7" xfId="3" applyFill="1" applyBorder="1"/>
    <xf numFmtId="0" fontId="6" fillId="0" borderId="8" xfId="3" applyFill="1" applyBorder="1"/>
    <xf numFmtId="0" fontId="9" fillId="0" borderId="9" xfId="3" applyFont="1" applyFill="1" applyBorder="1" applyAlignment="1">
      <alignment horizontal="left"/>
    </xf>
    <xf numFmtId="164" fontId="9" fillId="0" borderId="0" xfId="3" applyNumberFormat="1" applyFont="1" applyFill="1" applyBorder="1"/>
    <xf numFmtId="164" fontId="9" fillId="0" borderId="0" xfId="1" applyNumberFormat="1" applyFont="1" applyFill="1" applyBorder="1"/>
    <xf numFmtId="0" fontId="6" fillId="0" borderId="0" xfId="3" applyFill="1" applyBorder="1"/>
    <xf numFmtId="0" fontId="6" fillId="0" borderId="10" xfId="3" applyFill="1" applyBorder="1"/>
    <xf numFmtId="0" fontId="6" fillId="0" borderId="9" xfId="3" applyFill="1" applyBorder="1" applyAlignment="1">
      <alignment horizontal="left"/>
    </xf>
    <xf numFmtId="164" fontId="2" fillId="0" borderId="0" xfId="2" applyNumberFormat="1" applyFont="1" applyFill="1" applyBorder="1"/>
    <xf numFmtId="164" fontId="6" fillId="0" borderId="0" xfId="3" applyNumberFormat="1" applyFill="1" applyBorder="1"/>
    <xf numFmtId="164" fontId="6" fillId="0" borderId="10" xfId="3" applyNumberFormat="1" applyFill="1" applyBorder="1"/>
    <xf numFmtId="164" fontId="2" fillId="0" borderId="1" xfId="2" applyNumberFormat="1" applyFont="1" applyFill="1" applyBorder="1"/>
    <xf numFmtId="164" fontId="2" fillId="0" borderId="14" xfId="2" applyNumberFormat="1" applyFont="1" applyFill="1" applyBorder="1"/>
    <xf numFmtId="164" fontId="2" fillId="0" borderId="15" xfId="2" applyNumberFormat="1" applyFont="1" applyFill="1" applyBorder="1"/>
    <xf numFmtId="164" fontId="6" fillId="0" borderId="11" xfId="3" applyNumberFormat="1" applyFill="1" applyBorder="1"/>
    <xf numFmtId="164" fontId="2" fillId="0" borderId="5" xfId="2" applyNumberFormat="1" applyFont="1" applyFill="1" applyBorder="1"/>
    <xf numFmtId="165" fontId="2" fillId="0" borderId="0" xfId="5" applyNumberFormat="1" applyFont="1" applyFill="1" applyBorder="1"/>
    <xf numFmtId="164" fontId="2" fillId="0" borderId="13" xfId="2" applyNumberFormat="1" applyFont="1" applyFill="1" applyBorder="1"/>
    <xf numFmtId="0" fontId="6" fillId="0" borderId="12" xfId="3" applyFill="1" applyBorder="1" applyAlignment="1">
      <alignment horizontal="left"/>
    </xf>
    <xf numFmtId="0" fontId="6" fillId="0" borderId="5" xfId="3" applyFill="1" applyBorder="1"/>
    <xf numFmtId="0" fontId="8" fillId="0" borderId="6" xfId="3" applyFont="1" applyFill="1" applyBorder="1" applyAlignment="1">
      <alignment horizontal="left"/>
    </xf>
    <xf numFmtId="164" fontId="0" fillId="0" borderId="0" xfId="2" applyNumberFormat="1" applyFont="1" applyFill="1" applyBorder="1"/>
    <xf numFmtId="43" fontId="0" fillId="0" borderId="0" xfId="1" applyFont="1" applyFill="1" applyBorder="1"/>
    <xf numFmtId="164" fontId="0" fillId="0" borderId="15" xfId="2" applyNumberFormat="1" applyFont="1" applyFill="1" applyBorder="1"/>
    <xf numFmtId="164" fontId="2" fillId="0" borderId="16" xfId="2" applyNumberFormat="1" applyFont="1" applyFill="1" applyBorder="1"/>
    <xf numFmtId="164" fontId="0" fillId="0" borderId="13" xfId="2" applyNumberFormat="1" applyFont="1" applyFill="1" applyBorder="1"/>
    <xf numFmtId="0" fontId="9" fillId="0" borderId="5" xfId="3" applyFont="1" applyFill="1" applyBorder="1"/>
    <xf numFmtId="37" fontId="9" fillId="0" borderId="5" xfId="3" applyNumberFormat="1" applyFont="1" applyFill="1" applyBorder="1"/>
    <xf numFmtId="0" fontId="6" fillId="0" borderId="13" xfId="3" applyFill="1" applyBorder="1"/>
    <xf numFmtId="0" fontId="9" fillId="0" borderId="0" xfId="3" applyFont="1" applyFill="1"/>
    <xf numFmtId="165" fontId="0" fillId="0" borderId="0" xfId="6" applyNumberFormat="1" applyFont="1" applyFill="1"/>
    <xf numFmtId="0" fontId="9" fillId="0" borderId="9" xfId="3" applyFont="1" applyFill="1" applyBorder="1" applyAlignment="1">
      <alignment horizontal="left" wrapText="1"/>
    </xf>
    <xf numFmtId="164" fontId="14" fillId="0" borderId="0" xfId="3" applyNumberFormat="1" applyFont="1" applyFill="1" applyBorder="1"/>
    <xf numFmtId="164" fontId="2" fillId="0" borderId="0" xfId="6" applyNumberFormat="1" applyFont="1" applyFill="1" applyBorder="1"/>
    <xf numFmtId="9" fontId="2" fillId="0" borderId="0" xfId="6" applyFont="1" applyFill="1" applyBorder="1"/>
    <xf numFmtId="0" fontId="9" fillId="0" borderId="12" xfId="3" applyFont="1" applyFill="1" applyBorder="1" applyAlignment="1">
      <alignment horizontal="left"/>
    </xf>
    <xf numFmtId="0" fontId="6" fillId="0" borderId="0" xfId="3" applyFont="1" applyFill="1" applyAlignment="1">
      <alignment horizontal="left"/>
    </xf>
    <xf numFmtId="164" fontId="7" fillId="0" borderId="0" xfId="2" applyNumberFormat="1" applyFont="1" applyFill="1"/>
    <xf numFmtId="164" fontId="6" fillId="0" borderId="0" xfId="3" applyNumberFormat="1" applyFont="1" applyFill="1"/>
    <xf numFmtId="0" fontId="6" fillId="0" borderId="0" xfId="3" quotePrefix="1" applyFont="1" applyFill="1"/>
    <xf numFmtId="164" fontId="7" fillId="0" borderId="1" xfId="2" applyNumberFormat="1" applyFont="1" applyFill="1" applyBorder="1"/>
    <xf numFmtId="164" fontId="6" fillId="0" borderId="1" xfId="3" applyNumberFormat="1" applyFont="1" applyFill="1" applyBorder="1"/>
    <xf numFmtId="164" fontId="7" fillId="0" borderId="5" xfId="2" applyNumberFormat="1" applyFont="1" applyFill="1" applyBorder="1"/>
    <xf numFmtId="0" fontId="6" fillId="0" borderId="0" xfId="4" applyFont="1" applyFill="1"/>
    <xf numFmtId="164" fontId="6" fillId="0" borderId="0" xfId="1" applyNumberFormat="1" applyFont="1" applyFill="1"/>
    <xf numFmtId="164" fontId="7" fillId="0" borderId="3" xfId="2" applyNumberFormat="1" applyFont="1" applyFill="1" applyBorder="1"/>
    <xf numFmtId="0" fontId="6" fillId="0" borderId="7" xfId="3" applyFont="1" applyFill="1" applyBorder="1"/>
    <xf numFmtId="0" fontId="6" fillId="0" borderId="8" xfId="3" applyFont="1" applyFill="1" applyBorder="1"/>
    <xf numFmtId="0" fontId="6" fillId="0" borderId="0" xfId="3" applyFont="1" applyFill="1" applyBorder="1"/>
    <xf numFmtId="0" fontId="6" fillId="0" borderId="10" xfId="3" applyFont="1" applyFill="1" applyBorder="1"/>
    <xf numFmtId="0" fontId="6" fillId="0" borderId="9" xfId="3" applyFont="1" applyFill="1" applyBorder="1" applyAlignment="1">
      <alignment horizontal="left"/>
    </xf>
    <xf numFmtId="164" fontId="7" fillId="0" borderId="0" xfId="2" applyNumberFormat="1" applyFont="1" applyFill="1" applyBorder="1"/>
    <xf numFmtId="164" fontId="6" fillId="0" borderId="0" xfId="3" applyNumberFormat="1" applyFont="1" applyFill="1" applyBorder="1"/>
    <xf numFmtId="164" fontId="6" fillId="0" borderId="10" xfId="3" applyNumberFormat="1" applyFont="1" applyFill="1" applyBorder="1"/>
    <xf numFmtId="164" fontId="6" fillId="0" borderId="11" xfId="3" applyNumberFormat="1" applyFont="1" applyFill="1" applyBorder="1"/>
    <xf numFmtId="0" fontId="6" fillId="0" borderId="12" xfId="3" applyFont="1" applyFill="1" applyBorder="1" applyAlignment="1">
      <alignment horizontal="left"/>
    </xf>
    <xf numFmtId="164" fontId="7" fillId="0" borderId="13" xfId="2" applyNumberFormat="1" applyFont="1" applyFill="1" applyBorder="1"/>
    <xf numFmtId="0" fontId="6" fillId="0" borderId="5" xfId="3" applyFont="1" applyFill="1" applyBorder="1"/>
    <xf numFmtId="0" fontId="6" fillId="0" borderId="13" xfId="3" applyFont="1" applyFill="1" applyBorder="1"/>
    <xf numFmtId="164" fontId="7" fillId="0" borderId="16" xfId="2" applyNumberFormat="1" applyFont="1" applyFill="1" applyBorder="1"/>
    <xf numFmtId="164" fontId="9" fillId="0" borderId="5" xfId="1" applyNumberFormat="1" applyFont="1" applyFill="1" applyBorder="1"/>
    <xf numFmtId="0" fontId="12" fillId="0" borderId="0" xfId="3" applyFont="1" applyFill="1" applyAlignment="1">
      <alignment horizontal="left"/>
    </xf>
    <xf numFmtId="164" fontId="9" fillId="0" borderId="0" xfId="1" applyNumberFormat="1" applyFont="1" applyFill="1" applyAlignment="1">
      <alignment horizontal="left"/>
    </xf>
    <xf numFmtId="10" fontId="6" fillId="0" borderId="0" xfId="3" applyNumberFormat="1" applyFont="1" applyFill="1"/>
    <xf numFmtId="0" fontId="13" fillId="0" borderId="0" xfId="3" applyFont="1" applyFill="1" applyAlignment="1">
      <alignment horizontal="left"/>
    </xf>
    <xf numFmtId="164" fontId="13" fillId="0" borderId="0" xfId="1" applyNumberFormat="1" applyFont="1" applyFill="1"/>
    <xf numFmtId="0" fontId="5" fillId="0" borderId="0" xfId="3" applyFont="1" applyFill="1" applyAlignment="1">
      <alignment horizontal="center" wrapText="1"/>
    </xf>
    <xf numFmtId="164" fontId="6" fillId="0" borderId="5" xfId="3" applyNumberFormat="1" applyFont="1" applyFill="1" applyBorder="1"/>
    <xf numFmtId="10" fontId="6" fillId="0" borderId="5" xfId="6" applyNumberFormat="1" applyFont="1" applyFill="1" applyBorder="1"/>
    <xf numFmtId="164" fontId="94" fillId="0" borderId="0" xfId="2" applyNumberFormat="1" applyFont="1" applyFill="1" applyBorder="1"/>
    <xf numFmtId="164" fontId="95" fillId="0" borderId="1" xfId="3" applyNumberFormat="1" applyFont="1" applyFill="1" applyBorder="1"/>
    <xf numFmtId="174" fontId="45" fillId="0" borderId="0" xfId="0" applyNumberFormat="1" applyFont="1" applyFill="1" applyBorder="1" applyAlignment="1">
      <alignment horizontal="center"/>
    </xf>
    <xf numFmtId="0" fontId="33" fillId="0" borderId="0" xfId="0" applyFont="1" applyFill="1"/>
    <xf numFmtId="0" fontId="16" fillId="0" borderId="0" xfId="0" applyFont="1" applyFill="1" applyAlignment="1">
      <alignment horizontal="center"/>
    </xf>
    <xf numFmtId="0" fontId="16" fillId="0" borderId="14" xfId="0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/>
    </xf>
    <xf numFmtId="0" fontId="17" fillId="0" borderId="0" xfId="0" applyFont="1" applyFill="1" applyAlignment="1">
      <alignment horizontal="center"/>
    </xf>
    <xf numFmtId="0" fontId="17" fillId="0" borderId="0" xfId="0" applyFont="1" applyFill="1" applyBorder="1" applyAlignment="1">
      <alignment horizontal="center"/>
    </xf>
    <xf numFmtId="0" fontId="16" fillId="0" borderId="14" xfId="0" quotePrefix="1" applyFont="1" applyFill="1" applyBorder="1" applyAlignment="1">
      <alignment horizontal="center"/>
    </xf>
    <xf numFmtId="0" fontId="18" fillId="0" borderId="1" xfId="0" applyFont="1" applyFill="1" applyBorder="1"/>
    <xf numFmtId="0" fontId="19" fillId="0" borderId="1" xfId="0" applyFont="1" applyFill="1" applyBorder="1" applyAlignment="1">
      <alignment horizontal="center"/>
    </xf>
    <xf numFmtId="0" fontId="20" fillId="0" borderId="22" xfId="0" applyFont="1" applyFill="1" applyBorder="1"/>
    <xf numFmtId="0" fontId="55" fillId="0" borderId="18" xfId="0" applyFont="1" applyFill="1" applyBorder="1" applyAlignment="1">
      <alignment horizontal="center"/>
    </xf>
    <xf numFmtId="0" fontId="21" fillId="0" borderId="0" xfId="0" applyFont="1" applyFill="1" applyBorder="1" applyAlignment="1">
      <alignment horizontal="center"/>
    </xf>
    <xf numFmtId="3" fontId="21" fillId="0" borderId="0" xfId="0" applyNumberFormat="1" applyFont="1" applyFill="1" applyBorder="1" applyAlignment="1">
      <alignment horizontal="right"/>
    </xf>
    <xf numFmtId="175" fontId="18" fillId="0" borderId="18" xfId="0" applyNumberFormat="1" applyFont="1" applyFill="1" applyBorder="1" applyAlignment="1">
      <alignment horizontal="right"/>
    </xf>
    <xf numFmtId="166" fontId="21" fillId="0" borderId="0" xfId="5" applyNumberFormat="1" applyFont="1" applyFill="1" applyBorder="1" applyAlignment="1">
      <alignment horizontal="right"/>
    </xf>
    <xf numFmtId="175" fontId="18" fillId="0" borderId="21" xfId="0" applyNumberFormat="1" applyFont="1" applyFill="1" applyBorder="1" applyAlignment="1">
      <alignment horizontal="right"/>
    </xf>
    <xf numFmtId="170" fontId="57" fillId="0" borderId="21" xfId="0" applyNumberFormat="1" applyFont="1" applyFill="1" applyBorder="1" applyAlignment="1">
      <alignment horizontal="right"/>
    </xf>
    <xf numFmtId="170" fontId="21" fillId="0" borderId="1" xfId="0" applyNumberFormat="1" applyFont="1" applyFill="1" applyBorder="1" applyAlignment="1">
      <alignment horizontal="right"/>
    </xf>
    <xf numFmtId="3" fontId="57" fillId="0" borderId="18" xfId="0" applyNumberFormat="1" applyFont="1" applyFill="1" applyBorder="1" applyAlignment="1">
      <alignment horizontal="right"/>
    </xf>
    <xf numFmtId="3" fontId="21" fillId="0" borderId="14" xfId="0" applyNumberFormat="1" applyFont="1" applyFill="1" applyBorder="1" applyAlignment="1">
      <alignment horizontal="right"/>
    </xf>
    <xf numFmtId="10" fontId="23" fillId="0" borderId="0" xfId="5" applyNumberFormat="1" applyFont="1" applyFill="1"/>
    <xf numFmtId="176" fontId="18" fillId="0" borderId="21" xfId="0" applyNumberFormat="1" applyFont="1" applyFill="1" applyBorder="1" applyAlignment="1">
      <alignment horizontal="right"/>
    </xf>
    <xf numFmtId="168" fontId="18" fillId="0" borderId="21" xfId="0" applyNumberFormat="1" applyFont="1" applyFill="1" applyBorder="1" applyAlignment="1">
      <alignment horizontal="right"/>
    </xf>
    <xf numFmtId="165" fontId="59" fillId="0" borderId="0" xfId="5" applyNumberFormat="1" applyFont="1" applyFill="1"/>
    <xf numFmtId="165" fontId="60" fillId="0" borderId="0" xfId="5" applyNumberFormat="1" applyFont="1" applyFill="1"/>
    <xf numFmtId="168" fontId="61" fillId="0" borderId="21" xfId="0" applyNumberFormat="1" applyFont="1" applyFill="1" applyBorder="1" applyAlignment="1">
      <alignment horizontal="right"/>
    </xf>
    <xf numFmtId="165" fontId="62" fillId="0" borderId="0" xfId="5" applyNumberFormat="1" applyFont="1" applyFill="1"/>
    <xf numFmtId="168" fontId="58" fillId="0" borderId="21" xfId="0" applyNumberFormat="1" applyFont="1" applyFill="1" applyBorder="1" applyAlignment="1">
      <alignment horizontal="right"/>
    </xf>
    <xf numFmtId="10" fontId="64" fillId="0" borderId="26" xfId="5" applyNumberFormat="1" applyFont="1" applyFill="1" applyBorder="1"/>
    <xf numFmtId="168" fontId="21" fillId="0" borderId="1" xfId="0" applyNumberFormat="1" applyFont="1" applyFill="1" applyBorder="1" applyAlignment="1">
      <alignment horizontal="right"/>
    </xf>
    <xf numFmtId="168" fontId="21" fillId="0" borderId="21" xfId="0" applyNumberFormat="1" applyFont="1" applyFill="1" applyBorder="1" applyAlignment="1">
      <alignment horizontal="right"/>
    </xf>
    <xf numFmtId="0" fontId="16" fillId="0" borderId="18" xfId="0" applyFont="1" applyFill="1" applyBorder="1" applyAlignment="1">
      <alignment horizontal="right"/>
    </xf>
    <xf numFmtId="0" fontId="21" fillId="0" borderId="0" xfId="0" applyFont="1" applyFill="1" applyBorder="1" applyAlignment="1">
      <alignment horizontal="right"/>
    </xf>
    <xf numFmtId="3" fontId="65" fillId="0" borderId="32" xfId="0" applyNumberFormat="1" applyFont="1" applyFill="1" applyBorder="1"/>
    <xf numFmtId="3" fontId="65" fillId="0" borderId="23" xfId="0" applyNumberFormat="1" applyFont="1" applyFill="1" applyBorder="1"/>
    <xf numFmtId="0" fontId="16" fillId="0" borderId="14" xfId="0" applyFont="1" applyFill="1" applyBorder="1"/>
    <xf numFmtId="0" fontId="20" fillId="0" borderId="18" xfId="0" applyFont="1" applyFill="1" applyBorder="1"/>
    <xf numFmtId="3" fontId="19" fillId="0" borderId="0" xfId="0" applyNumberFormat="1" applyFont="1" applyFill="1" applyBorder="1" applyAlignment="1">
      <alignment horizontal="right"/>
    </xf>
    <xf numFmtId="3" fontId="22" fillId="0" borderId="0" xfId="0" applyNumberFormat="1" applyFont="1" applyFill="1" applyBorder="1" applyAlignment="1">
      <alignment horizontal="right"/>
    </xf>
    <xf numFmtId="3" fontId="19" fillId="0" borderId="21" xfId="0" applyNumberFormat="1" applyFont="1" applyFill="1" applyBorder="1" applyAlignment="1">
      <alignment horizontal="center"/>
    </xf>
    <xf numFmtId="3" fontId="21" fillId="0" borderId="1" xfId="0" applyNumberFormat="1" applyFont="1" applyFill="1" applyBorder="1" applyAlignment="1">
      <alignment horizontal="right"/>
    </xf>
    <xf numFmtId="166" fontId="21" fillId="0" borderId="0" xfId="0" applyNumberFormat="1" applyFont="1" applyFill="1" applyBorder="1" applyAlignment="1">
      <alignment horizontal="right"/>
    </xf>
    <xf numFmtId="177" fontId="18" fillId="0" borderId="21" xfId="0" applyNumberFormat="1" applyFont="1" applyFill="1" applyBorder="1" applyAlignment="1">
      <alignment horizontal="right"/>
    </xf>
    <xf numFmtId="166" fontId="21" fillId="0" borderId="1" xfId="0" applyNumberFormat="1" applyFont="1" applyFill="1" applyBorder="1" applyAlignment="1">
      <alignment horizontal="right"/>
    </xf>
    <xf numFmtId="2" fontId="21" fillId="0" borderId="1" xfId="0" applyNumberFormat="1" applyFont="1" applyFill="1" applyBorder="1" applyAlignment="1">
      <alignment horizontal="right"/>
    </xf>
    <xf numFmtId="165" fontId="66" fillId="0" borderId="0" xfId="5" applyNumberFormat="1" applyFont="1" applyFill="1"/>
    <xf numFmtId="167" fontId="66" fillId="0" borderId="0" xfId="5" applyNumberFormat="1" applyFont="1" applyFill="1"/>
    <xf numFmtId="165" fontId="67" fillId="0" borderId="0" xfId="5" applyNumberFormat="1" applyFont="1" applyFill="1"/>
    <xf numFmtId="165" fontId="63" fillId="0" borderId="0" xfId="5" applyNumberFormat="1" applyFont="1" applyFill="1"/>
    <xf numFmtId="10" fontId="29" fillId="0" borderId="0" xfId="5" applyNumberFormat="1" applyFont="1" applyFill="1"/>
    <xf numFmtId="3" fontId="17" fillId="0" borderId="23" xfId="0" applyNumberFormat="1" applyFont="1" applyFill="1" applyBorder="1"/>
    <xf numFmtId="0" fontId="18" fillId="0" borderId="22" xfId="0" applyFont="1" applyFill="1" applyBorder="1" applyAlignment="1">
      <alignment horizontal="left"/>
    </xf>
    <xf numFmtId="0" fontId="17" fillId="0" borderId="0" xfId="0" applyFont="1" applyFill="1"/>
    <xf numFmtId="3" fontId="19" fillId="0" borderId="33" xfId="0" applyNumberFormat="1" applyFont="1" applyFill="1" applyBorder="1"/>
    <xf numFmtId="2" fontId="21" fillId="0" borderId="0" xfId="0" applyNumberFormat="1" applyFont="1" applyFill="1" applyBorder="1" applyAlignment="1">
      <alignment horizontal="right"/>
    </xf>
    <xf numFmtId="0" fontId="18" fillId="0" borderId="22" xfId="0" quotePrefix="1" applyFont="1" applyFill="1" applyBorder="1" applyAlignment="1">
      <alignment horizontal="left"/>
    </xf>
    <xf numFmtId="169" fontId="21" fillId="0" borderId="1" xfId="0" applyNumberFormat="1" applyFont="1" applyFill="1" applyBorder="1" applyAlignment="1">
      <alignment horizontal="right"/>
    </xf>
    <xf numFmtId="10" fontId="66" fillId="0" borderId="0" xfId="5" applyNumberFormat="1" applyFont="1" applyFill="1"/>
    <xf numFmtId="167" fontId="40" fillId="0" borderId="0" xfId="5" applyNumberFormat="1" applyFont="1" applyFill="1"/>
    <xf numFmtId="168" fontId="17" fillId="0" borderId="21" xfId="0" applyNumberFormat="1" applyFont="1" applyFill="1" applyBorder="1" applyAlignment="1">
      <alignment horizontal="right"/>
    </xf>
    <xf numFmtId="0" fontId="17" fillId="0" borderId="18" xfId="0" applyFont="1" applyFill="1" applyBorder="1" applyAlignment="1">
      <alignment horizontal="right"/>
    </xf>
    <xf numFmtId="10" fontId="40" fillId="0" borderId="0" xfId="5" applyNumberFormat="1" applyFont="1" applyFill="1"/>
    <xf numFmtId="3" fontId="69" fillId="0" borderId="1" xfId="0" applyNumberFormat="1" applyFont="1" applyFill="1" applyBorder="1"/>
    <xf numFmtId="3" fontId="65" fillId="0" borderId="21" xfId="0" applyNumberFormat="1" applyFont="1" applyFill="1" applyBorder="1"/>
    <xf numFmtId="0" fontId="20" fillId="0" borderId="17" xfId="0" applyFont="1" applyFill="1" applyBorder="1"/>
    <xf numFmtId="0" fontId="19" fillId="0" borderId="33" xfId="0" applyFont="1" applyFill="1" applyBorder="1" applyAlignment="1">
      <alignment horizontal="center"/>
    </xf>
    <xf numFmtId="0" fontId="18" fillId="0" borderId="18" xfId="0" applyFont="1" applyFill="1" applyBorder="1" applyAlignment="1">
      <alignment horizontal="left"/>
    </xf>
    <xf numFmtId="0" fontId="18" fillId="0" borderId="17" xfId="0" applyFont="1" applyFill="1" applyBorder="1" applyAlignment="1">
      <alignment horizontal="center"/>
    </xf>
    <xf numFmtId="0" fontId="72" fillId="0" borderId="18" xfId="0" applyFont="1" applyFill="1" applyBorder="1" applyAlignment="1">
      <alignment horizontal="center"/>
    </xf>
    <xf numFmtId="3" fontId="18" fillId="0" borderId="18" xfId="2" applyNumberFormat="1" applyFont="1" applyFill="1" applyBorder="1"/>
    <xf numFmtId="3" fontId="21" fillId="0" borderId="0" xfId="2" applyNumberFormat="1" applyFont="1" applyFill="1" applyBorder="1"/>
    <xf numFmtId="3" fontId="17" fillId="0" borderId="18" xfId="2" applyNumberFormat="1" applyFont="1" applyFill="1" applyBorder="1" applyAlignment="1">
      <alignment horizontal="right"/>
    </xf>
    <xf numFmtId="3" fontId="21" fillId="0" borderId="0" xfId="2" applyNumberFormat="1" applyFont="1" applyFill="1" applyBorder="1" applyAlignment="1">
      <alignment horizontal="right"/>
    </xf>
    <xf numFmtId="10" fontId="16" fillId="0" borderId="21" xfId="5" applyNumberFormat="1" applyFont="1" applyFill="1" applyBorder="1" applyAlignment="1">
      <alignment horizontal="center"/>
    </xf>
    <xf numFmtId="10" fontId="17" fillId="0" borderId="21" xfId="5" applyNumberFormat="1" applyFont="1" applyFill="1" applyBorder="1" applyAlignment="1">
      <alignment horizontal="center"/>
    </xf>
    <xf numFmtId="10" fontId="21" fillId="0" borderId="1" xfId="5" applyNumberFormat="1" applyFont="1" applyFill="1" applyBorder="1" applyAlignment="1">
      <alignment horizontal="center"/>
    </xf>
    <xf numFmtId="10" fontId="21" fillId="0" borderId="21" xfId="5" applyNumberFormat="1" applyFont="1" applyFill="1" applyBorder="1" applyAlignment="1">
      <alignment horizontal="center"/>
    </xf>
    <xf numFmtId="1" fontId="16" fillId="0" borderId="24" xfId="5" applyNumberFormat="1" applyFont="1" applyFill="1" applyBorder="1"/>
    <xf numFmtId="1" fontId="17" fillId="0" borderId="24" xfId="5" applyNumberFormat="1" applyFont="1" applyFill="1" applyBorder="1"/>
    <xf numFmtId="1" fontId="21" fillId="0" borderId="33" xfId="5" applyNumberFormat="1" applyFont="1" applyFill="1" applyBorder="1"/>
    <xf numFmtId="1" fontId="21" fillId="0" borderId="24" xfId="5" applyNumberFormat="1" applyFont="1" applyFill="1" applyBorder="1"/>
    <xf numFmtId="0" fontId="16" fillId="0" borderId="24" xfId="0" applyFont="1" applyFill="1" applyBorder="1"/>
    <xf numFmtId="0" fontId="17" fillId="0" borderId="24" xfId="0" applyFont="1" applyFill="1" applyBorder="1"/>
    <xf numFmtId="0" fontId="21" fillId="0" borderId="33" xfId="0" applyFont="1" applyFill="1" applyBorder="1"/>
    <xf numFmtId="0" fontId="21" fillId="0" borderId="24" xfId="0" applyFont="1" applyFill="1" applyBorder="1"/>
    <xf numFmtId="165" fontId="40" fillId="0" borderId="0" xfId="5" applyNumberFormat="1" applyFont="1" applyFill="1"/>
    <xf numFmtId="165" fontId="29" fillId="0" borderId="0" xfId="5" applyNumberFormat="1" applyFont="1" applyFill="1"/>
    <xf numFmtId="10" fontId="40" fillId="0" borderId="24" xfId="5" applyNumberFormat="1" applyFont="1" applyFill="1" applyBorder="1"/>
    <xf numFmtId="9" fontId="21" fillId="0" borderId="33" xfId="5" applyFont="1" applyFill="1" applyBorder="1"/>
    <xf numFmtId="9" fontId="21" fillId="0" borderId="24" xfId="5" applyFont="1" applyFill="1" applyBorder="1"/>
    <xf numFmtId="9" fontId="21" fillId="0" borderId="1" xfId="5" applyFont="1" applyFill="1" applyBorder="1"/>
    <xf numFmtId="9" fontId="21" fillId="0" borderId="21" xfId="5" applyFont="1" applyFill="1" applyBorder="1"/>
    <xf numFmtId="3" fontId="73" fillId="0" borderId="1" xfId="0" applyNumberFormat="1" applyFont="1" applyFill="1" applyBorder="1"/>
    <xf numFmtId="3" fontId="73" fillId="0" borderId="21" xfId="0" applyNumberFormat="1" applyFont="1" applyFill="1" applyBorder="1"/>
    <xf numFmtId="3" fontId="19" fillId="0" borderId="21" xfId="0" applyNumberFormat="1" applyFont="1" applyFill="1" applyBorder="1"/>
    <xf numFmtId="0" fontId="74" fillId="0" borderId="18" xfId="0" applyFont="1" applyFill="1" applyBorder="1" applyAlignment="1">
      <alignment horizontal="center"/>
    </xf>
    <xf numFmtId="3" fontId="21" fillId="0" borderId="18" xfId="0" applyNumberFormat="1" applyFont="1" applyFill="1" applyBorder="1" applyAlignment="1">
      <alignment horizontal="center"/>
    </xf>
    <xf numFmtId="166" fontId="33" fillId="0" borderId="0" xfId="5" applyNumberFormat="1" applyFont="1" applyFill="1"/>
    <xf numFmtId="166" fontId="18" fillId="0" borderId="21" xfId="5" applyNumberFormat="1" applyFont="1" applyFill="1" applyBorder="1" applyAlignment="1">
      <alignment horizontal="right"/>
    </xf>
    <xf numFmtId="166" fontId="61" fillId="0" borderId="21" xfId="5" applyNumberFormat="1" applyFont="1" applyFill="1" applyBorder="1" applyAlignment="1">
      <alignment horizontal="right"/>
    </xf>
    <xf numFmtId="166" fontId="21" fillId="0" borderId="1" xfId="5" applyNumberFormat="1" applyFont="1" applyFill="1" applyBorder="1" applyAlignment="1">
      <alignment horizontal="right"/>
    </xf>
    <xf numFmtId="168" fontId="16" fillId="0" borderId="21" xfId="0" applyNumberFormat="1" applyFont="1" applyFill="1" applyBorder="1" applyAlignment="1">
      <alignment horizontal="right"/>
    </xf>
    <xf numFmtId="165" fontId="11" fillId="0" borderId="0" xfId="5" applyNumberFormat="1" applyFont="1" applyFill="1"/>
    <xf numFmtId="0" fontId="76" fillId="0" borderId="18" xfId="0" applyFont="1" applyFill="1" applyBorder="1" applyAlignment="1">
      <alignment horizontal="right"/>
    </xf>
    <xf numFmtId="3" fontId="61" fillId="0" borderId="23" xfId="0" applyNumberFormat="1" applyFont="1" applyFill="1" applyBorder="1"/>
    <xf numFmtId="3" fontId="65" fillId="0" borderId="1" xfId="0" applyNumberFormat="1" applyFont="1" applyFill="1" applyBorder="1"/>
    <xf numFmtId="10" fontId="21" fillId="0" borderId="0" xfId="0" applyNumberFormat="1" applyFont="1" applyFill="1" applyBorder="1" applyAlignment="1">
      <alignment horizontal="right"/>
    </xf>
    <xf numFmtId="176" fontId="61" fillId="0" borderId="21" xfId="0" applyNumberFormat="1" applyFont="1" applyFill="1" applyBorder="1" applyAlignment="1">
      <alignment horizontal="right"/>
    </xf>
    <xf numFmtId="0" fontId="61" fillId="0" borderId="18" xfId="0" applyFont="1" applyFill="1" applyBorder="1" applyAlignment="1">
      <alignment horizontal="right"/>
    </xf>
    <xf numFmtId="3" fontId="16" fillId="0" borderId="23" xfId="0" applyNumberFormat="1" applyFont="1" applyFill="1" applyBorder="1"/>
    <xf numFmtId="0" fontId="0" fillId="0" borderId="1" xfId="0" applyFill="1" applyBorder="1"/>
    <xf numFmtId="165" fontId="0" fillId="0" borderId="1" xfId="5" applyNumberFormat="1" applyFont="1" applyFill="1" applyBorder="1"/>
    <xf numFmtId="0" fontId="0" fillId="0" borderId="19" xfId="0" applyFill="1" applyBorder="1"/>
    <xf numFmtId="0" fontId="78" fillId="0" borderId="25" xfId="0" applyFont="1" applyFill="1" applyBorder="1" applyAlignment="1">
      <alignment horizontal="center"/>
    </xf>
    <xf numFmtId="0" fontId="26" fillId="0" borderId="25" xfId="0" applyFont="1" applyFill="1" applyBorder="1" applyAlignment="1">
      <alignment horizontal="center"/>
    </xf>
    <xf numFmtId="0" fontId="26" fillId="0" borderId="7" xfId="0" applyFont="1" applyFill="1" applyBorder="1" applyAlignment="1">
      <alignment horizontal="center"/>
    </xf>
    <xf numFmtId="0" fontId="27" fillId="0" borderId="22" xfId="0" quotePrefix="1" applyFont="1" applyFill="1" applyBorder="1" applyAlignment="1">
      <alignment horizontal="left"/>
    </xf>
    <xf numFmtId="0" fontId="26" fillId="0" borderId="26" xfId="0" applyFont="1" applyFill="1" applyBorder="1" applyAlignment="1">
      <alignment horizontal="center"/>
    </xf>
    <xf numFmtId="0" fontId="29" fillId="0" borderId="22" xfId="0" applyFont="1" applyFill="1" applyBorder="1"/>
    <xf numFmtId="0" fontId="26" fillId="0" borderId="5" xfId="0" applyFont="1" applyFill="1" applyBorder="1" applyAlignment="1">
      <alignment horizontal="center"/>
    </xf>
    <xf numFmtId="0" fontId="19" fillId="0" borderId="14" xfId="0" applyFont="1" applyFill="1" applyBorder="1" applyAlignment="1">
      <alignment horizontal="center"/>
    </xf>
    <xf numFmtId="0" fontId="31" fillId="0" borderId="0" xfId="0" applyFont="1" applyFill="1" applyBorder="1"/>
    <xf numFmtId="3" fontId="25" fillId="0" borderId="0" xfId="0" applyNumberFormat="1" applyFont="1" applyFill="1" applyBorder="1"/>
    <xf numFmtId="3" fontId="79" fillId="0" borderId="18" xfId="0" applyNumberFormat="1" applyFont="1" applyFill="1" applyBorder="1"/>
    <xf numFmtId="3" fontId="31" fillId="0" borderId="18" xfId="0" applyNumberFormat="1" applyFont="1" applyFill="1" applyBorder="1"/>
    <xf numFmtId="3" fontId="25" fillId="0" borderId="1" xfId="0" applyNumberFormat="1" applyFont="1" applyFill="1" applyBorder="1"/>
    <xf numFmtId="3" fontId="25" fillId="0" borderId="32" xfId="0" applyNumberFormat="1" applyFont="1" applyFill="1" applyBorder="1"/>
    <xf numFmtId="0" fontId="33" fillId="0" borderId="1" xfId="0" applyFont="1" applyFill="1" applyBorder="1"/>
    <xf numFmtId="3" fontId="17" fillId="18" borderId="40" xfId="0" applyNumberFormat="1" applyFont="1" applyFill="1" applyBorder="1" applyAlignment="1">
      <alignment horizontal="right"/>
    </xf>
    <xf numFmtId="3" fontId="61" fillId="18" borderId="31" xfId="0" applyNumberFormat="1" applyFont="1" applyFill="1" applyBorder="1" applyAlignment="1">
      <alignment horizontal="left"/>
    </xf>
    <xf numFmtId="3" fontId="17" fillId="18" borderId="21" xfId="0" applyNumberFormat="1" applyFont="1" applyFill="1" applyBorder="1" applyAlignment="1">
      <alignment horizontal="right"/>
    </xf>
    <xf numFmtId="3" fontId="19" fillId="18" borderId="21" xfId="0" applyNumberFormat="1" applyFont="1" applyFill="1" applyBorder="1" applyAlignment="1">
      <alignment horizontal="right"/>
    </xf>
    <xf numFmtId="3" fontId="65" fillId="18" borderId="23" xfId="0" applyNumberFormat="1" applyFont="1" applyFill="1" applyBorder="1"/>
    <xf numFmtId="3" fontId="85" fillId="0" borderId="0" xfId="0" applyNumberFormat="1" applyFont="1" applyFill="1" applyAlignment="1">
      <alignment horizontal="center"/>
    </xf>
    <xf numFmtId="0" fontId="5" fillId="0" borderId="2" xfId="3" applyFont="1" applyFill="1" applyBorder="1" applyAlignment="1">
      <alignment horizontal="center"/>
    </xf>
    <xf numFmtId="0" fontId="5" fillId="0" borderId="3" xfId="3" applyFont="1" applyFill="1" applyBorder="1" applyAlignment="1">
      <alignment horizontal="center"/>
    </xf>
    <xf numFmtId="0" fontId="5" fillId="0" borderId="4" xfId="3" applyFont="1" applyFill="1" applyBorder="1" applyAlignment="1">
      <alignment horizontal="center"/>
    </xf>
    <xf numFmtId="0" fontId="53" fillId="0" borderId="34" xfId="0" applyFont="1" applyFill="1" applyBorder="1" applyAlignment="1">
      <alignment horizontal="center"/>
    </xf>
    <xf numFmtId="0" fontId="5" fillId="0" borderId="2" xfId="3" applyFont="1" applyBorder="1" applyAlignment="1">
      <alignment horizontal="center"/>
    </xf>
    <xf numFmtId="0" fontId="5" fillId="0" borderId="3" xfId="3" applyFont="1" applyBorder="1" applyAlignment="1">
      <alignment horizontal="center"/>
    </xf>
    <xf numFmtId="0" fontId="5" fillId="0" borderId="4" xfId="3" applyFont="1" applyBorder="1" applyAlignment="1">
      <alignment horizontal="center"/>
    </xf>
    <xf numFmtId="165" fontId="100" fillId="0" borderId="17" xfId="5" applyNumberFormat="1" applyFont="1" applyFill="1" applyBorder="1" applyAlignment="1">
      <alignment horizontal="center" wrapText="1"/>
    </xf>
    <xf numFmtId="165" fontId="100" fillId="0" borderId="21" xfId="5" applyNumberFormat="1" applyFont="1" applyFill="1" applyBorder="1" applyAlignment="1">
      <alignment horizontal="center" wrapText="1"/>
    </xf>
    <xf numFmtId="0" fontId="42" fillId="0" borderId="0" xfId="0" applyFont="1" applyAlignment="1">
      <alignment horizontal="left" vertical="top" wrapText="1"/>
    </xf>
  </cellXfs>
  <cellStyles count="16">
    <cellStyle name="Bad" xfId="8" builtinId="27"/>
    <cellStyle name="Comma" xfId="1" builtinId="3"/>
    <cellStyle name="Comma 2" xfId="2"/>
    <cellStyle name="Currency" xfId="7" builtinId="4"/>
    <cellStyle name="Followed Hyperlink" xfId="12" builtinId="9"/>
    <cellStyle name="Normal" xfId="0" builtinId="0"/>
    <cellStyle name="Normal 2" xfId="3"/>
    <cellStyle name="Normal 2 3" xfId="4"/>
    <cellStyle name="Normal_DFIT-WaEle_SUM" xfId="13"/>
    <cellStyle name="Normal_IDGas6_97" xfId="11"/>
    <cellStyle name="Normal_WAElec6_97" xfId="9"/>
    <cellStyle name="Normal_WAElec6_97 2" xfId="15"/>
    <cellStyle name="Normal_WAGas6_97" xfId="10"/>
    <cellStyle name="Normal_WAGas6_97 2" xfId="14"/>
    <cellStyle name="Percent" xfId="6" builtinId="5"/>
    <cellStyle name="Percent 2" xf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D4D4D4"/>
      <rgbColor rgb="00F7F7E7"/>
      <rgbColor rgb="003173FF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19050</xdr:colOff>
      <xdr:row>82</xdr:row>
      <xdr:rowOff>9524</xdr:rowOff>
    </xdr:from>
    <xdr:to>
      <xdr:col>25</xdr:col>
      <xdr:colOff>9527</xdr:colOff>
      <xdr:row>84</xdr:row>
      <xdr:rowOff>0</xdr:rowOff>
    </xdr:to>
    <xdr:sp macro="" textlink="">
      <xdr:nvSpPr>
        <xdr:cNvPr id="2" name="TextBox 1"/>
        <xdr:cNvSpPr txBox="1"/>
      </xdr:nvSpPr>
      <xdr:spPr>
        <a:xfrm>
          <a:off x="15251430" y="12750164"/>
          <a:ext cx="5857877" cy="1049656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900" b="1">
              <a:solidFill>
                <a:schemeClr val="dk1"/>
              </a:solidFill>
              <a:latin typeface="+mn-lt"/>
              <a:ea typeface="+mn-ea"/>
              <a:cs typeface="+mn-cs"/>
            </a:rPr>
            <a:t>(1) The Restated TOTAL column does not represent 12/31/2016 Test Period Commission Basis results of operation on a normalized basis (CBR basis). Two differences</a:t>
          </a:r>
          <a:r>
            <a:rPr lang="en-US" sz="9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exist here: </a:t>
          </a:r>
          <a:r>
            <a:rPr lang="en-US" sz="900" b="1">
              <a:solidFill>
                <a:schemeClr val="dk1"/>
              </a:solidFill>
              <a:latin typeface="+mn-lt"/>
              <a:ea typeface="+mn-ea"/>
              <a:cs typeface="+mn-cs"/>
            </a:rPr>
            <a:t>1) </a:t>
          </a:r>
          <a:r>
            <a:rPr lang="en-US" sz="9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inclusion of proposed (Pro Forma) cost debt (pro forma versus CBR cost of debt) impacting Adjustment 2.17 above; and 2) Authorized (ERM) Power Supply (Adj 2.18 above) versus revised Authorized Power Supply (CB) which included the updated Production/ Transmission (P/T) ratio. The P/T ratio update is included in PF Power Supply Adjustment  4.00 in order to seperate increased power supply costs from non-energy increased costs requested by the Company. </a:t>
          </a:r>
          <a:endParaRPr lang="en-US" sz="900" b="1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342901</xdr:colOff>
      <xdr:row>84</xdr:row>
      <xdr:rowOff>2117</xdr:rowOff>
    </xdr:from>
    <xdr:to>
      <xdr:col>10</xdr:col>
      <xdr:colOff>0</xdr:colOff>
      <xdr:row>84</xdr:row>
      <xdr:rowOff>68580</xdr:rowOff>
    </xdr:to>
    <xdr:sp macro="" textlink="">
      <xdr:nvSpPr>
        <xdr:cNvPr id="2" name="TextBox 1"/>
        <xdr:cNvSpPr txBox="1"/>
      </xdr:nvSpPr>
      <xdr:spPr>
        <a:xfrm flipH="1">
          <a:off x="6507481" y="13718117"/>
          <a:ext cx="144779" cy="66463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l"/>
          <a:endParaRPr lang="en-US" sz="600" b="1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8965</xdr:colOff>
      <xdr:row>62</xdr:row>
      <xdr:rowOff>259977</xdr:rowOff>
    </xdr:from>
    <xdr:to>
      <xdr:col>7</xdr:col>
      <xdr:colOff>17930</xdr:colOff>
      <xdr:row>72</xdr:row>
      <xdr:rowOff>44824</xdr:rowOff>
    </xdr:to>
    <xdr:cxnSp macro="">
      <xdr:nvCxnSpPr>
        <xdr:cNvPr id="3" name="Curved Connector 2"/>
        <xdr:cNvCxnSpPr/>
      </xdr:nvCxnSpPr>
      <xdr:spPr>
        <a:xfrm rot="5400000">
          <a:off x="5320554" y="12250271"/>
          <a:ext cx="2151529" cy="8965"/>
        </a:xfrm>
        <a:prstGeom prst="curvedConnector3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152400</xdr:colOff>
      <xdr:row>31</xdr:row>
      <xdr:rowOff>97971</xdr:rowOff>
    </xdr:from>
    <xdr:to>
      <xdr:col>11</xdr:col>
      <xdr:colOff>206828</xdr:colOff>
      <xdr:row>59</xdr:row>
      <xdr:rowOff>21771</xdr:rowOff>
    </xdr:to>
    <xdr:cxnSp macro="">
      <xdr:nvCxnSpPr>
        <xdr:cNvPr id="7" name="Straight Arrow Connector 6"/>
        <xdr:cNvCxnSpPr/>
      </xdr:nvCxnSpPr>
      <xdr:spPr>
        <a:xfrm flipH="1">
          <a:off x="9263743" y="3646714"/>
          <a:ext cx="54428" cy="5290457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1021262</xdr:colOff>
      <xdr:row>29</xdr:row>
      <xdr:rowOff>73843</xdr:rowOff>
    </xdr:from>
    <xdr:to>
      <xdr:col>6</xdr:col>
      <xdr:colOff>1033962</xdr:colOff>
      <xdr:row>53</xdr:row>
      <xdr:rowOff>73843</xdr:rowOff>
    </xdr:to>
    <xdr:cxnSp macro="">
      <xdr:nvCxnSpPr>
        <xdr:cNvPr id="5" name="Elbow Connector 4"/>
        <xdr:cNvCxnSpPr/>
      </xdr:nvCxnSpPr>
      <xdr:spPr>
        <a:xfrm rot="5400000">
          <a:off x="4630783" y="7186751"/>
          <a:ext cx="4528457" cy="12700"/>
        </a:xfrm>
        <a:prstGeom prst="bentConnector3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174171</xdr:colOff>
      <xdr:row>30</xdr:row>
      <xdr:rowOff>43543</xdr:rowOff>
    </xdr:from>
    <xdr:to>
      <xdr:col>12</xdr:col>
      <xdr:colOff>228600</xdr:colOff>
      <xdr:row>52</xdr:row>
      <xdr:rowOff>130628</xdr:rowOff>
    </xdr:to>
    <xdr:cxnSp macro="">
      <xdr:nvCxnSpPr>
        <xdr:cNvPr id="4" name="Straight Arrow Connector 3"/>
        <xdr:cNvCxnSpPr/>
      </xdr:nvCxnSpPr>
      <xdr:spPr>
        <a:xfrm flipH="1">
          <a:off x="10080171" y="5094514"/>
          <a:ext cx="54429" cy="4234543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53340</xdr:colOff>
      <xdr:row>2</xdr:row>
      <xdr:rowOff>182880</xdr:rowOff>
    </xdr:from>
    <xdr:to>
      <xdr:col>12</xdr:col>
      <xdr:colOff>137160</xdr:colOff>
      <xdr:row>10</xdr:row>
      <xdr:rowOff>106680</xdr:rowOff>
    </xdr:to>
    <xdr:cxnSp macro="">
      <xdr:nvCxnSpPr>
        <xdr:cNvPr id="2" name="Straight Arrow Connector 1"/>
        <xdr:cNvCxnSpPr/>
      </xdr:nvCxnSpPr>
      <xdr:spPr>
        <a:xfrm>
          <a:off x="10645140" y="601980"/>
          <a:ext cx="83820" cy="143256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7.bin"/><Relationship Id="rId4" Type="http://schemas.openxmlformats.org/officeDocument/2006/relationships/comments" Target="../comments10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3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97"/>
  <sheetViews>
    <sheetView topLeftCell="A12" workbookViewId="0">
      <selection activeCell="R56" sqref="R56"/>
    </sheetView>
  </sheetViews>
  <sheetFormatPr defaultColWidth="10.7109375" defaultRowHeight="12.75"/>
  <cols>
    <col min="1" max="1" width="4.7109375" style="674" customWidth="1"/>
    <col min="2" max="3" width="1.7109375" style="675" customWidth="1"/>
    <col min="4" max="4" width="35.42578125" style="675" customWidth="1"/>
    <col min="5" max="5" width="12.28515625" style="676" hidden="1" customWidth="1"/>
    <col min="6" max="6" width="9.85546875" style="677" customWidth="1"/>
    <col min="7" max="8" width="9.85546875" customWidth="1"/>
    <col min="9" max="9" width="10.140625" customWidth="1"/>
    <col min="10" max="10" width="10.42578125" customWidth="1"/>
    <col min="11" max="11" width="11.5703125" customWidth="1"/>
    <col min="12" max="12" width="9.42578125" customWidth="1"/>
    <col min="13" max="13" width="9.5703125" customWidth="1"/>
    <col min="14" max="14" width="12" customWidth="1"/>
    <col min="15" max="15" width="10.85546875" customWidth="1"/>
    <col min="16" max="16" width="21.5703125" customWidth="1"/>
    <col min="17" max="17" width="11.7109375" customWidth="1"/>
    <col min="18" max="22" width="12.42578125" customWidth="1"/>
    <col min="23" max="23" width="11.42578125" hidden="1" customWidth="1"/>
    <col min="24" max="24" width="11.7109375" hidden="1" customWidth="1"/>
    <col min="25" max="25" width="11.7109375" customWidth="1"/>
    <col min="26" max="26" width="15.7109375" customWidth="1"/>
    <col min="27" max="27" width="11.7109375" bestFit="1" customWidth="1"/>
    <col min="28" max="28" width="10.42578125" bestFit="1" customWidth="1"/>
    <col min="29" max="29" width="13.28515625" customWidth="1"/>
    <col min="30" max="32" width="10.42578125" bestFit="1" customWidth="1"/>
    <col min="33" max="33" width="13.28515625" bestFit="1" customWidth="1"/>
    <col min="34" max="34" width="17.42578125" customWidth="1"/>
    <col min="35" max="35" width="14.5703125" customWidth="1"/>
    <col min="36" max="36" width="10.140625" customWidth="1"/>
    <col min="37" max="37" width="9.42578125" customWidth="1"/>
    <col min="38" max="38" width="12.140625" customWidth="1"/>
    <col min="39" max="39" width="13.5703125" customWidth="1"/>
    <col min="40" max="40" width="11.28515625" customWidth="1"/>
    <col min="41" max="41" width="13.140625" customWidth="1"/>
    <col min="42" max="42" width="13" customWidth="1"/>
    <col min="43" max="43" width="7.140625" customWidth="1"/>
    <col min="44" max="44" width="15.5703125" customWidth="1"/>
    <col min="45" max="45" width="18" customWidth="1"/>
    <col min="46" max="46" width="4.140625" customWidth="1"/>
    <col min="47" max="16384" width="10.7109375" style="675"/>
  </cols>
  <sheetData>
    <row r="1" spans="1:46">
      <c r="D1" s="1288"/>
      <c r="E1" s="1288"/>
      <c r="F1" s="676"/>
    </row>
    <row r="2" spans="1:46" ht="12.75" customHeight="1">
      <c r="A2" s="679" t="s">
        <v>302</v>
      </c>
      <c r="D2" s="674"/>
      <c r="E2" s="680" t="s">
        <v>303</v>
      </c>
      <c r="F2" s="681"/>
    </row>
    <row r="3" spans="1:46" ht="14.25" customHeight="1">
      <c r="A3" s="679" t="s">
        <v>438</v>
      </c>
      <c r="D3" s="674"/>
      <c r="E3" s="680" t="s">
        <v>304</v>
      </c>
      <c r="F3" s="678"/>
    </row>
    <row r="4" spans="1:46" ht="14.25" customHeight="1">
      <c r="A4" s="679" t="s">
        <v>305</v>
      </c>
      <c r="D4" s="674"/>
      <c r="E4" s="684"/>
      <c r="F4" s="678"/>
    </row>
    <row r="5" spans="1:46" ht="12.75" customHeight="1">
      <c r="A5" s="679" t="s">
        <v>306</v>
      </c>
      <c r="D5" s="674"/>
      <c r="E5" s="685"/>
      <c r="F5" s="687"/>
    </row>
    <row r="6" spans="1:46" s="688" customFormat="1" ht="12" customHeight="1">
      <c r="D6" s="689"/>
      <c r="E6" s="690"/>
      <c r="F6" s="691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</row>
    <row r="7" spans="1:46" s="688" customFormat="1" ht="12" customHeight="1">
      <c r="A7" s="693"/>
      <c r="B7" s="694"/>
      <c r="C7" s="695"/>
      <c r="D7" s="695"/>
      <c r="E7" s="696"/>
      <c r="F7" s="697" t="s">
        <v>307</v>
      </c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</row>
    <row r="8" spans="1:46" s="688" customFormat="1">
      <c r="A8" s="699" t="s">
        <v>310</v>
      </c>
      <c r="B8" s="700"/>
      <c r="C8" s="701"/>
      <c r="D8" s="701"/>
      <c r="E8" s="690" t="s">
        <v>311</v>
      </c>
      <c r="F8" s="702" t="s">
        <v>312</v>
      </c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</row>
    <row r="9" spans="1:46" s="688" customFormat="1">
      <c r="A9" s="703" t="s">
        <v>313</v>
      </c>
      <c r="B9" s="704"/>
      <c r="C9" s="705"/>
      <c r="D9" s="705" t="s">
        <v>314</v>
      </c>
      <c r="E9" s="706" t="s">
        <v>315</v>
      </c>
      <c r="F9" s="707" t="s">
        <v>317</v>
      </c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</row>
    <row r="10" spans="1:46" s="708" customFormat="1">
      <c r="B10" s="709" t="s">
        <v>318</v>
      </c>
      <c r="E10" s="710">
        <v>1</v>
      </c>
      <c r="F10" s="711">
        <v>2.02</v>
      </c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</row>
    <row r="11" spans="1:46" s="708" customFormat="1">
      <c r="B11" s="709" t="s">
        <v>319</v>
      </c>
      <c r="E11" s="710" t="s">
        <v>320</v>
      </c>
      <c r="F11" s="711" t="s">
        <v>321</v>
      </c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</row>
    <row r="12" spans="1:46" s="708" customFormat="1" ht="12.75" customHeight="1">
      <c r="B12" s="709"/>
      <c r="E12" s="710"/>
      <c r="F12" s="711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</row>
    <row r="13" spans="1:46">
      <c r="B13" s="675" t="s">
        <v>323</v>
      </c>
    </row>
    <row r="14" spans="1:46" s="714" customFormat="1">
      <c r="A14" s="713">
        <v>1</v>
      </c>
      <c r="B14" s="714" t="s">
        <v>324</v>
      </c>
      <c r="E14" s="715">
        <v>516333</v>
      </c>
      <c r="F14" s="716">
        <v>0</v>
      </c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</row>
    <row r="15" spans="1:46" s="717" customFormat="1">
      <c r="A15" s="713">
        <v>2</v>
      </c>
      <c r="B15" s="717" t="s">
        <v>325</v>
      </c>
      <c r="E15" s="718">
        <v>946</v>
      </c>
      <c r="F15" s="676">
        <v>0</v>
      </c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</row>
    <row r="16" spans="1:46" s="717" customFormat="1">
      <c r="A16" s="713">
        <v>3</v>
      </c>
      <c r="B16" s="717" t="s">
        <v>326</v>
      </c>
      <c r="E16" s="719">
        <v>78098</v>
      </c>
      <c r="F16" s="721">
        <v>0</v>
      </c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</row>
    <row r="17" spans="1:46" s="717" customFormat="1">
      <c r="A17" s="713">
        <v>4</v>
      </c>
      <c r="B17" s="717" t="s">
        <v>327</v>
      </c>
      <c r="E17" s="718">
        <v>595377</v>
      </c>
      <c r="F17" s="676">
        <f t="shared" ref="F17" si="0">SUM(F14:F16)</f>
        <v>0</v>
      </c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</row>
    <row r="18" spans="1:46" s="717" customFormat="1">
      <c r="A18" s="713">
        <v>5</v>
      </c>
      <c r="B18" s="717" t="s">
        <v>328</v>
      </c>
      <c r="E18" s="719">
        <v>81735</v>
      </c>
      <c r="F18" s="721">
        <v>0</v>
      </c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</row>
    <row r="19" spans="1:46" s="717" customFormat="1">
      <c r="A19" s="713">
        <v>6</v>
      </c>
      <c r="B19" s="717" t="s">
        <v>329</v>
      </c>
      <c r="E19" s="718">
        <v>677112</v>
      </c>
      <c r="F19" s="676">
        <f t="shared" ref="F19" si="1">SUM(F17:F18)</f>
        <v>0</v>
      </c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</row>
    <row r="20" spans="1:46" s="717" customFormat="1">
      <c r="A20" s="713"/>
      <c r="E20" s="718"/>
      <c r="F20" s="676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</row>
    <row r="21" spans="1:46" s="717" customFormat="1">
      <c r="A21" s="713"/>
      <c r="B21" s="717" t="s">
        <v>330</v>
      </c>
      <c r="E21" s="718"/>
      <c r="F21" s="676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</row>
    <row r="22" spans="1:46" s="717" customFormat="1">
      <c r="A22" s="713"/>
      <c r="B22" s="717" t="s">
        <v>331</v>
      </c>
      <c r="E22" s="718"/>
      <c r="F22" s="676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</row>
    <row r="23" spans="1:46" s="717" customFormat="1">
      <c r="A23" s="713">
        <v>7</v>
      </c>
      <c r="C23" s="717" t="s">
        <v>332</v>
      </c>
      <c r="E23" s="718">
        <v>184672</v>
      </c>
      <c r="F23" s="676">
        <v>0</v>
      </c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</row>
    <row r="24" spans="1:46" s="717" customFormat="1">
      <c r="A24" s="713">
        <v>8</v>
      </c>
      <c r="C24" s="717" t="s">
        <v>333</v>
      </c>
      <c r="E24" s="718">
        <v>96772</v>
      </c>
      <c r="F24" s="676">
        <v>0</v>
      </c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</row>
    <row r="25" spans="1:46" s="717" customFormat="1">
      <c r="A25" s="713">
        <v>9</v>
      </c>
      <c r="C25" s="717" t="s">
        <v>334</v>
      </c>
      <c r="E25" s="718">
        <v>26677</v>
      </c>
      <c r="F25" s="676">
        <v>0</v>
      </c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</row>
    <row r="26" spans="1:46" s="717" customFormat="1">
      <c r="A26" s="713">
        <v>10</v>
      </c>
      <c r="C26" s="718" t="s">
        <v>335</v>
      </c>
      <c r="D26" s="718"/>
      <c r="E26" s="718">
        <v>4310</v>
      </c>
      <c r="F26" s="676">
        <v>0</v>
      </c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</row>
    <row r="27" spans="1:46" s="717" customFormat="1">
      <c r="A27" s="713">
        <v>11</v>
      </c>
      <c r="C27" s="717" t="s">
        <v>336</v>
      </c>
      <c r="E27" s="719">
        <v>14904</v>
      </c>
      <c r="F27" s="721">
        <f>+'Elec 2.02Restate 3.06Proforma'!I38/1000</f>
        <v>-180.84800000000001</v>
      </c>
      <c r="G27" s="823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</row>
    <row r="28" spans="1:46" s="717" customFormat="1">
      <c r="A28" s="713">
        <v>12</v>
      </c>
      <c r="B28" s="717" t="s">
        <v>337</v>
      </c>
      <c r="E28" s="718">
        <v>327335</v>
      </c>
      <c r="F28" s="676">
        <f t="shared" ref="F28" si="2">SUM(F23:F27)</f>
        <v>-180.84800000000001</v>
      </c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</row>
    <row r="29" spans="1:46" s="717" customFormat="1">
      <c r="A29" s="713"/>
      <c r="E29" s="718"/>
      <c r="F29" s="676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</row>
    <row r="30" spans="1:46" s="717" customFormat="1">
      <c r="A30" s="713"/>
      <c r="B30" s="717" t="s">
        <v>338</v>
      </c>
      <c r="E30" s="718"/>
      <c r="F30" s="676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</row>
    <row r="31" spans="1:46" s="717" customFormat="1">
      <c r="A31" s="713">
        <v>13</v>
      </c>
      <c r="C31" s="717" t="s">
        <v>332</v>
      </c>
      <c r="E31" s="723">
        <v>21420</v>
      </c>
      <c r="F31" s="676">
        <v>0</v>
      </c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</row>
    <row r="32" spans="1:46" s="717" customFormat="1">
      <c r="A32" s="713">
        <v>14</v>
      </c>
      <c r="C32" s="717" t="s">
        <v>339</v>
      </c>
      <c r="E32" s="723">
        <v>27913</v>
      </c>
      <c r="F32" s="676">
        <v>0</v>
      </c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</row>
    <row r="33" spans="1:46" s="717" customFormat="1">
      <c r="A33" s="713">
        <v>15</v>
      </c>
      <c r="C33" s="717" t="s">
        <v>335</v>
      </c>
      <c r="E33" s="723">
        <v>0</v>
      </c>
      <c r="F33" s="676">
        <v>0</v>
      </c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</row>
    <row r="34" spans="1:46" s="717" customFormat="1">
      <c r="A34" s="713">
        <v>16</v>
      </c>
      <c r="C34" s="717" t="s">
        <v>336</v>
      </c>
      <c r="E34" s="719">
        <v>45258</v>
      </c>
      <c r="F34" s="721">
        <f>+'Elec 2.02Restate 3.06Proforma'!I41/1000</f>
        <v>-700.56109480335374</v>
      </c>
      <c r="G34" s="823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</row>
    <row r="35" spans="1:46" s="717" customFormat="1">
      <c r="A35" s="713">
        <v>17</v>
      </c>
      <c r="B35" s="717" t="s">
        <v>340</v>
      </c>
      <c r="E35" s="718">
        <v>94591</v>
      </c>
      <c r="F35" s="676">
        <f t="shared" ref="F35" si="3">SUM(F31:F34)</f>
        <v>-700.56109480335374</v>
      </c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</row>
    <row r="36" spans="1:46" s="717" customFormat="1">
      <c r="E36" s="718"/>
      <c r="F36" s="67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</row>
    <row r="37" spans="1:46" s="717" customFormat="1">
      <c r="A37" s="713">
        <v>18</v>
      </c>
      <c r="B37" s="717" t="s">
        <v>341</v>
      </c>
      <c r="E37" s="723">
        <v>11733</v>
      </c>
      <c r="F37" s="676">
        <v>0</v>
      </c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</row>
    <row r="38" spans="1:46" s="717" customFormat="1">
      <c r="A38" s="713">
        <v>19</v>
      </c>
      <c r="B38" s="717" t="s">
        <v>342</v>
      </c>
      <c r="E38" s="723">
        <v>18081</v>
      </c>
      <c r="F38" s="676">
        <v>0</v>
      </c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</row>
    <row r="39" spans="1:46" s="717" customFormat="1">
      <c r="A39" s="713">
        <v>20</v>
      </c>
      <c r="B39" s="717" t="s">
        <v>343</v>
      </c>
      <c r="E39" s="723">
        <v>0</v>
      </c>
      <c r="F39" s="676">
        <v>0</v>
      </c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</row>
    <row r="40" spans="1:46" s="717" customFormat="1">
      <c r="A40" s="713"/>
      <c r="E40" s="718"/>
      <c r="F40" s="676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</row>
    <row r="41" spans="1:46" s="717" customFormat="1">
      <c r="B41" s="717" t="s">
        <v>344</v>
      </c>
      <c r="E41" s="718"/>
      <c r="F41" s="676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</row>
    <row r="42" spans="1:46" s="717" customFormat="1">
      <c r="A42" s="713">
        <v>21</v>
      </c>
      <c r="C42" s="717" t="s">
        <v>332</v>
      </c>
      <c r="E42" s="723">
        <v>50568</v>
      </c>
      <c r="F42" s="677">
        <v>0</v>
      </c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</row>
    <row r="43" spans="1:46" s="717" customFormat="1">
      <c r="A43" s="713">
        <v>22</v>
      </c>
      <c r="C43" s="717" t="s">
        <v>339</v>
      </c>
      <c r="E43" s="723">
        <v>23877</v>
      </c>
      <c r="F43" s="677">
        <v>0</v>
      </c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</row>
    <row r="44" spans="1:46" s="717" customFormat="1">
      <c r="A44" s="724">
        <v>23</v>
      </c>
      <c r="C44" s="717" t="s">
        <v>336</v>
      </c>
      <c r="E44" s="719">
        <v>0</v>
      </c>
      <c r="F44" s="720">
        <v>0</v>
      </c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</row>
    <row r="45" spans="1:46" s="717" customFormat="1">
      <c r="A45" s="713">
        <v>24</v>
      </c>
      <c r="B45" s="717" t="s">
        <v>345</v>
      </c>
      <c r="E45" s="719">
        <v>74445</v>
      </c>
      <c r="F45" s="720">
        <f t="shared" ref="F45" si="4">SUM(F42:F44)</f>
        <v>0</v>
      </c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</row>
    <row r="46" spans="1:46" s="717" customFormat="1" ht="18" customHeight="1">
      <c r="A46" s="713">
        <v>25</v>
      </c>
      <c r="B46" s="717" t="s">
        <v>346</v>
      </c>
      <c r="E46" s="719">
        <v>526185</v>
      </c>
      <c r="F46" s="720">
        <f t="shared" ref="F46" si="5">F45+F39+F38+F37+F35+F28</f>
        <v>-881.40909480335381</v>
      </c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</row>
    <row r="47" spans="1:46" s="717" customFormat="1">
      <c r="E47" s="718"/>
      <c r="F47" s="67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</row>
    <row r="48" spans="1:46" s="717" customFormat="1">
      <c r="A48" s="713">
        <v>26</v>
      </c>
      <c r="B48" s="717" t="s">
        <v>347</v>
      </c>
      <c r="E48" s="718">
        <v>150927</v>
      </c>
      <c r="F48" s="677">
        <f t="shared" ref="F48" si="6">F19-F46</f>
        <v>881.40909480335381</v>
      </c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</row>
    <row r="49" spans="1:46" s="717" customFormat="1">
      <c r="A49" s="713"/>
      <c r="E49" s="718"/>
      <c r="F49" s="677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</row>
    <row r="50" spans="1:46" s="717" customFormat="1">
      <c r="A50" s="725"/>
      <c r="B50" s="717" t="s">
        <v>348</v>
      </c>
      <c r="E50" s="718"/>
      <c r="F50" s="677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</row>
    <row r="51" spans="1:46" s="717" customFormat="1">
      <c r="A51" s="724">
        <v>27</v>
      </c>
      <c r="B51" s="717" t="s">
        <v>349</v>
      </c>
      <c r="D51" s="726"/>
      <c r="E51" s="723">
        <v>-25741</v>
      </c>
      <c r="F51" s="677">
        <f t="shared" ref="F51" si="7">F48*0.35</f>
        <v>308.49318318117383</v>
      </c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</row>
    <row r="52" spans="1:46" s="718" customFormat="1">
      <c r="A52" s="713">
        <v>28</v>
      </c>
      <c r="B52" s="718" t="s">
        <v>350</v>
      </c>
      <c r="E52" s="723">
        <v>0</v>
      </c>
      <c r="F52" s="676">
        <v>0</v>
      </c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</row>
    <row r="53" spans="1:46" s="717" customFormat="1">
      <c r="A53" s="713">
        <v>29</v>
      </c>
      <c r="B53" s="717" t="s">
        <v>351</v>
      </c>
      <c r="E53" s="723">
        <v>66436</v>
      </c>
      <c r="F53" s="677">
        <v>0</v>
      </c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</row>
    <row r="54" spans="1:46" s="717" customFormat="1">
      <c r="A54" s="725">
        <v>30</v>
      </c>
      <c r="B54" s="717" t="s">
        <v>352</v>
      </c>
      <c r="E54" s="719">
        <v>-325</v>
      </c>
      <c r="F54" s="720">
        <v>0</v>
      </c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</row>
    <row r="56" spans="1:46" s="714" customFormat="1" ht="13.5" thickBot="1">
      <c r="A56" s="728">
        <v>31</v>
      </c>
      <c r="B56" s="714" t="s">
        <v>353</v>
      </c>
      <c r="E56" s="729">
        <v>110557</v>
      </c>
      <c r="F56" s="730">
        <f t="shared" ref="F56" si="8">F48-SUM(F51:F54)</f>
        <v>572.91591162217992</v>
      </c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</row>
    <row r="57" spans="1:46" ht="6" customHeight="1" thickTop="1">
      <c r="A57" s="728"/>
    </row>
    <row r="58" spans="1:46">
      <c r="A58" s="728"/>
      <c r="B58" s="675" t="s">
        <v>354</v>
      </c>
    </row>
    <row r="59" spans="1:46">
      <c r="B59" s="675" t="s">
        <v>355</v>
      </c>
    </row>
    <row r="60" spans="1:46" s="714" customFormat="1">
      <c r="A60" s="732">
        <v>32</v>
      </c>
      <c r="C60" s="714" t="s">
        <v>356</v>
      </c>
      <c r="E60" s="733">
        <v>156057</v>
      </c>
      <c r="F60" s="714">
        <v>0</v>
      </c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</row>
    <row r="61" spans="1:46" s="717" customFormat="1">
      <c r="A61" s="728">
        <v>33</v>
      </c>
      <c r="C61" s="717" t="s">
        <v>357</v>
      </c>
      <c r="E61" s="723">
        <v>832833</v>
      </c>
      <c r="F61" s="677">
        <v>0</v>
      </c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</row>
    <row r="62" spans="1:46" s="717" customFormat="1" ht="12.75" customHeight="1">
      <c r="A62" s="728">
        <v>34</v>
      </c>
      <c r="C62" s="717" t="s">
        <v>358</v>
      </c>
      <c r="E62" s="723">
        <v>430613</v>
      </c>
      <c r="F62" s="677">
        <v>0</v>
      </c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</row>
    <row r="63" spans="1:46" s="717" customFormat="1" ht="12" customHeight="1">
      <c r="A63" s="728">
        <v>35</v>
      </c>
      <c r="C63" s="717" t="s">
        <v>338</v>
      </c>
      <c r="E63" s="723">
        <v>970455</v>
      </c>
      <c r="F63" s="677">
        <v>0</v>
      </c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</row>
    <row r="64" spans="1:46" s="717" customFormat="1">
      <c r="A64" s="728">
        <v>36</v>
      </c>
      <c r="C64" s="717" t="s">
        <v>359</v>
      </c>
      <c r="E64" s="719">
        <v>233266</v>
      </c>
      <c r="F64" s="720">
        <v>0</v>
      </c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</row>
    <row r="65" spans="1:46" s="717" customFormat="1">
      <c r="A65" s="728">
        <v>37</v>
      </c>
      <c r="B65" s="717" t="s">
        <v>360</v>
      </c>
      <c r="E65" s="676">
        <v>2623224</v>
      </c>
      <c r="F65" s="677">
        <f t="shared" ref="F65" si="9">SUM(F60:F64)</f>
        <v>0</v>
      </c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</row>
    <row r="66" spans="1:46" s="717" customFormat="1" ht="14.25" customHeight="1">
      <c r="A66" s="728"/>
      <c r="B66" s="717" t="s">
        <v>361</v>
      </c>
      <c r="E66" s="676"/>
      <c r="F66" s="677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</row>
    <row r="67" spans="1:46" s="717" customFormat="1">
      <c r="A67" s="728">
        <v>38</v>
      </c>
      <c r="C67" s="714" t="s">
        <v>356</v>
      </c>
      <c r="E67" s="723">
        <v>-30914</v>
      </c>
      <c r="F67" s="677">
        <v>0</v>
      </c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</row>
    <row r="68" spans="1:46" s="717" customFormat="1">
      <c r="A68" s="728">
        <v>39</v>
      </c>
      <c r="C68" s="717" t="s">
        <v>357</v>
      </c>
      <c r="E68" s="723">
        <v>-351625</v>
      </c>
      <c r="F68" s="677">
        <v>0</v>
      </c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</row>
    <row r="69" spans="1:46" s="717" customFormat="1">
      <c r="A69" s="728">
        <v>40</v>
      </c>
      <c r="C69" s="717" t="s">
        <v>358</v>
      </c>
      <c r="E69" s="723">
        <v>-135624</v>
      </c>
      <c r="F69" s="677">
        <v>0</v>
      </c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</row>
    <row r="70" spans="1:46" s="717" customFormat="1">
      <c r="A70" s="728">
        <v>41</v>
      </c>
      <c r="C70" s="717" t="s">
        <v>338</v>
      </c>
      <c r="E70" s="723">
        <v>-295383</v>
      </c>
      <c r="F70" s="677">
        <v>0</v>
      </c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</row>
    <row r="71" spans="1:46" s="717" customFormat="1">
      <c r="A71" s="728">
        <v>42</v>
      </c>
      <c r="C71" s="717" t="s">
        <v>359</v>
      </c>
      <c r="E71" s="723">
        <v>-80093</v>
      </c>
      <c r="F71" s="677">
        <v>0</v>
      </c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</row>
    <row r="72" spans="1:46" s="717" customFormat="1">
      <c r="A72" s="728">
        <v>43</v>
      </c>
      <c r="B72" s="717" t="s">
        <v>362</v>
      </c>
      <c r="E72" s="734">
        <v>-893639</v>
      </c>
      <c r="F72" s="734">
        <f t="shared" ref="F72" si="10">SUM(F67:F71)</f>
        <v>0</v>
      </c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</row>
    <row r="73" spans="1:46" s="717" customFormat="1">
      <c r="A73" s="728">
        <v>44</v>
      </c>
      <c r="B73" s="717" t="s">
        <v>363</v>
      </c>
      <c r="E73" s="734">
        <v>1729585</v>
      </c>
      <c r="F73" s="734">
        <f t="shared" ref="F73" si="11">F65+F72</f>
        <v>0</v>
      </c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</row>
    <row r="74" spans="1:46" s="717" customFormat="1" ht="12.75" customHeight="1">
      <c r="A74" s="728"/>
      <c r="E74" s="712"/>
      <c r="F74" s="712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</row>
    <row r="75" spans="1:46" s="717" customFormat="1">
      <c r="A75" s="725">
        <v>45</v>
      </c>
      <c r="B75" s="717" t="s">
        <v>364</v>
      </c>
      <c r="E75" s="721">
        <v>-354707</v>
      </c>
      <c r="F75" s="720">
        <v>0</v>
      </c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</row>
    <row r="76" spans="1:46" s="717" customFormat="1">
      <c r="A76" s="725">
        <v>46</v>
      </c>
      <c r="C76" s="717" t="s">
        <v>365</v>
      </c>
      <c r="E76" s="712">
        <v>1374878</v>
      </c>
      <c r="F76" s="712">
        <f t="shared" ref="F76" si="12">SUM(F73:F75)</f>
        <v>0</v>
      </c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</row>
    <row r="77" spans="1:46" s="717" customFormat="1">
      <c r="A77" s="728">
        <v>47</v>
      </c>
      <c r="B77" s="717" t="s">
        <v>366</v>
      </c>
      <c r="E77" s="712">
        <v>4568</v>
      </c>
      <c r="F77" s="677">
        <v>0</v>
      </c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</row>
    <row r="78" spans="1:46" s="717" customFormat="1">
      <c r="A78" s="728">
        <v>48</v>
      </c>
      <c r="B78" s="717" t="s">
        <v>367</v>
      </c>
      <c r="E78" s="721">
        <v>65480</v>
      </c>
      <c r="F78" s="720">
        <v>0</v>
      </c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</row>
    <row r="79" spans="1:46" s="717" customFormat="1">
      <c r="A79" s="725"/>
      <c r="E79" s="712"/>
      <c r="F79" s="677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</row>
    <row r="80" spans="1:46" s="714" customFormat="1" ht="13.5" customHeight="1" thickBot="1">
      <c r="A80" s="713">
        <v>49</v>
      </c>
      <c r="B80" s="714" t="s">
        <v>368</v>
      </c>
      <c r="E80" s="731">
        <v>1444926</v>
      </c>
      <c r="F80" s="729">
        <f t="shared" ref="F80" si="13">SUM(F76:F78)</f>
        <v>0</v>
      </c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</row>
    <row r="81" spans="1:46" ht="18" customHeight="1" thickTop="1">
      <c r="A81" s="713">
        <v>50</v>
      </c>
      <c r="B81" s="675" t="s">
        <v>369</v>
      </c>
      <c r="E81" s="736">
        <v>7.6499999999999999E-2</v>
      </c>
      <c r="F81" s="737"/>
    </row>
    <row r="82" spans="1:46">
      <c r="A82" s="674">
        <v>51</v>
      </c>
      <c r="B82" s="675" t="s">
        <v>370</v>
      </c>
      <c r="E82" s="738">
        <v>900.54519359457788</v>
      </c>
      <c r="F82" s="738">
        <f t="shared" ref="F82" si="14">F90</f>
        <v>-924.93810500666746</v>
      </c>
    </row>
    <row r="83" spans="1:46" ht="26.25" customHeight="1">
      <c r="B83" s="739"/>
      <c r="E83" s="675"/>
    </row>
    <row r="84" spans="1:46" ht="57.75" customHeight="1">
      <c r="E84" s="736"/>
    </row>
    <row r="85" spans="1:46">
      <c r="E85" s="736">
        <v>7.6899999999999996E-2</v>
      </c>
      <c r="F85" s="805">
        <v>7.6899999999999996E-2</v>
      </c>
    </row>
    <row r="86" spans="1:46">
      <c r="E86" s="736"/>
      <c r="F86" s="805"/>
    </row>
    <row r="87" spans="1:46">
      <c r="D87" s="675" t="s">
        <v>371</v>
      </c>
      <c r="E87" s="741">
        <v>0.61941299999999999</v>
      </c>
      <c r="F87" s="805">
        <v>0.61941000000000002</v>
      </c>
    </row>
    <row r="89" spans="1:46">
      <c r="D89" s="675" t="s">
        <v>372</v>
      </c>
      <c r="E89" s="735">
        <v>557.80939999999828</v>
      </c>
      <c r="F89" s="735">
        <f>F80*$F$85-F56</f>
        <v>-572.91591162217992</v>
      </c>
    </row>
    <row r="90" spans="1:46">
      <c r="C90" s="742"/>
      <c r="D90" s="742" t="s">
        <v>373</v>
      </c>
      <c r="E90" s="743">
        <v>900.54519359457788</v>
      </c>
      <c r="F90" s="743">
        <f>F89/$F$87</f>
        <v>-924.93810500666746</v>
      </c>
    </row>
    <row r="91" spans="1:46" s="745" customFormat="1" ht="11.25" customHeight="1">
      <c r="A91" s="744"/>
      <c r="E91" s="712"/>
      <c r="F91" s="727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</row>
    <row r="92" spans="1:46" s="745" customFormat="1">
      <c r="A92" s="744"/>
      <c r="E92" s="722"/>
      <c r="F92" s="727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</row>
    <row r="93" spans="1:46" s="745" customFormat="1">
      <c r="A93" s="744"/>
      <c r="E93" s="712"/>
      <c r="F93" s="712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</row>
    <row r="94" spans="1:46" s="748" customFormat="1">
      <c r="A94" s="747"/>
      <c r="E94" s="712"/>
      <c r="F94" s="712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</row>
    <row r="95" spans="1:46" s="745" customFormat="1">
      <c r="A95" s="744"/>
      <c r="E95" s="712"/>
      <c r="F95" s="712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</row>
    <row r="96" spans="1:46" s="745" customFormat="1">
      <c r="A96" s="744"/>
      <c r="E96" s="712"/>
      <c r="F96" s="727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</row>
    <row r="97" spans="1:46" s="745" customFormat="1">
      <c r="A97" s="744"/>
      <c r="E97" s="712"/>
      <c r="F97" s="72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</row>
  </sheetData>
  <mergeCells count="1">
    <mergeCell ref="D1:E1"/>
  </mergeCells>
  <pageMargins left="0.7" right="0.7" top="0.62" bottom="0.36" header="0.3" footer="0.3"/>
  <pageSetup scale="73" fitToWidth="0" orientation="portrait" r:id="rId1"/>
  <headerFooter>
    <oddHeader>&amp;RExh AIW-2
Dockets UE-170485 / UG-170486
Page &amp;P of &amp;N</oddHead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M43"/>
  <sheetViews>
    <sheetView zoomScaleNormal="100" workbookViewId="0">
      <selection activeCell="H5" sqref="H5"/>
    </sheetView>
  </sheetViews>
  <sheetFormatPr defaultColWidth="9.140625" defaultRowHeight="15"/>
  <cols>
    <col min="1" max="1" width="17" style="46" bestFit="1" customWidth="1"/>
    <col min="2" max="5" width="13.28515625" style="47" bestFit="1" customWidth="1"/>
    <col min="6" max="6" width="9.5703125" style="47" bestFit="1" customWidth="1"/>
    <col min="7" max="7" width="11.5703125" style="47" bestFit="1" customWidth="1"/>
    <col min="8" max="8" width="1.7109375" style="47" customWidth="1"/>
    <col min="9" max="9" width="15.5703125" style="47" customWidth="1"/>
    <col min="10" max="10" width="11.85546875" style="47" bestFit="1" customWidth="1"/>
    <col min="11" max="11" width="12.28515625" style="47" bestFit="1" customWidth="1"/>
    <col min="12" max="12" width="11.5703125" style="47" bestFit="1" customWidth="1"/>
    <col min="13" max="16384" width="9.140625" style="47"/>
  </cols>
  <sheetData>
    <row r="1" spans="1:11">
      <c r="A1" t="s">
        <v>432</v>
      </c>
      <c r="I1" s="47" t="s">
        <v>430</v>
      </c>
    </row>
    <row r="2" spans="1:11">
      <c r="A2" s="46" t="s">
        <v>429</v>
      </c>
    </row>
    <row r="3" spans="1:11">
      <c r="A3" s="46" t="s">
        <v>443</v>
      </c>
    </row>
    <row r="4" spans="1:11" ht="15.75" thickBot="1"/>
    <row r="5" spans="1:11" ht="15.75" thickBot="1">
      <c r="A5" s="672" t="s">
        <v>298</v>
      </c>
      <c r="B5" s="1293" t="s">
        <v>89</v>
      </c>
      <c r="C5" s="1294"/>
      <c r="D5" s="1294"/>
      <c r="E5" s="1294"/>
      <c r="F5" s="1294"/>
      <c r="G5" s="1295"/>
      <c r="I5" s="1293" t="s">
        <v>75</v>
      </c>
      <c r="J5" s="1294"/>
      <c r="K5" s="1295"/>
    </row>
    <row r="6" spans="1:11">
      <c r="B6" s="3"/>
      <c r="C6" s="3"/>
      <c r="D6" s="3"/>
      <c r="E6" s="3"/>
      <c r="F6" s="3"/>
      <c r="G6" s="3"/>
      <c r="I6" s="48">
        <v>0.6573</v>
      </c>
      <c r="J6" s="48">
        <f>1-I6</f>
        <v>0.3427</v>
      </c>
    </row>
    <row r="7" spans="1:11" s="5" customFormat="1">
      <c r="B7" s="5" t="s">
        <v>76</v>
      </c>
      <c r="C7" s="5" t="s">
        <v>77</v>
      </c>
      <c r="D7" s="5" t="s">
        <v>78</v>
      </c>
      <c r="E7" s="5" t="s">
        <v>79</v>
      </c>
      <c r="F7" s="5" t="s">
        <v>80</v>
      </c>
      <c r="G7" s="5" t="s">
        <v>81</v>
      </c>
      <c r="I7" s="5" t="s">
        <v>76</v>
      </c>
      <c r="J7" s="5" t="s">
        <v>77</v>
      </c>
      <c r="K7" s="5" t="s">
        <v>81</v>
      </c>
    </row>
    <row r="8" spans="1:11" s="5" customFormat="1"/>
    <row r="9" spans="1:11">
      <c r="A9" s="6" t="s">
        <v>86</v>
      </c>
    </row>
    <row r="10" spans="1:11">
      <c r="A10" s="46">
        <v>408150</v>
      </c>
      <c r="B10" s="49">
        <v>3192562</v>
      </c>
      <c r="C10" s="49">
        <v>1241751</v>
      </c>
      <c r="D10" s="49">
        <v>8447611</v>
      </c>
      <c r="E10" s="49">
        <v>2611176</v>
      </c>
      <c r="F10" s="50">
        <v>3686</v>
      </c>
      <c r="G10" s="51">
        <f>SUM(B10:F10)</f>
        <v>15496786</v>
      </c>
      <c r="I10" s="51">
        <f>ROUND($G$10*I6,0)</f>
        <v>10186037</v>
      </c>
      <c r="J10" s="51">
        <f>ROUND($G$10*J6,0)</f>
        <v>5310749</v>
      </c>
      <c r="K10" s="51">
        <f>SUM(I10:J10)</f>
        <v>15496786</v>
      </c>
    </row>
    <row r="11" spans="1:11">
      <c r="A11" s="46">
        <v>408180</v>
      </c>
      <c r="B11" s="52">
        <v>3005550</v>
      </c>
      <c r="C11" s="52">
        <v>1367715</v>
      </c>
      <c r="D11" s="52">
        <v>1295885</v>
      </c>
      <c r="E11" s="52">
        <v>10490</v>
      </c>
      <c r="F11" s="52"/>
      <c r="G11" s="53">
        <f>SUM(B11:F11)</f>
        <v>5679640</v>
      </c>
      <c r="I11" s="51">
        <f>ROUND($G$11*I6,0)</f>
        <v>3733227</v>
      </c>
      <c r="J11" s="51">
        <f>ROUND($G$11*J6,0)</f>
        <v>1946413</v>
      </c>
      <c r="K11" s="51">
        <f>SUM(I11:J11)</f>
        <v>5679640</v>
      </c>
    </row>
    <row r="12" spans="1:11">
      <c r="A12" s="46" t="s">
        <v>87</v>
      </c>
      <c r="B12" s="49">
        <f>SUM(B10:B11)</f>
        <v>6198112</v>
      </c>
      <c r="C12" s="49">
        <f t="shared" ref="C12:K12" si="0">SUM(C10:C11)</f>
        <v>2609466</v>
      </c>
      <c r="D12" s="49">
        <f t="shared" si="0"/>
        <v>9743496</v>
      </c>
      <c r="E12" s="49">
        <f t="shared" si="0"/>
        <v>2621666</v>
      </c>
      <c r="F12" s="49">
        <f t="shared" si="0"/>
        <v>3686</v>
      </c>
      <c r="G12" s="54">
        <f t="shared" si="0"/>
        <v>21176426</v>
      </c>
      <c r="H12" s="54">
        <f t="shared" si="0"/>
        <v>0</v>
      </c>
      <c r="I12" s="54">
        <f t="shared" si="0"/>
        <v>13919264</v>
      </c>
      <c r="J12" s="54">
        <f t="shared" si="0"/>
        <v>7257162</v>
      </c>
      <c r="K12" s="54">
        <f t="shared" si="0"/>
        <v>21176426</v>
      </c>
    </row>
    <row r="13" spans="1:11">
      <c r="B13" s="49"/>
      <c r="C13" s="49"/>
      <c r="D13" s="49"/>
      <c r="E13" s="49"/>
      <c r="F13" s="49"/>
    </row>
    <row r="14" spans="1:11">
      <c r="A14" s="6" t="s">
        <v>83</v>
      </c>
      <c r="B14" s="49"/>
      <c r="C14" s="49"/>
      <c r="D14" s="49"/>
      <c r="E14" s="49"/>
      <c r="F14" s="49"/>
    </row>
    <row r="15" spans="1:11">
      <c r="A15" s="46">
        <v>408170</v>
      </c>
      <c r="B15" s="52">
        <v>7159887</v>
      </c>
      <c r="C15" s="52">
        <v>3070265</v>
      </c>
      <c r="D15" s="52">
        <v>0</v>
      </c>
      <c r="E15" s="52">
        <v>0</v>
      </c>
      <c r="F15" s="52">
        <v>0</v>
      </c>
      <c r="G15" s="53">
        <f>SUM(B15:F15)</f>
        <v>10230152</v>
      </c>
      <c r="I15" s="53">
        <f>B15</f>
        <v>7159887</v>
      </c>
      <c r="J15" s="53">
        <f>C15</f>
        <v>3070265</v>
      </c>
      <c r="K15" s="53">
        <f>SUM(I15:J15)</f>
        <v>10230152</v>
      </c>
    </row>
    <row r="16" spans="1:11">
      <c r="B16" s="49"/>
      <c r="C16" s="49"/>
      <c r="D16" s="49"/>
      <c r="E16" s="49"/>
      <c r="F16" s="49"/>
    </row>
    <row r="17" spans="1:13" ht="15.75" thickBot="1">
      <c r="A17" s="6" t="s">
        <v>82</v>
      </c>
      <c r="B17" s="55">
        <f>SUM(B12:B15)</f>
        <v>13357999</v>
      </c>
      <c r="C17" s="55">
        <f t="shared" ref="C17:K17" si="1">SUM(C12:C15)</f>
        <v>5679731</v>
      </c>
      <c r="D17" s="55">
        <f t="shared" si="1"/>
        <v>9743496</v>
      </c>
      <c r="E17" s="55">
        <f t="shared" si="1"/>
        <v>2621666</v>
      </c>
      <c r="F17" s="55">
        <f t="shared" si="1"/>
        <v>3686</v>
      </c>
      <c r="G17" s="93">
        <f t="shared" si="1"/>
        <v>31406578</v>
      </c>
      <c r="H17" s="55">
        <f t="shared" si="1"/>
        <v>0</v>
      </c>
      <c r="I17" s="55">
        <f t="shared" si="1"/>
        <v>21079151</v>
      </c>
      <c r="J17" s="55">
        <f t="shared" si="1"/>
        <v>10327427</v>
      </c>
      <c r="K17" s="55">
        <f t="shared" si="1"/>
        <v>31406578</v>
      </c>
      <c r="L17" s="51"/>
    </row>
    <row r="19" spans="1:13" ht="15.75" thickBot="1">
      <c r="B19" s="94">
        <f>+(B20/B17)-1</f>
        <v>0.12292267726625816</v>
      </c>
      <c r="C19" s="94">
        <f t="shared" ref="C19:G19" si="2">+(C20/C17)-1</f>
        <v>0.13103948056694947</v>
      </c>
      <c r="D19" s="94">
        <f t="shared" si="2"/>
        <v>0.13696357036529805</v>
      </c>
      <c r="E19" s="94">
        <f t="shared" si="2"/>
        <v>-1.4367200093375776E-2</v>
      </c>
      <c r="F19" s="94">
        <f t="shared" si="2"/>
        <v>0</v>
      </c>
      <c r="G19" s="94">
        <f t="shared" si="2"/>
        <v>0.11727186578556892</v>
      </c>
    </row>
    <row r="20" spans="1:13" ht="30.75" thickBot="1">
      <c r="A20" s="14" t="s">
        <v>90</v>
      </c>
      <c r="B20" s="99">
        <v>15000000</v>
      </c>
      <c r="C20" s="99">
        <v>6424000</v>
      </c>
      <c r="D20" s="99">
        <v>11078000</v>
      </c>
      <c r="E20" s="99">
        <v>2584000</v>
      </c>
      <c r="F20" s="91">
        <v>3686</v>
      </c>
      <c r="G20" s="91">
        <f>SUM(B20:F20)</f>
        <v>35089686</v>
      </c>
      <c r="H20" s="56"/>
      <c r="I20" s="56"/>
      <c r="J20" s="56"/>
      <c r="K20" s="57"/>
    </row>
    <row r="21" spans="1:13">
      <c r="A21" s="58"/>
      <c r="B21" s="59"/>
      <c r="C21" s="59"/>
      <c r="D21" s="59"/>
      <c r="E21" s="59"/>
      <c r="F21" s="59"/>
      <c r="G21" s="59"/>
      <c r="H21" s="59"/>
      <c r="I21" s="59"/>
      <c r="J21" s="59"/>
      <c r="K21" s="60"/>
    </row>
    <row r="22" spans="1:13">
      <c r="A22" s="58" t="s">
        <v>86</v>
      </c>
      <c r="B22" s="59"/>
      <c r="C22" s="59"/>
      <c r="D22" s="59"/>
      <c r="E22" s="59"/>
      <c r="F22" s="59"/>
      <c r="G22" s="59"/>
      <c r="H22" s="59"/>
      <c r="I22" s="59"/>
      <c r="J22" s="59"/>
      <c r="K22" s="60"/>
    </row>
    <row r="23" spans="1:13">
      <c r="A23" s="58">
        <v>408150</v>
      </c>
      <c r="B23" s="61">
        <f>B10/B17*B20</f>
        <v>3585000.2683785195</v>
      </c>
      <c r="C23" s="61">
        <f t="shared" ref="C23:F23" si="3">C10/C17*C20</f>
        <v>1404469.4060334899</v>
      </c>
      <c r="D23" s="61">
        <f t="shared" si="3"/>
        <v>9604625.9636171665</v>
      </c>
      <c r="E23" s="61">
        <f t="shared" si="3"/>
        <v>2573660.7119289795</v>
      </c>
      <c r="F23" s="61">
        <f t="shared" si="3"/>
        <v>3686</v>
      </c>
      <c r="G23" s="61">
        <f>SUM(B23:F23)</f>
        <v>17171442.349958155</v>
      </c>
      <c r="H23" s="59"/>
      <c r="I23" s="62">
        <f>ROUND(G23*I6,0)</f>
        <v>11286789</v>
      </c>
      <c r="J23" s="62">
        <f>ROUND(G23*J6,0)</f>
        <v>5884653</v>
      </c>
      <c r="K23" s="63">
        <f>SUM(I23:J23)</f>
        <v>17171442</v>
      </c>
    </row>
    <row r="24" spans="1:13">
      <c r="A24" s="58">
        <v>408180</v>
      </c>
      <c r="B24" s="64">
        <f>B11/B17*B20</f>
        <v>3375000.2526576025</v>
      </c>
      <c r="C24" s="64">
        <f t="shared" ref="C24:F24" si="4">C11/C17*C20</f>
        <v>1546939.6631636252</v>
      </c>
      <c r="D24" s="64">
        <f t="shared" si="4"/>
        <v>1473374.0363828344</v>
      </c>
      <c r="E24" s="64">
        <f t="shared" si="4"/>
        <v>10339.288071020488</v>
      </c>
      <c r="F24" s="64">
        <f t="shared" si="4"/>
        <v>0</v>
      </c>
      <c r="G24" s="64">
        <f>SUM(B24:F24)</f>
        <v>6405653.2402750831</v>
      </c>
      <c r="H24" s="59"/>
      <c r="I24" s="62">
        <f>ROUND(G24*I6,0)</f>
        <v>4210436</v>
      </c>
      <c r="J24" s="62">
        <f>ROUND(G24*J6,0)</f>
        <v>2195217</v>
      </c>
      <c r="K24" s="63">
        <f>SUM(I24:J24)</f>
        <v>6405653</v>
      </c>
    </row>
    <row r="25" spans="1:13">
      <c r="A25" s="58" t="s">
        <v>88</v>
      </c>
      <c r="B25" s="61">
        <f t="shared" ref="B25:G25" si="5">SUM(B23:B24)</f>
        <v>6960000.521036122</v>
      </c>
      <c r="C25" s="61">
        <f t="shared" si="5"/>
        <v>2951409.069197115</v>
      </c>
      <c r="D25" s="61">
        <f t="shared" si="5"/>
        <v>11078000</v>
      </c>
      <c r="E25" s="61">
        <f t="shared" si="5"/>
        <v>2584000</v>
      </c>
      <c r="F25" s="61">
        <f t="shared" si="5"/>
        <v>3686</v>
      </c>
      <c r="G25" s="61">
        <f t="shared" si="5"/>
        <v>23577095.590233237</v>
      </c>
      <c r="H25" s="59"/>
      <c r="I25" s="65">
        <f>SUM(I23:I24)</f>
        <v>15497225</v>
      </c>
      <c r="J25" s="65">
        <f>SUM(J23:J24)</f>
        <v>8079870</v>
      </c>
      <c r="K25" s="66">
        <f>SUM(K23:K24)</f>
        <v>23577095</v>
      </c>
    </row>
    <row r="26" spans="1:13">
      <c r="A26" s="58"/>
      <c r="B26" s="61"/>
      <c r="C26" s="61"/>
      <c r="D26" s="61"/>
      <c r="E26" s="61"/>
      <c r="F26" s="61"/>
      <c r="G26" s="61"/>
      <c r="H26" s="59"/>
      <c r="I26" s="59"/>
      <c r="J26" s="59"/>
      <c r="K26" s="60"/>
    </row>
    <row r="27" spans="1:13">
      <c r="A27" s="58" t="s">
        <v>83</v>
      </c>
      <c r="B27" s="61"/>
      <c r="C27" s="61"/>
      <c r="D27" s="61"/>
      <c r="E27" s="61"/>
      <c r="F27" s="61"/>
      <c r="G27" s="61"/>
      <c r="H27" s="59"/>
      <c r="I27" s="59"/>
      <c r="J27" s="59"/>
      <c r="K27" s="60"/>
    </row>
    <row r="28" spans="1:13">
      <c r="A28" s="58">
        <v>408170</v>
      </c>
      <c r="B28" s="64">
        <f>B15/B17*B20</f>
        <v>8039999.478963878</v>
      </c>
      <c r="C28" s="64">
        <f t="shared" ref="C28:F28" si="6">C15/C17*C20</f>
        <v>3472590.9308028845</v>
      </c>
      <c r="D28" s="64">
        <f t="shared" si="6"/>
        <v>0</v>
      </c>
      <c r="E28" s="64">
        <f t="shared" si="6"/>
        <v>0</v>
      </c>
      <c r="F28" s="64">
        <f t="shared" si="6"/>
        <v>0</v>
      </c>
      <c r="G28" s="64">
        <f>SUM(B28:F28)</f>
        <v>11512590.409766763</v>
      </c>
      <c r="H28" s="59"/>
      <c r="I28" s="67">
        <f>B28</f>
        <v>8039999.478963878</v>
      </c>
      <c r="J28" s="67">
        <f>C28</f>
        <v>3472590.9308028845</v>
      </c>
      <c r="K28" s="68">
        <f>SUM(I28:J28)</f>
        <v>11512590.409766763</v>
      </c>
    </row>
    <row r="29" spans="1:13">
      <c r="A29" s="58"/>
      <c r="B29" s="61"/>
      <c r="C29" s="61"/>
      <c r="D29" s="61"/>
      <c r="E29" s="61"/>
      <c r="F29" s="61"/>
      <c r="G29" s="61"/>
      <c r="H29" s="59"/>
      <c r="I29" s="59"/>
      <c r="J29" s="59"/>
      <c r="K29" s="60"/>
    </row>
    <row r="30" spans="1:13" ht="15.75" thickBot="1">
      <c r="A30" s="58"/>
      <c r="B30" s="69">
        <f t="shared" ref="B30:G30" si="7">SUM(B25:B28)</f>
        <v>15000000</v>
      </c>
      <c r="C30" s="69">
        <f t="shared" si="7"/>
        <v>6424000</v>
      </c>
      <c r="D30" s="69">
        <f t="shared" si="7"/>
        <v>11078000</v>
      </c>
      <c r="E30" s="69">
        <f t="shared" si="7"/>
        <v>2584000</v>
      </c>
      <c r="F30" s="69">
        <f t="shared" si="7"/>
        <v>3686</v>
      </c>
      <c r="G30" s="69">
        <f t="shared" si="7"/>
        <v>35089686</v>
      </c>
      <c r="H30" s="70"/>
      <c r="I30" s="69">
        <f>SUM(I25:I28)</f>
        <v>23537224.478963878</v>
      </c>
      <c r="J30" s="69">
        <f>SUM(J25:J28)</f>
        <v>11552460.930802885</v>
      </c>
      <c r="K30" s="71">
        <f>SUM(K25:K28)</f>
        <v>35089685.409766763</v>
      </c>
      <c r="M30" s="51"/>
    </row>
    <row r="31" spans="1:13" ht="15.75" thickBot="1">
      <c r="A31" s="72"/>
      <c r="B31" s="73"/>
      <c r="C31" s="73"/>
      <c r="D31" s="73"/>
      <c r="E31" s="73"/>
      <c r="F31" s="73"/>
      <c r="G31" s="73"/>
      <c r="H31" s="73"/>
      <c r="I31" s="73"/>
      <c r="J31" s="73"/>
      <c r="K31" s="74"/>
    </row>
    <row r="32" spans="1:13" ht="15.75" thickBot="1"/>
    <row r="33" spans="1:11">
      <c r="A33" s="32" t="s">
        <v>74</v>
      </c>
      <c r="B33" s="75"/>
      <c r="C33" s="75"/>
      <c r="D33" s="75"/>
      <c r="E33" s="75"/>
      <c r="F33" s="75"/>
      <c r="G33" s="75"/>
      <c r="H33" s="75"/>
      <c r="I33" s="75"/>
      <c r="J33" s="75"/>
      <c r="K33" s="76"/>
    </row>
    <row r="34" spans="1:11">
      <c r="A34" s="77" t="s">
        <v>86</v>
      </c>
      <c r="B34" s="78"/>
      <c r="C34" s="78"/>
      <c r="D34" s="78"/>
      <c r="E34" s="78"/>
      <c r="F34" s="78"/>
      <c r="G34" s="78"/>
      <c r="H34" s="78"/>
      <c r="I34" s="78"/>
      <c r="J34" s="78"/>
      <c r="K34" s="79"/>
    </row>
    <row r="35" spans="1:11">
      <c r="A35" s="77">
        <v>408150</v>
      </c>
      <c r="B35" s="80">
        <f t="shared" ref="B35:F36" si="8">B23-B10</f>
        <v>392438.26837851945</v>
      </c>
      <c r="C35" s="80">
        <f t="shared" si="8"/>
        <v>162718.40603348985</v>
      </c>
      <c r="D35" s="80">
        <f t="shared" si="8"/>
        <v>1157014.9636171665</v>
      </c>
      <c r="E35" s="80">
        <f t="shared" si="8"/>
        <v>-37515.288071020506</v>
      </c>
      <c r="F35" s="81">
        <f t="shared" si="8"/>
        <v>0</v>
      </c>
      <c r="G35" s="80">
        <f>SUM(B35:F35)</f>
        <v>1674656.3499581553</v>
      </c>
      <c r="H35" s="78"/>
      <c r="I35" s="80">
        <f>I23-I10</f>
        <v>1100752</v>
      </c>
      <c r="J35" s="80">
        <f>J23-J10</f>
        <v>573904</v>
      </c>
      <c r="K35" s="82">
        <f>SUM(I35:J35)</f>
        <v>1674656</v>
      </c>
    </row>
    <row r="36" spans="1:11">
      <c r="A36" s="77">
        <v>408180</v>
      </c>
      <c r="B36" s="52">
        <f t="shared" si="8"/>
        <v>369450.25265760254</v>
      </c>
      <c r="C36" s="52">
        <f t="shared" si="8"/>
        <v>179224.66316362517</v>
      </c>
      <c r="D36" s="52">
        <f t="shared" si="8"/>
        <v>177489.03638283443</v>
      </c>
      <c r="E36" s="52">
        <f t="shared" si="8"/>
        <v>-150.71192897951187</v>
      </c>
      <c r="F36" s="52">
        <f t="shared" si="8"/>
        <v>0</v>
      </c>
      <c r="G36" s="52">
        <f>SUM(B36:F36)</f>
        <v>726013.24027508264</v>
      </c>
      <c r="H36" s="78"/>
      <c r="I36" s="80">
        <f>I24-I11</f>
        <v>477209</v>
      </c>
      <c r="J36" s="80">
        <f>J24-J11</f>
        <v>248804</v>
      </c>
      <c r="K36" s="82">
        <f>SUM(I36:J36)</f>
        <v>726013</v>
      </c>
    </row>
    <row r="37" spans="1:11">
      <c r="A37" s="77" t="s">
        <v>88</v>
      </c>
      <c r="B37" s="80">
        <f t="shared" ref="B37:G37" si="9">SUM(B35:B36)</f>
        <v>761888.52103612199</v>
      </c>
      <c r="C37" s="80">
        <f t="shared" si="9"/>
        <v>341943.06919711502</v>
      </c>
      <c r="D37" s="80">
        <f t="shared" si="9"/>
        <v>1334504.0000000009</v>
      </c>
      <c r="E37" s="80">
        <f t="shared" si="9"/>
        <v>-37666.000000000015</v>
      </c>
      <c r="F37" s="80">
        <f t="shared" si="9"/>
        <v>0</v>
      </c>
      <c r="G37" s="80">
        <f t="shared" si="9"/>
        <v>2400669.5902332379</v>
      </c>
      <c r="H37" s="78"/>
      <c r="I37" s="54">
        <f>SUM(I35:I36)</f>
        <v>1577961</v>
      </c>
      <c r="J37" s="54">
        <f>SUM(J35:J36)</f>
        <v>822708</v>
      </c>
      <c r="K37" s="83">
        <f>SUM(K35:K36)</f>
        <v>2400669</v>
      </c>
    </row>
    <row r="38" spans="1:11">
      <c r="A38" s="77"/>
      <c r="B38" s="80"/>
      <c r="C38" s="80"/>
      <c r="D38" s="80"/>
      <c r="E38" s="80"/>
      <c r="F38" s="80"/>
      <c r="G38" s="80"/>
      <c r="H38" s="78"/>
      <c r="I38" s="78"/>
      <c r="J38" s="78"/>
      <c r="K38" s="79"/>
    </row>
    <row r="39" spans="1:11">
      <c r="A39" s="77" t="s">
        <v>83</v>
      </c>
      <c r="B39" s="80"/>
      <c r="C39" s="80"/>
      <c r="D39" s="80"/>
      <c r="E39" s="80"/>
      <c r="F39" s="80"/>
      <c r="G39" s="80"/>
      <c r="H39" s="78"/>
      <c r="I39" s="78"/>
      <c r="J39" s="78"/>
      <c r="K39" s="79"/>
    </row>
    <row r="40" spans="1:11">
      <c r="A40" s="77">
        <v>408170</v>
      </c>
      <c r="B40" s="52">
        <f>B28-B15</f>
        <v>880112.47896387801</v>
      </c>
      <c r="C40" s="52">
        <f>C28-C15</f>
        <v>402325.93080288451</v>
      </c>
      <c r="D40" s="52">
        <f>D28-D15</f>
        <v>0</v>
      </c>
      <c r="E40" s="52">
        <f>E28-E15</f>
        <v>0</v>
      </c>
      <c r="F40" s="52">
        <f>F28-F15</f>
        <v>0</v>
      </c>
      <c r="G40" s="52">
        <f>SUM(B40:F40)</f>
        <v>1282438.4097667625</v>
      </c>
      <c r="H40" s="78"/>
      <c r="I40" s="53">
        <f>B40</f>
        <v>880112.47896387801</v>
      </c>
      <c r="J40" s="53">
        <f>C40</f>
        <v>402325.93080288451</v>
      </c>
      <c r="K40" s="84">
        <f>SUM(I40:J40)</f>
        <v>1282438.4097667625</v>
      </c>
    </row>
    <row r="41" spans="1:11" ht="15.75" thickBot="1">
      <c r="A41" s="77"/>
      <c r="B41" s="80"/>
      <c r="C41" s="80"/>
      <c r="D41" s="80"/>
      <c r="E41" s="80"/>
      <c r="F41" s="80"/>
      <c r="G41" s="80"/>
      <c r="H41" s="78"/>
      <c r="I41" s="78"/>
      <c r="J41" s="78"/>
      <c r="K41" s="79"/>
    </row>
    <row r="42" spans="1:11" ht="16.5" thickTop="1" thickBot="1">
      <c r="A42" s="77"/>
      <c r="B42" s="55">
        <f t="shared" ref="B42:G42" si="10">SUM(B37:B40)</f>
        <v>1642001</v>
      </c>
      <c r="C42" s="55">
        <f t="shared" si="10"/>
        <v>744268.99999999953</v>
      </c>
      <c r="D42" s="55">
        <f t="shared" si="10"/>
        <v>1334504.0000000009</v>
      </c>
      <c r="E42" s="55">
        <f t="shared" si="10"/>
        <v>-37666.000000000015</v>
      </c>
      <c r="F42" s="55">
        <f t="shared" si="10"/>
        <v>0</v>
      </c>
      <c r="G42" s="55">
        <f t="shared" si="10"/>
        <v>3683108.0000000005</v>
      </c>
      <c r="H42" s="85"/>
      <c r="I42" s="86">
        <f>SUM(I37:I40)</f>
        <v>2458073.478963878</v>
      </c>
      <c r="J42" s="55">
        <f>SUM(J37:J40)</f>
        <v>1225033.9308028845</v>
      </c>
      <c r="K42" s="87">
        <f>SUM(K37:K40)</f>
        <v>3683107.4097667625</v>
      </c>
    </row>
    <row r="43" spans="1:11" ht="15.75" thickBot="1">
      <c r="A43" s="88"/>
      <c r="B43" s="89"/>
      <c r="C43" s="89"/>
      <c r="D43" s="89"/>
      <c r="E43" s="89"/>
      <c r="F43" s="89"/>
      <c r="G43" s="89"/>
      <c r="H43" s="89"/>
      <c r="I43" s="89"/>
      <c r="J43" s="89"/>
      <c r="K43" s="90"/>
    </row>
  </sheetData>
  <mergeCells count="2">
    <mergeCell ref="B5:G5"/>
    <mergeCell ref="I5:K5"/>
  </mergeCells>
  <pageMargins left="0.27" right="0.17" top="0.75" bottom="0.75" header="0.3" footer="0.3"/>
  <pageSetup scale="78" fitToHeight="0" orientation="portrait" r:id="rId1"/>
  <headerFooter>
    <oddHeader>&amp;RExh AIW-2
Dockets UE-170485 / UG-170486
Page &amp;P of &amp;N</oddHeader>
  </headerFooter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L40"/>
  <sheetViews>
    <sheetView topLeftCell="A7" zoomScaleNormal="100" workbookViewId="0">
      <selection activeCell="H5" sqref="H5"/>
    </sheetView>
  </sheetViews>
  <sheetFormatPr defaultColWidth="9.140625" defaultRowHeight="15"/>
  <cols>
    <col min="1" max="1" width="17.140625" style="1" customWidth="1"/>
    <col min="2" max="5" width="13.28515625" style="2" bestFit="1" customWidth="1"/>
    <col min="6" max="6" width="9.5703125" style="2" bestFit="1" customWidth="1"/>
    <col min="7" max="7" width="11.5703125" style="2" bestFit="1" customWidth="1"/>
    <col min="8" max="8" width="3.140625" style="2" customWidth="1"/>
    <col min="9" max="9" width="15.5703125" style="2" customWidth="1"/>
    <col min="10" max="11" width="11.28515625" style="2" bestFit="1" customWidth="1"/>
    <col min="12" max="12" width="11.5703125" style="2" bestFit="1" customWidth="1"/>
    <col min="13" max="16384" width="9.140625" style="2"/>
  </cols>
  <sheetData>
    <row r="1" spans="1:12">
      <c r="A1" t="s">
        <v>431</v>
      </c>
      <c r="I1" s="47" t="s">
        <v>430</v>
      </c>
    </row>
    <row r="2" spans="1:12">
      <c r="A2" s="46" t="s">
        <v>429</v>
      </c>
    </row>
    <row r="3" spans="1:12">
      <c r="A3" s="1" t="s">
        <v>444</v>
      </c>
    </row>
    <row r="4" spans="1:12" ht="15.75" thickBot="1">
      <c r="A4" s="672" t="s">
        <v>428</v>
      </c>
    </row>
    <row r="5" spans="1:12" ht="15.75" thickBot="1">
      <c r="B5" s="1293" t="str">
        <f>'3.06Elec ProForma as orig file '!B5:G5</f>
        <v>Commission Basis Expense - 2016</v>
      </c>
      <c r="C5" s="1294"/>
      <c r="D5" s="1294"/>
      <c r="E5" s="1294"/>
      <c r="F5" s="1294"/>
      <c r="G5" s="1295"/>
      <c r="I5" s="1293" t="s">
        <v>75</v>
      </c>
      <c r="J5" s="1294"/>
      <c r="K5" s="1294"/>
      <c r="L5" s="1295"/>
    </row>
    <row r="6" spans="1:12">
      <c r="B6" s="3"/>
      <c r="C6" s="3"/>
      <c r="D6" s="3"/>
      <c r="E6" s="3"/>
      <c r="F6" s="3"/>
      <c r="G6" s="3"/>
      <c r="I6" s="4"/>
      <c r="J6" s="4"/>
      <c r="K6" s="4"/>
    </row>
    <row r="7" spans="1:12" s="5" customFormat="1">
      <c r="B7" s="5" t="s">
        <v>76</v>
      </c>
      <c r="C7" s="5" t="s">
        <v>77</v>
      </c>
      <c r="D7" s="5" t="s">
        <v>78</v>
      </c>
      <c r="E7" s="5" t="s">
        <v>79</v>
      </c>
      <c r="F7" s="5" t="s">
        <v>80</v>
      </c>
      <c r="G7" s="5" t="s">
        <v>81</v>
      </c>
      <c r="I7" s="5" t="s">
        <v>76</v>
      </c>
      <c r="J7" s="5" t="s">
        <v>77</v>
      </c>
      <c r="K7" s="5" t="s">
        <v>79</v>
      </c>
      <c r="L7" s="5" t="s">
        <v>81</v>
      </c>
    </row>
    <row r="8" spans="1:12" s="5" customFormat="1"/>
    <row r="9" spans="1:12">
      <c r="A9" s="6" t="s">
        <v>85</v>
      </c>
    </row>
    <row r="10" spans="1:12">
      <c r="A10" s="1">
        <v>408190</v>
      </c>
      <c r="B10" s="7">
        <v>330217</v>
      </c>
      <c r="C10" s="7">
        <v>0</v>
      </c>
      <c r="D10" s="7">
        <v>0</v>
      </c>
      <c r="E10" s="7">
        <v>0</v>
      </c>
      <c r="F10" s="7">
        <v>0</v>
      </c>
      <c r="G10" s="8">
        <f>SUM(B10:F10)</f>
        <v>330217</v>
      </c>
      <c r="H10" s="9"/>
      <c r="I10" s="8">
        <f>ROUND($G$10*I19,0)</f>
        <v>210427</v>
      </c>
      <c r="J10" s="8">
        <f>ROUND($G$10*J19,0)</f>
        <v>87924</v>
      </c>
      <c r="K10" s="8">
        <f>ROUND($G$10*K19,0)</f>
        <v>31866</v>
      </c>
      <c r="L10" s="8">
        <f>SUM(I10:K10)</f>
        <v>330217</v>
      </c>
    </row>
    <row r="11" spans="1:12">
      <c r="B11" s="7"/>
      <c r="C11" s="7"/>
      <c r="D11" s="7"/>
      <c r="E11" s="7"/>
      <c r="F11" s="7"/>
    </row>
    <row r="12" spans="1:12">
      <c r="A12" s="6" t="s">
        <v>83</v>
      </c>
      <c r="B12" s="7"/>
      <c r="C12" s="7"/>
      <c r="D12" s="7"/>
      <c r="E12" s="7"/>
      <c r="F12" s="7"/>
    </row>
    <row r="13" spans="1:12">
      <c r="A13" s="1">
        <v>408170</v>
      </c>
      <c r="B13" s="10">
        <v>2495784</v>
      </c>
      <c r="C13" s="10">
        <v>1470048</v>
      </c>
      <c r="D13" s="10">
        <v>0</v>
      </c>
      <c r="E13" s="10">
        <v>2956009</v>
      </c>
      <c r="F13" s="10">
        <v>0</v>
      </c>
      <c r="G13" s="11">
        <f>SUM(B13:F13)</f>
        <v>6921841</v>
      </c>
      <c r="I13" s="11">
        <f>B13</f>
        <v>2495784</v>
      </c>
      <c r="J13" s="11">
        <f>C13</f>
        <v>1470048</v>
      </c>
      <c r="K13" s="11">
        <f>E13</f>
        <v>2956009</v>
      </c>
      <c r="L13" s="11">
        <f>SUM(I13:K13)</f>
        <v>6921841</v>
      </c>
    </row>
    <row r="14" spans="1:12">
      <c r="B14" s="7"/>
      <c r="C14" s="7"/>
      <c r="D14" s="7"/>
      <c r="E14" s="7"/>
      <c r="F14" s="7"/>
    </row>
    <row r="15" spans="1:12" ht="15.75" thickBot="1">
      <c r="A15" s="6" t="s">
        <v>82</v>
      </c>
      <c r="B15" s="12">
        <f>SUM(B10:B13)</f>
        <v>2826001</v>
      </c>
      <c r="C15" s="12">
        <f t="shared" ref="C15:L15" si="0">SUM(C10:C13)</f>
        <v>1470048</v>
      </c>
      <c r="D15" s="12">
        <f t="shared" si="0"/>
        <v>0</v>
      </c>
      <c r="E15" s="12">
        <f t="shared" si="0"/>
        <v>2956009</v>
      </c>
      <c r="F15" s="12">
        <f t="shared" si="0"/>
        <v>0</v>
      </c>
      <c r="G15" s="12">
        <f t="shared" si="0"/>
        <v>7252058</v>
      </c>
      <c r="H15" s="12"/>
      <c r="I15" s="12">
        <f t="shared" si="0"/>
        <v>2706211</v>
      </c>
      <c r="J15" s="12">
        <f t="shared" si="0"/>
        <v>1557972</v>
      </c>
      <c r="K15" s="12">
        <f t="shared" si="0"/>
        <v>2987875</v>
      </c>
      <c r="L15" s="12">
        <f t="shared" si="0"/>
        <v>7252058</v>
      </c>
    </row>
    <row r="17" spans="1:12">
      <c r="H17" s="9"/>
      <c r="I17" s="13" t="s">
        <v>84</v>
      </c>
    </row>
    <row r="18" spans="1:12">
      <c r="I18" s="5" t="s">
        <v>76</v>
      </c>
      <c r="J18" s="5" t="s">
        <v>77</v>
      </c>
      <c r="K18" s="5" t="s">
        <v>79</v>
      </c>
    </row>
    <row r="19" spans="1:12">
      <c r="I19" s="92">
        <f>70.53%*0.9035</f>
        <v>0.63723854999999996</v>
      </c>
      <c r="J19" s="92">
        <f>29.47%*0.9035</f>
        <v>0.26626144999999996</v>
      </c>
      <c r="K19" s="92">
        <f>0.0965</f>
        <v>9.6500000000000002E-2</v>
      </c>
    </row>
    <row r="20" spans="1:12" ht="15.75" thickBot="1">
      <c r="I20" s="4"/>
      <c r="J20" s="4"/>
      <c r="K20" s="4"/>
    </row>
    <row r="21" spans="1:12" ht="30.75" thickBot="1">
      <c r="A21" s="14" t="str">
        <f>'3.06Elec ProForma as orig file '!A20</f>
        <v>2018 Period Expense</v>
      </c>
      <c r="B21" s="100">
        <v>3323000</v>
      </c>
      <c r="C21" s="100">
        <v>1701000</v>
      </c>
      <c r="D21" s="100">
        <v>0</v>
      </c>
      <c r="E21" s="100">
        <v>3586000</v>
      </c>
      <c r="F21" s="15"/>
      <c r="G21" s="15">
        <f>SUM(B21:F21)</f>
        <v>8610000</v>
      </c>
      <c r="H21" s="16"/>
      <c r="I21" s="16"/>
      <c r="J21" s="16"/>
      <c r="K21" s="16"/>
      <c r="L21" s="17"/>
    </row>
    <row r="22" spans="1:12">
      <c r="A22" s="18"/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20"/>
    </row>
    <row r="23" spans="1:12">
      <c r="A23" s="18" t="s">
        <v>85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20"/>
    </row>
    <row r="24" spans="1:12">
      <c r="A24" s="18">
        <v>408190</v>
      </c>
      <c r="B24" s="21">
        <f>B10/B15*B21</f>
        <v>388291.11914680852</v>
      </c>
      <c r="C24" s="21">
        <f t="shared" ref="C24:E24" si="1">C10/C15*C21</f>
        <v>0</v>
      </c>
      <c r="D24" s="21">
        <v>0</v>
      </c>
      <c r="E24" s="21">
        <f t="shared" si="1"/>
        <v>0</v>
      </c>
      <c r="F24" s="21">
        <v>0</v>
      </c>
      <c r="G24" s="21">
        <f>SUM(B24:F24)</f>
        <v>388291.11914680852</v>
      </c>
      <c r="H24" s="19"/>
      <c r="I24" s="22">
        <f>ROUND($G$24*I19,0)</f>
        <v>247434</v>
      </c>
      <c r="J24" s="22">
        <f>ROUND($G$24*J19,0)</f>
        <v>103387</v>
      </c>
      <c r="K24" s="22">
        <f>ROUND($G$24*K19,0)</f>
        <v>37470</v>
      </c>
      <c r="L24" s="23">
        <f>SUM(I24:K24)</f>
        <v>388291</v>
      </c>
    </row>
    <row r="25" spans="1:12">
      <c r="A25" s="18"/>
      <c r="B25" s="21"/>
      <c r="C25" s="21"/>
      <c r="D25" s="21"/>
      <c r="E25" s="21"/>
      <c r="F25" s="21"/>
      <c r="G25" s="21"/>
      <c r="H25" s="19"/>
      <c r="I25" s="19"/>
      <c r="J25" s="19"/>
      <c r="K25" s="19"/>
      <c r="L25" s="20"/>
    </row>
    <row r="26" spans="1:12">
      <c r="A26" s="18" t="s">
        <v>83</v>
      </c>
      <c r="B26" s="21"/>
      <c r="C26" s="21"/>
      <c r="D26" s="21"/>
      <c r="E26" s="21"/>
      <c r="F26" s="21"/>
      <c r="G26" s="21"/>
      <c r="H26" s="19"/>
      <c r="I26" s="19"/>
      <c r="J26" s="19"/>
      <c r="K26" s="19"/>
      <c r="L26" s="20"/>
    </row>
    <row r="27" spans="1:12">
      <c r="A27" s="18">
        <v>408170</v>
      </c>
      <c r="B27" s="24">
        <f>B13/B15*B21</f>
        <v>2934708.8808531915</v>
      </c>
      <c r="C27" s="24">
        <f t="shared" ref="C27:E27" si="2">C13/C15*C21</f>
        <v>1701000</v>
      </c>
      <c r="D27" s="24">
        <v>0</v>
      </c>
      <c r="E27" s="24">
        <f t="shared" si="2"/>
        <v>3586000</v>
      </c>
      <c r="F27" s="24">
        <v>0</v>
      </c>
      <c r="G27" s="24">
        <f>SUM(B27:F27)</f>
        <v>8221708.880853191</v>
      </c>
      <c r="H27" s="19"/>
      <c r="I27" s="25">
        <f>B27</f>
        <v>2934708.8808531915</v>
      </c>
      <c r="J27" s="25">
        <f>C27</f>
        <v>1701000</v>
      </c>
      <c r="K27" s="25">
        <f>E27</f>
        <v>3586000</v>
      </c>
      <c r="L27" s="26">
        <f>SUM(I27:K27)</f>
        <v>8221708.880853191</v>
      </c>
    </row>
    <row r="28" spans="1:12">
      <c r="A28" s="18"/>
      <c r="B28" s="21"/>
      <c r="C28" s="21"/>
      <c r="D28" s="21"/>
      <c r="E28" s="21"/>
      <c r="F28" s="21"/>
      <c r="G28" s="21"/>
      <c r="H28" s="19"/>
      <c r="I28" s="19"/>
      <c r="J28" s="19"/>
      <c r="K28" s="19"/>
      <c r="L28" s="20"/>
    </row>
    <row r="29" spans="1:12" ht="15.75" thickBot="1">
      <c r="A29" s="27"/>
      <c r="B29" s="28">
        <f>SUM(B24:B27)</f>
        <v>3323000</v>
      </c>
      <c r="C29" s="28">
        <f t="shared" ref="C29:L29" si="3">SUM(C24:C27)</f>
        <v>1701000</v>
      </c>
      <c r="D29" s="28">
        <f t="shared" si="3"/>
        <v>0</v>
      </c>
      <c r="E29" s="28">
        <f t="shared" si="3"/>
        <v>3586000</v>
      </c>
      <c r="F29" s="28">
        <f t="shared" si="3"/>
        <v>0</v>
      </c>
      <c r="G29" s="28">
        <f t="shared" si="3"/>
        <v>8610000</v>
      </c>
      <c r="H29" s="28"/>
      <c r="I29" s="28">
        <f t="shared" si="3"/>
        <v>3182142.8808531915</v>
      </c>
      <c r="J29" s="28">
        <f t="shared" si="3"/>
        <v>1804387</v>
      </c>
      <c r="K29" s="28">
        <f t="shared" si="3"/>
        <v>3623470</v>
      </c>
      <c r="L29" s="29">
        <f t="shared" si="3"/>
        <v>8609999.880853191</v>
      </c>
    </row>
    <row r="30" spans="1:12" ht="15.75" thickBot="1">
      <c r="A30" s="27"/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1"/>
    </row>
    <row r="31" spans="1:12" ht="15.75" thickBot="1"/>
    <row r="32" spans="1:12">
      <c r="A32" s="32" t="s">
        <v>74</v>
      </c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4"/>
    </row>
    <row r="33" spans="1:12">
      <c r="A33" s="35" t="s">
        <v>85</v>
      </c>
      <c r="B33" s="36"/>
      <c r="C33" s="36"/>
      <c r="D33" s="36"/>
      <c r="E33" s="36"/>
      <c r="F33" s="36"/>
      <c r="G33" s="36"/>
      <c r="H33" s="36"/>
      <c r="I33" s="36"/>
      <c r="J33" s="36"/>
      <c r="K33" s="36"/>
      <c r="L33" s="37"/>
    </row>
    <row r="34" spans="1:12">
      <c r="A34" s="35">
        <v>408190</v>
      </c>
      <c r="B34" s="38">
        <f>B24-B10</f>
        <v>58074.119146808516</v>
      </c>
      <c r="C34" s="38">
        <f>C24-C10</f>
        <v>0</v>
      </c>
      <c r="D34" s="38">
        <f>D24-D10</f>
        <v>0</v>
      </c>
      <c r="E34" s="38">
        <f>E24-E10</f>
        <v>0</v>
      </c>
      <c r="F34" s="38">
        <f>F24-F10</f>
        <v>0</v>
      </c>
      <c r="G34" s="38">
        <f>SUM(B34:F34)</f>
        <v>58074.119146808516</v>
      </c>
      <c r="H34" s="36"/>
      <c r="I34" s="38">
        <f>I24-I10</f>
        <v>37007</v>
      </c>
      <c r="J34" s="38">
        <f>J24-J10</f>
        <v>15463</v>
      </c>
      <c r="K34" s="38">
        <f>K24-K10</f>
        <v>5604</v>
      </c>
      <c r="L34" s="39">
        <f>SUM(I34:K34)</f>
        <v>58074</v>
      </c>
    </row>
    <row r="35" spans="1:12">
      <c r="A35" s="35"/>
      <c r="B35" s="38"/>
      <c r="C35" s="38"/>
      <c r="D35" s="38"/>
      <c r="E35" s="38"/>
      <c r="F35" s="38"/>
      <c r="G35" s="38"/>
      <c r="H35" s="36"/>
      <c r="I35" s="36"/>
      <c r="J35" s="36"/>
      <c r="K35" s="36"/>
      <c r="L35" s="37"/>
    </row>
    <row r="36" spans="1:12">
      <c r="A36" s="35" t="s">
        <v>83</v>
      </c>
      <c r="B36" s="38"/>
      <c r="C36" s="38"/>
      <c r="D36" s="38"/>
      <c r="E36" s="38"/>
      <c r="F36" s="38"/>
      <c r="G36" s="38"/>
      <c r="H36" s="36"/>
      <c r="I36" s="36"/>
      <c r="J36" s="36"/>
      <c r="K36" s="36"/>
      <c r="L36" s="37"/>
    </row>
    <row r="37" spans="1:12">
      <c r="A37" s="35">
        <v>408170</v>
      </c>
      <c r="B37" s="10">
        <f>B27-B13</f>
        <v>438924.88085319148</v>
      </c>
      <c r="C37" s="10">
        <f>C27-C13</f>
        <v>230952</v>
      </c>
      <c r="D37" s="10">
        <f>D27-D13</f>
        <v>0</v>
      </c>
      <c r="E37" s="10">
        <f>E27-E13</f>
        <v>629991</v>
      </c>
      <c r="F37" s="10">
        <f>F27-F13</f>
        <v>0</v>
      </c>
      <c r="G37" s="10">
        <f>SUM(B37:F37)</f>
        <v>1299867.8808531915</v>
      </c>
      <c r="H37" s="36"/>
      <c r="I37" s="11">
        <f>I27-I13</f>
        <v>438924.88085319148</v>
      </c>
      <c r="J37" s="11">
        <f>J27-J13</f>
        <v>230952</v>
      </c>
      <c r="K37" s="11">
        <f>K27-K13</f>
        <v>629991</v>
      </c>
      <c r="L37" s="40">
        <f>SUM(I37:K37)</f>
        <v>1299867.8808531915</v>
      </c>
    </row>
    <row r="38" spans="1:12" ht="15.75" thickBot="1">
      <c r="A38" s="35"/>
      <c r="B38" s="38"/>
      <c r="C38" s="38"/>
      <c r="D38" s="38"/>
      <c r="E38" s="38"/>
      <c r="F38" s="38"/>
      <c r="G38" s="38"/>
      <c r="H38" s="36"/>
      <c r="I38" s="36"/>
      <c r="J38" s="36"/>
      <c r="K38" s="36"/>
      <c r="L38" s="37"/>
    </row>
    <row r="39" spans="1:12" ht="16.5" thickTop="1" thickBot="1">
      <c r="A39" s="35"/>
      <c r="B39" s="12">
        <f>SUM(B34:B37)</f>
        <v>496999</v>
      </c>
      <c r="C39" s="12">
        <f t="shared" ref="C39:K39" si="4">SUM(C34:C37)</f>
        <v>230952</v>
      </c>
      <c r="D39" s="12">
        <f t="shared" si="4"/>
        <v>0</v>
      </c>
      <c r="E39" s="12">
        <f t="shared" si="4"/>
        <v>629991</v>
      </c>
      <c r="F39" s="12">
        <f t="shared" si="4"/>
        <v>0</v>
      </c>
      <c r="G39" s="12">
        <f t="shared" si="4"/>
        <v>1357942</v>
      </c>
      <c r="H39" s="12"/>
      <c r="I39" s="41">
        <f t="shared" si="4"/>
        <v>475931.88085319148</v>
      </c>
      <c r="J39" s="12">
        <f t="shared" si="4"/>
        <v>246415</v>
      </c>
      <c r="K39" s="12">
        <f t="shared" si="4"/>
        <v>635595</v>
      </c>
      <c r="L39" s="42">
        <f>SUM(L34:L37)</f>
        <v>1357941.8808531915</v>
      </c>
    </row>
    <row r="40" spans="1:12" ht="15.75" thickBot="1">
      <c r="A40" s="43"/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5"/>
    </row>
  </sheetData>
  <mergeCells count="2">
    <mergeCell ref="B5:G5"/>
    <mergeCell ref="I5:L5"/>
  </mergeCells>
  <pageMargins left="0.44" right="0.27" top="0.75" bottom="0.75" header="0.3" footer="0.3"/>
  <pageSetup scale="70" fitToHeight="0" orientation="portrait" r:id="rId1"/>
  <headerFooter>
    <oddHeader>&amp;RExh AIW-2
Dockets UE-170485 / UG-170486
Page &amp;P of &amp;N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E202"/>
  <sheetViews>
    <sheetView workbookViewId="0">
      <selection activeCell="J207" sqref="J207"/>
    </sheetView>
  </sheetViews>
  <sheetFormatPr defaultRowHeight="12.75"/>
  <cols>
    <col min="2" max="2" width="64.42578125" customWidth="1"/>
    <col min="3" max="3" width="5.42578125" customWidth="1"/>
    <col min="4" max="4" width="18.42578125" customWidth="1"/>
    <col min="5" max="5" width="28.28515625" style="248" customWidth="1"/>
    <col min="8" max="8" width="28.7109375" customWidth="1"/>
    <col min="10" max="10" width="18.140625" bestFit="1" customWidth="1"/>
  </cols>
  <sheetData>
    <row r="1" spans="1:5">
      <c r="B1" t="s">
        <v>431</v>
      </c>
    </row>
    <row r="2" spans="1:5">
      <c r="B2" t="s">
        <v>457</v>
      </c>
    </row>
    <row r="3" spans="1:5">
      <c r="B3" t="s">
        <v>458</v>
      </c>
    </row>
    <row r="4" spans="1:5">
      <c r="B4" s="96" t="s">
        <v>297</v>
      </c>
      <c r="D4" s="101" t="s">
        <v>98</v>
      </c>
    </row>
    <row r="5" spans="1:5">
      <c r="B5" s="102" t="s">
        <v>99</v>
      </c>
      <c r="D5" s="103">
        <v>2016</v>
      </c>
    </row>
    <row r="6" spans="1:5">
      <c r="B6" s="102" t="s">
        <v>100</v>
      </c>
      <c r="D6" s="104">
        <v>2017</v>
      </c>
    </row>
    <row r="7" spans="1:5">
      <c r="B7" s="105" t="s">
        <v>101</v>
      </c>
      <c r="D7" s="106">
        <v>2017</v>
      </c>
    </row>
    <row r="8" spans="1:5">
      <c r="A8" t="s">
        <v>460</v>
      </c>
      <c r="B8" s="107" t="s">
        <v>102</v>
      </c>
      <c r="D8" s="108" t="s">
        <v>103</v>
      </c>
    </row>
    <row r="9" spans="1:5">
      <c r="A9" t="s">
        <v>461</v>
      </c>
      <c r="B9" s="109"/>
      <c r="D9" s="110"/>
    </row>
    <row r="10" spans="1:5">
      <c r="A10" s="101">
        <v>1</v>
      </c>
      <c r="B10" s="111"/>
      <c r="D10" s="112" t="s">
        <v>295</v>
      </c>
    </row>
    <row r="11" spans="1:5">
      <c r="A11" s="101">
        <v>2</v>
      </c>
      <c r="B11" s="113" t="s">
        <v>105</v>
      </c>
      <c r="D11" s="104"/>
    </row>
    <row r="12" spans="1:5">
      <c r="A12" s="101">
        <v>3</v>
      </c>
      <c r="B12" s="111"/>
      <c r="D12" s="114"/>
    </row>
    <row r="13" spans="1:5">
      <c r="A13" s="101">
        <v>4</v>
      </c>
      <c r="B13" s="111" t="s">
        <v>106</v>
      </c>
      <c r="D13" s="115">
        <v>2300000</v>
      </c>
      <c r="E13" s="248" t="s">
        <v>107</v>
      </c>
    </row>
    <row r="14" spans="1:5">
      <c r="A14" s="101">
        <v>5</v>
      </c>
      <c r="B14" s="111" t="s">
        <v>108</v>
      </c>
      <c r="D14" s="116"/>
    </row>
    <row r="15" spans="1:5">
      <c r="A15" s="101">
        <v>6</v>
      </c>
      <c r="B15" s="117" t="s">
        <v>109</v>
      </c>
      <c r="D15" s="116"/>
    </row>
    <row r="16" spans="1:5">
      <c r="A16" s="101">
        <v>7</v>
      </c>
      <c r="B16" s="117" t="s">
        <v>110</v>
      </c>
      <c r="D16" s="116"/>
    </row>
    <row r="17" spans="1:5">
      <c r="A17" s="101">
        <v>8</v>
      </c>
      <c r="B17" s="117" t="s">
        <v>111</v>
      </c>
      <c r="D17" s="116"/>
    </row>
    <row r="18" spans="1:5">
      <c r="A18" s="101">
        <v>9</v>
      </c>
      <c r="B18" s="117" t="s">
        <v>112</v>
      </c>
      <c r="D18" s="116"/>
    </row>
    <row r="19" spans="1:5">
      <c r="A19" s="101">
        <v>10</v>
      </c>
      <c r="B19" s="111" t="s">
        <v>113</v>
      </c>
      <c r="D19" s="118"/>
    </row>
    <row r="20" spans="1:5">
      <c r="A20" s="101">
        <v>11</v>
      </c>
      <c r="B20" s="111" t="s">
        <v>114</v>
      </c>
      <c r="D20" s="119">
        <f>1207497787/1239327400</f>
        <v>0.97431702631604855</v>
      </c>
      <c r="E20" s="248" t="s">
        <v>107</v>
      </c>
    </row>
    <row r="21" spans="1:5">
      <c r="A21" s="101">
        <v>12</v>
      </c>
      <c r="B21" s="111" t="s">
        <v>115</v>
      </c>
      <c r="D21" s="120">
        <v>0.53883999999999999</v>
      </c>
      <c r="E21" s="248" t="s">
        <v>107</v>
      </c>
    </row>
    <row r="22" spans="1:5">
      <c r="A22" s="101">
        <v>13</v>
      </c>
      <c r="B22" s="111" t="s">
        <v>116</v>
      </c>
      <c r="D22" s="115">
        <f t="shared" ref="D22" si="0">SUM(D13:D19)*D20*D21</f>
        <v>1207502.268858321</v>
      </c>
    </row>
    <row r="23" spans="1:5">
      <c r="A23" s="101">
        <v>14</v>
      </c>
      <c r="B23" s="111" t="s">
        <v>117</v>
      </c>
      <c r="D23" s="115">
        <v>492</v>
      </c>
      <c r="E23" s="248" t="s">
        <v>107</v>
      </c>
    </row>
    <row r="24" spans="1:5">
      <c r="A24" s="101">
        <v>15</v>
      </c>
      <c r="B24" s="111" t="s">
        <v>118</v>
      </c>
      <c r="D24" s="115">
        <f>D22+D23</f>
        <v>1207994.268858321</v>
      </c>
      <c r="E24" s="248" t="s">
        <v>119</v>
      </c>
    </row>
    <row r="25" spans="1:5">
      <c r="A25" s="101">
        <v>16</v>
      </c>
      <c r="B25" s="111" t="s">
        <v>120</v>
      </c>
      <c r="D25" s="115"/>
    </row>
    <row r="26" spans="1:5">
      <c r="A26" s="101">
        <v>17</v>
      </c>
      <c r="B26" s="111" t="s">
        <v>121</v>
      </c>
      <c r="D26" s="121">
        <v>0.91500980170713975</v>
      </c>
      <c r="E26" s="248" t="s">
        <v>122</v>
      </c>
    </row>
    <row r="27" spans="1:5">
      <c r="A27" s="101">
        <v>18</v>
      </c>
      <c r="B27" s="111" t="s">
        <v>123</v>
      </c>
      <c r="D27" s="122">
        <f t="shared" ref="D27" si="1">SUM(D24*D26)</f>
        <v>1105326.5964114135</v>
      </c>
      <c r="E27" s="248" t="s">
        <v>124</v>
      </c>
    </row>
    <row r="28" spans="1:5">
      <c r="A28" s="101">
        <v>19</v>
      </c>
      <c r="B28" s="111" t="s">
        <v>125</v>
      </c>
      <c r="D28" s="122">
        <v>0</v>
      </c>
    </row>
    <row r="29" spans="1:5">
      <c r="A29" s="101">
        <v>20</v>
      </c>
      <c r="B29" s="111"/>
      <c r="D29" s="123">
        <f t="shared" ref="D29" si="2">SUM(D27:D28)</f>
        <v>1105326.5964114135</v>
      </c>
    </row>
    <row r="30" spans="1:5" ht="15.75">
      <c r="A30" s="101">
        <v>21</v>
      </c>
      <c r="B30" s="111" t="s">
        <v>126</v>
      </c>
      <c r="D30" s="124">
        <v>1.1914919140377688E-2</v>
      </c>
      <c r="E30" s="248" t="s">
        <v>127</v>
      </c>
    </row>
    <row r="31" spans="1:5">
      <c r="A31" s="101">
        <v>22</v>
      </c>
      <c r="B31" s="111"/>
      <c r="D31" s="125"/>
    </row>
    <row r="32" spans="1:5" ht="26.25" thickBot="1">
      <c r="A32" s="101">
        <v>23</v>
      </c>
      <c r="B32" s="111" t="s">
        <v>128</v>
      </c>
      <c r="D32" s="126">
        <f t="shared" ref="D32" si="3">SUM(D29*D30)</f>
        <v>13169.877019950874</v>
      </c>
      <c r="E32" s="248" t="s">
        <v>129</v>
      </c>
    </row>
    <row r="33" spans="1:5" ht="13.5" thickTop="1">
      <c r="A33" s="101">
        <v>24</v>
      </c>
      <c r="B33" s="111"/>
      <c r="D33" s="127"/>
    </row>
    <row r="34" spans="1:5">
      <c r="A34" s="101">
        <v>25</v>
      </c>
      <c r="B34" s="128"/>
      <c r="D34" s="129"/>
    </row>
    <row r="35" spans="1:5">
      <c r="A35" s="101">
        <v>26</v>
      </c>
      <c r="B35" s="130"/>
      <c r="D35" s="131" t="s">
        <v>104</v>
      </c>
    </row>
    <row r="36" spans="1:5">
      <c r="A36" s="101">
        <v>27</v>
      </c>
      <c r="B36" s="132" t="s">
        <v>130</v>
      </c>
      <c r="D36" s="133"/>
    </row>
    <row r="37" spans="1:5">
      <c r="A37" s="101">
        <v>28</v>
      </c>
      <c r="B37" s="130"/>
      <c r="D37" s="133"/>
    </row>
    <row r="38" spans="1:5">
      <c r="A38" s="101">
        <v>29</v>
      </c>
      <c r="B38" s="130" t="s">
        <v>131</v>
      </c>
      <c r="D38" s="115">
        <v>2268109</v>
      </c>
      <c r="E38" s="248" t="s">
        <v>107</v>
      </c>
    </row>
    <row r="39" spans="1:5">
      <c r="A39" s="101">
        <v>30</v>
      </c>
      <c r="B39" s="130" t="s">
        <v>108</v>
      </c>
      <c r="D39" s="134"/>
    </row>
    <row r="40" spans="1:5">
      <c r="A40" s="101">
        <v>31</v>
      </c>
      <c r="B40" s="117" t="s">
        <v>109</v>
      </c>
      <c r="D40" s="116">
        <f>SUM(D15)</f>
        <v>0</v>
      </c>
    </row>
    <row r="41" spans="1:5">
      <c r="A41" s="101">
        <v>32</v>
      </c>
      <c r="B41" s="117" t="s">
        <v>110</v>
      </c>
      <c r="D41" s="135">
        <f>SUM(D16)</f>
        <v>0</v>
      </c>
    </row>
    <row r="42" spans="1:5">
      <c r="A42" s="101">
        <v>33</v>
      </c>
      <c r="B42" s="117" t="s">
        <v>111</v>
      </c>
      <c r="D42" s="135">
        <f>SUM(D17)</f>
        <v>0</v>
      </c>
    </row>
    <row r="43" spans="1:5">
      <c r="A43" s="101">
        <v>34</v>
      </c>
      <c r="B43" s="117" t="s">
        <v>112</v>
      </c>
      <c r="D43" s="135">
        <f>SUM(D18)</f>
        <v>0</v>
      </c>
    </row>
    <row r="44" spans="1:5">
      <c r="A44" s="101">
        <v>35</v>
      </c>
      <c r="B44" s="111" t="s">
        <v>132</v>
      </c>
      <c r="D44" s="135">
        <f>SUM(D19)</f>
        <v>0</v>
      </c>
    </row>
    <row r="45" spans="1:5">
      <c r="A45" s="101">
        <v>36</v>
      </c>
      <c r="B45" s="130" t="s">
        <v>133</v>
      </c>
      <c r="D45" s="136"/>
    </row>
    <row r="46" spans="1:5">
      <c r="A46" s="101">
        <v>37</v>
      </c>
      <c r="B46" s="130" t="s">
        <v>134</v>
      </c>
      <c r="D46" s="119">
        <v>1</v>
      </c>
      <c r="E46" s="248" t="s">
        <v>107</v>
      </c>
    </row>
    <row r="47" spans="1:5">
      <c r="A47" s="101">
        <v>38</v>
      </c>
      <c r="B47" s="130" t="s">
        <v>135</v>
      </c>
      <c r="D47" s="137">
        <v>0.24651799999999999</v>
      </c>
      <c r="E47" s="248" t="s">
        <v>107</v>
      </c>
    </row>
    <row r="48" spans="1:5">
      <c r="A48" s="101">
        <v>39</v>
      </c>
      <c r="B48" s="130" t="s">
        <v>116</v>
      </c>
      <c r="D48" s="138">
        <f t="shared" ref="D48" si="4">SUM(D38:D45)*D46*D47</f>
        <v>559129.69446199993</v>
      </c>
    </row>
    <row r="49" spans="1:5">
      <c r="A49" s="101">
        <v>40</v>
      </c>
      <c r="B49" s="130" t="s">
        <v>117</v>
      </c>
      <c r="D49" s="139">
        <f>-9592-366</f>
        <v>-9958</v>
      </c>
      <c r="E49" s="248" t="s">
        <v>107</v>
      </c>
    </row>
    <row r="50" spans="1:5">
      <c r="A50" s="101">
        <v>41</v>
      </c>
      <c r="B50" s="130" t="s">
        <v>118</v>
      </c>
      <c r="D50" s="115">
        <f t="shared" ref="D50" si="5">SUM(D48:D49)</f>
        <v>549171.69446199993</v>
      </c>
    </row>
    <row r="51" spans="1:5">
      <c r="A51" s="101">
        <v>42</v>
      </c>
      <c r="B51" s="130" t="s">
        <v>136</v>
      </c>
      <c r="D51" s="140">
        <v>1</v>
      </c>
    </row>
    <row r="52" spans="1:5">
      <c r="A52" s="101">
        <v>43</v>
      </c>
      <c r="B52" s="130" t="s">
        <v>137</v>
      </c>
      <c r="D52" s="115">
        <f t="shared" ref="D52" si="6">SUM(D50*D51)</f>
        <v>549171.69446199993</v>
      </c>
      <c r="E52" s="248" t="s">
        <v>119</v>
      </c>
    </row>
    <row r="53" spans="1:5">
      <c r="A53" s="101">
        <v>44</v>
      </c>
      <c r="B53" s="130" t="s">
        <v>138</v>
      </c>
      <c r="D53" s="141">
        <v>1.1243431409187718E-2</v>
      </c>
      <c r="E53" s="248" t="s">
        <v>127</v>
      </c>
    </row>
    <row r="54" spans="1:5">
      <c r="A54" s="101">
        <v>45</v>
      </c>
      <c r="B54" s="130"/>
      <c r="D54" s="125"/>
    </row>
    <row r="55" spans="1:5" ht="13.5" thickBot="1">
      <c r="A55" s="101">
        <v>46</v>
      </c>
      <c r="B55" s="142" t="s">
        <v>128</v>
      </c>
      <c r="D55" s="126">
        <f t="shared" ref="D55" si="7">SUM(D52*D53)</f>
        <v>6174.574278550891</v>
      </c>
      <c r="E55" s="248" t="s">
        <v>139</v>
      </c>
    </row>
    <row r="56" spans="1:5" ht="13.5" thickTop="1">
      <c r="A56" s="101">
        <v>47</v>
      </c>
      <c r="B56" s="143"/>
      <c r="D56" s="144"/>
    </row>
    <row r="57" spans="1:5">
      <c r="A57" s="101">
        <v>48</v>
      </c>
      <c r="B57" s="145"/>
      <c r="D57" s="129"/>
    </row>
    <row r="58" spans="1:5">
      <c r="A58" s="101">
        <v>49</v>
      </c>
      <c r="B58" s="111"/>
      <c r="D58" s="131" t="s">
        <v>104</v>
      </c>
    </row>
    <row r="59" spans="1:5">
      <c r="A59" s="101">
        <v>50</v>
      </c>
      <c r="B59" s="113" t="s">
        <v>140</v>
      </c>
      <c r="D59" s="146" t="s">
        <v>141</v>
      </c>
    </row>
    <row r="60" spans="1:5">
      <c r="A60" s="101">
        <v>51</v>
      </c>
      <c r="B60" s="147" t="s">
        <v>142</v>
      </c>
      <c r="D60" s="148">
        <v>3761000</v>
      </c>
      <c r="E60" s="248" t="s">
        <v>107</v>
      </c>
    </row>
    <row r="61" spans="1:5">
      <c r="A61" s="101">
        <v>52</v>
      </c>
      <c r="B61" s="111" t="s">
        <v>143</v>
      </c>
      <c r="D61" s="115">
        <v>3385000</v>
      </c>
      <c r="E61" s="248" t="s">
        <v>107</v>
      </c>
    </row>
    <row r="62" spans="1:5">
      <c r="A62" s="101">
        <v>53</v>
      </c>
      <c r="B62" s="111" t="s">
        <v>144</v>
      </c>
      <c r="D62" s="115"/>
    </row>
    <row r="63" spans="1:5">
      <c r="A63" s="101">
        <v>54</v>
      </c>
      <c r="B63" s="117" t="s">
        <v>111</v>
      </c>
      <c r="D63" s="115"/>
    </row>
    <row r="64" spans="1:5">
      <c r="A64" s="101">
        <v>55</v>
      </c>
      <c r="B64" s="111" t="s">
        <v>132</v>
      </c>
      <c r="D64" s="115">
        <f t="shared" ref="D64" si="8">SUM(D19+D125)</f>
        <v>0</v>
      </c>
    </row>
    <row r="65" spans="1:5">
      <c r="A65" s="101">
        <v>56</v>
      </c>
      <c r="B65" s="111" t="s">
        <v>145</v>
      </c>
      <c r="D65" s="115"/>
    </row>
    <row r="66" spans="1:5">
      <c r="A66" s="101">
        <v>57</v>
      </c>
      <c r="B66" s="111"/>
      <c r="D66" s="115">
        <f>SUM(D61:D65)</f>
        <v>3385000</v>
      </c>
      <c r="E66" s="248" t="s">
        <v>107</v>
      </c>
    </row>
    <row r="67" spans="1:5">
      <c r="A67" s="101">
        <v>58</v>
      </c>
      <c r="B67" s="111" t="s">
        <v>134</v>
      </c>
      <c r="D67" s="119">
        <v>1</v>
      </c>
      <c r="E67" s="248" t="s">
        <v>107</v>
      </c>
    </row>
    <row r="68" spans="1:5">
      <c r="A68" s="101">
        <v>59</v>
      </c>
      <c r="B68" s="111" t="s">
        <v>135</v>
      </c>
      <c r="D68" s="120">
        <f>442919876/3385000000</f>
        <v>0.13084782156573116</v>
      </c>
      <c r="E68" s="248" t="s">
        <v>107</v>
      </c>
    </row>
    <row r="69" spans="1:5">
      <c r="A69" s="101">
        <v>60</v>
      </c>
      <c r="B69" s="111" t="s">
        <v>116</v>
      </c>
      <c r="D69" s="115">
        <f t="shared" ref="D69" si="9">SUM(D66*D68)</f>
        <v>442919.87599999999</v>
      </c>
    </row>
    <row r="70" spans="1:5">
      <c r="A70" s="101">
        <v>61</v>
      </c>
      <c r="B70" s="111" t="s">
        <v>146</v>
      </c>
      <c r="D70" s="115">
        <v>-560</v>
      </c>
      <c r="E70" s="248" t="s">
        <v>107</v>
      </c>
    </row>
    <row r="71" spans="1:5">
      <c r="A71" s="101">
        <v>62</v>
      </c>
      <c r="B71" s="111" t="s">
        <v>147</v>
      </c>
      <c r="D71" s="149">
        <v>1</v>
      </c>
      <c r="E71" s="248" t="s">
        <v>107</v>
      </c>
    </row>
    <row r="72" spans="1:5">
      <c r="A72" s="101">
        <v>63</v>
      </c>
      <c r="B72" s="150" t="s">
        <v>148</v>
      </c>
      <c r="D72" s="115">
        <f t="shared" ref="D72" si="10">SUM(D69:D70)*D71</f>
        <v>442359.87599999999</v>
      </c>
    </row>
    <row r="73" spans="1:5">
      <c r="A73" s="101">
        <v>64</v>
      </c>
      <c r="B73" s="111" t="s">
        <v>149</v>
      </c>
      <c r="D73" s="151">
        <f>28838588/442360264</f>
        <v>6.5192537275454737E-2</v>
      </c>
      <c r="E73" s="248" t="s">
        <v>150</v>
      </c>
    </row>
    <row r="74" spans="1:5">
      <c r="A74" s="101">
        <v>65</v>
      </c>
      <c r="B74" s="111" t="s">
        <v>151</v>
      </c>
      <c r="D74" s="138">
        <f t="shared" ref="D74" si="11">SUM(D72*D73)</f>
        <v>28838.562705295535</v>
      </c>
    </row>
    <row r="75" spans="1:5">
      <c r="A75" s="101">
        <v>66</v>
      </c>
      <c r="B75" s="111" t="s">
        <v>152</v>
      </c>
      <c r="D75" s="115">
        <v>0</v>
      </c>
    </row>
    <row r="76" spans="1:5">
      <c r="A76" s="101">
        <v>67</v>
      </c>
      <c r="B76" s="111" t="s">
        <v>153</v>
      </c>
      <c r="D76" s="152">
        <f t="shared" ref="D76" si="12">SUM(D74:D75)</f>
        <v>28838.562705295535</v>
      </c>
      <c r="E76" s="248" t="s">
        <v>119</v>
      </c>
    </row>
    <row r="77" spans="1:5">
      <c r="A77" s="101">
        <v>68</v>
      </c>
      <c r="B77" s="111" t="s">
        <v>138</v>
      </c>
      <c r="D77" s="141">
        <v>0.34825438173428203</v>
      </c>
      <c r="E77" s="248" t="s">
        <v>127</v>
      </c>
    </row>
    <row r="78" spans="1:5">
      <c r="A78" s="101">
        <v>69</v>
      </c>
      <c r="B78" s="111"/>
      <c r="D78" s="125"/>
    </row>
    <row r="79" spans="1:5" ht="13.5" thickBot="1">
      <c r="A79" s="101">
        <v>70</v>
      </c>
      <c r="B79" s="109" t="s">
        <v>128</v>
      </c>
      <c r="D79" s="126">
        <f t="shared" ref="D79" si="13">SUM(D76*D77)</f>
        <v>10043.15582503802</v>
      </c>
      <c r="E79" s="248" t="s">
        <v>154</v>
      </c>
    </row>
    <row r="80" spans="1:5" ht="13.5" thickTop="1">
      <c r="A80" s="101">
        <v>71</v>
      </c>
      <c r="B80" s="153"/>
      <c r="D80" s="154"/>
    </row>
    <row r="81" spans="1:5">
      <c r="A81" s="101">
        <v>72</v>
      </c>
      <c r="B81" s="145"/>
      <c r="D81" s="155"/>
    </row>
    <row r="82" spans="1:5">
      <c r="A82" s="101">
        <v>73</v>
      </c>
      <c r="B82" s="113" t="s">
        <v>155</v>
      </c>
      <c r="D82" s="112" t="s">
        <v>156</v>
      </c>
    </row>
    <row r="83" spans="1:5">
      <c r="A83" s="101">
        <v>74</v>
      </c>
      <c r="B83" s="147"/>
      <c r="D83" s="156"/>
    </row>
    <row r="84" spans="1:5">
      <c r="A84" s="101">
        <v>75</v>
      </c>
      <c r="B84" s="111" t="s">
        <v>131</v>
      </c>
      <c r="D84" s="671" t="s">
        <v>157</v>
      </c>
    </row>
    <row r="85" spans="1:5">
      <c r="A85" s="101">
        <v>76</v>
      </c>
      <c r="B85" s="111" t="s">
        <v>108</v>
      </c>
      <c r="D85" s="122">
        <v>1137.998</v>
      </c>
      <c r="E85" s="248" t="s">
        <v>158</v>
      </c>
    </row>
    <row r="86" spans="1:5">
      <c r="A86" s="101">
        <v>77</v>
      </c>
      <c r="B86" s="111" t="s">
        <v>159</v>
      </c>
      <c r="D86" s="122">
        <v>0</v>
      </c>
    </row>
    <row r="87" spans="1:5">
      <c r="A87" s="101">
        <v>78</v>
      </c>
      <c r="B87" s="111" t="s">
        <v>132</v>
      </c>
      <c r="D87" s="122">
        <f t="shared" ref="D87" si="14">SUM(D78)</f>
        <v>0</v>
      </c>
    </row>
    <row r="88" spans="1:5">
      <c r="A88" s="101">
        <v>79</v>
      </c>
      <c r="B88" s="111" t="s">
        <v>134</v>
      </c>
      <c r="D88" s="157">
        <v>1</v>
      </c>
    </row>
    <row r="89" spans="1:5">
      <c r="A89" s="101">
        <v>80</v>
      </c>
      <c r="B89" s="111" t="s">
        <v>135</v>
      </c>
      <c r="D89" s="158">
        <v>1</v>
      </c>
    </row>
    <row r="90" spans="1:5">
      <c r="A90" s="101">
        <v>81</v>
      </c>
      <c r="B90" s="111" t="s">
        <v>116</v>
      </c>
      <c r="D90" s="122">
        <f t="shared" ref="D90" si="15">SUM((D85+D86+D87)*D88*D89)</f>
        <v>1137.998</v>
      </c>
    </row>
    <row r="91" spans="1:5">
      <c r="A91" s="101">
        <v>82</v>
      </c>
      <c r="B91" s="111" t="s">
        <v>146</v>
      </c>
      <c r="D91" s="122"/>
    </row>
    <row r="92" spans="1:5">
      <c r="A92" s="101">
        <v>83</v>
      </c>
      <c r="B92" s="111" t="s">
        <v>147</v>
      </c>
      <c r="D92" s="159">
        <v>1</v>
      </c>
    </row>
    <row r="93" spans="1:5">
      <c r="A93" s="101">
        <v>84</v>
      </c>
      <c r="B93" s="150" t="s">
        <v>148</v>
      </c>
      <c r="D93" s="122">
        <f t="shared" ref="D93" si="16">SUM(D90:D91)*D92</f>
        <v>1137.998</v>
      </c>
    </row>
    <row r="94" spans="1:5">
      <c r="A94" s="101">
        <v>85</v>
      </c>
      <c r="B94" s="111" t="s">
        <v>136</v>
      </c>
      <c r="D94" s="160">
        <v>1</v>
      </c>
    </row>
    <row r="95" spans="1:5">
      <c r="A95" s="101">
        <v>86</v>
      </c>
      <c r="B95" s="111" t="s">
        <v>151</v>
      </c>
      <c r="D95" s="122">
        <f t="shared" ref="D95" si="17">SUM(D93*D94)</f>
        <v>1137.998</v>
      </c>
    </row>
    <row r="96" spans="1:5">
      <c r="A96" s="101">
        <v>87</v>
      </c>
      <c r="B96" s="111" t="s">
        <v>160</v>
      </c>
      <c r="D96" s="122">
        <v>0</v>
      </c>
    </row>
    <row r="97" spans="1:5">
      <c r="A97" s="101">
        <v>88</v>
      </c>
      <c r="B97" s="111" t="s">
        <v>153</v>
      </c>
      <c r="D97" s="123">
        <f t="shared" ref="D97" si="18">SUM(D95:D96)</f>
        <v>1137.998</v>
      </c>
    </row>
    <row r="98" spans="1:5">
      <c r="A98" s="101">
        <v>89</v>
      </c>
      <c r="B98" s="111" t="s">
        <v>138</v>
      </c>
      <c r="D98" s="141">
        <v>9.2365364438250323E-3</v>
      </c>
      <c r="E98" s="248" t="s">
        <v>161</v>
      </c>
    </row>
    <row r="99" spans="1:5">
      <c r="A99" s="101">
        <v>90</v>
      </c>
      <c r="B99" s="111"/>
      <c r="D99" s="125"/>
    </row>
    <row r="100" spans="1:5" ht="38.25">
      <c r="A100" s="101">
        <v>91</v>
      </c>
      <c r="B100" s="109" t="s">
        <v>128</v>
      </c>
      <c r="D100" s="161">
        <f t="shared" ref="D100" si="19">SUM(D97*D98)</f>
        <v>10.51116</v>
      </c>
      <c r="E100" s="248" t="s">
        <v>162</v>
      </c>
    </row>
    <row r="101" spans="1:5">
      <c r="A101" s="101">
        <v>92</v>
      </c>
      <c r="B101" s="153"/>
      <c r="D101" s="154"/>
    </row>
    <row r="102" spans="1:5">
      <c r="A102" s="101">
        <v>93</v>
      </c>
      <c r="B102" s="162" t="s">
        <v>155</v>
      </c>
      <c r="D102" s="163" t="s">
        <v>156</v>
      </c>
    </row>
    <row r="103" spans="1:5">
      <c r="A103" s="101">
        <v>94</v>
      </c>
      <c r="B103" s="164"/>
      <c r="D103" s="317" t="s">
        <v>163</v>
      </c>
    </row>
    <row r="104" spans="1:5">
      <c r="A104" s="101">
        <v>95</v>
      </c>
      <c r="B104" s="164"/>
      <c r="D104" s="146"/>
    </row>
    <row r="105" spans="1:5">
      <c r="A105" s="101">
        <v>96</v>
      </c>
      <c r="B105" s="164"/>
      <c r="D105" s="165"/>
    </row>
    <row r="106" spans="1:5">
      <c r="A106" s="101">
        <v>97</v>
      </c>
      <c r="B106" s="130" t="s">
        <v>137</v>
      </c>
      <c r="D106" s="166">
        <v>173400</v>
      </c>
      <c r="E106" s="248" t="s">
        <v>107</v>
      </c>
    </row>
    <row r="107" spans="1:5">
      <c r="A107" s="101">
        <v>98</v>
      </c>
      <c r="B107" s="130" t="s">
        <v>109</v>
      </c>
      <c r="D107" s="115"/>
    </row>
    <row r="108" spans="1:5">
      <c r="A108" s="101">
        <v>99</v>
      </c>
      <c r="B108" s="130" t="s">
        <v>164</v>
      </c>
      <c r="D108" s="115">
        <v>0</v>
      </c>
    </row>
    <row r="109" spans="1:5">
      <c r="A109" s="101">
        <v>100</v>
      </c>
      <c r="B109" s="130" t="s">
        <v>165</v>
      </c>
      <c r="D109" s="167">
        <v>0</v>
      </c>
    </row>
    <row r="110" spans="1:5">
      <c r="A110" s="101">
        <v>101</v>
      </c>
      <c r="B110" s="130" t="s">
        <v>135</v>
      </c>
      <c r="D110" s="168" t="s">
        <v>166</v>
      </c>
    </row>
    <row r="111" spans="1:5">
      <c r="A111" s="101">
        <v>102</v>
      </c>
      <c r="B111" s="130" t="s">
        <v>167</v>
      </c>
      <c r="D111" s="169">
        <v>0</v>
      </c>
    </row>
    <row r="112" spans="1:5">
      <c r="A112" s="101">
        <v>103</v>
      </c>
      <c r="B112" s="142" t="s">
        <v>168</v>
      </c>
      <c r="D112" s="170"/>
    </row>
    <row r="113" spans="1:5">
      <c r="A113" s="101">
        <v>104</v>
      </c>
      <c r="B113" s="130" t="s">
        <v>169</v>
      </c>
      <c r="D113" s="141">
        <v>1.6474286004375682E-2</v>
      </c>
      <c r="E113" s="248" t="s">
        <v>161</v>
      </c>
    </row>
    <row r="114" spans="1:5">
      <c r="A114" s="101">
        <v>105</v>
      </c>
      <c r="B114" s="130" t="s">
        <v>170</v>
      </c>
      <c r="D114" s="171">
        <v>1</v>
      </c>
    </row>
    <row r="115" spans="1:5">
      <c r="A115" s="101">
        <v>106</v>
      </c>
      <c r="B115" s="130" t="s">
        <v>171</v>
      </c>
      <c r="D115" s="172"/>
    </row>
    <row r="116" spans="1:5" ht="38.25">
      <c r="A116" s="101">
        <v>107</v>
      </c>
      <c r="B116" s="142"/>
      <c r="D116" s="173">
        <f t="shared" ref="D116" si="20">SUM(D106:D110)*D113*D114</f>
        <v>2856.6411931587431</v>
      </c>
      <c r="E116" s="248" t="s">
        <v>172</v>
      </c>
    </row>
    <row r="117" spans="1:5">
      <c r="A117" s="101">
        <v>108</v>
      </c>
      <c r="B117" s="143"/>
      <c r="D117" s="154"/>
    </row>
    <row r="118" spans="1:5">
      <c r="A118" s="101">
        <v>109</v>
      </c>
      <c r="B118" s="153"/>
      <c r="D118" s="144"/>
    </row>
    <row r="119" spans="1:5" hidden="1">
      <c r="A119" s="101">
        <v>110</v>
      </c>
      <c r="B119" s="128"/>
      <c r="D119" s="129"/>
    </row>
    <row r="120" spans="1:5" hidden="1">
      <c r="A120" s="101">
        <v>111</v>
      </c>
      <c r="B120" s="132" t="s">
        <v>173</v>
      </c>
      <c r="D120" s="131" t="s">
        <v>104</v>
      </c>
    </row>
    <row r="121" spans="1:5" hidden="1">
      <c r="A121" s="101">
        <v>112</v>
      </c>
      <c r="B121" s="130"/>
      <c r="D121" s="133"/>
    </row>
    <row r="122" spans="1:5" hidden="1">
      <c r="A122" s="101">
        <v>113</v>
      </c>
      <c r="B122" s="130" t="s">
        <v>131</v>
      </c>
      <c r="D122" s="174"/>
    </row>
    <row r="123" spans="1:5" hidden="1">
      <c r="A123" s="101">
        <v>114</v>
      </c>
      <c r="B123" s="130" t="s">
        <v>108</v>
      </c>
      <c r="D123" s="115">
        <v>550000</v>
      </c>
      <c r="E123" s="248" t="s">
        <v>107</v>
      </c>
    </row>
    <row r="124" spans="1:5" hidden="1">
      <c r="A124" s="101">
        <v>115</v>
      </c>
      <c r="B124" s="130" t="s">
        <v>109</v>
      </c>
      <c r="D124" s="115"/>
    </row>
    <row r="125" spans="1:5" hidden="1">
      <c r="A125" s="101">
        <v>116</v>
      </c>
      <c r="B125" s="130" t="s">
        <v>174</v>
      </c>
      <c r="D125" s="115"/>
    </row>
    <row r="126" spans="1:5" hidden="1">
      <c r="A126" s="101">
        <v>117</v>
      </c>
      <c r="B126" s="111" t="s">
        <v>114</v>
      </c>
      <c r="D126" s="119">
        <f>246152315/261192469</f>
        <v>0.94241735201025267</v>
      </c>
      <c r="E126" s="248" t="s">
        <v>107</v>
      </c>
    </row>
    <row r="127" spans="1:5" hidden="1">
      <c r="A127" s="101">
        <v>118</v>
      </c>
      <c r="B127" s="111" t="s">
        <v>115</v>
      </c>
      <c r="D127" s="120">
        <v>0.47489500000000001</v>
      </c>
      <c r="E127" s="248" t="s">
        <v>107</v>
      </c>
    </row>
    <row r="128" spans="1:5" hidden="1">
      <c r="A128" s="101">
        <v>119</v>
      </c>
      <c r="B128" s="130" t="s">
        <v>116</v>
      </c>
      <c r="D128" s="115">
        <f t="shared" ref="D128" si="21">SUM(D123+D124+D125)*D126*D127</f>
        <v>246152.10861059991</v>
      </c>
    </row>
    <row r="129" spans="1:5" hidden="1">
      <c r="A129" s="101">
        <v>120</v>
      </c>
      <c r="B129" s="130" t="s">
        <v>146</v>
      </c>
      <c r="D129" s="115"/>
    </row>
    <row r="130" spans="1:5" hidden="1">
      <c r="A130" s="101">
        <v>121</v>
      </c>
      <c r="B130" s="130" t="s">
        <v>118</v>
      </c>
      <c r="D130" s="115">
        <f t="shared" ref="D130" si="22">SUM(D128)</f>
        <v>246152.10861059991</v>
      </c>
      <c r="E130" s="248" t="s">
        <v>107</v>
      </c>
    </row>
    <row r="131" spans="1:5" hidden="1">
      <c r="A131" s="101">
        <v>122</v>
      </c>
      <c r="B131" s="111" t="s">
        <v>120</v>
      </c>
      <c r="D131" s="115"/>
    </row>
    <row r="132" spans="1:5" hidden="1">
      <c r="A132" s="101">
        <v>123</v>
      </c>
      <c r="B132" s="111" t="s">
        <v>121</v>
      </c>
      <c r="D132" s="175">
        <v>0.92888185069286</v>
      </c>
      <c r="E132" s="248" t="s">
        <v>175</v>
      </c>
    </row>
    <row r="133" spans="1:5" hidden="1">
      <c r="A133" s="101">
        <v>124</v>
      </c>
      <c r="B133" s="111" t="s">
        <v>123</v>
      </c>
      <c r="D133" s="176">
        <f t="shared" ref="D133" si="23">SUM(D130*D132)</f>
        <v>228646.22619816393</v>
      </c>
    </row>
    <row r="134" spans="1:5" hidden="1">
      <c r="A134" s="101">
        <v>125</v>
      </c>
      <c r="B134" s="111" t="s">
        <v>126</v>
      </c>
      <c r="D134" s="141">
        <v>1.2750910147827052E-2</v>
      </c>
      <c r="E134" s="248" t="s">
        <v>127</v>
      </c>
    </row>
    <row r="135" spans="1:5" hidden="1">
      <c r="A135" s="101">
        <v>126</v>
      </c>
      <c r="B135" s="111"/>
      <c r="D135" s="125"/>
    </row>
    <row r="136" spans="1:5" ht="26.25" hidden="1" thickBot="1">
      <c r="A136" s="101">
        <v>127</v>
      </c>
      <c r="D136" s="126">
        <f t="shared" ref="D136" si="24">SUM(D133*D134)</f>
        <v>2915.4474858925278</v>
      </c>
      <c r="E136" s="248" t="s">
        <v>129</v>
      </c>
    </row>
    <row r="137" spans="1:5" hidden="1">
      <c r="A137" s="101">
        <v>128</v>
      </c>
      <c r="B137" s="128"/>
      <c r="D137" s="177"/>
    </row>
    <row r="138" spans="1:5" hidden="1">
      <c r="A138" s="101">
        <v>129</v>
      </c>
      <c r="B138" s="132" t="s">
        <v>176</v>
      </c>
      <c r="D138" s="131" t="s">
        <v>104</v>
      </c>
    </row>
    <row r="139" spans="1:5" hidden="1">
      <c r="A139" s="101">
        <v>130</v>
      </c>
      <c r="B139" s="178"/>
      <c r="D139" s="133"/>
    </row>
    <row r="140" spans="1:5" hidden="1">
      <c r="A140" s="101">
        <v>131</v>
      </c>
      <c r="B140" s="130" t="s">
        <v>131</v>
      </c>
      <c r="D140" s="133"/>
    </row>
    <row r="141" spans="1:5" hidden="1">
      <c r="A141" s="101">
        <v>132</v>
      </c>
      <c r="B141" s="130" t="s">
        <v>108</v>
      </c>
      <c r="D141" s="115">
        <v>631442.69799999997</v>
      </c>
      <c r="E141" s="248" t="s">
        <v>107</v>
      </c>
    </row>
    <row r="142" spans="1:5" hidden="1">
      <c r="A142" s="101">
        <v>133</v>
      </c>
      <c r="B142" s="130" t="s">
        <v>109</v>
      </c>
      <c r="D142" s="115">
        <f>SUM(D124)</f>
        <v>0</v>
      </c>
    </row>
    <row r="143" spans="1:5" hidden="1">
      <c r="A143" s="101">
        <v>134</v>
      </c>
      <c r="B143" s="130" t="s">
        <v>132</v>
      </c>
      <c r="D143" s="115">
        <f>SUM(D125)</f>
        <v>0</v>
      </c>
    </row>
    <row r="144" spans="1:5" hidden="1">
      <c r="A144" s="101">
        <v>135</v>
      </c>
      <c r="B144" s="130" t="s">
        <v>134</v>
      </c>
      <c r="D144" s="119">
        <v>1</v>
      </c>
      <c r="E144" s="248" t="s">
        <v>107</v>
      </c>
    </row>
    <row r="145" spans="1:5" hidden="1">
      <c r="A145" s="101">
        <v>136</v>
      </c>
      <c r="B145" s="130" t="s">
        <v>135</v>
      </c>
      <c r="D145" s="120">
        <v>0.18379474000000001</v>
      </c>
      <c r="E145" s="248" t="s">
        <v>107</v>
      </c>
    </row>
    <row r="146" spans="1:5" hidden="1">
      <c r="A146" s="101">
        <v>137</v>
      </c>
      <c r="B146" s="130" t="s">
        <v>116</v>
      </c>
      <c r="D146" s="152">
        <f t="shared" ref="D146" si="25">SUM((D141+D142+D143)*D144*D145)</f>
        <v>116055.84650380853</v>
      </c>
    </row>
    <row r="147" spans="1:5" hidden="1">
      <c r="A147" s="101">
        <v>138</v>
      </c>
      <c r="B147" s="130" t="s">
        <v>146</v>
      </c>
      <c r="D147" s="179">
        <v>-100</v>
      </c>
      <c r="E147" s="248" t="s">
        <v>107</v>
      </c>
    </row>
    <row r="148" spans="1:5" hidden="1">
      <c r="A148" s="101">
        <v>139</v>
      </c>
      <c r="B148" s="130" t="s">
        <v>118</v>
      </c>
      <c r="D148" s="115">
        <f>D146+D147</f>
        <v>115955.84650380853</v>
      </c>
    </row>
    <row r="149" spans="1:5" hidden="1">
      <c r="A149" s="101">
        <v>140</v>
      </c>
      <c r="B149" s="130" t="s">
        <v>136</v>
      </c>
      <c r="D149" s="140">
        <v>1</v>
      </c>
    </row>
    <row r="150" spans="1:5" hidden="1">
      <c r="A150" s="101">
        <v>141</v>
      </c>
      <c r="B150" s="130" t="s">
        <v>137</v>
      </c>
      <c r="D150" s="115">
        <f t="shared" ref="D150" si="26">SUM(D148*D149)</f>
        <v>115955.84650380853</v>
      </c>
      <c r="E150" s="248" t="s">
        <v>119</v>
      </c>
    </row>
    <row r="151" spans="1:5" hidden="1">
      <c r="A151" s="101">
        <v>142</v>
      </c>
      <c r="B151" s="130" t="s">
        <v>138</v>
      </c>
      <c r="D151" s="141">
        <v>1.4259073311743148E-2</v>
      </c>
      <c r="E151" s="248" t="s">
        <v>127</v>
      </c>
    </row>
    <row r="152" spans="1:5" hidden="1">
      <c r="A152" s="101">
        <v>143</v>
      </c>
      <c r="B152" s="130"/>
      <c r="D152" s="123"/>
    </row>
    <row r="153" spans="1:5" hidden="1">
      <c r="A153" s="101">
        <v>144</v>
      </c>
      <c r="B153" s="142" t="s">
        <v>128</v>
      </c>
      <c r="D153" s="180">
        <f t="shared" ref="D153" si="27">SUM(D150*D151)</f>
        <v>1653.4229162230411</v>
      </c>
      <c r="E153" s="248" t="s">
        <v>139</v>
      </c>
    </row>
    <row r="154" spans="1:5" hidden="1">
      <c r="A154" s="101">
        <v>145</v>
      </c>
      <c r="B154" s="153"/>
      <c r="D154" s="144"/>
    </row>
    <row r="155" spans="1:5" hidden="1">
      <c r="A155" s="101">
        <v>146</v>
      </c>
      <c r="B155" s="162" t="s">
        <v>177</v>
      </c>
      <c r="D155" s="163" t="s">
        <v>156</v>
      </c>
    </row>
    <row r="156" spans="1:5" hidden="1">
      <c r="A156" s="101">
        <v>147</v>
      </c>
      <c r="B156" s="130"/>
      <c r="D156" s="133"/>
    </row>
    <row r="157" spans="1:5" hidden="1">
      <c r="A157" s="101">
        <v>148</v>
      </c>
      <c r="B157" s="130"/>
      <c r="D157" s="133"/>
    </row>
    <row r="158" spans="1:5" hidden="1">
      <c r="A158" s="101">
        <v>149</v>
      </c>
      <c r="B158" s="130" t="s">
        <v>178</v>
      </c>
      <c r="D158" s="115">
        <v>282100</v>
      </c>
      <c r="E158" s="248" t="s">
        <v>107</v>
      </c>
    </row>
    <row r="159" spans="1:5" hidden="1">
      <c r="A159" s="101">
        <v>150</v>
      </c>
      <c r="B159" s="130" t="s">
        <v>179</v>
      </c>
      <c r="D159" s="115"/>
    </row>
    <row r="160" spans="1:5" hidden="1">
      <c r="A160" s="101">
        <v>151</v>
      </c>
      <c r="B160" s="130" t="s">
        <v>132</v>
      </c>
      <c r="D160" s="115">
        <v>0</v>
      </c>
    </row>
    <row r="161" spans="1:5" hidden="1">
      <c r="A161" s="101">
        <v>152</v>
      </c>
      <c r="B161" s="130" t="s">
        <v>134</v>
      </c>
      <c r="D161" s="119">
        <v>1</v>
      </c>
    </row>
    <row r="162" spans="1:5" hidden="1">
      <c r="A162" s="101">
        <v>153</v>
      </c>
      <c r="B162" s="130" t="s">
        <v>135</v>
      </c>
      <c r="D162" s="120">
        <v>1</v>
      </c>
    </row>
    <row r="163" spans="1:5" hidden="1">
      <c r="A163" s="101">
        <v>154</v>
      </c>
      <c r="B163" s="130" t="s">
        <v>180</v>
      </c>
      <c r="D163" s="152">
        <f t="shared" ref="D163" si="28">SUM((D158+D159+D160)*D161*D162)</f>
        <v>282100</v>
      </c>
    </row>
    <row r="164" spans="1:5" hidden="1">
      <c r="A164" s="101">
        <v>155</v>
      </c>
      <c r="B164" s="130" t="s">
        <v>181</v>
      </c>
      <c r="D164" s="115"/>
    </row>
    <row r="165" spans="1:5" hidden="1">
      <c r="A165" s="101">
        <v>156</v>
      </c>
      <c r="B165" s="130"/>
      <c r="D165" s="181">
        <v>1</v>
      </c>
    </row>
    <row r="166" spans="1:5" hidden="1">
      <c r="A166" s="101">
        <v>157</v>
      </c>
      <c r="B166" s="130" t="s">
        <v>118</v>
      </c>
      <c r="D166" s="115">
        <f t="shared" ref="D166" si="29">SUM(D163*D165)</f>
        <v>282100</v>
      </c>
    </row>
    <row r="167" spans="1:5" hidden="1">
      <c r="A167" s="101">
        <v>158</v>
      </c>
      <c r="B167" s="130" t="s">
        <v>136</v>
      </c>
      <c r="D167" s="182">
        <v>1</v>
      </c>
    </row>
    <row r="168" spans="1:5" hidden="1">
      <c r="A168" s="101">
        <v>159</v>
      </c>
      <c r="B168" s="130" t="s">
        <v>137</v>
      </c>
      <c r="D168" s="115">
        <f t="shared" ref="D168" si="30">SUM(D166*D167)</f>
        <v>282100</v>
      </c>
    </row>
    <row r="169" spans="1:5" ht="25.5" hidden="1">
      <c r="A169" s="101">
        <v>160</v>
      </c>
      <c r="B169" s="130" t="s">
        <v>138</v>
      </c>
      <c r="D169" s="141">
        <v>1.3060665398477674E-2</v>
      </c>
      <c r="E169" s="248" t="s">
        <v>182</v>
      </c>
    </row>
    <row r="170" spans="1:5" hidden="1">
      <c r="A170" s="101">
        <v>161</v>
      </c>
      <c r="B170" s="130"/>
      <c r="D170" s="125"/>
    </row>
    <row r="171" spans="1:5" ht="26.25" hidden="1" thickBot="1">
      <c r="A171" s="101">
        <v>162</v>
      </c>
      <c r="B171" s="142" t="s">
        <v>128</v>
      </c>
      <c r="D171" s="126">
        <f t="shared" ref="D171" si="31">SUM(D168*D169)</f>
        <v>3684.4137089105516</v>
      </c>
      <c r="E171" s="248" t="s">
        <v>183</v>
      </c>
    </row>
    <row r="172" spans="1:5" hidden="1">
      <c r="A172" s="101">
        <v>163</v>
      </c>
      <c r="B172" s="183"/>
      <c r="D172" s="144"/>
    </row>
    <row r="173" spans="1:5" ht="13.5" thickBot="1">
      <c r="A173" s="101">
        <v>164</v>
      </c>
      <c r="B173" s="183"/>
      <c r="D173" s="144"/>
    </row>
    <row r="174" spans="1:5" ht="18">
      <c r="A174" s="101">
        <v>165</v>
      </c>
      <c r="B174" s="184"/>
      <c r="D174" s="185" t="s">
        <v>184</v>
      </c>
    </row>
    <row r="175" spans="1:5" ht="18">
      <c r="A175" s="101">
        <v>166</v>
      </c>
      <c r="B175" s="186" t="s">
        <v>185</v>
      </c>
      <c r="D175" s="187" t="s">
        <v>186</v>
      </c>
    </row>
    <row r="176" spans="1:5" ht="18.75" thickBot="1">
      <c r="A176" s="101">
        <v>167</v>
      </c>
      <c r="B176" s="188"/>
      <c r="D176" s="189" t="s">
        <v>187</v>
      </c>
    </row>
    <row r="177" spans="1:4">
      <c r="A177" s="101">
        <v>168</v>
      </c>
      <c r="B177" s="190"/>
      <c r="D177" s="191"/>
    </row>
    <row r="178" spans="1:4">
      <c r="A178" s="101">
        <v>169</v>
      </c>
      <c r="B178" s="192" t="s">
        <v>188</v>
      </c>
      <c r="D178" s="193" t="s">
        <v>189</v>
      </c>
    </row>
    <row r="179" spans="1:4">
      <c r="A179" s="101">
        <v>170</v>
      </c>
      <c r="B179" s="192"/>
      <c r="D179" s="112">
        <v>2017</v>
      </c>
    </row>
    <row r="180" spans="1:4">
      <c r="A180" s="101">
        <v>171</v>
      </c>
      <c r="B180" s="192" t="s">
        <v>190</v>
      </c>
      <c r="D180" s="194"/>
    </row>
    <row r="181" spans="1:4">
      <c r="A181" s="101">
        <v>172</v>
      </c>
      <c r="B181" s="192"/>
      <c r="D181" s="194"/>
    </row>
    <row r="182" spans="1:4">
      <c r="A182" s="101">
        <v>173</v>
      </c>
      <c r="B182" s="195" t="s">
        <v>191</v>
      </c>
      <c r="D182" s="196">
        <f t="shared" ref="D182" si="32">SUM(D32)</f>
        <v>13169.877019950874</v>
      </c>
    </row>
    <row r="183" spans="1:4">
      <c r="A183" s="101">
        <v>174</v>
      </c>
      <c r="B183" s="195" t="s">
        <v>192</v>
      </c>
      <c r="D183" s="196"/>
    </row>
    <row r="184" spans="1:4">
      <c r="A184" s="101">
        <v>175</v>
      </c>
      <c r="B184" s="195" t="s">
        <v>193</v>
      </c>
      <c r="D184" s="196">
        <f t="shared" ref="D184" si="33">SUM(D55)</f>
        <v>6174.574278550891</v>
      </c>
    </row>
    <row r="185" spans="1:4">
      <c r="A185" s="101">
        <v>176</v>
      </c>
      <c r="B185" s="195" t="s">
        <v>194</v>
      </c>
      <c r="D185" s="196">
        <f t="shared" ref="D185" si="34">SUM(D79)</f>
        <v>10043.15582503802</v>
      </c>
    </row>
    <row r="186" spans="1:4">
      <c r="A186" s="101">
        <v>177</v>
      </c>
      <c r="B186" s="197" t="s">
        <v>195</v>
      </c>
      <c r="D186" s="196">
        <f t="shared" ref="D186" si="35">SUM(D100)</f>
        <v>10.51116</v>
      </c>
    </row>
    <row r="187" spans="1:4">
      <c r="A187" s="101">
        <v>178</v>
      </c>
      <c r="B187" s="197" t="s">
        <v>196</v>
      </c>
      <c r="D187" s="180">
        <f t="shared" ref="D187" si="36">SUM(D116)</f>
        <v>2856.6411931587431</v>
      </c>
    </row>
    <row r="188" spans="1:4">
      <c r="A188" s="101">
        <v>179</v>
      </c>
      <c r="B188" s="192"/>
      <c r="D188" s="196"/>
    </row>
    <row r="189" spans="1:4">
      <c r="A189" s="101">
        <v>180</v>
      </c>
      <c r="B189" s="195" t="s">
        <v>197</v>
      </c>
      <c r="D189" s="198">
        <f t="shared" ref="D189" si="37">SUM(D182:D187)</f>
        <v>32254.759476698524</v>
      </c>
    </row>
    <row r="190" spans="1:4">
      <c r="A190" s="101">
        <v>181</v>
      </c>
      <c r="B190" s="192"/>
      <c r="D190" s="196"/>
    </row>
    <row r="191" spans="1:4">
      <c r="A191" s="101">
        <v>182</v>
      </c>
      <c r="B191" s="192" t="s">
        <v>198</v>
      </c>
      <c r="D191" s="196"/>
    </row>
    <row r="192" spans="1:4">
      <c r="A192" s="101">
        <v>183</v>
      </c>
      <c r="B192" s="192"/>
      <c r="D192" s="196"/>
    </row>
    <row r="193" spans="1:4">
      <c r="A193" s="101">
        <v>184</v>
      </c>
      <c r="B193" s="195" t="s">
        <v>199</v>
      </c>
      <c r="D193" s="196">
        <f t="shared" ref="D193" si="38">SUM(D136)</f>
        <v>2915.4474858925278</v>
      </c>
    </row>
    <row r="194" spans="1:4">
      <c r="A194" s="101">
        <v>185</v>
      </c>
      <c r="B194" s="195" t="s">
        <v>193</v>
      </c>
      <c r="D194" s="196">
        <f t="shared" ref="D194" si="39">SUM(D153)</f>
        <v>1653.4229162230411</v>
      </c>
    </row>
    <row r="195" spans="1:4">
      <c r="A195" s="101">
        <v>186</v>
      </c>
      <c r="B195" s="195" t="s">
        <v>200</v>
      </c>
      <c r="D195" s="196">
        <f t="shared" ref="D195" si="40">SUM(D171)</f>
        <v>3684.4137089105516</v>
      </c>
    </row>
    <row r="196" spans="1:4">
      <c r="A196" s="101">
        <v>187</v>
      </c>
      <c r="B196" s="192" t="s">
        <v>125</v>
      </c>
      <c r="D196" s="180">
        <v>0</v>
      </c>
    </row>
    <row r="197" spans="1:4">
      <c r="A197" s="101">
        <v>188</v>
      </c>
      <c r="B197" s="195" t="s">
        <v>197</v>
      </c>
      <c r="D197" s="196"/>
    </row>
    <row r="198" spans="1:4">
      <c r="A198" s="101">
        <v>189</v>
      </c>
      <c r="B198" s="192"/>
      <c r="D198" s="180">
        <f t="shared" ref="D198" si="41">SUM(D193:D195)</f>
        <v>8253.2841110261215</v>
      </c>
    </row>
    <row r="199" spans="1:4">
      <c r="A199" s="101">
        <v>190</v>
      </c>
      <c r="B199" s="192" t="s">
        <v>201</v>
      </c>
      <c r="D199" s="199"/>
    </row>
    <row r="200" spans="1:4" ht="13.5" thickBot="1">
      <c r="A200" s="101">
        <v>191</v>
      </c>
      <c r="D200" s="200">
        <f t="shared" ref="D200" si="42">SUM(D189+D198)</f>
        <v>40508.043587724649</v>
      </c>
    </row>
    <row r="201" spans="1:4" ht="13.5" thickTop="1">
      <c r="A201" s="101"/>
    </row>
    <row r="202" spans="1:4">
      <c r="A202" s="101"/>
    </row>
  </sheetData>
  <pageMargins left="0.7" right="0.7" top="0.59" bottom="0.2" header="0.22" footer="0.17"/>
  <pageSetup scale="73" fitToHeight="0" orientation="portrait" r:id="rId1"/>
  <headerFooter>
    <oddHeader>&amp;RExh AIW-2
Dockets UE-170485 / UG-170486
Page &amp;P of &amp;N</oddHeader>
  </headerFooter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E201"/>
  <sheetViews>
    <sheetView topLeftCell="A133" workbookViewId="0">
      <selection activeCell="D151" sqref="D151"/>
    </sheetView>
  </sheetViews>
  <sheetFormatPr defaultRowHeight="12.75"/>
  <cols>
    <col min="2" max="2" width="64.42578125" customWidth="1"/>
    <col min="3" max="3" width="5.42578125" customWidth="1"/>
    <col min="4" max="4" width="18.42578125" customWidth="1"/>
    <col min="5" max="5" width="29.140625" style="248" customWidth="1"/>
  </cols>
  <sheetData>
    <row r="1" spans="1:5">
      <c r="B1" t="s">
        <v>431</v>
      </c>
    </row>
    <row r="2" spans="1:5">
      <c r="B2" t="s">
        <v>457</v>
      </c>
    </row>
    <row r="3" spans="1:5">
      <c r="B3" t="s">
        <v>458</v>
      </c>
    </row>
    <row r="4" spans="1:5">
      <c r="B4" s="96" t="s">
        <v>296</v>
      </c>
      <c r="D4" s="101" t="s">
        <v>98</v>
      </c>
    </row>
    <row r="5" spans="1:5">
      <c r="B5" s="102" t="s">
        <v>99</v>
      </c>
      <c r="D5" s="103">
        <v>2016</v>
      </c>
    </row>
    <row r="6" spans="1:5">
      <c r="B6" s="102" t="s">
        <v>100</v>
      </c>
      <c r="D6" s="104">
        <v>2017</v>
      </c>
      <c r="E6" s="248" t="s">
        <v>459</v>
      </c>
    </row>
    <row r="7" spans="1:5">
      <c r="B7" s="105" t="s">
        <v>101</v>
      </c>
      <c r="D7" s="106">
        <v>2017</v>
      </c>
    </row>
    <row r="8" spans="1:5">
      <c r="A8" s="101" t="s">
        <v>460</v>
      </c>
      <c r="B8" s="107" t="s">
        <v>102</v>
      </c>
      <c r="D8" s="108" t="s">
        <v>103</v>
      </c>
    </row>
    <row r="9" spans="1:5">
      <c r="A9" s="101" t="s">
        <v>461</v>
      </c>
      <c r="B9" s="109"/>
      <c r="D9" s="110"/>
    </row>
    <row r="10" spans="1:5">
      <c r="A10" s="101">
        <v>1</v>
      </c>
      <c r="B10" s="111"/>
      <c r="D10" s="112" t="s">
        <v>104</v>
      </c>
    </row>
    <row r="11" spans="1:5">
      <c r="A11" s="101">
        <v>2</v>
      </c>
      <c r="B11" s="113" t="s">
        <v>105</v>
      </c>
      <c r="D11" s="104"/>
    </row>
    <row r="12" spans="1:5">
      <c r="A12" s="101">
        <v>3</v>
      </c>
      <c r="B12" s="111"/>
      <c r="D12" s="114"/>
    </row>
    <row r="13" spans="1:5">
      <c r="A13" s="101">
        <v>4</v>
      </c>
      <c r="B13" s="111" t="s">
        <v>106</v>
      </c>
      <c r="D13" s="115">
        <v>2300000</v>
      </c>
      <c r="E13" s="248" t="s">
        <v>107</v>
      </c>
    </row>
    <row r="14" spans="1:5">
      <c r="A14" s="101">
        <v>5</v>
      </c>
      <c r="B14" s="111" t="s">
        <v>108</v>
      </c>
      <c r="D14" s="116"/>
    </row>
    <row r="15" spans="1:5">
      <c r="A15" s="101">
        <v>6</v>
      </c>
      <c r="B15" s="117" t="s">
        <v>109</v>
      </c>
      <c r="D15" s="116"/>
    </row>
    <row r="16" spans="1:5">
      <c r="A16" s="101">
        <v>7</v>
      </c>
      <c r="B16" s="117" t="s">
        <v>110</v>
      </c>
      <c r="D16" s="116"/>
    </row>
    <row r="17" spans="1:5">
      <c r="A17" s="101">
        <v>8</v>
      </c>
      <c r="B17" s="117" t="s">
        <v>111</v>
      </c>
      <c r="D17" s="116"/>
    </row>
    <row r="18" spans="1:5">
      <c r="A18" s="101">
        <v>9</v>
      </c>
      <c r="B18" s="117" t="s">
        <v>112</v>
      </c>
      <c r="D18" s="116"/>
    </row>
    <row r="19" spans="1:5">
      <c r="A19" s="101">
        <v>10</v>
      </c>
      <c r="B19" s="111" t="s">
        <v>113</v>
      </c>
      <c r="D19" s="118"/>
    </row>
    <row r="20" spans="1:5">
      <c r="A20" s="101">
        <v>11</v>
      </c>
      <c r="B20" s="111" t="s">
        <v>114</v>
      </c>
      <c r="D20" s="119">
        <f>1207497787/1239327400</f>
        <v>0.97431702631604855</v>
      </c>
      <c r="E20" s="248" t="s">
        <v>107</v>
      </c>
    </row>
    <row r="21" spans="1:5">
      <c r="A21" s="101">
        <v>12</v>
      </c>
      <c r="B21" s="111" t="s">
        <v>115</v>
      </c>
      <c r="D21" s="120">
        <v>0.53883999999999999</v>
      </c>
      <c r="E21" s="248" t="s">
        <v>107</v>
      </c>
    </row>
    <row r="22" spans="1:5">
      <c r="A22" s="101">
        <v>13</v>
      </c>
      <c r="B22" s="111" t="s">
        <v>116</v>
      </c>
      <c r="D22" s="115">
        <f t="shared" ref="D22" si="0">SUM(D13:D19)*D20*D21</f>
        <v>1207502.268858321</v>
      </c>
    </row>
    <row r="23" spans="1:5">
      <c r="A23" s="101">
        <v>14</v>
      </c>
      <c r="B23" s="111" t="s">
        <v>117</v>
      </c>
      <c r="D23" s="115">
        <v>492</v>
      </c>
      <c r="E23" s="248" t="s">
        <v>107</v>
      </c>
    </row>
    <row r="24" spans="1:5">
      <c r="A24" s="101">
        <v>15</v>
      </c>
      <c r="B24" s="111" t="s">
        <v>118</v>
      </c>
      <c r="D24" s="115">
        <f>D22+D23</f>
        <v>1207994.268858321</v>
      </c>
      <c r="E24" s="248" t="s">
        <v>119</v>
      </c>
    </row>
    <row r="25" spans="1:5">
      <c r="A25" s="101">
        <v>16</v>
      </c>
      <c r="B25" s="111" t="s">
        <v>120</v>
      </c>
      <c r="D25" s="115"/>
    </row>
    <row r="26" spans="1:5">
      <c r="A26" s="101">
        <v>17</v>
      </c>
      <c r="B26" s="111" t="s">
        <v>121</v>
      </c>
      <c r="D26" s="121">
        <v>0.91500980170713975</v>
      </c>
      <c r="E26" s="248" t="s">
        <v>122</v>
      </c>
    </row>
    <row r="27" spans="1:5">
      <c r="A27" s="101">
        <v>18</v>
      </c>
      <c r="B27" s="111" t="s">
        <v>123</v>
      </c>
      <c r="D27" s="122">
        <f t="shared" ref="D27" si="1">SUM(D24*D26)</f>
        <v>1105326.5964114135</v>
      </c>
      <c r="E27" s="248" t="s">
        <v>124</v>
      </c>
    </row>
    <row r="28" spans="1:5">
      <c r="A28" s="101">
        <v>19</v>
      </c>
      <c r="B28" s="111" t="s">
        <v>125</v>
      </c>
      <c r="D28" s="122">
        <v>0</v>
      </c>
    </row>
    <row r="29" spans="1:5">
      <c r="A29" s="101">
        <v>20</v>
      </c>
      <c r="B29" s="111"/>
      <c r="D29" s="123">
        <f t="shared" ref="D29" si="2">SUM(D27:D28)</f>
        <v>1105326.5964114135</v>
      </c>
    </row>
    <row r="30" spans="1:5" ht="15.75">
      <c r="A30" s="101">
        <v>21</v>
      </c>
      <c r="B30" s="111" t="s">
        <v>126</v>
      </c>
      <c r="D30" s="124">
        <v>1.1914919140377688E-2</v>
      </c>
      <c r="E30" s="248" t="s">
        <v>127</v>
      </c>
    </row>
    <row r="31" spans="1:5">
      <c r="A31" s="101">
        <v>22</v>
      </c>
      <c r="B31" s="111"/>
      <c r="D31" s="125"/>
    </row>
    <row r="32" spans="1:5" ht="13.5" thickBot="1">
      <c r="A32" s="101">
        <v>23</v>
      </c>
      <c r="B32" s="111" t="s">
        <v>128</v>
      </c>
      <c r="D32" s="126">
        <f t="shared" ref="D32" si="3">SUM(D29*D30)</f>
        <v>13169.877019950874</v>
      </c>
      <c r="E32" s="248" t="s">
        <v>129</v>
      </c>
    </row>
    <row r="33" spans="1:5" ht="13.5" thickTop="1">
      <c r="A33" s="101">
        <v>24</v>
      </c>
      <c r="B33" s="111"/>
      <c r="D33" s="127"/>
    </row>
    <row r="34" spans="1:5">
      <c r="A34" s="101">
        <v>25</v>
      </c>
      <c r="B34" s="128"/>
      <c r="D34" s="129"/>
    </row>
    <row r="35" spans="1:5">
      <c r="A35" s="101">
        <v>26</v>
      </c>
      <c r="B35" s="130"/>
      <c r="D35" s="131" t="s">
        <v>104</v>
      </c>
    </row>
    <row r="36" spans="1:5">
      <c r="A36" s="101">
        <v>27</v>
      </c>
      <c r="B36" s="132" t="s">
        <v>130</v>
      </c>
      <c r="D36" s="133"/>
    </row>
    <row r="37" spans="1:5">
      <c r="A37" s="101">
        <v>28</v>
      </c>
      <c r="B37" s="130"/>
      <c r="D37" s="133"/>
    </row>
    <row r="38" spans="1:5">
      <c r="A38" s="101">
        <v>29</v>
      </c>
      <c r="B38" s="130" t="s">
        <v>131</v>
      </c>
      <c r="D38" s="115">
        <v>2268109</v>
      </c>
      <c r="E38" s="248" t="s">
        <v>107</v>
      </c>
    </row>
    <row r="39" spans="1:5">
      <c r="A39" s="101">
        <v>30</v>
      </c>
      <c r="B39" s="130" t="s">
        <v>108</v>
      </c>
      <c r="D39" s="134"/>
    </row>
    <row r="40" spans="1:5">
      <c r="A40" s="101">
        <v>31</v>
      </c>
      <c r="B40" s="117" t="s">
        <v>109</v>
      </c>
      <c r="D40" s="116">
        <f>SUM(D15)</f>
        <v>0</v>
      </c>
    </row>
    <row r="41" spans="1:5">
      <c r="A41" s="101">
        <v>32</v>
      </c>
      <c r="B41" s="117" t="s">
        <v>110</v>
      </c>
      <c r="D41" s="135">
        <f>SUM(D16)</f>
        <v>0</v>
      </c>
    </row>
    <row r="42" spans="1:5">
      <c r="A42" s="101">
        <v>33</v>
      </c>
      <c r="B42" s="117" t="s">
        <v>111</v>
      </c>
      <c r="D42" s="135">
        <f>SUM(D17)</f>
        <v>0</v>
      </c>
    </row>
    <row r="43" spans="1:5">
      <c r="A43" s="101">
        <v>34</v>
      </c>
      <c r="B43" s="117" t="s">
        <v>112</v>
      </c>
      <c r="D43" s="135">
        <f>SUM(D18)</f>
        <v>0</v>
      </c>
    </row>
    <row r="44" spans="1:5">
      <c r="A44" s="101">
        <v>35</v>
      </c>
      <c r="B44" s="111" t="s">
        <v>132</v>
      </c>
      <c r="D44" s="135">
        <f>SUM(D19)</f>
        <v>0</v>
      </c>
    </row>
    <row r="45" spans="1:5">
      <c r="A45" s="101">
        <v>36</v>
      </c>
      <c r="B45" s="130" t="s">
        <v>133</v>
      </c>
      <c r="D45" s="136"/>
    </row>
    <row r="46" spans="1:5">
      <c r="A46" s="101">
        <v>37</v>
      </c>
      <c r="B46" s="130" t="s">
        <v>134</v>
      </c>
      <c r="D46" s="119">
        <v>1</v>
      </c>
      <c r="E46" s="248" t="s">
        <v>107</v>
      </c>
    </row>
    <row r="47" spans="1:5">
      <c r="A47" s="101">
        <v>38</v>
      </c>
      <c r="B47" s="130" t="s">
        <v>135</v>
      </c>
      <c r="D47" s="137">
        <v>0.24651799999999999</v>
      </c>
      <c r="E47" s="248" t="s">
        <v>107</v>
      </c>
    </row>
    <row r="48" spans="1:5">
      <c r="A48" s="101">
        <v>39</v>
      </c>
      <c r="B48" s="130" t="s">
        <v>116</v>
      </c>
      <c r="D48" s="138">
        <f t="shared" ref="D48" si="4">SUM(D38:D45)*D46*D47</f>
        <v>559129.69446199993</v>
      </c>
    </row>
    <row r="49" spans="1:5">
      <c r="A49" s="101">
        <v>40</v>
      </c>
      <c r="B49" s="130" t="s">
        <v>117</v>
      </c>
      <c r="D49" s="139">
        <f>-9592-366</f>
        <v>-9958</v>
      </c>
      <c r="E49" s="248" t="s">
        <v>107</v>
      </c>
    </row>
    <row r="50" spans="1:5">
      <c r="A50" s="101">
        <v>41</v>
      </c>
      <c r="B50" s="130" t="s">
        <v>118</v>
      </c>
      <c r="D50" s="115">
        <f t="shared" ref="D50" si="5">SUM(D48:D49)</f>
        <v>549171.69446199993</v>
      </c>
    </row>
    <row r="51" spans="1:5">
      <c r="A51" s="101">
        <v>42</v>
      </c>
      <c r="B51" s="130" t="s">
        <v>136</v>
      </c>
      <c r="D51" s="140">
        <v>1</v>
      </c>
    </row>
    <row r="52" spans="1:5">
      <c r="A52" s="101">
        <v>43</v>
      </c>
      <c r="B52" s="130" t="s">
        <v>137</v>
      </c>
      <c r="D52" s="115">
        <f t="shared" ref="D52" si="6">SUM(D50*D51)</f>
        <v>549171.69446199993</v>
      </c>
      <c r="E52" s="248" t="s">
        <v>119</v>
      </c>
    </row>
    <row r="53" spans="1:5">
      <c r="A53" s="101">
        <v>44</v>
      </c>
      <c r="B53" s="130" t="s">
        <v>138</v>
      </c>
      <c r="D53" s="141">
        <v>1.1243431409187718E-2</v>
      </c>
      <c r="E53" s="248" t="s">
        <v>127</v>
      </c>
    </row>
    <row r="54" spans="1:5">
      <c r="A54" s="101">
        <v>45</v>
      </c>
      <c r="B54" s="130"/>
      <c r="D54" s="125"/>
    </row>
    <row r="55" spans="1:5" ht="13.5" thickBot="1">
      <c r="A55" s="101">
        <v>46</v>
      </c>
      <c r="B55" s="142" t="s">
        <v>128</v>
      </c>
      <c r="D55" s="126">
        <f t="shared" ref="D55" si="7">SUM(D52*D53)</f>
        <v>6174.574278550891</v>
      </c>
      <c r="E55" s="248" t="s">
        <v>139</v>
      </c>
    </row>
    <row r="56" spans="1:5" ht="13.5" thickTop="1">
      <c r="A56" s="101">
        <v>47</v>
      </c>
      <c r="B56" s="143"/>
      <c r="D56" s="144"/>
    </row>
    <row r="57" spans="1:5">
      <c r="A57" s="101">
        <v>48</v>
      </c>
      <c r="B57" s="145"/>
      <c r="D57" s="129"/>
    </row>
    <row r="58" spans="1:5">
      <c r="A58" s="101">
        <v>49</v>
      </c>
      <c r="B58" s="111"/>
      <c r="D58" s="131" t="s">
        <v>104</v>
      </c>
    </row>
    <row r="59" spans="1:5">
      <c r="A59" s="101">
        <v>50</v>
      </c>
      <c r="B59" s="113" t="s">
        <v>140</v>
      </c>
      <c r="D59" s="146" t="s">
        <v>141</v>
      </c>
    </row>
    <row r="60" spans="1:5">
      <c r="A60" s="101">
        <v>51</v>
      </c>
      <c r="B60" s="147" t="s">
        <v>142</v>
      </c>
      <c r="D60" s="148">
        <v>3761000</v>
      </c>
      <c r="E60" s="248" t="s">
        <v>107</v>
      </c>
    </row>
    <row r="61" spans="1:5">
      <c r="A61" s="101">
        <v>52</v>
      </c>
      <c r="B61" s="111" t="s">
        <v>143</v>
      </c>
      <c r="D61" s="115">
        <v>3385000</v>
      </c>
      <c r="E61" s="248" t="s">
        <v>107</v>
      </c>
    </row>
    <row r="62" spans="1:5">
      <c r="A62" s="101">
        <v>53</v>
      </c>
      <c r="B62" s="111" t="s">
        <v>144</v>
      </c>
      <c r="D62" s="115"/>
    </row>
    <row r="63" spans="1:5">
      <c r="A63" s="101">
        <v>54</v>
      </c>
      <c r="B63" s="117" t="s">
        <v>111</v>
      </c>
      <c r="D63" s="115"/>
    </row>
    <row r="64" spans="1:5">
      <c r="A64" s="101">
        <v>55</v>
      </c>
      <c r="B64" s="111" t="s">
        <v>132</v>
      </c>
      <c r="D64" s="115">
        <f t="shared" ref="D64" si="8">SUM(D19+D125)</f>
        <v>0</v>
      </c>
    </row>
    <row r="65" spans="1:5">
      <c r="A65" s="101">
        <v>56</v>
      </c>
      <c r="B65" s="111" t="s">
        <v>145</v>
      </c>
      <c r="D65" s="115"/>
    </row>
    <row r="66" spans="1:5">
      <c r="A66" s="101">
        <v>57</v>
      </c>
      <c r="B66" s="111"/>
      <c r="D66" s="115">
        <f>SUM(D61:D65)</f>
        <v>3385000</v>
      </c>
      <c r="E66" s="248" t="s">
        <v>107</v>
      </c>
    </row>
    <row r="67" spans="1:5">
      <c r="A67" s="101">
        <v>58</v>
      </c>
      <c r="B67" s="111" t="s">
        <v>134</v>
      </c>
      <c r="D67" s="119">
        <v>1</v>
      </c>
      <c r="E67" s="248" t="s">
        <v>107</v>
      </c>
    </row>
    <row r="68" spans="1:5">
      <c r="A68" s="101">
        <v>59</v>
      </c>
      <c r="B68" s="111" t="s">
        <v>135</v>
      </c>
      <c r="D68" s="120">
        <f>442919876/3385000000</f>
        <v>0.13084782156573116</v>
      </c>
      <c r="E68" s="248" t="s">
        <v>107</v>
      </c>
    </row>
    <row r="69" spans="1:5">
      <c r="A69" s="101">
        <v>60</v>
      </c>
      <c r="B69" s="111" t="s">
        <v>116</v>
      </c>
      <c r="D69" s="115">
        <f t="shared" ref="D69" si="9">SUM(D66*D68)</f>
        <v>442919.87599999999</v>
      </c>
    </row>
    <row r="70" spans="1:5">
      <c r="A70" s="101">
        <v>61</v>
      </c>
      <c r="B70" s="111" t="s">
        <v>146</v>
      </c>
      <c r="D70" s="115">
        <v>-560</v>
      </c>
      <c r="E70" s="248" t="s">
        <v>107</v>
      </c>
    </row>
    <row r="71" spans="1:5">
      <c r="A71" s="101">
        <v>62</v>
      </c>
      <c r="B71" s="111" t="s">
        <v>147</v>
      </c>
      <c r="D71" s="149">
        <v>1</v>
      </c>
      <c r="E71" s="248" t="s">
        <v>107</v>
      </c>
    </row>
    <row r="72" spans="1:5">
      <c r="A72" s="101">
        <v>63</v>
      </c>
      <c r="B72" s="150" t="s">
        <v>148</v>
      </c>
      <c r="D72" s="115">
        <f t="shared" ref="D72" si="10">SUM(D69:D70)*D71</f>
        <v>442359.87599999999</v>
      </c>
    </row>
    <row r="73" spans="1:5">
      <c r="A73" s="101">
        <v>64</v>
      </c>
      <c r="B73" s="111" t="s">
        <v>149</v>
      </c>
      <c r="D73" s="151">
        <f>28838588/442360264</f>
        <v>6.5192537275454737E-2</v>
      </c>
      <c r="E73" s="248" t="s">
        <v>150</v>
      </c>
    </row>
    <row r="74" spans="1:5">
      <c r="A74" s="101">
        <v>65</v>
      </c>
      <c r="B74" s="111" t="s">
        <v>151</v>
      </c>
      <c r="D74" s="138">
        <f t="shared" ref="D74" si="11">SUM(D72*D73)</f>
        <v>28838.562705295535</v>
      </c>
    </row>
    <row r="75" spans="1:5">
      <c r="A75" s="101">
        <v>66</v>
      </c>
      <c r="B75" s="111" t="s">
        <v>152</v>
      </c>
      <c r="D75" s="115">
        <v>0</v>
      </c>
    </row>
    <row r="76" spans="1:5">
      <c r="A76" s="101">
        <v>67</v>
      </c>
      <c r="B76" s="111" t="s">
        <v>153</v>
      </c>
      <c r="D76" s="152">
        <f t="shared" ref="D76" si="12">SUM(D74:D75)</f>
        <v>28838.562705295535</v>
      </c>
      <c r="E76" s="248" t="s">
        <v>119</v>
      </c>
    </row>
    <row r="77" spans="1:5">
      <c r="A77" s="101">
        <v>68</v>
      </c>
      <c r="B77" s="111" t="s">
        <v>138</v>
      </c>
      <c r="D77" s="141">
        <v>0.34825438173428203</v>
      </c>
    </row>
    <row r="78" spans="1:5">
      <c r="A78" s="101">
        <v>69</v>
      </c>
      <c r="B78" s="111"/>
      <c r="D78" s="125"/>
    </row>
    <row r="79" spans="1:5" ht="13.5" thickBot="1">
      <c r="A79" s="101">
        <v>70</v>
      </c>
      <c r="B79" s="109" t="s">
        <v>128</v>
      </c>
      <c r="D79" s="126">
        <f t="shared" ref="D79" si="13">SUM(D76*D77)</f>
        <v>10043.15582503802</v>
      </c>
      <c r="E79" s="248" t="s">
        <v>154</v>
      </c>
    </row>
    <row r="80" spans="1:5" ht="13.5" thickTop="1">
      <c r="A80" s="101">
        <v>71</v>
      </c>
      <c r="B80" s="153"/>
      <c r="D80" s="154"/>
    </row>
    <row r="81" spans="1:5">
      <c r="A81" s="101">
        <v>72</v>
      </c>
      <c r="B81" s="145"/>
      <c r="D81" s="155"/>
    </row>
    <row r="82" spans="1:5">
      <c r="A82" s="101">
        <v>73</v>
      </c>
      <c r="B82" s="113" t="s">
        <v>155</v>
      </c>
      <c r="D82" s="112" t="s">
        <v>156</v>
      </c>
    </row>
    <row r="83" spans="1:5">
      <c r="A83" s="101">
        <v>74</v>
      </c>
      <c r="B83" s="147"/>
      <c r="D83" s="156"/>
    </row>
    <row r="84" spans="1:5">
      <c r="A84" s="101">
        <v>75</v>
      </c>
      <c r="B84" s="111" t="s">
        <v>131</v>
      </c>
      <c r="D84" s="104" t="s">
        <v>157</v>
      </c>
    </row>
    <row r="85" spans="1:5">
      <c r="A85" s="101">
        <v>76</v>
      </c>
      <c r="B85" s="111" t="s">
        <v>108</v>
      </c>
      <c r="D85" s="122">
        <v>1137.998</v>
      </c>
      <c r="E85" s="248" t="s">
        <v>158</v>
      </c>
    </row>
    <row r="86" spans="1:5">
      <c r="A86" s="101">
        <v>77</v>
      </c>
      <c r="B86" s="111" t="s">
        <v>159</v>
      </c>
      <c r="D86" s="122">
        <v>0</v>
      </c>
    </row>
    <row r="87" spans="1:5">
      <c r="A87" s="101">
        <v>78</v>
      </c>
      <c r="B87" s="111" t="s">
        <v>132</v>
      </c>
      <c r="D87" s="122">
        <f t="shared" ref="D87" si="14">SUM(D78)</f>
        <v>0</v>
      </c>
    </row>
    <row r="88" spans="1:5">
      <c r="A88" s="101">
        <v>79</v>
      </c>
      <c r="B88" s="111" t="s">
        <v>134</v>
      </c>
      <c r="D88" s="157">
        <v>1</v>
      </c>
    </row>
    <row r="89" spans="1:5">
      <c r="A89" s="101">
        <v>80</v>
      </c>
      <c r="B89" s="111" t="s">
        <v>135</v>
      </c>
      <c r="D89" s="158">
        <v>1</v>
      </c>
    </row>
    <row r="90" spans="1:5">
      <c r="A90" s="101">
        <v>81</v>
      </c>
      <c r="B90" s="111" t="s">
        <v>116</v>
      </c>
      <c r="D90" s="122">
        <f t="shared" ref="D90" si="15">SUM((D85+D86+D87)*D88*D89)</f>
        <v>1137.998</v>
      </c>
    </row>
    <row r="91" spans="1:5">
      <c r="A91" s="101">
        <v>82</v>
      </c>
      <c r="B91" s="111" t="s">
        <v>146</v>
      </c>
      <c r="D91" s="122"/>
    </row>
    <row r="92" spans="1:5">
      <c r="A92" s="101">
        <v>83</v>
      </c>
      <c r="B92" s="111" t="s">
        <v>147</v>
      </c>
      <c r="D92" s="159">
        <v>1</v>
      </c>
    </row>
    <row r="93" spans="1:5">
      <c r="A93" s="101">
        <v>84</v>
      </c>
      <c r="B93" s="150" t="s">
        <v>148</v>
      </c>
      <c r="D93" s="122">
        <f t="shared" ref="D93" si="16">SUM(D90:D91)*D92</f>
        <v>1137.998</v>
      </c>
    </row>
    <row r="94" spans="1:5">
      <c r="A94" s="101">
        <v>85</v>
      </c>
      <c r="B94" s="111" t="s">
        <v>136</v>
      </c>
      <c r="D94" s="160">
        <v>1</v>
      </c>
    </row>
    <row r="95" spans="1:5">
      <c r="A95" s="101">
        <v>86</v>
      </c>
      <c r="B95" s="111" t="s">
        <v>151</v>
      </c>
      <c r="D95" s="122">
        <f t="shared" ref="D95" si="17">SUM(D93*D94)</f>
        <v>1137.998</v>
      </c>
    </row>
    <row r="96" spans="1:5">
      <c r="A96" s="101">
        <v>87</v>
      </c>
      <c r="B96" s="111" t="s">
        <v>160</v>
      </c>
      <c r="D96" s="122">
        <v>0</v>
      </c>
    </row>
    <row r="97" spans="1:5">
      <c r="A97" s="101">
        <v>88</v>
      </c>
      <c r="B97" s="111" t="s">
        <v>153</v>
      </c>
      <c r="D97" s="123">
        <f t="shared" ref="D97" si="18">SUM(D95:D96)</f>
        <v>1137.998</v>
      </c>
    </row>
    <row r="98" spans="1:5">
      <c r="A98" s="101">
        <v>89</v>
      </c>
      <c r="B98" s="111" t="s">
        <v>138</v>
      </c>
      <c r="D98" s="141">
        <v>9.2365364438250323E-3</v>
      </c>
      <c r="E98" s="248" t="s">
        <v>161</v>
      </c>
    </row>
    <row r="99" spans="1:5">
      <c r="A99" s="101">
        <v>90</v>
      </c>
      <c r="B99" s="111"/>
      <c r="D99" s="125"/>
    </row>
    <row r="100" spans="1:5" ht="38.25">
      <c r="A100" s="101">
        <v>91</v>
      </c>
      <c r="B100" s="109" t="s">
        <v>128</v>
      </c>
      <c r="D100" s="161">
        <f t="shared" ref="D100" si="19">SUM(D97*D98)</f>
        <v>10.51116</v>
      </c>
      <c r="E100" s="248" t="s">
        <v>162</v>
      </c>
    </row>
    <row r="101" spans="1:5">
      <c r="A101" s="101">
        <v>92</v>
      </c>
      <c r="B101" s="153"/>
      <c r="D101" s="154"/>
    </row>
    <row r="102" spans="1:5">
      <c r="A102" s="101">
        <v>93</v>
      </c>
      <c r="B102" s="162" t="s">
        <v>155</v>
      </c>
      <c r="D102" s="163" t="s">
        <v>156</v>
      </c>
    </row>
    <row r="103" spans="1:5">
      <c r="A103" s="101">
        <v>94</v>
      </c>
      <c r="B103" s="164"/>
      <c r="D103" s="146" t="s">
        <v>163</v>
      </c>
    </row>
    <row r="104" spans="1:5">
      <c r="A104" s="101">
        <v>95</v>
      </c>
      <c r="B104" s="164"/>
      <c r="D104" s="146"/>
    </row>
    <row r="105" spans="1:5">
      <c r="A105" s="101">
        <v>96</v>
      </c>
      <c r="B105" s="164"/>
      <c r="D105" s="165"/>
    </row>
    <row r="106" spans="1:5">
      <c r="A106" s="101">
        <v>97</v>
      </c>
      <c r="B106" s="130" t="s">
        <v>137</v>
      </c>
      <c r="D106" s="166">
        <v>173400</v>
      </c>
      <c r="E106" s="248" t="s">
        <v>107</v>
      </c>
    </row>
    <row r="107" spans="1:5">
      <c r="A107" s="101">
        <v>98</v>
      </c>
      <c r="B107" s="130" t="s">
        <v>109</v>
      </c>
      <c r="D107" s="115"/>
    </row>
    <row r="108" spans="1:5">
      <c r="A108" s="101">
        <v>99</v>
      </c>
      <c r="B108" s="130" t="s">
        <v>164</v>
      </c>
      <c r="D108" s="115">
        <v>0</v>
      </c>
    </row>
    <row r="109" spans="1:5">
      <c r="A109" s="101">
        <v>100</v>
      </c>
      <c r="B109" s="130" t="s">
        <v>165</v>
      </c>
      <c r="D109" s="167">
        <v>0</v>
      </c>
    </row>
    <row r="110" spans="1:5">
      <c r="A110" s="101">
        <v>101</v>
      </c>
      <c r="B110" s="130" t="s">
        <v>135</v>
      </c>
      <c r="D110" s="168" t="s">
        <v>166</v>
      </c>
    </row>
    <row r="111" spans="1:5">
      <c r="A111" s="101">
        <v>102</v>
      </c>
      <c r="B111" s="130" t="s">
        <v>167</v>
      </c>
      <c r="D111" s="169">
        <v>0</v>
      </c>
    </row>
    <row r="112" spans="1:5">
      <c r="A112" s="101">
        <v>103</v>
      </c>
      <c r="B112" s="142" t="s">
        <v>168</v>
      </c>
      <c r="D112" s="170"/>
    </row>
    <row r="113" spans="1:5">
      <c r="A113" s="101">
        <v>104</v>
      </c>
      <c r="B113" s="130" t="s">
        <v>169</v>
      </c>
      <c r="D113" s="141">
        <v>1.6474286004375682E-2</v>
      </c>
      <c r="E113" s="248" t="s">
        <v>161</v>
      </c>
    </row>
    <row r="114" spans="1:5">
      <c r="A114" s="101">
        <v>105</v>
      </c>
      <c r="B114" s="130" t="s">
        <v>170</v>
      </c>
      <c r="D114" s="171">
        <v>1</v>
      </c>
    </row>
    <row r="115" spans="1:5">
      <c r="A115" s="101">
        <v>106</v>
      </c>
      <c r="B115" s="130" t="s">
        <v>171</v>
      </c>
      <c r="D115" s="172"/>
    </row>
    <row r="116" spans="1:5" ht="25.5">
      <c r="A116" s="101">
        <v>107</v>
      </c>
      <c r="B116" s="142"/>
      <c r="D116" s="173">
        <f t="shared" ref="D116" si="20">SUM(D106:D110)*D113*D114</f>
        <v>2856.6411931587431</v>
      </c>
      <c r="E116" s="248" t="s">
        <v>172</v>
      </c>
    </row>
    <row r="117" spans="1:5">
      <c r="A117" s="101">
        <v>108</v>
      </c>
      <c r="B117" s="143"/>
      <c r="D117" s="154"/>
    </row>
    <row r="118" spans="1:5">
      <c r="A118" s="101">
        <v>109</v>
      </c>
      <c r="B118" s="153"/>
      <c r="D118" s="144"/>
    </row>
    <row r="119" spans="1:5">
      <c r="A119" s="101">
        <v>110</v>
      </c>
      <c r="B119" s="128"/>
      <c r="D119" s="129"/>
    </row>
    <row r="120" spans="1:5">
      <c r="A120" s="101">
        <v>111</v>
      </c>
      <c r="B120" s="132" t="s">
        <v>173</v>
      </c>
      <c r="D120" s="131" t="s">
        <v>104</v>
      </c>
    </row>
    <row r="121" spans="1:5">
      <c r="A121" s="101">
        <v>112</v>
      </c>
      <c r="B121" s="130"/>
      <c r="D121" s="133"/>
    </row>
    <row r="122" spans="1:5">
      <c r="A122" s="101">
        <v>113</v>
      </c>
      <c r="B122" s="130" t="s">
        <v>131</v>
      </c>
      <c r="D122" s="174"/>
    </row>
    <row r="123" spans="1:5">
      <c r="A123" s="101">
        <v>114</v>
      </c>
      <c r="B123" s="130" t="s">
        <v>108</v>
      </c>
      <c r="D123" s="115">
        <v>550000</v>
      </c>
      <c r="E123" s="248" t="s">
        <v>107</v>
      </c>
    </row>
    <row r="124" spans="1:5">
      <c r="A124" s="101">
        <v>115</v>
      </c>
      <c r="B124" s="130" t="s">
        <v>109</v>
      </c>
      <c r="D124" s="115"/>
    </row>
    <row r="125" spans="1:5">
      <c r="A125" s="101">
        <v>116</v>
      </c>
      <c r="B125" s="130" t="s">
        <v>174</v>
      </c>
      <c r="D125" s="115"/>
    </row>
    <row r="126" spans="1:5">
      <c r="A126" s="101">
        <v>117</v>
      </c>
      <c r="B126" s="111" t="s">
        <v>114</v>
      </c>
      <c r="D126" s="119">
        <f>246152315/261192469</f>
        <v>0.94241735201025267</v>
      </c>
      <c r="E126" s="248" t="s">
        <v>107</v>
      </c>
    </row>
    <row r="127" spans="1:5">
      <c r="A127" s="101">
        <v>118</v>
      </c>
      <c r="B127" s="111" t="s">
        <v>115</v>
      </c>
      <c r="D127" s="120">
        <v>0.47489500000000001</v>
      </c>
      <c r="E127" s="248" t="s">
        <v>107</v>
      </c>
    </row>
    <row r="128" spans="1:5">
      <c r="A128" s="101">
        <v>119</v>
      </c>
      <c r="B128" s="130" t="s">
        <v>116</v>
      </c>
      <c r="D128" s="115">
        <f t="shared" ref="D128" si="21">SUM(D123+D124+D125)*D126*D127</f>
        <v>246152.10861059991</v>
      </c>
    </row>
    <row r="129" spans="1:5">
      <c r="A129" s="101">
        <v>120</v>
      </c>
      <c r="B129" s="130" t="s">
        <v>146</v>
      </c>
      <c r="D129" s="115"/>
    </row>
    <row r="130" spans="1:5">
      <c r="A130" s="101">
        <v>121</v>
      </c>
      <c r="B130" s="130" t="s">
        <v>118</v>
      </c>
      <c r="D130" s="115">
        <f t="shared" ref="D130" si="22">SUM(D128)</f>
        <v>246152.10861059991</v>
      </c>
      <c r="E130" s="248" t="s">
        <v>107</v>
      </c>
    </row>
    <row r="131" spans="1:5">
      <c r="A131" s="101">
        <v>122</v>
      </c>
      <c r="B131" s="111" t="s">
        <v>120</v>
      </c>
      <c r="D131" s="115"/>
    </row>
    <row r="132" spans="1:5">
      <c r="A132" s="101">
        <v>123</v>
      </c>
      <c r="B132" s="111" t="s">
        <v>121</v>
      </c>
      <c r="D132" s="175">
        <v>0.92888185069286</v>
      </c>
      <c r="E132" s="248" t="s">
        <v>175</v>
      </c>
    </row>
    <row r="133" spans="1:5">
      <c r="A133" s="101">
        <v>124</v>
      </c>
      <c r="B133" s="111" t="s">
        <v>123</v>
      </c>
      <c r="D133" s="176">
        <f t="shared" ref="D133" si="23">SUM(D130*D132)</f>
        <v>228646.22619816393</v>
      </c>
    </row>
    <row r="134" spans="1:5">
      <c r="A134" s="101">
        <v>125</v>
      </c>
      <c r="B134" s="111" t="s">
        <v>126</v>
      </c>
      <c r="D134" s="141">
        <v>1.2750910147827052E-2</v>
      </c>
      <c r="E134" s="248" t="s">
        <v>127</v>
      </c>
    </row>
    <row r="135" spans="1:5">
      <c r="A135" s="101">
        <v>126</v>
      </c>
      <c r="B135" s="111"/>
      <c r="D135" s="125"/>
    </row>
    <row r="136" spans="1:5" ht="13.5" thickBot="1">
      <c r="A136" s="101">
        <v>127</v>
      </c>
      <c r="D136" s="126">
        <f t="shared" ref="D136" si="24">SUM(D133*D134)</f>
        <v>2915.4474858925278</v>
      </c>
      <c r="E136" s="248" t="s">
        <v>129</v>
      </c>
    </row>
    <row r="137" spans="1:5" ht="13.5" thickTop="1">
      <c r="A137" s="101">
        <v>128</v>
      </c>
      <c r="B137" s="128"/>
      <c r="D137" s="177"/>
    </row>
    <row r="138" spans="1:5">
      <c r="A138" s="101">
        <v>129</v>
      </c>
      <c r="B138" s="132" t="s">
        <v>176</v>
      </c>
      <c r="D138" s="131" t="s">
        <v>104</v>
      </c>
    </row>
    <row r="139" spans="1:5">
      <c r="A139" s="101">
        <v>130</v>
      </c>
      <c r="B139" s="178"/>
      <c r="D139" s="133"/>
    </row>
    <row r="140" spans="1:5">
      <c r="A140" s="101">
        <v>131</v>
      </c>
      <c r="B140" s="130" t="s">
        <v>131</v>
      </c>
      <c r="D140" s="133"/>
    </row>
    <row r="141" spans="1:5">
      <c r="A141" s="101">
        <v>132</v>
      </c>
      <c r="B141" s="130" t="s">
        <v>108</v>
      </c>
      <c r="D141" s="115">
        <v>631442.69799999997</v>
      </c>
      <c r="E141" s="248" t="s">
        <v>107</v>
      </c>
    </row>
    <row r="142" spans="1:5">
      <c r="A142" s="101">
        <v>133</v>
      </c>
      <c r="B142" s="130" t="s">
        <v>109</v>
      </c>
      <c r="D142" s="115">
        <f>SUM(D124)</f>
        <v>0</v>
      </c>
    </row>
    <row r="143" spans="1:5">
      <c r="A143" s="101">
        <v>134</v>
      </c>
      <c r="B143" s="130" t="s">
        <v>132</v>
      </c>
      <c r="D143" s="115">
        <f>SUM(D125)</f>
        <v>0</v>
      </c>
    </row>
    <row r="144" spans="1:5">
      <c r="A144" s="101">
        <v>135</v>
      </c>
      <c r="B144" s="130" t="s">
        <v>134</v>
      </c>
      <c r="D144" s="119">
        <v>1</v>
      </c>
      <c r="E144" s="248" t="s">
        <v>107</v>
      </c>
    </row>
    <row r="145" spans="1:5">
      <c r="A145" s="101">
        <v>136</v>
      </c>
      <c r="B145" s="130" t="s">
        <v>135</v>
      </c>
      <c r="D145" s="120">
        <v>0.18379474000000001</v>
      </c>
      <c r="E145" s="248" t="s">
        <v>107</v>
      </c>
    </row>
    <row r="146" spans="1:5">
      <c r="A146" s="101">
        <v>137</v>
      </c>
      <c r="B146" s="130" t="s">
        <v>116</v>
      </c>
      <c r="D146" s="152">
        <f t="shared" ref="D146" si="25">SUM((D141+D142+D143)*D144*D145)</f>
        <v>116055.84650380853</v>
      </c>
    </row>
    <row r="147" spans="1:5">
      <c r="A147" s="101">
        <v>138</v>
      </c>
      <c r="B147" s="130" t="s">
        <v>146</v>
      </c>
      <c r="D147" s="179">
        <v>-100</v>
      </c>
      <c r="E147" s="248" t="s">
        <v>107</v>
      </c>
    </row>
    <row r="148" spans="1:5">
      <c r="A148" s="101">
        <v>139</v>
      </c>
      <c r="B148" s="130" t="s">
        <v>118</v>
      </c>
      <c r="D148" s="115">
        <f>D146+D147</f>
        <v>115955.84650380853</v>
      </c>
    </row>
    <row r="149" spans="1:5">
      <c r="A149" s="101">
        <v>140</v>
      </c>
      <c r="B149" s="130" t="s">
        <v>136</v>
      </c>
      <c r="D149" s="140">
        <v>1</v>
      </c>
    </row>
    <row r="150" spans="1:5">
      <c r="A150" s="101">
        <v>141</v>
      </c>
      <c r="B150" s="130" t="s">
        <v>137</v>
      </c>
      <c r="D150" s="115">
        <f t="shared" ref="D150" si="26">SUM(D148*D149)</f>
        <v>115955.84650380853</v>
      </c>
      <c r="E150" s="248" t="s">
        <v>119</v>
      </c>
    </row>
    <row r="151" spans="1:5">
      <c r="A151" s="101">
        <v>142</v>
      </c>
      <c r="B151" s="130" t="s">
        <v>138</v>
      </c>
      <c r="D151" s="141">
        <v>1.4259073311743148E-2</v>
      </c>
      <c r="E151" s="248" t="s">
        <v>127</v>
      </c>
    </row>
    <row r="152" spans="1:5">
      <c r="A152" s="101">
        <v>143</v>
      </c>
      <c r="B152" s="130"/>
      <c r="D152" s="123"/>
    </row>
    <row r="153" spans="1:5">
      <c r="A153" s="101">
        <v>144</v>
      </c>
      <c r="B153" s="142" t="s">
        <v>128</v>
      </c>
      <c r="D153" s="180">
        <f t="shared" ref="D153" si="27">SUM(D150*D151)</f>
        <v>1653.4229162230411</v>
      </c>
      <c r="E153" s="248" t="s">
        <v>139</v>
      </c>
    </row>
    <row r="154" spans="1:5">
      <c r="A154" s="101">
        <v>145</v>
      </c>
      <c r="B154" s="153"/>
      <c r="D154" s="144"/>
    </row>
    <row r="155" spans="1:5">
      <c r="A155" s="101">
        <v>146</v>
      </c>
      <c r="B155" s="162" t="s">
        <v>177</v>
      </c>
      <c r="D155" s="163" t="s">
        <v>156</v>
      </c>
    </row>
    <row r="156" spans="1:5">
      <c r="A156" s="101">
        <v>147</v>
      </c>
      <c r="B156" s="130"/>
      <c r="D156" s="133"/>
    </row>
    <row r="157" spans="1:5">
      <c r="A157" s="101">
        <v>148</v>
      </c>
      <c r="B157" s="130"/>
      <c r="D157" s="133"/>
    </row>
    <row r="158" spans="1:5">
      <c r="A158" s="101">
        <v>149</v>
      </c>
      <c r="B158" s="130" t="s">
        <v>178</v>
      </c>
      <c r="D158" s="115">
        <v>282100</v>
      </c>
      <c r="E158" s="248" t="s">
        <v>107</v>
      </c>
    </row>
    <row r="159" spans="1:5">
      <c r="A159" s="101">
        <v>150</v>
      </c>
      <c r="B159" s="130" t="s">
        <v>179</v>
      </c>
      <c r="D159" s="115"/>
    </row>
    <row r="160" spans="1:5">
      <c r="A160" s="101">
        <v>151</v>
      </c>
      <c r="B160" s="130" t="s">
        <v>132</v>
      </c>
      <c r="D160" s="115">
        <v>0</v>
      </c>
    </row>
    <row r="161" spans="1:5">
      <c r="A161" s="101">
        <v>152</v>
      </c>
      <c r="B161" s="130" t="s">
        <v>134</v>
      </c>
      <c r="D161" s="119">
        <v>1</v>
      </c>
    </row>
    <row r="162" spans="1:5">
      <c r="A162" s="101">
        <v>153</v>
      </c>
      <c r="B162" s="130" t="s">
        <v>135</v>
      </c>
      <c r="D162" s="120">
        <v>1</v>
      </c>
    </row>
    <row r="163" spans="1:5">
      <c r="A163" s="101">
        <v>154</v>
      </c>
      <c r="B163" s="130" t="s">
        <v>180</v>
      </c>
      <c r="D163" s="152">
        <f t="shared" ref="D163" si="28">SUM((D158+D159+D160)*D161*D162)</f>
        <v>282100</v>
      </c>
    </row>
    <row r="164" spans="1:5">
      <c r="A164" s="101">
        <v>155</v>
      </c>
      <c r="B164" s="130" t="s">
        <v>181</v>
      </c>
      <c r="D164" s="115"/>
    </row>
    <row r="165" spans="1:5">
      <c r="A165" s="101">
        <v>156</v>
      </c>
      <c r="B165" s="130"/>
      <c r="D165" s="181">
        <v>1</v>
      </c>
    </row>
    <row r="166" spans="1:5">
      <c r="A166" s="101">
        <v>157</v>
      </c>
      <c r="B166" s="130" t="s">
        <v>118</v>
      </c>
      <c r="D166" s="115">
        <f t="shared" ref="D166" si="29">SUM(D163*D165)</f>
        <v>282100</v>
      </c>
    </row>
    <row r="167" spans="1:5">
      <c r="A167" s="101">
        <v>158</v>
      </c>
      <c r="B167" s="130" t="s">
        <v>136</v>
      </c>
      <c r="D167" s="182">
        <v>1</v>
      </c>
    </row>
    <row r="168" spans="1:5">
      <c r="A168" s="101">
        <v>159</v>
      </c>
      <c r="B168" s="130" t="s">
        <v>137</v>
      </c>
      <c r="D168" s="115">
        <f t="shared" ref="D168" si="30">SUM(D166*D167)</f>
        <v>282100</v>
      </c>
    </row>
    <row r="169" spans="1:5">
      <c r="A169" s="101">
        <v>160</v>
      </c>
      <c r="B169" s="130" t="s">
        <v>138</v>
      </c>
      <c r="D169" s="141">
        <v>1.3060665398477674E-2</v>
      </c>
      <c r="E169" s="248" t="s">
        <v>182</v>
      </c>
    </row>
    <row r="170" spans="1:5">
      <c r="A170" s="101">
        <v>161</v>
      </c>
      <c r="B170" s="130"/>
      <c r="D170" s="125"/>
    </row>
    <row r="171" spans="1:5" ht="26.25" thickBot="1">
      <c r="A171" s="101">
        <v>162</v>
      </c>
      <c r="B171" s="142" t="s">
        <v>128</v>
      </c>
      <c r="D171" s="126">
        <f t="shared" ref="D171" si="31">SUM(D168*D169)</f>
        <v>3684.4137089105516</v>
      </c>
      <c r="E171" s="248" t="s">
        <v>183</v>
      </c>
    </row>
    <row r="172" spans="1:5" ht="13.5" thickTop="1">
      <c r="A172" s="101">
        <v>163</v>
      </c>
      <c r="B172" s="183"/>
      <c r="D172" s="144"/>
    </row>
    <row r="173" spans="1:5" ht="13.5" thickBot="1">
      <c r="A173" s="101">
        <v>164</v>
      </c>
      <c r="B173" s="183"/>
      <c r="D173" s="144"/>
    </row>
    <row r="174" spans="1:5" ht="18">
      <c r="A174" s="101">
        <v>165</v>
      </c>
      <c r="B174" s="184"/>
      <c r="D174" s="185" t="s">
        <v>184</v>
      </c>
    </row>
    <row r="175" spans="1:5" ht="18">
      <c r="A175" s="101">
        <v>166</v>
      </c>
      <c r="B175" s="186" t="s">
        <v>185</v>
      </c>
      <c r="D175" s="187" t="s">
        <v>186</v>
      </c>
    </row>
    <row r="176" spans="1:5" ht="18.75" thickBot="1">
      <c r="A176" s="101">
        <v>167</v>
      </c>
      <c r="B176" s="188"/>
      <c r="D176" s="189" t="s">
        <v>187</v>
      </c>
    </row>
    <row r="177" spans="1:4">
      <c r="A177" s="101">
        <v>168</v>
      </c>
      <c r="B177" s="190"/>
      <c r="D177" s="191"/>
    </row>
    <row r="178" spans="1:4">
      <c r="A178" s="101">
        <v>169</v>
      </c>
      <c r="B178" s="192" t="s">
        <v>188</v>
      </c>
      <c r="D178" s="193" t="s">
        <v>189</v>
      </c>
    </row>
    <row r="179" spans="1:4">
      <c r="A179" s="101">
        <v>170</v>
      </c>
      <c r="B179" s="192"/>
      <c r="D179" s="112">
        <v>2017</v>
      </c>
    </row>
    <row r="180" spans="1:4" hidden="1">
      <c r="A180" s="101">
        <v>171</v>
      </c>
      <c r="B180" s="192" t="s">
        <v>190</v>
      </c>
      <c r="D180" s="194"/>
    </row>
    <row r="181" spans="1:4" hidden="1">
      <c r="A181" s="101">
        <v>172</v>
      </c>
      <c r="B181" s="192"/>
      <c r="D181" s="194"/>
    </row>
    <row r="182" spans="1:4" hidden="1">
      <c r="A182" s="101">
        <v>173</v>
      </c>
      <c r="B182" s="195" t="s">
        <v>191</v>
      </c>
      <c r="D182" s="196">
        <f t="shared" ref="D182" si="32">SUM(D32)</f>
        <v>13169.877019950874</v>
      </c>
    </row>
    <row r="183" spans="1:4" hidden="1">
      <c r="A183" s="101">
        <v>174</v>
      </c>
      <c r="B183" s="195" t="s">
        <v>192</v>
      </c>
      <c r="D183" s="196"/>
    </row>
    <row r="184" spans="1:4" hidden="1">
      <c r="A184" s="101">
        <v>175</v>
      </c>
      <c r="B184" s="195" t="s">
        <v>193</v>
      </c>
      <c r="D184" s="196">
        <f t="shared" ref="D184" si="33">SUM(D55)</f>
        <v>6174.574278550891</v>
      </c>
    </row>
    <row r="185" spans="1:4" hidden="1">
      <c r="A185" s="101">
        <v>176</v>
      </c>
      <c r="B185" s="195" t="s">
        <v>194</v>
      </c>
      <c r="D185" s="196">
        <f t="shared" ref="D185" si="34">SUM(D79)</f>
        <v>10043.15582503802</v>
      </c>
    </row>
    <row r="186" spans="1:4" hidden="1">
      <c r="A186" s="101">
        <v>177</v>
      </c>
      <c r="B186" s="197" t="s">
        <v>195</v>
      </c>
      <c r="D186" s="196">
        <f t="shared" ref="D186" si="35">SUM(D100)</f>
        <v>10.51116</v>
      </c>
    </row>
    <row r="187" spans="1:4" hidden="1">
      <c r="A187" s="101">
        <v>178</v>
      </c>
      <c r="B187" s="197" t="s">
        <v>196</v>
      </c>
      <c r="D187" s="180">
        <f t="shared" ref="D187" si="36">SUM(D116)</f>
        <v>2856.6411931587431</v>
      </c>
    </row>
    <row r="188" spans="1:4" hidden="1">
      <c r="A188" s="101">
        <v>179</v>
      </c>
      <c r="B188" s="192"/>
      <c r="D188" s="196"/>
    </row>
    <row r="189" spans="1:4" hidden="1">
      <c r="A189" s="101">
        <v>180</v>
      </c>
      <c r="B189" s="195" t="s">
        <v>197</v>
      </c>
      <c r="D189" s="180">
        <f t="shared" ref="D189" si="37">SUM(D182:D187)</f>
        <v>32254.759476698524</v>
      </c>
    </row>
    <row r="190" spans="1:4" hidden="1">
      <c r="A190" s="101">
        <v>181</v>
      </c>
      <c r="B190" s="192"/>
      <c r="D190" s="196"/>
    </row>
    <row r="191" spans="1:4">
      <c r="A191" s="101">
        <v>182</v>
      </c>
      <c r="B191" s="192" t="s">
        <v>198</v>
      </c>
      <c r="D191" s="196"/>
    </row>
    <row r="192" spans="1:4">
      <c r="A192" s="101">
        <v>183</v>
      </c>
      <c r="B192" s="192"/>
      <c r="D192" s="196"/>
    </row>
    <row r="193" spans="1:4">
      <c r="A193" s="101">
        <v>184</v>
      </c>
      <c r="B193" s="195" t="s">
        <v>199</v>
      </c>
      <c r="D193" s="196">
        <f t="shared" ref="D193" si="38">SUM(D136)</f>
        <v>2915.4474858925278</v>
      </c>
    </row>
    <row r="194" spans="1:4">
      <c r="A194" s="101">
        <v>185</v>
      </c>
      <c r="B194" s="195" t="s">
        <v>193</v>
      </c>
      <c r="D194" s="196">
        <f t="shared" ref="D194" si="39">SUM(D153)</f>
        <v>1653.4229162230411</v>
      </c>
    </row>
    <row r="195" spans="1:4">
      <c r="A195" s="101">
        <v>186</v>
      </c>
      <c r="B195" s="195" t="s">
        <v>200</v>
      </c>
      <c r="D195" s="196">
        <f t="shared" ref="D195" si="40">SUM(D171)</f>
        <v>3684.4137089105516</v>
      </c>
    </row>
    <row r="196" spans="1:4">
      <c r="A196" s="101">
        <v>187</v>
      </c>
      <c r="B196" s="192" t="s">
        <v>125</v>
      </c>
      <c r="D196" s="180">
        <v>0</v>
      </c>
    </row>
    <row r="197" spans="1:4">
      <c r="A197" s="101">
        <v>188</v>
      </c>
      <c r="B197" s="195"/>
      <c r="D197" s="196"/>
    </row>
    <row r="198" spans="1:4">
      <c r="A198" s="101">
        <v>189</v>
      </c>
      <c r="B198" s="195" t="s">
        <v>197</v>
      </c>
      <c r="D198" s="180">
        <f t="shared" ref="D198" si="41">SUM(D193:D195)</f>
        <v>8253.2841110261215</v>
      </c>
    </row>
    <row r="199" spans="1:4" hidden="1">
      <c r="A199" s="101">
        <v>190</v>
      </c>
      <c r="B199" s="192" t="s">
        <v>201</v>
      </c>
      <c r="D199" s="199"/>
    </row>
    <row r="200" spans="1:4" ht="13.5" hidden="1" thickBot="1">
      <c r="A200" s="101">
        <v>191</v>
      </c>
      <c r="D200" s="200">
        <f t="shared" ref="D200" si="42">SUM(D189+D198)</f>
        <v>40508.043587724649</v>
      </c>
    </row>
    <row r="201" spans="1:4" hidden="1">
      <c r="A201" s="101">
        <v>192</v>
      </c>
    </row>
  </sheetData>
  <pageMargins left="0.7" right="0.7" top="0.52" bottom="0.26" header="0.2" footer="0.17"/>
  <pageSetup scale="73" fitToHeight="0" orientation="portrait" r:id="rId1"/>
  <headerFooter>
    <oddHeader>&amp;RExh AIW-2
Dockets UE-170485 / UG-170486
Page &amp;P of &amp;N</oddHeader>
  </headerFooter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02"/>
  <sheetViews>
    <sheetView workbookViewId="0">
      <selection activeCell="K18" sqref="K18"/>
    </sheetView>
  </sheetViews>
  <sheetFormatPr defaultColWidth="8.85546875" defaultRowHeight="15"/>
  <cols>
    <col min="1" max="1" width="38.28515625" style="826" customWidth="1"/>
    <col min="2" max="2" width="2.85546875" style="826" customWidth="1"/>
    <col min="3" max="3" width="10.140625" style="826" customWidth="1"/>
    <col min="4" max="4" width="6.7109375" style="826" customWidth="1"/>
    <col min="5" max="5" width="9.7109375" style="826" customWidth="1"/>
    <col min="6" max="6" width="6.7109375" style="826" customWidth="1"/>
    <col min="7" max="7" width="9.140625" style="826" customWidth="1"/>
    <col min="8" max="8" width="6.7109375" style="826" customWidth="1"/>
    <col min="9" max="9" width="9.7109375" style="826" customWidth="1"/>
    <col min="10" max="10" width="6.7109375" style="826" customWidth="1"/>
    <col min="11" max="11" width="9.28515625" style="826" customWidth="1"/>
    <col min="12" max="12" width="6.7109375" style="826" customWidth="1"/>
    <col min="13" max="16384" width="8.85546875" style="826"/>
  </cols>
  <sheetData>
    <row r="1" spans="1:12">
      <c r="A1" s="826" t="s">
        <v>431</v>
      </c>
      <c r="E1" s="851" t="s">
        <v>456</v>
      </c>
    </row>
    <row r="2" spans="1:12">
      <c r="A2" s="826" t="s">
        <v>453</v>
      </c>
    </row>
    <row r="3" spans="1:12">
      <c r="A3" s="826" t="s">
        <v>454</v>
      </c>
    </row>
    <row r="5" spans="1:12">
      <c r="A5" s="825" t="s">
        <v>99</v>
      </c>
      <c r="C5" s="827">
        <v>2011</v>
      </c>
      <c r="D5" s="828"/>
      <c r="E5" s="827">
        <v>2012</v>
      </c>
      <c r="F5" s="827"/>
      <c r="G5" s="827">
        <v>2013</v>
      </c>
      <c r="H5" s="827"/>
      <c r="I5" s="827">
        <v>2014</v>
      </c>
      <c r="J5" s="827"/>
      <c r="K5" s="827">
        <v>2015</v>
      </c>
      <c r="L5" s="827"/>
    </row>
    <row r="6" spans="1:12">
      <c r="A6" s="825" t="s">
        <v>100</v>
      </c>
      <c r="C6" s="829">
        <v>2012</v>
      </c>
      <c r="D6" s="830"/>
      <c r="E6" s="829">
        <v>2013</v>
      </c>
      <c r="F6" s="829"/>
      <c r="G6" s="829">
        <v>2014</v>
      </c>
      <c r="H6" s="829"/>
      <c r="I6" s="829">
        <v>2015</v>
      </c>
      <c r="J6" s="829"/>
      <c r="K6" s="829">
        <v>2016</v>
      </c>
      <c r="L6" s="829"/>
    </row>
    <row r="7" spans="1:12">
      <c r="A7" s="831" t="s">
        <v>101</v>
      </c>
      <c r="C7" s="832">
        <v>2012</v>
      </c>
      <c r="D7" s="833"/>
      <c r="E7" s="832">
        <v>2013</v>
      </c>
      <c r="F7" s="832"/>
      <c r="G7" s="832">
        <v>2014</v>
      </c>
      <c r="H7" s="832"/>
      <c r="I7" s="832">
        <v>2015</v>
      </c>
      <c r="J7" s="832"/>
      <c r="K7" s="832">
        <v>2016</v>
      </c>
      <c r="L7" s="832"/>
    </row>
    <row r="8" spans="1:12">
      <c r="A8" s="834" t="s">
        <v>446</v>
      </c>
      <c r="C8" s="827" t="s">
        <v>242</v>
      </c>
      <c r="D8" s="1296" t="s">
        <v>447</v>
      </c>
      <c r="E8" s="827" t="s">
        <v>243</v>
      </c>
      <c r="F8" s="1296" t="s">
        <v>447</v>
      </c>
      <c r="G8" s="827" t="s">
        <v>244</v>
      </c>
      <c r="H8" s="1296" t="s">
        <v>447</v>
      </c>
      <c r="I8" s="835" t="s">
        <v>245</v>
      </c>
      <c r="J8" s="1296" t="s">
        <v>447</v>
      </c>
      <c r="K8" s="835" t="s">
        <v>246</v>
      </c>
      <c r="L8" s="1296" t="s">
        <v>447</v>
      </c>
    </row>
    <row r="9" spans="1:12">
      <c r="A9" s="836" t="s">
        <v>448</v>
      </c>
      <c r="C9" s="837" t="s">
        <v>119</v>
      </c>
      <c r="D9" s="1297"/>
      <c r="E9" s="837" t="s">
        <v>119</v>
      </c>
      <c r="F9" s="1297"/>
      <c r="G9" s="837" t="s">
        <v>119</v>
      </c>
      <c r="H9" s="1297"/>
      <c r="I9" s="837" t="s">
        <v>119</v>
      </c>
      <c r="J9" s="1297"/>
      <c r="K9" s="837" t="s">
        <v>119</v>
      </c>
      <c r="L9" s="1297"/>
    </row>
    <row r="11" spans="1:12">
      <c r="A11" s="838" t="s">
        <v>188</v>
      </c>
    </row>
    <row r="12" spans="1:12">
      <c r="A12" s="838"/>
    </row>
    <row r="13" spans="1:12">
      <c r="A13" s="838" t="s">
        <v>190</v>
      </c>
    </row>
    <row r="14" spans="1:12">
      <c r="A14" s="838"/>
    </row>
    <row r="15" spans="1:12">
      <c r="A15" s="839" t="s">
        <v>191</v>
      </c>
      <c r="C15" s="840">
        <v>8630.5537097419092</v>
      </c>
      <c r="D15" s="841">
        <f>(C15-7876)/7876</f>
        <v>9.580417848424444E-2</v>
      </c>
      <c r="E15" s="840">
        <v>9501.7079599999997</v>
      </c>
      <c r="F15" s="841">
        <f>(E15-C15)/E15</f>
        <v>9.1683963969998769E-2</v>
      </c>
      <c r="G15" s="840">
        <v>11286.939</v>
      </c>
      <c r="H15" s="841">
        <f>(G15-E15)/G15</f>
        <v>0.15816786464425833</v>
      </c>
      <c r="I15" s="840">
        <v>12999.765589175515</v>
      </c>
      <c r="J15" s="841">
        <f>(I15-G15)/I15</f>
        <v>0.13175826728766016</v>
      </c>
      <c r="K15" s="842">
        <v>12677.752</v>
      </c>
      <c r="L15" s="841">
        <f>(K15-I15)/K15</f>
        <v>-2.5399896541241255E-2</v>
      </c>
    </row>
    <row r="16" spans="1:12" hidden="1">
      <c r="A16" s="839" t="s">
        <v>192</v>
      </c>
      <c r="C16" s="840"/>
      <c r="D16" s="841">
        <f t="shared" ref="D16" si="0">(C16-7876)/7876</f>
        <v>-1</v>
      </c>
      <c r="E16" s="840"/>
      <c r="G16" s="840"/>
      <c r="I16" s="840"/>
      <c r="K16" s="840"/>
    </row>
    <row r="17" spans="1:12">
      <c r="A17" s="839" t="s">
        <v>193</v>
      </c>
      <c r="C17" s="840">
        <v>4690.254523070862</v>
      </c>
      <c r="D17" s="841">
        <f>(C17-4335)/7335</f>
        <v>4.8432791148038445E-2</v>
      </c>
      <c r="E17" s="840">
        <v>5359.0285675337436</v>
      </c>
      <c r="F17" s="841">
        <f>(E17-C17)/E17</f>
        <v>0.12479389427301661</v>
      </c>
      <c r="G17" s="840">
        <v>5440.7422465869995</v>
      </c>
      <c r="H17" s="841">
        <f>(G17-E17)/G17</f>
        <v>1.5018847677357847E-2</v>
      </c>
      <c r="I17" s="840">
        <v>5717.717903841688</v>
      </c>
      <c r="J17" s="841">
        <f>(I17-G17)/I17</f>
        <v>4.8441644361046705E-2</v>
      </c>
      <c r="K17" s="843">
        <v>5675.1669887565686</v>
      </c>
      <c r="L17" s="841">
        <f>(K17-I17)/K17</f>
        <v>-7.4977379818813644E-3</v>
      </c>
    </row>
    <row r="18" spans="1:12">
      <c r="A18" s="839" t="s">
        <v>194</v>
      </c>
      <c r="C18" s="840">
        <v>7219.74299186594</v>
      </c>
      <c r="D18" s="841">
        <f>(C18-6929)/6929</f>
        <v>4.1960310559379418E-2</v>
      </c>
      <c r="E18" s="840">
        <v>8163.043288322272</v>
      </c>
      <c r="F18" s="841">
        <f>(E18-C18)/E18</f>
        <v>0.11555742915216195</v>
      </c>
      <c r="G18" s="840">
        <v>8456.9513856009962</v>
      </c>
      <c r="H18" s="841">
        <f>(G18-E18)/G18</f>
        <v>3.4753433462930743E-2</v>
      </c>
      <c r="I18" s="840">
        <v>8062.4233890853202</v>
      </c>
      <c r="J18" s="841">
        <f>(I18-G18)/I18</f>
        <v>-4.8934169972985643E-2</v>
      </c>
      <c r="K18" s="843">
        <v>9750.9988719237135</v>
      </c>
      <c r="L18" s="841">
        <f>(K18-I18)/K18</f>
        <v>0.17316948807166305</v>
      </c>
    </row>
    <row r="19" spans="1:12">
      <c r="A19" s="844" t="s">
        <v>195</v>
      </c>
      <c r="C19" s="840">
        <v>8.2702146414089999</v>
      </c>
      <c r="D19" s="841">
        <f>(C19-9)/9</f>
        <v>-8.1087262065666688E-2</v>
      </c>
      <c r="E19" s="840">
        <v>9.3172825078781703</v>
      </c>
      <c r="F19" s="841">
        <f>(E19-C19)/E19</f>
        <v>0.11237910469966202</v>
      </c>
      <c r="G19" s="840">
        <v>11.382350000000001</v>
      </c>
      <c r="H19" s="841">
        <f>(G19-E19)/G19</f>
        <v>0.18142716505131457</v>
      </c>
      <c r="I19" s="840">
        <v>10.468988399999999</v>
      </c>
      <c r="J19" s="841">
        <f>(I19-G19)/I19</f>
        <v>-8.7244494415525564E-2</v>
      </c>
      <c r="K19" s="843">
        <v>10.51116</v>
      </c>
      <c r="L19" s="841">
        <f>(K19-I19)/K19</f>
        <v>4.0120785907551042E-3</v>
      </c>
    </row>
    <row r="20" spans="1:12">
      <c r="A20" s="844" t="s">
        <v>196</v>
      </c>
      <c r="C20" s="840">
        <v>1918.901132</v>
      </c>
      <c r="D20" s="841">
        <f>(C20-2030)/2030</f>
        <v>-5.4728506403940905E-2</v>
      </c>
      <c r="E20" s="840">
        <v>2189.4442599999998</v>
      </c>
      <c r="F20" s="841">
        <f>(E20-C20)/E20</f>
        <v>0.12356703157174681</v>
      </c>
      <c r="G20" s="840">
        <v>2525.8229999999999</v>
      </c>
      <c r="H20" s="841">
        <f>(G20-E20)/G20</f>
        <v>0.13317589553979045</v>
      </c>
      <c r="I20" s="840">
        <v>2707.3523175999999</v>
      </c>
      <c r="J20" s="841">
        <f>(I20-G20)/I20</f>
        <v>6.7050496686342331E-2</v>
      </c>
      <c r="K20" s="843">
        <v>2514.9974500000003</v>
      </c>
      <c r="L20" s="841">
        <f>(K20-I20)/K20</f>
        <v>-7.6483126295018536E-2</v>
      </c>
    </row>
    <row r="21" spans="1:12">
      <c r="A21" s="838"/>
      <c r="C21" s="840"/>
      <c r="D21" s="841"/>
      <c r="E21" s="840"/>
    </row>
    <row r="22" spans="1:12">
      <c r="A22" s="839" t="s">
        <v>449</v>
      </c>
      <c r="C22" s="840">
        <f>SUM(C15:C20)</f>
        <v>22467.722571320119</v>
      </c>
      <c r="D22" s="841">
        <f>(C22-21178)/21178</f>
        <v>6.0899167594679324E-2</v>
      </c>
      <c r="E22" s="840">
        <f>SUM(E15:E20)</f>
        <v>25222.541358363891</v>
      </c>
      <c r="F22" s="841">
        <f>(E22-C22)/E22</f>
        <v>0.10922050827087905</v>
      </c>
      <c r="G22" s="840">
        <f>SUM(G15:G20)</f>
        <v>27721.837982187997</v>
      </c>
      <c r="H22" s="841">
        <f>(G22-E22)/G22</f>
        <v>9.0156238032628622E-2</v>
      </c>
      <c r="I22" s="840">
        <f>SUM(I15:I20)</f>
        <v>29497.728188102526</v>
      </c>
      <c r="J22" s="841">
        <f>(I22-G22)/I22</f>
        <v>6.0204304365066609E-2</v>
      </c>
      <c r="K22" s="840">
        <f>SUM(K15:K20)</f>
        <v>30629.426470680279</v>
      </c>
      <c r="L22" s="841">
        <f>(K22-I22)/K22</f>
        <v>3.6948072914818025E-2</v>
      </c>
    </row>
    <row r="24" spans="1:12">
      <c r="A24" s="838" t="s">
        <v>450</v>
      </c>
    </row>
    <row r="25" spans="1:12">
      <c r="A25" s="838"/>
    </row>
    <row r="26" spans="1:12">
      <c r="A26" s="839" t="s">
        <v>199</v>
      </c>
      <c r="C26" s="840">
        <v>2238.4238615852555</v>
      </c>
      <c r="D26" s="841">
        <f>(C26-1940)/1940</f>
        <v>0.15382673277590489</v>
      </c>
      <c r="E26" s="840">
        <v>2444.3019199999999</v>
      </c>
      <c r="F26" s="841">
        <f>(E26-C26)/E26</f>
        <v>8.4227753016184015E-2</v>
      </c>
      <c r="G26" s="840">
        <v>2941.3620000000001</v>
      </c>
      <c r="H26" s="841">
        <f>(G26-E26)/G26</f>
        <v>0.16898976732547716</v>
      </c>
      <c r="I26" s="840">
        <v>2778.7148000000002</v>
      </c>
      <c r="J26" s="841">
        <f>(I26-G26)/I26</f>
        <v>-5.8533247096823275E-2</v>
      </c>
      <c r="K26" s="842">
        <v>2723.0960382527305</v>
      </c>
      <c r="L26" s="841">
        <f>(K26-I26)/K26</f>
        <v>-2.0424825627140698E-2</v>
      </c>
    </row>
    <row r="27" spans="1:12">
      <c r="A27" s="839" t="s">
        <v>193</v>
      </c>
      <c r="C27" s="840">
        <v>1112.580366038414</v>
      </c>
      <c r="D27" s="841">
        <f>(C27-856)/856</f>
        <v>0.29974341826917522</v>
      </c>
      <c r="E27" s="840">
        <v>1255.1733400000001</v>
      </c>
      <c r="F27" s="841">
        <f>(E27-C27)/E27</f>
        <v>0.11360420861200417</v>
      </c>
      <c r="G27" s="840">
        <v>1336.7211187574665</v>
      </c>
      <c r="H27" s="841">
        <f>(G27-E27)/G27</f>
        <v>6.100582807674064E-2</v>
      </c>
      <c r="I27" s="840">
        <v>1396.8021189769413</v>
      </c>
      <c r="J27" s="841">
        <f>(I27-G27)/I27</f>
        <v>4.3013251056262664E-2</v>
      </c>
      <c r="K27" s="843">
        <v>1470.0476900000001</v>
      </c>
      <c r="L27" s="841">
        <f>(K27-I27)/K27</f>
        <v>4.9825302622025003E-2</v>
      </c>
    </row>
    <row r="28" spans="1:12">
      <c r="A28" s="839" t="s">
        <v>200</v>
      </c>
      <c r="C28" s="840">
        <v>2030.6547399999999</v>
      </c>
      <c r="D28" s="841">
        <f>(C28-1791)/1791</f>
        <v>0.13381057509771074</v>
      </c>
      <c r="E28" s="840">
        <v>2137.1771711399883</v>
      </c>
      <c r="F28" s="841">
        <f>(E28-C28)/E28</f>
        <v>4.9842583281557523E-2</v>
      </c>
      <c r="G28" s="840">
        <v>2378.8604999999998</v>
      </c>
      <c r="H28" s="841">
        <f>(G28-E28)/G28</f>
        <v>0.10159625957890825</v>
      </c>
      <c r="I28" s="840">
        <v>2651</v>
      </c>
      <c r="J28" s="841">
        <f>(I28-G28)/I28</f>
        <v>0.10265541305167869</v>
      </c>
      <c r="K28" s="840">
        <v>3184.1441200000004</v>
      </c>
      <c r="L28" s="841">
        <f>(K28-I28)/K28</f>
        <v>0.16743718246019604</v>
      </c>
    </row>
    <row r="29" spans="1:12" hidden="1">
      <c r="A29" s="838" t="s">
        <v>125</v>
      </c>
      <c r="C29" s="840">
        <v>0</v>
      </c>
      <c r="D29" s="841"/>
      <c r="E29" s="840">
        <v>0</v>
      </c>
      <c r="F29" s="840"/>
      <c r="G29" s="840">
        <v>0</v>
      </c>
      <c r="H29" s="840"/>
      <c r="I29" s="840">
        <v>0</v>
      </c>
      <c r="J29" s="840"/>
      <c r="K29" s="840">
        <v>0</v>
      </c>
      <c r="L29" s="840"/>
    </row>
    <row r="30" spans="1:12">
      <c r="A30" s="838"/>
      <c r="C30" s="840"/>
      <c r="D30" s="840"/>
      <c r="E30" s="840"/>
      <c r="F30" s="840"/>
      <c r="G30" s="840"/>
      <c r="H30" s="840"/>
      <c r="I30" s="840"/>
      <c r="J30" s="840"/>
      <c r="K30" s="840"/>
      <c r="L30" s="840"/>
    </row>
    <row r="31" spans="1:12">
      <c r="A31" s="839" t="s">
        <v>451</v>
      </c>
      <c r="C31" s="845">
        <f>SUM(C26:C30)</f>
        <v>5381.658967623669</v>
      </c>
      <c r="D31" s="841">
        <f>(C31-4587)/4587</f>
        <v>0.17324154515449511</v>
      </c>
      <c r="E31" s="845">
        <f>SUM(E26:E30)</f>
        <v>5836.652431139988</v>
      </c>
      <c r="F31" s="841">
        <f>(E31-C31)/E31</f>
        <v>7.7954524255858734E-2</v>
      </c>
      <c r="G31" s="845">
        <f>SUM(G26:G30)</f>
        <v>6656.9436187574665</v>
      </c>
      <c r="H31" s="841">
        <f>(G31-E31)/G31</f>
        <v>0.12322339418740454</v>
      </c>
      <c r="I31" s="845">
        <f>SUM(I26:I30)</f>
        <v>6826.5169189769413</v>
      </c>
      <c r="J31" s="841">
        <f>(I31-G31)/I31</f>
        <v>2.4840383790462779E-2</v>
      </c>
      <c r="K31" s="845">
        <f>SUM(K26:K30)</f>
        <v>7377.2878482527303</v>
      </c>
      <c r="L31" s="841">
        <f>(K31-I31)/K31</f>
        <v>7.4657643920758229E-2</v>
      </c>
    </row>
    <row r="32" spans="1:12">
      <c r="A32" s="838"/>
    </row>
    <row r="33" spans="1:12">
      <c r="A33" s="838" t="s">
        <v>452</v>
      </c>
      <c r="C33" s="845">
        <f>C22+C31</f>
        <v>27849.381538943788</v>
      </c>
      <c r="D33" s="841">
        <f>(C33-25765)/25765</f>
        <v>8.089972982510335E-2</v>
      </c>
      <c r="E33" s="845">
        <f>E22+E31</f>
        <v>31059.193789503879</v>
      </c>
      <c r="F33" s="841">
        <f>(E33-C33)/E33</f>
        <v>0.10334499576240813</v>
      </c>
      <c r="G33" s="845">
        <f>G22+G31</f>
        <v>34378.781600945462</v>
      </c>
      <c r="H33" s="841">
        <f>(G33-E33)/G33</f>
        <v>9.6559204743611085E-2</v>
      </c>
      <c r="I33" s="845">
        <f>I22+I31</f>
        <v>36324.24510707947</v>
      </c>
      <c r="J33" s="841">
        <f>(I33-G33)/I33</f>
        <v>5.3558263919842468E-2</v>
      </c>
      <c r="K33" s="845">
        <f>K22+K31</f>
        <v>38006.714318933009</v>
      </c>
      <c r="L33" s="841">
        <f>(K33-I33)/K33</f>
        <v>4.4267683802791079E-2</v>
      </c>
    </row>
    <row r="120" hidden="1"/>
    <row r="121" hidden="1"/>
    <row r="122" hidden="1"/>
    <row r="123" hidden="1"/>
    <row r="124" hidden="1"/>
    <row r="125" hidden="1"/>
    <row r="126" hidden="1"/>
    <row r="127" hidden="1"/>
    <row r="128" hidden="1"/>
    <row r="129" hidden="1"/>
    <row r="130" hidden="1"/>
    <row r="131" hidden="1"/>
    <row r="132" hidden="1"/>
    <row r="133" hidden="1"/>
    <row r="134" hidden="1"/>
    <row r="135" hidden="1"/>
    <row r="136" hidden="1"/>
    <row r="137" hidden="1"/>
    <row r="138" hidden="1"/>
    <row r="139" hidden="1"/>
    <row r="140" hidden="1"/>
    <row r="141" hidden="1"/>
    <row r="142" hidden="1"/>
    <row r="143" hidden="1"/>
    <row r="144" hidden="1"/>
    <row r="145" hidden="1"/>
    <row r="146" hidden="1"/>
    <row r="147" hidden="1"/>
    <row r="148" hidden="1"/>
    <row r="149" hidden="1"/>
    <row r="150" hidden="1"/>
    <row r="151" hidden="1"/>
    <row r="152" hidden="1"/>
    <row r="153" hidden="1"/>
    <row r="154" hidden="1"/>
    <row r="155" hidden="1"/>
    <row r="156" hidden="1"/>
    <row r="157" hidden="1"/>
    <row r="158" hidden="1"/>
    <row r="159" hidden="1"/>
    <row r="160" hidden="1"/>
    <row r="161" hidden="1"/>
    <row r="162" hidden="1"/>
    <row r="163" hidden="1"/>
    <row r="164" hidden="1"/>
    <row r="165" hidden="1"/>
    <row r="166" hidden="1"/>
    <row r="167" hidden="1"/>
    <row r="168" hidden="1"/>
    <row r="169" hidden="1"/>
    <row r="170" hidden="1"/>
    <row r="171" hidden="1"/>
    <row r="172" hidden="1"/>
    <row r="173" hidden="1"/>
    <row r="191" hidden="1"/>
    <row r="192" hidden="1"/>
    <row r="193" hidden="1"/>
    <row r="194" hidden="1"/>
    <row r="195" hidden="1"/>
    <row r="196" hidden="1"/>
    <row r="197" hidden="1"/>
    <row r="198" hidden="1"/>
    <row r="199" hidden="1"/>
    <row r="200" hidden="1"/>
    <row r="201" hidden="1"/>
    <row r="202" hidden="1"/>
  </sheetData>
  <mergeCells count="5">
    <mergeCell ref="D8:D9"/>
    <mergeCell ref="F8:F9"/>
    <mergeCell ref="H8:H9"/>
    <mergeCell ref="J8:J9"/>
    <mergeCell ref="L8:L9"/>
  </mergeCells>
  <pageMargins left="0.7" right="0.7" top="0.75" bottom="0.75" header="0.3" footer="0.3"/>
  <pageSetup scale="75" fitToHeight="0" orientation="portrait" r:id="rId1"/>
  <headerFooter>
    <oddHeader>&amp;RExh AIW-2
Dockets UE-170485 / UG-170486
Page &amp;P of &amp;N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207"/>
  <sheetViews>
    <sheetView topLeftCell="A16" workbookViewId="0">
      <selection activeCell="T33" sqref="T33"/>
    </sheetView>
  </sheetViews>
  <sheetFormatPr defaultRowHeight="12.75"/>
  <cols>
    <col min="1" max="1" width="6.28515625" customWidth="1"/>
    <col min="2" max="2" width="41.42578125" customWidth="1"/>
    <col min="3" max="3" width="6.5703125" style="269" hidden="1" customWidth="1"/>
    <col min="4" max="4" width="28.28515625" hidden="1" customWidth="1"/>
    <col min="5" max="5" width="6.85546875" hidden="1" customWidth="1"/>
    <col min="6" max="6" width="26.42578125" hidden="1" customWidth="1"/>
    <col min="7" max="7" width="8" hidden="1" customWidth="1"/>
    <col min="8" max="8" width="24.140625" hidden="1" customWidth="1"/>
    <col min="9" max="9" width="6.28515625" style="270" hidden="1" customWidth="1"/>
    <col min="10" max="10" width="21.7109375" hidden="1" customWidth="1"/>
    <col min="11" max="11" width="4.7109375" hidden="1" customWidth="1"/>
    <col min="12" max="12" width="7.28515625" style="271" hidden="1" customWidth="1"/>
    <col min="13" max="13" width="19.85546875" hidden="1" customWidth="1"/>
    <col min="14" max="14" width="8" style="246" hidden="1" customWidth="1"/>
    <col min="15" max="15" width="19.85546875" customWidth="1"/>
    <col min="16" max="16" width="6.42578125" style="246" customWidth="1"/>
    <col min="17" max="17" width="21.42578125" customWidth="1"/>
    <col min="18" max="18" width="6.7109375" style="246" customWidth="1"/>
    <col min="19" max="19" width="21.42578125" customWidth="1"/>
    <col min="20" max="20" width="8.7109375" style="246" customWidth="1"/>
    <col min="21" max="24" width="18.7109375" customWidth="1"/>
  </cols>
  <sheetData>
    <row r="1" spans="1:24">
      <c r="B1" t="s">
        <v>431</v>
      </c>
    </row>
    <row r="2" spans="1:24">
      <c r="B2" t="s">
        <v>486</v>
      </c>
    </row>
    <row r="3" spans="1:24">
      <c r="B3" t="s">
        <v>483</v>
      </c>
    </row>
    <row r="4" spans="1:24" ht="13.5" thickBot="1">
      <c r="B4" t="s">
        <v>484</v>
      </c>
    </row>
    <row r="5" spans="1:24" ht="18">
      <c r="B5" s="863" t="s">
        <v>487</v>
      </c>
      <c r="O5" s="272" t="s">
        <v>184</v>
      </c>
      <c r="Q5" s="272" t="s">
        <v>184</v>
      </c>
      <c r="S5" s="272" t="s">
        <v>184</v>
      </c>
      <c r="U5" s="272" t="s">
        <v>184</v>
      </c>
      <c r="V5" s="272" t="s">
        <v>184</v>
      </c>
      <c r="W5" s="272" t="s">
        <v>184</v>
      </c>
      <c r="X5" s="272" t="s">
        <v>184</v>
      </c>
    </row>
    <row r="6" spans="1:24" ht="18">
      <c r="B6" t="s">
        <v>264</v>
      </c>
      <c r="C6" s="275"/>
      <c r="D6" s="275"/>
      <c r="E6" s="275"/>
      <c r="F6" s="275"/>
      <c r="G6" s="275"/>
      <c r="K6" s="276"/>
      <c r="L6"/>
      <c r="O6" s="277">
        <v>2015</v>
      </c>
      <c r="P6" s="276"/>
      <c r="Q6" s="277" t="s">
        <v>232</v>
      </c>
      <c r="R6" s="276"/>
      <c r="S6" s="277" t="s">
        <v>232</v>
      </c>
      <c r="T6" s="276"/>
      <c r="U6" s="277" t="s">
        <v>232</v>
      </c>
      <c r="V6" s="277" t="s">
        <v>232</v>
      </c>
      <c r="W6" s="277" t="s">
        <v>232</v>
      </c>
      <c r="X6" s="277" t="s">
        <v>232</v>
      </c>
    </row>
    <row r="7" spans="1:24" ht="18.75" thickBot="1">
      <c r="C7" s="275"/>
      <c r="D7" s="275"/>
      <c r="E7" s="275"/>
      <c r="F7" s="275"/>
      <c r="G7" s="275"/>
      <c r="H7" s="280"/>
      <c r="I7" s="281" t="s">
        <v>234</v>
      </c>
      <c r="J7" s="282"/>
      <c r="K7" s="283"/>
      <c r="L7" s="284"/>
      <c r="M7" s="85"/>
      <c r="N7" s="285"/>
      <c r="O7" s="286" t="s">
        <v>235</v>
      </c>
      <c r="P7" s="208"/>
      <c r="Q7" s="189" t="s">
        <v>203</v>
      </c>
      <c r="R7" s="208"/>
      <c r="S7" s="189" t="s">
        <v>203</v>
      </c>
      <c r="T7" s="208"/>
      <c r="U7" s="189" t="s">
        <v>203</v>
      </c>
      <c r="V7" s="189" t="s">
        <v>203</v>
      </c>
      <c r="W7" s="189" t="s">
        <v>203</v>
      </c>
      <c r="X7" s="189" t="s">
        <v>203</v>
      </c>
    </row>
    <row r="8" spans="1:24">
      <c r="D8" s="101" t="s">
        <v>98</v>
      </c>
      <c r="F8" s="101" t="s">
        <v>98</v>
      </c>
      <c r="H8" s="101" t="s">
        <v>98</v>
      </c>
      <c r="J8" s="101" t="s">
        <v>98</v>
      </c>
      <c r="K8" s="288"/>
      <c r="L8" s="289"/>
      <c r="M8" s="101" t="s">
        <v>98</v>
      </c>
      <c r="N8" s="288"/>
      <c r="O8" s="101" t="s">
        <v>98</v>
      </c>
      <c r="P8" s="288"/>
      <c r="Q8" s="101" t="s">
        <v>98</v>
      </c>
      <c r="R8" s="288"/>
      <c r="S8" s="101" t="s">
        <v>98</v>
      </c>
      <c r="T8" s="288"/>
      <c r="U8" s="101" t="s">
        <v>98</v>
      </c>
      <c r="V8" s="101" t="s">
        <v>98</v>
      </c>
      <c r="W8" s="101" t="s">
        <v>98</v>
      </c>
      <c r="X8" s="101" t="s">
        <v>98</v>
      </c>
    </row>
    <row r="9" spans="1:24">
      <c r="B9" s="102" t="s">
        <v>99</v>
      </c>
      <c r="D9" s="290">
        <v>2009</v>
      </c>
      <c r="F9" s="290">
        <v>2010</v>
      </c>
      <c r="H9" s="290">
        <v>2011</v>
      </c>
      <c r="J9" s="290">
        <v>2012</v>
      </c>
      <c r="K9" s="291"/>
      <c r="L9" s="292"/>
      <c r="M9" s="290">
        <v>2013</v>
      </c>
      <c r="N9" s="291"/>
      <c r="O9" s="290">
        <v>2014</v>
      </c>
      <c r="P9" s="291"/>
      <c r="Q9" s="103">
        <v>2015</v>
      </c>
      <c r="R9" s="291"/>
      <c r="S9" s="103">
        <v>2016</v>
      </c>
      <c r="T9" s="291"/>
      <c r="U9" s="103">
        <v>2017</v>
      </c>
      <c r="V9" s="103">
        <v>2018</v>
      </c>
      <c r="W9" s="103">
        <v>2019</v>
      </c>
      <c r="X9" s="103">
        <v>2020</v>
      </c>
    </row>
    <row r="10" spans="1:24">
      <c r="B10" s="102" t="s">
        <v>100</v>
      </c>
      <c r="D10" s="146">
        <v>2010</v>
      </c>
      <c r="F10" s="146">
        <v>2011</v>
      </c>
      <c r="H10" s="146">
        <v>2012</v>
      </c>
      <c r="J10" s="146">
        <v>2013</v>
      </c>
      <c r="K10" s="293"/>
      <c r="L10" s="294"/>
      <c r="M10" s="146">
        <v>2014</v>
      </c>
      <c r="N10" s="293"/>
      <c r="O10" s="146">
        <v>2015</v>
      </c>
      <c r="P10" s="293"/>
      <c r="Q10" s="104">
        <v>2016</v>
      </c>
      <c r="R10" s="293"/>
      <c r="S10" s="104">
        <v>2017</v>
      </c>
      <c r="T10" s="293"/>
      <c r="U10" s="104">
        <v>2018</v>
      </c>
      <c r="V10" s="104">
        <v>2019</v>
      </c>
      <c r="W10" s="104">
        <v>2020</v>
      </c>
      <c r="X10" s="104">
        <v>2021</v>
      </c>
    </row>
    <row r="11" spans="1:24">
      <c r="B11" s="105" t="s">
        <v>101</v>
      </c>
      <c r="D11" s="165">
        <v>2010</v>
      </c>
      <c r="F11" s="165">
        <v>2011</v>
      </c>
      <c r="H11" s="165">
        <v>2012</v>
      </c>
      <c r="J11" s="165">
        <v>2013</v>
      </c>
      <c r="K11" s="297"/>
      <c r="L11" s="298"/>
      <c r="M11" s="165">
        <v>2014</v>
      </c>
      <c r="N11" s="297"/>
      <c r="O11" s="165">
        <v>2015</v>
      </c>
      <c r="P11" s="297"/>
      <c r="Q11" s="106">
        <v>2016</v>
      </c>
      <c r="R11" s="297"/>
      <c r="S11" s="106">
        <v>2017</v>
      </c>
      <c r="T11" s="297"/>
      <c r="U11" s="106">
        <v>2018</v>
      </c>
      <c r="V11" s="106">
        <v>2019</v>
      </c>
      <c r="W11" s="106">
        <v>2020</v>
      </c>
      <c r="X11" s="106">
        <v>2021</v>
      </c>
    </row>
    <row r="12" spans="1:24">
      <c r="A12" s="101" t="s">
        <v>460</v>
      </c>
      <c r="B12" s="107" t="s">
        <v>102</v>
      </c>
      <c r="D12" s="290" t="s">
        <v>240</v>
      </c>
      <c r="F12" s="290" t="s">
        <v>241</v>
      </c>
      <c r="H12" s="290" t="s">
        <v>242</v>
      </c>
      <c r="J12" s="290" t="s">
        <v>243</v>
      </c>
      <c r="K12" s="291"/>
      <c r="L12" s="292"/>
      <c r="M12" s="290" t="s">
        <v>244</v>
      </c>
      <c r="N12" s="291"/>
      <c r="O12" s="108" t="s">
        <v>245</v>
      </c>
      <c r="P12" s="300"/>
      <c r="Q12" s="301" t="s">
        <v>246</v>
      </c>
      <c r="R12" s="300"/>
      <c r="S12" s="301" t="s">
        <v>103</v>
      </c>
      <c r="T12" s="300"/>
      <c r="U12" s="301" t="s">
        <v>247</v>
      </c>
      <c r="V12" s="301" t="s">
        <v>248</v>
      </c>
      <c r="W12" s="301" t="s">
        <v>249</v>
      </c>
      <c r="X12" s="301" t="s">
        <v>250</v>
      </c>
    </row>
    <row r="13" spans="1:24">
      <c r="A13" s="101" t="s">
        <v>461</v>
      </c>
      <c r="B13" s="109"/>
      <c r="D13" s="110"/>
      <c r="F13" s="110"/>
      <c r="H13" s="110"/>
      <c r="J13" s="110"/>
      <c r="K13" s="303"/>
      <c r="L13" s="304"/>
      <c r="M13" s="110"/>
      <c r="N13" s="303"/>
      <c r="O13" s="110"/>
      <c r="P13" s="303"/>
      <c r="Q13" s="305"/>
      <c r="R13" s="303"/>
      <c r="S13" s="305"/>
      <c r="T13" s="303"/>
      <c r="U13" s="305"/>
      <c r="V13" s="305"/>
      <c r="W13" s="305"/>
      <c r="X13" s="305"/>
    </row>
    <row r="14" spans="1:24">
      <c r="A14" s="101">
        <v>1</v>
      </c>
      <c r="B14" s="111"/>
      <c r="D14" s="131" t="s">
        <v>252</v>
      </c>
      <c r="F14" s="131" t="s">
        <v>253</v>
      </c>
      <c r="H14" s="131" t="s">
        <v>254</v>
      </c>
      <c r="J14" s="131" t="s">
        <v>255</v>
      </c>
      <c r="K14" s="307"/>
      <c r="L14" s="308"/>
      <c r="M14" s="131" t="s">
        <v>256</v>
      </c>
      <c r="N14" s="307"/>
      <c r="O14" s="131" t="s">
        <v>257</v>
      </c>
      <c r="P14" s="307"/>
      <c r="Q14" s="112" t="s">
        <v>258</v>
      </c>
      <c r="R14" s="307"/>
      <c r="S14" s="112" t="s">
        <v>104</v>
      </c>
      <c r="T14" s="307"/>
      <c r="U14" s="112" t="s">
        <v>259</v>
      </c>
      <c r="V14" s="112" t="s">
        <v>260</v>
      </c>
      <c r="W14" s="112" t="s">
        <v>261</v>
      </c>
      <c r="X14" s="112" t="s">
        <v>262</v>
      </c>
    </row>
    <row r="15" spans="1:24" ht="19.5">
      <c r="A15" s="101">
        <v>2</v>
      </c>
      <c r="B15" s="113" t="s">
        <v>105</v>
      </c>
      <c r="D15" s="311"/>
      <c r="F15" s="133"/>
      <c r="H15" s="312"/>
      <c r="J15" s="312"/>
      <c r="K15" s="313"/>
      <c r="L15" s="314"/>
      <c r="M15" s="133"/>
      <c r="N15" s="315"/>
      <c r="O15" s="146"/>
      <c r="P15" s="293"/>
      <c r="Q15" s="146"/>
      <c r="R15" s="293"/>
      <c r="S15" s="104"/>
      <c r="T15" s="293"/>
      <c r="U15" s="104"/>
      <c r="V15" s="104"/>
      <c r="W15" s="104"/>
      <c r="X15" s="104"/>
    </row>
    <row r="16" spans="1:24">
      <c r="A16" s="101">
        <v>3</v>
      </c>
      <c r="B16" s="111"/>
      <c r="D16" s="316"/>
      <c r="F16" s="316"/>
      <c r="H16" s="317"/>
      <c r="J16" s="317"/>
      <c r="K16" s="318"/>
      <c r="L16" s="319"/>
      <c r="M16" s="316"/>
      <c r="N16" s="320"/>
      <c r="O16" s="165"/>
      <c r="P16" s="297"/>
      <c r="Q16" s="316"/>
      <c r="R16" s="297"/>
      <c r="S16" s="114"/>
      <c r="T16" s="297"/>
      <c r="U16" s="114"/>
      <c r="V16" s="114"/>
      <c r="W16" s="114"/>
      <c r="X16" s="114"/>
    </row>
    <row r="17" spans="1:24">
      <c r="A17" s="101">
        <v>4</v>
      </c>
      <c r="B17" s="111" t="s">
        <v>131</v>
      </c>
      <c r="D17" s="321">
        <v>1400000</v>
      </c>
      <c r="F17" s="321">
        <v>1600000</v>
      </c>
      <c r="H17" s="321">
        <v>1700000</v>
      </c>
      <c r="J17" s="321">
        <v>1800000</v>
      </c>
      <c r="K17" s="322"/>
      <c r="L17" s="323"/>
      <c r="M17" s="321">
        <v>2000000</v>
      </c>
      <c r="N17" s="324"/>
      <c r="O17" s="115">
        <v>2275000</v>
      </c>
      <c r="P17" s="325"/>
      <c r="Q17" s="115">
        <v>2200000</v>
      </c>
      <c r="R17" s="325"/>
      <c r="S17" s="122">
        <f>SUM(Q17:Q23)</f>
        <v>2200000</v>
      </c>
      <c r="T17" s="325"/>
      <c r="U17" s="122">
        <f>SUM(S17:S23)</f>
        <v>2378090.264</v>
      </c>
      <c r="V17" s="122">
        <f t="shared" ref="V17:X17" si="0">SUM(U17:U23)</f>
        <v>2471686.1910000001</v>
      </c>
      <c r="W17" s="122">
        <f t="shared" si="0"/>
        <v>2605376.6910000001</v>
      </c>
      <c r="X17" s="122">
        <f t="shared" si="0"/>
        <v>2742183.452</v>
      </c>
    </row>
    <row r="18" spans="1:24">
      <c r="A18" s="101">
        <v>5</v>
      </c>
      <c r="B18" s="111" t="s">
        <v>108</v>
      </c>
      <c r="D18" s="116"/>
      <c r="F18" s="328"/>
      <c r="H18" s="321"/>
      <c r="J18" s="321"/>
      <c r="K18" s="322"/>
      <c r="L18" s="323"/>
      <c r="M18" s="116"/>
      <c r="N18" s="324"/>
      <c r="O18" s="115"/>
      <c r="P18" s="325"/>
      <c r="Q18" s="116"/>
      <c r="R18" s="325"/>
      <c r="S18" s="122"/>
      <c r="T18" s="325"/>
      <c r="U18" s="122"/>
      <c r="V18" s="122"/>
      <c r="W18" s="122"/>
      <c r="X18" s="122"/>
    </row>
    <row r="19" spans="1:24">
      <c r="A19" s="101">
        <v>6</v>
      </c>
      <c r="B19" s="117" t="s">
        <v>109</v>
      </c>
      <c r="D19" s="321"/>
      <c r="F19" s="328"/>
      <c r="H19" s="321"/>
      <c r="J19" s="328"/>
      <c r="K19" s="324"/>
      <c r="L19" s="323"/>
      <c r="M19" s="116"/>
      <c r="N19" s="324"/>
      <c r="O19" s="115"/>
      <c r="P19" s="325"/>
      <c r="Q19" s="116"/>
      <c r="R19" s="325"/>
      <c r="S19" s="330">
        <v>310837.11200000002</v>
      </c>
      <c r="T19" s="325"/>
      <c r="U19" s="330">
        <v>291856.06300000002</v>
      </c>
      <c r="V19" s="330">
        <v>281976.68699999998</v>
      </c>
      <c r="W19" s="330">
        <v>276328.47399999999</v>
      </c>
      <c r="X19" s="330">
        <v>313127.50799999997</v>
      </c>
    </row>
    <row r="20" spans="1:24">
      <c r="A20" s="101">
        <v>7</v>
      </c>
      <c r="B20" s="117" t="s">
        <v>110</v>
      </c>
      <c r="D20" s="321"/>
      <c r="F20" s="328"/>
      <c r="H20" s="321"/>
      <c r="J20" s="328"/>
      <c r="K20" s="324"/>
      <c r="L20" s="323"/>
      <c r="M20" s="116"/>
      <c r="N20" s="324"/>
      <c r="O20" s="115"/>
      <c r="P20" s="325"/>
      <c r="Q20" s="116"/>
      <c r="R20" s="325"/>
      <c r="S20" s="330">
        <f>-31087.348</f>
        <v>-31087.348000000002</v>
      </c>
      <c r="T20" s="325"/>
      <c r="U20" s="330">
        <v>-94410.135999999999</v>
      </c>
      <c r="V20" s="330">
        <v>-41436.186999999998</v>
      </c>
      <c r="W20" s="330">
        <v>-35671.713000000003</v>
      </c>
      <c r="X20" s="330">
        <v>-57210</v>
      </c>
    </row>
    <row r="21" spans="1:24">
      <c r="A21" s="101">
        <v>8</v>
      </c>
      <c r="B21" s="117" t="s">
        <v>111</v>
      </c>
      <c r="D21" s="321"/>
      <c r="F21" s="328"/>
      <c r="H21" s="321"/>
      <c r="J21" s="328"/>
      <c r="K21" s="324"/>
      <c r="L21" s="323"/>
      <c r="M21" s="116"/>
      <c r="N21" s="324"/>
      <c r="O21" s="115"/>
      <c r="P21" s="325"/>
      <c r="Q21" s="116"/>
      <c r="R21" s="325"/>
      <c r="S21" s="330"/>
      <c r="T21" s="325"/>
      <c r="U21" s="330"/>
      <c r="V21" s="330"/>
      <c r="W21" s="330"/>
      <c r="X21" s="330"/>
    </row>
    <row r="22" spans="1:24">
      <c r="A22" s="101">
        <v>9</v>
      </c>
      <c r="B22" s="117" t="s">
        <v>112</v>
      </c>
      <c r="D22" s="321"/>
      <c r="F22" s="328"/>
      <c r="H22" s="321"/>
      <c r="J22" s="328"/>
      <c r="K22" s="324"/>
      <c r="L22" s="323"/>
      <c r="M22" s="116"/>
      <c r="N22" s="324"/>
      <c r="O22" s="115"/>
      <c r="P22" s="325"/>
      <c r="Q22" s="116"/>
      <c r="R22" s="325"/>
      <c r="S22" s="330">
        <v>-5659.5</v>
      </c>
      <c r="T22" s="325"/>
      <c r="U22" s="330">
        <v>-7850</v>
      </c>
      <c r="V22" s="330">
        <v>-10850</v>
      </c>
      <c r="W22" s="330">
        <v>-7850</v>
      </c>
      <c r="X22" s="330">
        <v>-7850</v>
      </c>
    </row>
    <row r="23" spans="1:24">
      <c r="A23" s="101">
        <v>10</v>
      </c>
      <c r="B23" s="111" t="s">
        <v>113</v>
      </c>
      <c r="D23" s="331"/>
      <c r="F23" s="332"/>
      <c r="H23" s="331"/>
      <c r="J23" s="332"/>
      <c r="K23" s="333"/>
      <c r="L23" s="334"/>
      <c r="M23" s="118"/>
      <c r="N23" s="333"/>
      <c r="O23" s="179"/>
      <c r="P23" s="335"/>
      <c r="Q23" s="118"/>
      <c r="R23" s="335"/>
      <c r="S23" s="338">
        <v>-96000</v>
      </c>
      <c r="T23" s="335"/>
      <c r="U23" s="338">
        <v>-96000</v>
      </c>
      <c r="V23" s="338">
        <v>-96000</v>
      </c>
      <c r="W23" s="338">
        <v>-96000</v>
      </c>
      <c r="X23" s="338">
        <v>-96000</v>
      </c>
    </row>
    <row r="24" spans="1:24">
      <c r="A24" s="101">
        <v>11</v>
      </c>
      <c r="B24" s="111" t="s">
        <v>134</v>
      </c>
      <c r="D24" s="339">
        <v>0.96753500000000003</v>
      </c>
      <c r="F24" s="339">
        <v>0.96154600000000001</v>
      </c>
      <c r="H24" s="339">
        <v>0.95345100000000005</v>
      </c>
      <c r="J24" s="339">
        <v>0.95927200000000001</v>
      </c>
      <c r="K24" s="340"/>
      <c r="L24" s="323"/>
      <c r="M24" s="341">
        <f>962461349/997330000</f>
        <v>0.96503800046123145</v>
      </c>
      <c r="N24" s="342"/>
      <c r="O24" s="119">
        <f>1154211.157/1180295.025</f>
        <v>0.97790055244874052</v>
      </c>
      <c r="P24" s="343"/>
      <c r="Q24" s="119">
        <f>1162234.576/1188424.6</f>
        <v>0.97796240165341564</v>
      </c>
      <c r="R24" s="343"/>
      <c r="S24" s="157">
        <f t="shared" ref="S24:S25" si="1">SUM(Q24)</f>
        <v>0.97796240165341564</v>
      </c>
      <c r="T24" s="343"/>
      <c r="U24" s="157">
        <f>SUM(S24)</f>
        <v>0.97796240165341564</v>
      </c>
      <c r="V24" s="157">
        <f t="shared" ref="V24:X25" si="2">SUM(U24)</f>
        <v>0.97796240165341564</v>
      </c>
      <c r="W24" s="157">
        <f t="shared" si="2"/>
        <v>0.97796240165341564</v>
      </c>
      <c r="X24" s="157">
        <f t="shared" si="2"/>
        <v>0.97796240165341564</v>
      </c>
    </row>
    <row r="25" spans="1:24">
      <c r="A25" s="101">
        <v>12</v>
      </c>
      <c r="B25" s="111" t="s">
        <v>135</v>
      </c>
      <c r="D25" s="346">
        <v>0.45469100000000001</v>
      </c>
      <c r="F25" s="346">
        <v>0.464889</v>
      </c>
      <c r="H25" s="346">
        <v>0.46240399999999998</v>
      </c>
      <c r="J25" s="346">
        <v>0.47619</v>
      </c>
      <c r="K25" s="347"/>
      <c r="L25" s="348"/>
      <c r="M25" s="349">
        <f>997330000/2000000000</f>
        <v>0.49866500000000002</v>
      </c>
      <c r="N25" s="350"/>
      <c r="O25" s="120">
        <f>1180295.025/2275000</f>
        <v>0.51881099999999991</v>
      </c>
      <c r="P25" s="351"/>
      <c r="Q25" s="120">
        <f>1188424.6/2200000</f>
        <v>0.54019300000000003</v>
      </c>
      <c r="R25" s="351"/>
      <c r="S25" s="158">
        <f t="shared" si="1"/>
        <v>0.54019300000000003</v>
      </c>
      <c r="T25" s="351"/>
      <c r="U25" s="158">
        <f>SUM(S25)</f>
        <v>0.54019300000000003</v>
      </c>
      <c r="V25" s="158">
        <f t="shared" si="2"/>
        <v>0.54019300000000003</v>
      </c>
      <c r="W25" s="158">
        <f t="shared" si="2"/>
        <v>0.54019300000000003</v>
      </c>
      <c r="X25" s="158">
        <f t="shared" si="2"/>
        <v>0.54019300000000003</v>
      </c>
    </row>
    <row r="26" spans="1:24">
      <c r="A26" s="101">
        <v>13</v>
      </c>
      <c r="B26" s="111" t="s">
        <v>116</v>
      </c>
      <c r="D26" s="321">
        <f>SUM(D17:D23)*D24*D25</f>
        <v>615901.239359</v>
      </c>
      <c r="F26" s="321">
        <f>SUM(F17:F23)*F24*F25</f>
        <v>715219.4534304</v>
      </c>
      <c r="H26" s="321">
        <f t="shared" ref="H26:J26" si="3">SUM(H17:H23)*H24*H25</f>
        <v>749495.24554680008</v>
      </c>
      <c r="J26" s="321">
        <f t="shared" si="3"/>
        <v>822232.32062400004</v>
      </c>
      <c r="K26" s="322"/>
      <c r="L26" s="323"/>
      <c r="M26" s="321">
        <f t="shared" ref="M26:O26" si="4">SUM(M17:M23)*M24*M25</f>
        <v>962461.34900000005</v>
      </c>
      <c r="N26" s="324"/>
      <c r="O26" s="115">
        <f t="shared" si="4"/>
        <v>1154211.1569999997</v>
      </c>
      <c r="P26" s="325"/>
      <c r="Q26" s="115">
        <f t="shared" ref="Q26:X26" si="5">SUM(Q17:Q23)*Q24*Q25</f>
        <v>1162234.5759999999</v>
      </c>
      <c r="R26" s="325"/>
      <c r="S26" s="122">
        <f t="shared" si="5"/>
        <v>1256317.6043953488</v>
      </c>
      <c r="T26" s="325"/>
      <c r="U26" s="122">
        <f t="shared" si="5"/>
        <v>1305763.2510008819</v>
      </c>
      <c r="V26" s="122">
        <f t="shared" si="5"/>
        <v>1376390.3971748489</v>
      </c>
      <c r="W26" s="122">
        <f t="shared" si="5"/>
        <v>1448663.8280224709</v>
      </c>
      <c r="X26" s="122">
        <f t="shared" si="5"/>
        <v>1528999.3351514512</v>
      </c>
    </row>
    <row r="27" spans="1:24">
      <c r="A27" s="101">
        <v>14</v>
      </c>
      <c r="B27" s="111" t="s">
        <v>117</v>
      </c>
      <c r="D27" s="331">
        <v>284</v>
      </c>
      <c r="F27" s="331">
        <v>284</v>
      </c>
      <c r="H27" s="331">
        <v>442</v>
      </c>
      <c r="J27" s="321"/>
      <c r="K27" s="322"/>
      <c r="L27" s="323"/>
      <c r="M27" s="321"/>
      <c r="N27" s="324"/>
      <c r="O27" s="115">
        <v>101.197</v>
      </c>
      <c r="P27" s="325"/>
      <c r="Q27" s="115">
        <v>620</v>
      </c>
      <c r="R27" s="325"/>
      <c r="S27" s="122"/>
      <c r="T27" s="325"/>
      <c r="U27" s="122"/>
      <c r="V27" s="122"/>
      <c r="W27" s="122"/>
      <c r="X27" s="122"/>
    </row>
    <row r="28" spans="1:24">
      <c r="A28" s="101">
        <v>15</v>
      </c>
      <c r="B28" s="111" t="s">
        <v>118</v>
      </c>
      <c r="D28" s="321">
        <f>SUM(D26:D27)</f>
        <v>616185.239359</v>
      </c>
      <c r="F28" s="321">
        <f>SUM(F26:F27)</f>
        <v>715503.4534304</v>
      </c>
      <c r="H28" s="321">
        <f>SUM(H26:H27)</f>
        <v>749937.24554680008</v>
      </c>
      <c r="J28" s="321">
        <f t="shared" ref="J28" si="6">SUM(J26)</f>
        <v>822232.32062400004</v>
      </c>
      <c r="K28" s="322"/>
      <c r="L28" s="323"/>
      <c r="M28" s="321">
        <f t="shared" ref="M28:S28" si="7">SUM(M26)</f>
        <v>962461.34900000005</v>
      </c>
      <c r="N28" s="324"/>
      <c r="O28" s="115">
        <f>SUM(O26:O27)</f>
        <v>1154312.3539999996</v>
      </c>
      <c r="P28" s="325"/>
      <c r="Q28" s="115">
        <f>SUM(Q26:Q27)</f>
        <v>1162854.5759999999</v>
      </c>
      <c r="R28" s="325"/>
      <c r="S28" s="122">
        <f t="shared" si="7"/>
        <v>1256317.6043953488</v>
      </c>
      <c r="T28" s="325"/>
      <c r="U28" s="122">
        <f t="shared" ref="U28:W28" si="8">SUM(U26)</f>
        <v>1305763.2510008819</v>
      </c>
      <c r="V28" s="122">
        <f t="shared" si="8"/>
        <v>1376390.3971748489</v>
      </c>
      <c r="W28" s="122">
        <f t="shared" si="8"/>
        <v>1448663.8280224709</v>
      </c>
      <c r="X28" s="122">
        <f t="shared" ref="X28" si="9">SUM(X26)</f>
        <v>1528999.3351514512</v>
      </c>
    </row>
    <row r="29" spans="1:24">
      <c r="A29" s="101">
        <v>16</v>
      </c>
      <c r="B29" s="111" t="s">
        <v>263</v>
      </c>
      <c r="D29" s="354">
        <f>553299.594/616185</f>
        <v>0.89794395189756326</v>
      </c>
      <c r="F29" s="354">
        <f>SUM(F30/F28)</f>
        <v>0.9021516344963243</v>
      </c>
      <c r="H29" s="354">
        <f>681556573/749937000</f>
        <v>0.90881843808213225</v>
      </c>
      <c r="J29" s="355">
        <f>765508.488/822232</f>
        <v>0.93101276525360244</v>
      </c>
      <c r="K29" s="356"/>
      <c r="L29" s="334"/>
      <c r="M29" s="354">
        <f>898630/M28</f>
        <v>0.93367905208212154</v>
      </c>
      <c r="N29" s="357"/>
      <c r="O29" s="354">
        <f>1070854.593/O28</f>
        <v>0.92769915291056526</v>
      </c>
      <c r="P29" s="357"/>
      <c r="Q29" s="358">
        <f>SUM(O29)</f>
        <v>0.92769915291056526</v>
      </c>
      <c r="R29" s="357"/>
      <c r="S29" s="360">
        <f>SUM(Q29)</f>
        <v>0.92769915291056526</v>
      </c>
      <c r="T29" s="357"/>
      <c r="U29" s="360">
        <f>SUM(S29)</f>
        <v>0.92769915291056526</v>
      </c>
      <c r="V29" s="360">
        <f t="shared" ref="V29:X29" si="10">SUM(U29)</f>
        <v>0.92769915291056526</v>
      </c>
      <c r="W29" s="360">
        <f t="shared" si="10"/>
        <v>0.92769915291056526</v>
      </c>
      <c r="X29" s="360">
        <f t="shared" si="10"/>
        <v>0.92769915291056526</v>
      </c>
    </row>
    <row r="30" spans="1:24">
      <c r="A30" s="101">
        <v>17</v>
      </c>
      <c r="B30" s="111" t="s">
        <v>137</v>
      </c>
      <c r="D30" s="321">
        <f>SUM(D28*D29)</f>
        <v>553299.80893096642</v>
      </c>
      <c r="F30" s="321">
        <v>645492.61</v>
      </c>
      <c r="H30" s="321">
        <f t="shared" ref="H30:J30" si="11">SUM(H28*H29)</f>
        <v>681556.79615745938</v>
      </c>
      <c r="J30" s="321">
        <f t="shared" si="11"/>
        <v>765508.78650503687</v>
      </c>
      <c r="K30" s="322"/>
      <c r="L30" s="323"/>
      <c r="M30" s="321">
        <f t="shared" ref="M30:X30" si="12">SUM(M28*M29)</f>
        <v>898630</v>
      </c>
      <c r="N30" s="324"/>
      <c r="O30" s="321">
        <f t="shared" si="12"/>
        <v>1070854.5930000001</v>
      </c>
      <c r="P30" s="324"/>
      <c r="Q30" s="362">
        <f t="shared" si="12"/>
        <v>1078779.2051133744</v>
      </c>
      <c r="R30" s="324"/>
      <c r="S30" s="122">
        <f t="shared" si="12"/>
        <v>1165484.7773841957</v>
      </c>
      <c r="T30" s="324"/>
      <c r="U30" s="122">
        <f t="shared" si="12"/>
        <v>1211355.4618552639</v>
      </c>
      <c r="V30" s="122">
        <f t="shared" si="12"/>
        <v>1276876.2055333438</v>
      </c>
      <c r="W30" s="122">
        <f t="shared" si="12"/>
        <v>1343924.2061086232</v>
      </c>
      <c r="X30" s="122">
        <f t="shared" si="12"/>
        <v>1418451.3880208188</v>
      </c>
    </row>
    <row r="31" spans="1:24">
      <c r="A31" s="101">
        <v>18</v>
      </c>
      <c r="B31" s="111" t="s">
        <v>125</v>
      </c>
      <c r="D31" s="321">
        <v>0</v>
      </c>
      <c r="F31" s="321">
        <v>0</v>
      </c>
      <c r="H31" s="321">
        <v>0</v>
      </c>
      <c r="J31" s="321">
        <v>0</v>
      </c>
      <c r="K31" s="322"/>
      <c r="L31" s="323"/>
      <c r="M31" s="116">
        <v>0</v>
      </c>
      <c r="N31" s="324"/>
      <c r="O31" s="321">
        <v>0</v>
      </c>
      <c r="P31" s="324"/>
      <c r="Q31" s="122">
        <v>0</v>
      </c>
      <c r="R31" s="324"/>
      <c r="S31" s="122">
        <v>0</v>
      </c>
      <c r="T31" s="324"/>
      <c r="U31" s="122">
        <v>0</v>
      </c>
      <c r="V31" s="122">
        <v>0</v>
      </c>
      <c r="W31" s="122">
        <v>0</v>
      </c>
      <c r="X31" s="122">
        <v>0</v>
      </c>
    </row>
    <row r="32" spans="1:24">
      <c r="A32" s="101">
        <v>19</v>
      </c>
      <c r="B32" s="111"/>
      <c r="D32" s="364">
        <f>SUM(D30:D31)</f>
        <v>553299.80893096642</v>
      </c>
      <c r="F32" s="364">
        <f>SUM(F30:F31)</f>
        <v>645492.61</v>
      </c>
      <c r="H32" s="364">
        <f t="shared" ref="H32:J32" si="13">SUM(H30:H31)</f>
        <v>681556.79615745938</v>
      </c>
      <c r="J32" s="364">
        <f t="shared" si="13"/>
        <v>765508.78650503687</v>
      </c>
      <c r="K32" s="365"/>
      <c r="L32" s="366"/>
      <c r="M32" s="364">
        <f t="shared" ref="M32:X32" si="14">SUM(M30:M31)</f>
        <v>898630</v>
      </c>
      <c r="N32" s="367"/>
      <c r="O32" s="364">
        <f t="shared" si="14"/>
        <v>1070854.5930000001</v>
      </c>
      <c r="P32" s="367"/>
      <c r="Q32" s="123">
        <f t="shared" si="14"/>
        <v>1078779.2051133744</v>
      </c>
      <c r="R32" s="367"/>
      <c r="S32" s="123">
        <f t="shared" si="14"/>
        <v>1165484.7773841957</v>
      </c>
      <c r="T32" s="367"/>
      <c r="U32" s="123">
        <f t="shared" si="14"/>
        <v>1211355.4618552639</v>
      </c>
      <c r="V32" s="123">
        <f t="shared" si="14"/>
        <v>1276876.2055333438</v>
      </c>
      <c r="W32" s="123">
        <f t="shared" si="14"/>
        <v>1343924.2061086232</v>
      </c>
      <c r="X32" s="123">
        <f t="shared" si="14"/>
        <v>1418451.3880208188</v>
      </c>
    </row>
    <row r="33" spans="1:24">
      <c r="A33" s="101">
        <v>20</v>
      </c>
      <c r="B33" s="111" t="s">
        <v>138</v>
      </c>
      <c r="C33" s="371"/>
      <c r="D33" s="372">
        <v>1.2009000000000001E-2</v>
      </c>
      <c r="F33" s="372">
        <v>1.2201999999999999E-2</v>
      </c>
      <c r="H33" s="373">
        <v>1.2663000000000001E-2</v>
      </c>
      <c r="I33" s="374">
        <f>SUM(J33-H33)/H33</f>
        <v>-1.9799564229200275E-2</v>
      </c>
      <c r="J33" s="373">
        <f>+J35/J32</f>
        <v>1.2412278118165638E-2</v>
      </c>
      <c r="K33" s="375"/>
      <c r="L33" s="376">
        <f>SUM(M33-J33)/J33</f>
        <v>1.1914378047644822E-2</v>
      </c>
      <c r="M33" s="377">
        <f>SUM(M35/M32)</f>
        <v>1.2560162692097972E-2</v>
      </c>
      <c r="N33" s="378">
        <f>SUM((O33-M33)/M33)</f>
        <v>-3.3482431633753494E-2</v>
      </c>
      <c r="O33" s="373">
        <f>12999.77053/1070855</f>
        <v>1.2139617903450981E-2</v>
      </c>
      <c r="P33" s="379">
        <v>0.02</v>
      </c>
      <c r="Q33" s="141">
        <f>SUM(O33*(1+P33))</f>
        <v>1.238241026152E-2</v>
      </c>
      <c r="R33" s="379">
        <v>0.02</v>
      </c>
      <c r="S33" s="141">
        <f>SUM(Q33*(1+R33))</f>
        <v>1.26300584667504E-2</v>
      </c>
      <c r="T33" s="379">
        <v>0.02</v>
      </c>
      <c r="U33" s="141">
        <f>SUM(S33*(1+T33))</f>
        <v>1.2882659636085408E-2</v>
      </c>
      <c r="V33" s="141">
        <f>SUM(U33*(1+T33))</f>
        <v>1.3140312828807116E-2</v>
      </c>
      <c r="W33" s="141">
        <f>SUM(V33*(1+T33))</f>
        <v>1.3403119085383259E-2</v>
      </c>
      <c r="X33" s="141">
        <f>SUM(W33*(1+T33))</f>
        <v>1.3671181467090924E-2</v>
      </c>
    </row>
    <row r="34" spans="1:24">
      <c r="A34" s="101">
        <v>21</v>
      </c>
      <c r="B34" s="111"/>
      <c r="D34" s="381"/>
      <c r="F34" s="382"/>
      <c r="H34" s="382"/>
      <c r="J34" s="382"/>
      <c r="K34" s="383"/>
      <c r="L34" s="323"/>
      <c r="M34" s="381"/>
      <c r="N34" s="383"/>
      <c r="O34" s="382"/>
      <c r="P34" s="383"/>
      <c r="Q34" s="125"/>
      <c r="R34" s="383"/>
      <c r="S34" s="125"/>
      <c r="T34" s="383"/>
      <c r="U34" s="125"/>
      <c r="V34" s="125"/>
      <c r="W34" s="125"/>
      <c r="X34" s="125"/>
    </row>
    <row r="35" spans="1:24" ht="13.5" thickBot="1">
      <c r="A35" s="101">
        <v>22</v>
      </c>
      <c r="B35" s="111" t="s">
        <v>128</v>
      </c>
      <c r="D35" s="386">
        <f>SUM(D32*D33)</f>
        <v>6644.5774054519761</v>
      </c>
      <c r="F35" s="386">
        <f>SUM(F32*F33)</f>
        <v>7876.3008272199995</v>
      </c>
      <c r="H35" s="386">
        <f t="shared" ref="H35" si="15">SUM(H32*H33)</f>
        <v>8630.5537097419092</v>
      </c>
      <c r="J35" s="386">
        <v>9501.7079599999997</v>
      </c>
      <c r="K35" s="387"/>
      <c r="L35" s="388"/>
      <c r="M35" s="386">
        <v>11286.939</v>
      </c>
      <c r="N35" s="387"/>
      <c r="O35" s="386">
        <f t="shared" ref="O35:X35" si="16">SUM(O32*O33)</f>
        <v>12999.765589175515</v>
      </c>
      <c r="P35" s="387"/>
      <c r="Q35" s="126">
        <f t="shared" si="16"/>
        <v>13357.886699310237</v>
      </c>
      <c r="R35" s="387"/>
      <c r="S35" s="126">
        <f t="shared" si="16"/>
        <v>14720.140880469966</v>
      </c>
      <c r="T35" s="387"/>
      <c r="U35" s="126">
        <f t="shared" si="16"/>
        <v>15605.480113394406</v>
      </c>
      <c r="V35" s="126">
        <f t="shared" si="16"/>
        <v>16778.552784368349</v>
      </c>
      <c r="W35" s="126">
        <f t="shared" si="16"/>
        <v>18012.776176203031</v>
      </c>
      <c r="X35" s="126">
        <f t="shared" si="16"/>
        <v>19391.906327879617</v>
      </c>
    </row>
    <row r="36" spans="1:24" ht="13.5" thickTop="1">
      <c r="A36" s="101">
        <v>23</v>
      </c>
      <c r="B36" s="111"/>
      <c r="D36" s="391"/>
      <c r="F36" s="127"/>
      <c r="G36" s="127"/>
      <c r="H36" s="127"/>
      <c r="J36" s="127"/>
      <c r="K36" s="127"/>
      <c r="L36" s="392"/>
      <c r="M36" s="393"/>
      <c r="N36" s="127"/>
      <c r="O36" s="127"/>
      <c r="P36" s="127"/>
      <c r="Q36" s="127"/>
      <c r="R36" s="127"/>
      <c r="S36" s="127"/>
      <c r="T36" s="127"/>
      <c r="U36" s="127"/>
      <c r="V36" s="127"/>
      <c r="W36" s="127"/>
      <c r="X36" s="127"/>
    </row>
    <row r="37" spans="1:24">
      <c r="A37" s="101">
        <v>24</v>
      </c>
      <c r="B37" s="128"/>
      <c r="D37" s="129"/>
      <c r="F37" s="129"/>
      <c r="H37" s="129"/>
      <c r="J37" s="129"/>
      <c r="K37" s="177"/>
      <c r="L37" s="396"/>
      <c r="M37" s="129"/>
      <c r="N37" s="177"/>
      <c r="O37" s="129"/>
      <c r="P37" s="177"/>
      <c r="Q37" s="129"/>
      <c r="R37" s="177"/>
      <c r="S37" s="155"/>
      <c r="T37" s="177"/>
      <c r="U37" s="155"/>
      <c r="V37" s="155"/>
      <c r="W37" s="155"/>
      <c r="X37" s="155"/>
    </row>
    <row r="38" spans="1:24">
      <c r="A38" s="101">
        <v>25</v>
      </c>
      <c r="B38" s="130"/>
      <c r="D38" s="131" t="s">
        <v>265</v>
      </c>
      <c r="F38" s="131" t="s">
        <v>253</v>
      </c>
      <c r="H38" s="131" t="s">
        <v>254</v>
      </c>
      <c r="J38" s="131" t="s">
        <v>266</v>
      </c>
      <c r="K38" s="399"/>
      <c r="L38" s="308"/>
      <c r="M38" s="131" t="s">
        <v>267</v>
      </c>
      <c r="N38" s="307"/>
      <c r="O38" s="131" t="s">
        <v>268</v>
      </c>
      <c r="P38" s="307"/>
      <c r="Q38" s="131" t="s">
        <v>269</v>
      </c>
      <c r="R38" s="307"/>
      <c r="S38" s="112" t="s">
        <v>104</v>
      </c>
      <c r="T38" s="307"/>
      <c r="U38" s="112" t="s">
        <v>259</v>
      </c>
      <c r="V38" s="112" t="s">
        <v>260</v>
      </c>
      <c r="W38" s="112" t="s">
        <v>261</v>
      </c>
      <c r="X38" s="112" t="s">
        <v>262</v>
      </c>
    </row>
    <row r="39" spans="1:24" ht="19.5">
      <c r="A39" s="101">
        <v>26</v>
      </c>
      <c r="B39" s="132" t="s">
        <v>130</v>
      </c>
      <c r="D39" s="311"/>
      <c r="F39" s="133"/>
      <c r="H39" s="133"/>
      <c r="J39" s="312"/>
      <c r="K39" s="313"/>
      <c r="L39" s="314"/>
      <c r="M39" s="133"/>
      <c r="N39" s="315"/>
      <c r="O39" s="133"/>
      <c r="P39" s="315"/>
      <c r="Q39" s="133"/>
      <c r="R39" s="315"/>
      <c r="S39" s="156"/>
      <c r="T39" s="315"/>
      <c r="U39" s="156"/>
      <c r="V39" s="156"/>
      <c r="W39" s="156"/>
      <c r="X39" s="156"/>
    </row>
    <row r="40" spans="1:24">
      <c r="A40" s="101">
        <v>27</v>
      </c>
      <c r="B40" s="130"/>
      <c r="D40" s="133"/>
      <c r="F40" s="133"/>
      <c r="H40" s="133"/>
      <c r="J40" s="312"/>
      <c r="K40" s="313"/>
      <c r="L40" s="314"/>
      <c r="M40" s="133"/>
      <c r="N40" s="315"/>
      <c r="O40" s="133"/>
      <c r="P40" s="315"/>
      <c r="Q40" s="133"/>
      <c r="R40" s="315"/>
      <c r="S40" s="156"/>
      <c r="T40" s="315"/>
      <c r="U40" s="156"/>
      <c r="V40" s="156"/>
      <c r="W40" s="156"/>
      <c r="X40" s="156"/>
    </row>
    <row r="41" spans="1:24">
      <c r="A41" s="101">
        <v>28</v>
      </c>
      <c r="B41" s="130" t="s">
        <v>131</v>
      </c>
      <c r="D41" s="321">
        <v>1578492</v>
      </c>
      <c r="F41" s="321">
        <v>1699083.2690000001</v>
      </c>
      <c r="H41" s="321">
        <v>1795440.777</v>
      </c>
      <c r="J41" s="321">
        <v>1871167</v>
      </c>
      <c r="K41" s="322"/>
      <c r="L41" s="323"/>
      <c r="M41" s="321">
        <v>1892078.206</v>
      </c>
      <c r="N41" s="324"/>
      <c r="O41" s="115">
        <v>2018725.2420000001</v>
      </c>
      <c r="P41" s="325"/>
      <c r="Q41" s="115">
        <v>2098023.2439999999</v>
      </c>
      <c r="R41" s="325"/>
      <c r="S41" s="122">
        <f>SUM(Q41:Q47)</f>
        <v>2098023.2439999999</v>
      </c>
      <c r="T41" s="325"/>
      <c r="U41" s="122">
        <f>SUM(S41:S47)</f>
        <v>2276113.5079999999</v>
      </c>
      <c r="V41" s="122">
        <f t="shared" ref="V41:X41" si="17">SUM(U41:U47)</f>
        <v>2369709.4350000001</v>
      </c>
      <c r="W41" s="122">
        <f t="shared" si="17"/>
        <v>2503399.9350000001</v>
      </c>
      <c r="X41" s="122">
        <f t="shared" si="17"/>
        <v>2640206.696</v>
      </c>
    </row>
    <row r="42" spans="1:24">
      <c r="A42" s="101">
        <v>29</v>
      </c>
      <c r="B42" s="130" t="s">
        <v>108</v>
      </c>
      <c r="D42" s="321"/>
      <c r="F42" s="321"/>
      <c r="H42" s="321"/>
      <c r="J42" s="321"/>
      <c r="K42" s="322"/>
      <c r="L42" s="401"/>
      <c r="M42" s="134"/>
      <c r="N42" s="402"/>
      <c r="O42" s="115"/>
      <c r="P42" s="325"/>
      <c r="Q42" s="134"/>
      <c r="R42" s="325"/>
      <c r="S42" s="403"/>
      <c r="T42" s="325"/>
      <c r="U42" s="403"/>
      <c r="V42" s="403"/>
      <c r="W42" s="403"/>
      <c r="X42" s="403"/>
    </row>
    <row r="43" spans="1:24">
      <c r="A43" s="101">
        <v>30</v>
      </c>
      <c r="B43" s="117" t="s">
        <v>109</v>
      </c>
      <c r="D43" s="321"/>
      <c r="F43" s="135"/>
      <c r="H43" s="116"/>
      <c r="J43" s="135"/>
      <c r="K43" s="404"/>
      <c r="L43" s="405"/>
      <c r="M43" s="135"/>
      <c r="N43" s="404"/>
      <c r="O43" s="115"/>
      <c r="P43" s="325"/>
      <c r="Q43" s="116"/>
      <c r="R43" s="325"/>
      <c r="S43" s="406">
        <f t="shared" ref="S43:X47" si="18">SUM(S19)</f>
        <v>310837.11200000002</v>
      </c>
      <c r="T43" s="325"/>
      <c r="U43" s="406">
        <f t="shared" si="18"/>
        <v>291856.06300000002</v>
      </c>
      <c r="V43" s="406">
        <f t="shared" si="18"/>
        <v>281976.68699999998</v>
      </c>
      <c r="W43" s="406">
        <f t="shared" si="18"/>
        <v>276328.47399999999</v>
      </c>
      <c r="X43" s="406">
        <f t="shared" si="18"/>
        <v>313127.50799999997</v>
      </c>
    </row>
    <row r="44" spans="1:24">
      <c r="A44" s="101">
        <v>31</v>
      </c>
      <c r="B44" s="117" t="s">
        <v>110</v>
      </c>
      <c r="D44" s="321"/>
      <c r="F44" s="135"/>
      <c r="H44" s="116"/>
      <c r="J44" s="135"/>
      <c r="K44" s="404"/>
      <c r="L44" s="405"/>
      <c r="M44" s="135"/>
      <c r="N44" s="404"/>
      <c r="O44" s="115"/>
      <c r="P44" s="325"/>
      <c r="Q44" s="135"/>
      <c r="R44" s="325"/>
      <c r="S44" s="406">
        <f t="shared" si="18"/>
        <v>-31087.348000000002</v>
      </c>
      <c r="T44" s="325"/>
      <c r="U44" s="406">
        <f t="shared" si="18"/>
        <v>-94410.135999999999</v>
      </c>
      <c r="V44" s="406">
        <f t="shared" si="18"/>
        <v>-41436.186999999998</v>
      </c>
      <c r="W44" s="406">
        <f t="shared" si="18"/>
        <v>-35671.713000000003</v>
      </c>
      <c r="X44" s="406">
        <f t="shared" si="18"/>
        <v>-57210</v>
      </c>
    </row>
    <row r="45" spans="1:24">
      <c r="A45" s="101">
        <v>32</v>
      </c>
      <c r="B45" s="117" t="s">
        <v>111</v>
      </c>
      <c r="D45" s="321"/>
      <c r="F45" s="135"/>
      <c r="H45" s="116"/>
      <c r="J45" s="135"/>
      <c r="K45" s="404"/>
      <c r="L45" s="405"/>
      <c r="M45" s="135"/>
      <c r="N45" s="404"/>
      <c r="O45" s="115"/>
      <c r="P45" s="325"/>
      <c r="Q45" s="135"/>
      <c r="R45" s="325"/>
      <c r="S45" s="406">
        <f t="shared" si="18"/>
        <v>0</v>
      </c>
      <c r="T45" s="325"/>
      <c r="U45" s="406">
        <f t="shared" si="18"/>
        <v>0</v>
      </c>
      <c r="V45" s="406">
        <f t="shared" si="18"/>
        <v>0</v>
      </c>
      <c r="W45" s="406">
        <f t="shared" si="18"/>
        <v>0</v>
      </c>
      <c r="X45" s="406">
        <f t="shared" si="18"/>
        <v>0</v>
      </c>
    </row>
    <row r="46" spans="1:24">
      <c r="A46" s="101">
        <v>33</v>
      </c>
      <c r="B46" s="117" t="s">
        <v>112</v>
      </c>
      <c r="D46" s="321"/>
      <c r="F46" s="135"/>
      <c r="H46" s="116"/>
      <c r="J46" s="135"/>
      <c r="K46" s="404"/>
      <c r="L46" s="405"/>
      <c r="M46" s="135"/>
      <c r="N46" s="404"/>
      <c r="O46" s="115"/>
      <c r="P46" s="325"/>
      <c r="Q46" s="135"/>
      <c r="R46" s="325"/>
      <c r="S46" s="406">
        <f t="shared" si="18"/>
        <v>-5659.5</v>
      </c>
      <c r="T46" s="325"/>
      <c r="U46" s="406">
        <f t="shared" si="18"/>
        <v>-7850</v>
      </c>
      <c r="V46" s="406">
        <f t="shared" si="18"/>
        <v>-10850</v>
      </c>
      <c r="W46" s="406">
        <f t="shared" si="18"/>
        <v>-7850</v>
      </c>
      <c r="X46" s="406">
        <f t="shared" si="18"/>
        <v>-7850</v>
      </c>
    </row>
    <row r="47" spans="1:24">
      <c r="A47" s="101">
        <v>34</v>
      </c>
      <c r="B47" s="111" t="s">
        <v>132</v>
      </c>
      <c r="D47" s="321"/>
      <c r="F47" s="135"/>
      <c r="H47" s="116"/>
      <c r="J47" s="135"/>
      <c r="K47" s="404"/>
      <c r="L47" s="405"/>
      <c r="M47" s="135"/>
      <c r="N47" s="404"/>
      <c r="O47" s="115"/>
      <c r="P47" s="325"/>
      <c r="Q47" s="135"/>
      <c r="R47" s="325"/>
      <c r="S47" s="406">
        <f t="shared" si="18"/>
        <v>-96000</v>
      </c>
      <c r="T47" s="325"/>
      <c r="U47" s="406">
        <f t="shared" si="18"/>
        <v>-96000</v>
      </c>
      <c r="V47" s="406">
        <f t="shared" si="18"/>
        <v>-96000</v>
      </c>
      <c r="W47" s="406">
        <f t="shared" si="18"/>
        <v>-96000</v>
      </c>
      <c r="X47" s="406">
        <f t="shared" si="18"/>
        <v>-96000</v>
      </c>
    </row>
    <row r="48" spans="1:24">
      <c r="A48" s="101">
        <v>35</v>
      </c>
      <c r="B48" s="130" t="s">
        <v>133</v>
      </c>
      <c r="D48" s="331"/>
      <c r="F48" s="332"/>
      <c r="H48" s="118"/>
      <c r="J48" s="332"/>
      <c r="K48" s="333"/>
      <c r="L48" s="334"/>
      <c r="M48" s="332"/>
      <c r="N48" s="333"/>
      <c r="O48" s="179"/>
      <c r="P48" s="335"/>
      <c r="Q48" s="136" t="s">
        <v>270</v>
      </c>
      <c r="R48" s="335"/>
      <c r="S48" s="407"/>
      <c r="T48" s="335"/>
      <c r="U48" s="407"/>
      <c r="V48" s="407"/>
      <c r="W48" s="407"/>
      <c r="X48" s="407"/>
    </row>
    <row r="49" spans="1:24">
      <c r="A49" s="101">
        <v>36</v>
      </c>
      <c r="B49" s="130" t="s">
        <v>134</v>
      </c>
      <c r="D49" s="339">
        <v>1</v>
      </c>
      <c r="F49" s="339">
        <v>1</v>
      </c>
      <c r="H49" s="339">
        <v>1</v>
      </c>
      <c r="J49" s="339">
        <v>1</v>
      </c>
      <c r="K49" s="340"/>
      <c r="L49" s="323"/>
      <c r="M49" s="339">
        <v>1</v>
      </c>
      <c r="N49" s="342"/>
      <c r="O49" s="119">
        <v>1</v>
      </c>
      <c r="P49" s="343"/>
      <c r="Q49" s="119">
        <v>1</v>
      </c>
      <c r="R49" s="343"/>
      <c r="S49" s="157">
        <v>1</v>
      </c>
      <c r="T49" s="343"/>
      <c r="U49" s="157">
        <v>1</v>
      </c>
      <c r="V49" s="157">
        <v>1</v>
      </c>
      <c r="W49" s="157">
        <v>1</v>
      </c>
      <c r="X49" s="157">
        <v>1</v>
      </c>
    </row>
    <row r="50" spans="1:24">
      <c r="A50" s="101">
        <v>37</v>
      </c>
      <c r="B50" s="130" t="s">
        <v>135</v>
      </c>
      <c r="D50" s="346">
        <v>0.25974900000000001</v>
      </c>
      <c r="F50" s="408">
        <v>0.24714743</v>
      </c>
      <c r="H50" s="349">
        <v>0.24893693</v>
      </c>
      <c r="J50" s="346">
        <f>478010267/1871166525</f>
        <v>0.2554611044038424</v>
      </c>
      <c r="K50" s="347"/>
      <c r="L50" s="348"/>
      <c r="M50" s="346">
        <f>479016601/1892078206</f>
        <v>0.25316955688247061</v>
      </c>
      <c r="N50" s="350"/>
      <c r="O50" s="120">
        <f>515171.974/2018725.242</f>
        <v>0.25519667723063028</v>
      </c>
      <c r="P50" s="351"/>
      <c r="Q50" s="137">
        <f>514394.545/2098023.244</f>
        <v>0.24518057484400302</v>
      </c>
      <c r="R50" s="351"/>
      <c r="S50" s="158">
        <f>SUM(Q50)</f>
        <v>0.24518057484400302</v>
      </c>
      <c r="T50" s="351"/>
      <c r="U50" s="158">
        <f>SUM(S50)</f>
        <v>0.24518057484400302</v>
      </c>
      <c r="V50" s="158">
        <f t="shared" ref="V50:X50" si="19">SUM(U50)</f>
        <v>0.24518057484400302</v>
      </c>
      <c r="W50" s="158">
        <f t="shared" si="19"/>
        <v>0.24518057484400302</v>
      </c>
      <c r="X50" s="158">
        <f t="shared" si="19"/>
        <v>0.24518057484400302</v>
      </c>
    </row>
    <row r="51" spans="1:24">
      <c r="A51" s="101">
        <v>38</v>
      </c>
      <c r="B51" s="130" t="s">
        <v>116</v>
      </c>
      <c r="D51" s="321">
        <f>SUM(D41:D47)*D49*D50</f>
        <v>410011.71850800002</v>
      </c>
      <c r="F51" s="321">
        <f>SUM(F41:F48)*F49*F50</f>
        <v>419924.06328934868</v>
      </c>
      <c r="H51" s="321">
        <f t="shared" ref="H51:J51" si="20">SUM(H41:H48)*H49*H50</f>
        <v>446951.5150231946</v>
      </c>
      <c r="J51" s="321">
        <f t="shared" si="20"/>
        <v>478010.38834402454</v>
      </c>
      <c r="K51" s="322"/>
      <c r="L51" s="323"/>
      <c r="M51" s="321">
        <f t="shared" ref="M51:O51" si="21">SUM(M41:M48)*M49*M50</f>
        <v>479016.60099999997</v>
      </c>
      <c r="N51" s="324"/>
      <c r="O51" s="115">
        <f t="shared" si="21"/>
        <v>515171.97399999999</v>
      </c>
      <c r="P51" s="325"/>
      <c r="Q51" s="138">
        <f t="shared" ref="Q51:X51" si="22">SUM(Q41:Q48)*Q49*Q50</f>
        <v>514394.54499999998</v>
      </c>
      <c r="R51" s="325"/>
      <c r="S51" s="122">
        <f t="shared" si="22"/>
        <v>558058.81830164022</v>
      </c>
      <c r="T51" s="325"/>
      <c r="U51" s="122">
        <f t="shared" si="22"/>
        <v>581006.72148655762</v>
      </c>
      <c r="V51" s="122">
        <f t="shared" si="22"/>
        <v>613785.03512773977</v>
      </c>
      <c r="W51" s="122">
        <f t="shared" si="22"/>
        <v>647327.39543226594</v>
      </c>
      <c r="X51" s="122">
        <f t="shared" si="22"/>
        <v>684611.3944588009</v>
      </c>
    </row>
    <row r="52" spans="1:24">
      <c r="A52" s="101">
        <v>39</v>
      </c>
      <c r="B52" s="130" t="s">
        <v>117</v>
      </c>
      <c r="D52" s="331">
        <f>(5887+8589+229+382)*-1</f>
        <v>-15087</v>
      </c>
      <c r="F52" s="331">
        <f>-3975.631-8936.384-222.924-283</f>
        <v>-13417.939</v>
      </c>
      <c r="H52" s="331">
        <f>-10488.681-9022.891-264.554-322.957</f>
        <v>-20099.082999999999</v>
      </c>
      <c r="J52" s="331">
        <f>-8904.767-211.228-231.129</f>
        <v>-9347.1239999999998</v>
      </c>
      <c r="K52" s="409"/>
      <c r="L52" s="334"/>
      <c r="M52" s="331">
        <f>-8573.011-238.474-810.181</f>
        <v>-9621.6660000000011</v>
      </c>
      <c r="N52" s="333"/>
      <c r="O52" s="179">
        <f>-8697.667-262.431-1000-301.639</f>
        <v>-10261.736999999999</v>
      </c>
      <c r="P52" s="335"/>
      <c r="Q52" s="139">
        <f>-7890.157-307.219-1000-443.168</f>
        <v>-9640.5439999999999</v>
      </c>
      <c r="R52" s="335"/>
      <c r="S52" s="407">
        <f t="shared" ref="S52" si="23">SUM(Q52)</f>
        <v>-9640.5439999999999</v>
      </c>
      <c r="T52" s="335"/>
      <c r="U52" s="407">
        <f>SUM(S52)</f>
        <v>-9640.5439999999999</v>
      </c>
      <c r="V52" s="407">
        <f t="shared" ref="V52:X52" si="24">SUM(U52)</f>
        <v>-9640.5439999999999</v>
      </c>
      <c r="W52" s="407">
        <f t="shared" si="24"/>
        <v>-9640.5439999999999</v>
      </c>
      <c r="X52" s="407">
        <f t="shared" si="24"/>
        <v>-9640.5439999999999</v>
      </c>
    </row>
    <row r="53" spans="1:24">
      <c r="A53" s="101">
        <v>40</v>
      </c>
      <c r="B53" s="130" t="s">
        <v>118</v>
      </c>
      <c r="D53" s="321">
        <f>SUM(D51:D52)</f>
        <v>394924.71850800002</v>
      </c>
      <c r="F53" s="321">
        <f>SUM(F51:F52)</f>
        <v>406506.12428934866</v>
      </c>
      <c r="H53" s="321">
        <f>SUM(H51:H52)</f>
        <v>426852.43202319462</v>
      </c>
      <c r="J53" s="321">
        <f>SUM(J51:J52)</f>
        <v>468663.26434402453</v>
      </c>
      <c r="K53" s="322"/>
      <c r="L53" s="323"/>
      <c r="M53" s="321">
        <f t="shared" ref="M53:X53" si="25">SUM(M51:M52)</f>
        <v>469394.93499999994</v>
      </c>
      <c r="N53" s="324"/>
      <c r="O53" s="115">
        <f t="shared" si="25"/>
        <v>504910.23699999996</v>
      </c>
      <c r="P53" s="325"/>
      <c r="Q53" s="115">
        <f t="shared" si="25"/>
        <v>504754.00099999999</v>
      </c>
      <c r="R53" s="325"/>
      <c r="S53" s="122">
        <f t="shared" si="25"/>
        <v>548418.27430164022</v>
      </c>
      <c r="T53" s="325"/>
      <c r="U53" s="122">
        <f t="shared" si="25"/>
        <v>571366.17748655763</v>
      </c>
      <c r="V53" s="122">
        <f t="shared" si="25"/>
        <v>604144.49112773978</v>
      </c>
      <c r="W53" s="122">
        <f t="shared" si="25"/>
        <v>637686.85143226595</v>
      </c>
      <c r="X53" s="122">
        <f t="shared" si="25"/>
        <v>674970.85045880091</v>
      </c>
    </row>
    <row r="54" spans="1:24">
      <c r="A54" s="101">
        <v>41</v>
      </c>
      <c r="B54" s="130" t="s">
        <v>136</v>
      </c>
      <c r="D54" s="410">
        <v>1</v>
      </c>
      <c r="F54" s="410">
        <v>1</v>
      </c>
      <c r="H54" s="410">
        <v>1</v>
      </c>
      <c r="J54" s="410">
        <v>1</v>
      </c>
      <c r="K54" s="411"/>
      <c r="L54" s="334"/>
      <c r="M54" s="410">
        <v>1</v>
      </c>
      <c r="N54" s="412"/>
      <c r="O54" s="140">
        <v>1</v>
      </c>
      <c r="P54" s="413"/>
      <c r="Q54" s="140">
        <v>1</v>
      </c>
      <c r="R54" s="413"/>
      <c r="S54" s="416">
        <v>1</v>
      </c>
      <c r="T54" s="413"/>
      <c r="U54" s="416">
        <v>1</v>
      </c>
      <c r="V54" s="416">
        <v>1</v>
      </c>
      <c r="W54" s="416">
        <v>1</v>
      </c>
      <c r="X54" s="416">
        <v>1</v>
      </c>
    </row>
    <row r="55" spans="1:24">
      <c r="A55" s="101">
        <v>42</v>
      </c>
      <c r="B55" s="130" t="s">
        <v>137</v>
      </c>
      <c r="D55" s="321">
        <f>SUM(D53*D54)</f>
        <v>394924.71850800002</v>
      </c>
      <c r="F55" s="321">
        <f>SUM(F53*F54)</f>
        <v>406506.12428934866</v>
      </c>
      <c r="H55" s="321">
        <f t="shared" ref="H55:J55" si="26">SUM(H53*H54)</f>
        <v>426852.43202319462</v>
      </c>
      <c r="J55" s="321">
        <f t="shared" si="26"/>
        <v>468663.26434402453</v>
      </c>
      <c r="K55" s="322"/>
      <c r="L55" s="323"/>
      <c r="M55" s="321">
        <f t="shared" ref="M55:X55" si="27">SUM(M53*M54)</f>
        <v>469394.93499999994</v>
      </c>
      <c r="N55" s="324"/>
      <c r="O55" s="115">
        <f t="shared" si="27"/>
        <v>504910.23699999996</v>
      </c>
      <c r="P55" s="325"/>
      <c r="Q55" s="115">
        <f t="shared" si="27"/>
        <v>504754.00099999999</v>
      </c>
      <c r="R55" s="325"/>
      <c r="S55" s="122">
        <f t="shared" si="27"/>
        <v>548418.27430164022</v>
      </c>
      <c r="T55" s="325"/>
      <c r="U55" s="122">
        <f t="shared" si="27"/>
        <v>571366.17748655763</v>
      </c>
      <c r="V55" s="122">
        <f t="shared" si="27"/>
        <v>604144.49112773978</v>
      </c>
      <c r="W55" s="122">
        <f t="shared" si="27"/>
        <v>637686.85143226595</v>
      </c>
      <c r="X55" s="122">
        <f t="shared" si="27"/>
        <v>674970.85045880091</v>
      </c>
    </row>
    <row r="56" spans="1:24">
      <c r="A56" s="101">
        <v>43</v>
      </c>
      <c r="B56" s="130" t="s">
        <v>138</v>
      </c>
      <c r="C56" s="417" t="e">
        <f>SUM(D56-#REF!)/D56</f>
        <v>#REF!</v>
      </c>
      <c r="D56" s="373">
        <f>3829943.98/394925312</f>
        <v>9.697894421110187E-3</v>
      </c>
      <c r="E56" s="418">
        <f>SUM(F56-D56)/F56</f>
        <v>9.0569557305089754E-2</v>
      </c>
      <c r="F56" s="373">
        <f>4334861/406506236</f>
        <v>1.06637011098644E-2</v>
      </c>
      <c r="G56" s="418">
        <f>SUM(H56-F56)/H56</f>
        <v>2.9513914282453545E-2</v>
      </c>
      <c r="H56" s="373">
        <v>1.0988E-2</v>
      </c>
      <c r="I56" s="419">
        <f>SUM(J56-H56)/H56</f>
        <v>4.0654360318626757E-2</v>
      </c>
      <c r="J56" s="373">
        <f>5359027.18/468663143</f>
        <v>1.143471011118107E-2</v>
      </c>
      <c r="K56" s="420"/>
      <c r="L56" s="421">
        <f>SUM(M56-J56)/J56</f>
        <v>1.3665332452170083E-2</v>
      </c>
      <c r="M56" s="373">
        <f>5440.743/469395</f>
        <v>1.159096922634455E-2</v>
      </c>
      <c r="N56" s="378">
        <f>SUM((O56-M56)/M56)</f>
        <v>-2.3012975508219759E-2</v>
      </c>
      <c r="O56" s="373">
        <f>5717.71522/504910</f>
        <v>1.1324226535422154E-2</v>
      </c>
      <c r="P56" s="422">
        <f>SUM(Q58-O58)/O58</f>
        <v>-7.4419402637072741E-3</v>
      </c>
      <c r="Q56" s="373">
        <f>5675.167/504754.002</f>
        <v>1.1243431409187718E-2</v>
      </c>
      <c r="R56" s="379">
        <v>0.02</v>
      </c>
      <c r="S56" s="141">
        <f>SUM(Q56*(1+R56))</f>
        <v>1.1468300037371473E-2</v>
      </c>
      <c r="T56" s="379">
        <v>0.02</v>
      </c>
      <c r="U56" s="141">
        <f>SUM(S56*(1+T56))</f>
        <v>1.1697666038118903E-2</v>
      </c>
      <c r="V56" s="141">
        <f>SUM(U56*(1+T56))</f>
        <v>1.1931619358881282E-2</v>
      </c>
      <c r="W56" s="141">
        <f>SUM(V56*(1+T56))</f>
        <v>1.2170251746058907E-2</v>
      </c>
      <c r="X56" s="141">
        <f>SUM(W56*(1+T56))</f>
        <v>1.2413656780980086E-2</v>
      </c>
    </row>
    <row r="57" spans="1:24">
      <c r="A57" s="101">
        <v>44</v>
      </c>
      <c r="B57" s="130"/>
      <c r="D57" s="381"/>
      <c r="F57" s="382"/>
      <c r="H57" s="382"/>
      <c r="J57" s="382"/>
      <c r="K57" s="423"/>
      <c r="L57" s="323"/>
      <c r="M57" s="382"/>
      <c r="N57" s="383"/>
      <c r="O57" s="382"/>
      <c r="P57" s="383"/>
      <c r="Q57" s="382"/>
      <c r="R57" s="383"/>
      <c r="S57" s="125"/>
      <c r="T57" s="383"/>
      <c r="U57" s="125"/>
      <c r="V57" s="125"/>
      <c r="W57" s="125"/>
      <c r="X57" s="125"/>
    </row>
    <row r="58" spans="1:24" ht="13.5" thickBot="1">
      <c r="A58" s="101">
        <v>45</v>
      </c>
      <c r="B58" s="142" t="s">
        <v>128</v>
      </c>
      <c r="D58" s="386">
        <f>SUM(D55*D56)</f>
        <v>3829.9382243772443</v>
      </c>
      <c r="F58" s="386">
        <f>SUM(F55*F56)</f>
        <v>4334.8598087510027</v>
      </c>
      <c r="H58" s="386">
        <f t="shared" ref="H58:J58" si="28">SUM(H55*H56)</f>
        <v>4690.254523070862</v>
      </c>
      <c r="J58" s="386">
        <f t="shared" si="28"/>
        <v>5359.0285675337436</v>
      </c>
      <c r="K58" s="424"/>
      <c r="L58" s="388"/>
      <c r="M58" s="386">
        <f t="shared" ref="M58:X58" si="29">SUM(M55*M56)</f>
        <v>5440.7422465869995</v>
      </c>
      <c r="N58" s="387"/>
      <c r="O58" s="425">
        <f t="shared" si="29"/>
        <v>5717.717903841688</v>
      </c>
      <c r="P58" s="387"/>
      <c r="Q58" s="386">
        <f t="shared" si="29"/>
        <v>5675.1669887565686</v>
      </c>
      <c r="R58" s="387"/>
      <c r="S58" s="126">
        <f t="shared" si="29"/>
        <v>6289.4253156686991</v>
      </c>
      <c r="T58" s="387"/>
      <c r="U58" s="126">
        <f t="shared" si="29"/>
        <v>6683.6507297143226</v>
      </c>
      <c r="V58" s="126">
        <f t="shared" si="29"/>
        <v>7208.4221059012207</v>
      </c>
      <c r="W58" s="126">
        <f t="shared" si="29"/>
        <v>7760.8095170823417</v>
      </c>
      <c r="X58" s="126">
        <f t="shared" si="29"/>
        <v>8378.8564747617893</v>
      </c>
    </row>
    <row r="59" spans="1:24" ht="13.5" thickTop="1">
      <c r="A59" s="101">
        <v>46</v>
      </c>
      <c r="B59" s="143"/>
      <c r="D59" s="426"/>
      <c r="F59" s="144"/>
      <c r="G59" s="144"/>
      <c r="H59" s="144"/>
      <c r="J59" s="144"/>
      <c r="K59" s="144"/>
      <c r="L59" s="427"/>
      <c r="M59" s="428"/>
      <c r="N59" s="144"/>
      <c r="O59" s="144"/>
      <c r="P59" s="144"/>
      <c r="Q59" s="144"/>
      <c r="R59" s="144"/>
      <c r="S59" s="144"/>
      <c r="T59" s="144"/>
      <c r="U59" s="144"/>
      <c r="V59" s="144"/>
      <c r="W59" s="144"/>
      <c r="X59" s="144"/>
    </row>
    <row r="60" spans="1:24">
      <c r="A60" s="101">
        <v>47</v>
      </c>
      <c r="B60" s="145"/>
      <c r="D60" s="431"/>
      <c r="F60" s="129"/>
      <c r="H60" s="431"/>
      <c r="J60" s="431"/>
      <c r="K60" s="432"/>
      <c r="L60" s="396"/>
      <c r="M60" s="129"/>
      <c r="N60" s="177"/>
      <c r="O60" s="129"/>
      <c r="P60" s="177"/>
      <c r="Q60" s="129"/>
      <c r="R60" s="177"/>
      <c r="S60" s="155"/>
      <c r="T60" s="177"/>
      <c r="U60" s="155"/>
      <c r="V60" s="155"/>
      <c r="W60" s="155"/>
      <c r="X60" s="155"/>
    </row>
    <row r="61" spans="1:24">
      <c r="A61" s="101">
        <v>48</v>
      </c>
      <c r="B61" s="111"/>
      <c r="D61" s="131" t="s">
        <v>265</v>
      </c>
      <c r="F61" s="131" t="s">
        <v>253</v>
      </c>
      <c r="H61" s="131" t="s">
        <v>254</v>
      </c>
      <c r="J61" s="131" t="s">
        <v>266</v>
      </c>
      <c r="K61" s="399"/>
      <c r="L61" s="308"/>
      <c r="M61" s="131" t="s">
        <v>267</v>
      </c>
      <c r="N61" s="307"/>
      <c r="O61" s="131" t="s">
        <v>268</v>
      </c>
      <c r="P61" s="307"/>
      <c r="Q61" s="131" t="s">
        <v>269</v>
      </c>
      <c r="R61" s="307"/>
      <c r="S61" s="112" t="s">
        <v>104</v>
      </c>
      <c r="T61" s="307"/>
      <c r="U61" s="112" t="s">
        <v>259</v>
      </c>
      <c r="V61" s="112" t="s">
        <v>260</v>
      </c>
      <c r="W61" s="112" t="s">
        <v>261</v>
      </c>
      <c r="X61" s="112" t="s">
        <v>262</v>
      </c>
    </row>
    <row r="62" spans="1:24">
      <c r="A62" s="101">
        <v>49</v>
      </c>
      <c r="B62" s="113" t="s">
        <v>140</v>
      </c>
      <c r="D62" s="317" t="s">
        <v>141</v>
      </c>
      <c r="F62" s="317" t="s">
        <v>141</v>
      </c>
      <c r="H62" s="317" t="s">
        <v>141</v>
      </c>
      <c r="J62" s="146" t="s">
        <v>141</v>
      </c>
      <c r="K62" s="293"/>
      <c r="L62" s="319"/>
      <c r="M62" s="146" t="s">
        <v>141</v>
      </c>
      <c r="N62" s="320"/>
      <c r="O62" s="146" t="s">
        <v>141</v>
      </c>
      <c r="P62" s="293"/>
      <c r="Q62" s="146" t="s">
        <v>141</v>
      </c>
      <c r="R62" s="293"/>
      <c r="S62" s="114" t="s">
        <v>141</v>
      </c>
      <c r="T62" s="293"/>
      <c r="U62" s="114" t="s">
        <v>141</v>
      </c>
      <c r="V62" s="114" t="s">
        <v>141</v>
      </c>
      <c r="W62" s="114" t="s">
        <v>141</v>
      </c>
      <c r="X62" s="114" t="s">
        <v>141</v>
      </c>
    </row>
    <row r="63" spans="1:24">
      <c r="A63" s="101">
        <v>50</v>
      </c>
      <c r="B63" s="147"/>
      <c r="D63" s="433">
        <v>2200000</v>
      </c>
      <c r="E63" s="434"/>
      <c r="F63" s="433">
        <v>2320000</v>
      </c>
      <c r="H63" s="433">
        <v>2600000</v>
      </c>
      <c r="J63" s="433">
        <v>2700000</v>
      </c>
      <c r="K63" s="435"/>
      <c r="L63" s="436"/>
      <c r="M63" s="433">
        <v>2973000</v>
      </c>
      <c r="N63" s="437"/>
      <c r="O63" s="148">
        <v>3318000</v>
      </c>
      <c r="P63" s="438"/>
      <c r="Q63" s="148">
        <v>3431000</v>
      </c>
      <c r="R63" s="438"/>
      <c r="S63" s="440">
        <f>SUM(Q63)</f>
        <v>3431000</v>
      </c>
      <c r="T63" s="438"/>
      <c r="U63" s="440">
        <f t="shared" ref="U63" si="30">SUM(S63:S67)</f>
        <v>3648329.9550000001</v>
      </c>
      <c r="V63" s="440">
        <f t="shared" ref="V63:X63" si="31">SUM(U63:U67)</f>
        <v>3892861.41</v>
      </c>
      <c r="W63" s="440">
        <f t="shared" si="31"/>
        <v>4121424.5120000001</v>
      </c>
      <c r="X63" s="440">
        <f t="shared" si="31"/>
        <v>4351028.8789999997</v>
      </c>
    </row>
    <row r="64" spans="1:24">
      <c r="A64" s="101">
        <v>51</v>
      </c>
      <c r="B64" s="111" t="s">
        <v>271</v>
      </c>
      <c r="D64" s="321">
        <v>1980000</v>
      </c>
      <c r="F64" s="321">
        <v>2088000</v>
      </c>
      <c r="H64" s="321">
        <v>2340000</v>
      </c>
      <c r="J64" s="321">
        <v>2430000</v>
      </c>
      <c r="K64" s="322"/>
      <c r="L64" s="323"/>
      <c r="M64" s="321">
        <v>2676000</v>
      </c>
      <c r="N64" s="324"/>
      <c r="O64" s="115">
        <v>2987000</v>
      </c>
      <c r="P64" s="325"/>
      <c r="Q64" s="115">
        <v>3088000</v>
      </c>
      <c r="R64" s="325"/>
      <c r="S64" s="122"/>
      <c r="T64" s="325"/>
      <c r="U64" s="122"/>
      <c r="V64" s="122"/>
      <c r="W64" s="122"/>
      <c r="X64" s="122"/>
    </row>
    <row r="65" spans="1:24">
      <c r="A65" s="101">
        <v>52</v>
      </c>
      <c r="B65" s="111" t="s">
        <v>144</v>
      </c>
      <c r="D65" s="321"/>
      <c r="F65" s="134"/>
      <c r="H65" s="116"/>
      <c r="J65" s="321"/>
      <c r="K65" s="322"/>
      <c r="L65" s="401"/>
      <c r="M65" s="321"/>
      <c r="N65" s="402"/>
      <c r="O65" s="115"/>
      <c r="P65" s="325"/>
      <c r="Q65" s="115"/>
      <c r="R65" s="325"/>
      <c r="S65" s="441">
        <f>274090.264+66239.691</f>
        <v>340329.95500000002</v>
      </c>
      <c r="T65" s="325"/>
      <c r="U65" s="441">
        <f>SUM(U19+U127)</f>
        <v>367531.45500000002</v>
      </c>
      <c r="V65" s="441">
        <f t="shared" ref="V65:X65" si="32">SUM(V19+V127)</f>
        <v>351563.10199999996</v>
      </c>
      <c r="W65" s="441">
        <f t="shared" si="32"/>
        <v>352604.36699999997</v>
      </c>
      <c r="X65" s="441">
        <f t="shared" si="32"/>
        <v>381982.69699999999</v>
      </c>
    </row>
    <row r="66" spans="1:24">
      <c r="A66" s="101">
        <v>53</v>
      </c>
      <c r="B66" s="117" t="s">
        <v>111</v>
      </c>
      <c r="D66" s="321"/>
      <c r="F66" s="134"/>
      <c r="H66" s="116"/>
      <c r="J66" s="321"/>
      <c r="K66" s="322"/>
      <c r="L66" s="401"/>
      <c r="M66" s="321"/>
      <c r="N66" s="402"/>
      <c r="O66" s="115"/>
      <c r="P66" s="325"/>
      <c r="Q66" s="115"/>
      <c r="R66" s="325"/>
      <c r="S66" s="441"/>
      <c r="T66" s="325"/>
      <c r="U66" s="441"/>
      <c r="V66" s="441"/>
      <c r="W66" s="441"/>
      <c r="X66" s="441"/>
    </row>
    <row r="67" spans="1:24">
      <c r="A67" s="101">
        <v>54</v>
      </c>
      <c r="B67" s="111" t="s">
        <v>132</v>
      </c>
      <c r="D67" s="321"/>
      <c r="F67" s="328"/>
      <c r="H67" s="116"/>
      <c r="J67" s="116"/>
      <c r="K67" s="442"/>
      <c r="L67" s="323"/>
      <c r="M67" s="321"/>
      <c r="N67" s="324"/>
      <c r="O67" s="115"/>
      <c r="P67" s="325"/>
      <c r="Q67" s="115"/>
      <c r="R67" s="325"/>
      <c r="S67" s="443">
        <f t="shared" ref="S67" si="33">SUM(S23+S128)</f>
        <v>-123000</v>
      </c>
      <c r="T67" s="325"/>
      <c r="U67" s="443">
        <f t="shared" ref="U67:X67" si="34">SUM(U23+U128)</f>
        <v>-123000</v>
      </c>
      <c r="V67" s="443">
        <f t="shared" si="34"/>
        <v>-123000</v>
      </c>
      <c r="W67" s="443">
        <f t="shared" si="34"/>
        <v>-123000</v>
      </c>
      <c r="X67" s="443">
        <f t="shared" si="34"/>
        <v>-123000</v>
      </c>
    </row>
    <row r="68" spans="1:24">
      <c r="A68" s="101">
        <v>55</v>
      </c>
      <c r="B68" s="111" t="s">
        <v>145</v>
      </c>
      <c r="D68" s="331"/>
      <c r="F68" s="332"/>
      <c r="H68" s="118"/>
      <c r="J68" s="118"/>
      <c r="K68" s="444"/>
      <c r="L68" s="334"/>
      <c r="M68" s="331"/>
      <c r="N68" s="333"/>
      <c r="O68" s="179"/>
      <c r="P68" s="335"/>
      <c r="Q68" s="136" t="s">
        <v>270</v>
      </c>
      <c r="R68" s="335"/>
      <c r="S68" s="407">
        <f t="shared" ref="S68" si="35">SUM(S63:S67)*0.1*-1</f>
        <v>-364832.99550000002</v>
      </c>
      <c r="T68" s="335"/>
      <c r="U68" s="407">
        <f t="shared" ref="U68:W68" si="36">SUM(U63:U67)*0.1*-1</f>
        <v>-389286.14100000006</v>
      </c>
      <c r="V68" s="407">
        <f t="shared" si="36"/>
        <v>-412142.45120000001</v>
      </c>
      <c r="W68" s="407">
        <f t="shared" si="36"/>
        <v>-435102.88789999997</v>
      </c>
      <c r="X68" s="407">
        <f t="shared" ref="X68" si="37">SUM(X63:X67)*0.1*-1</f>
        <v>-461001.15759999998</v>
      </c>
    </row>
    <row r="69" spans="1:24">
      <c r="A69" s="101">
        <v>56</v>
      </c>
      <c r="B69" s="111"/>
      <c r="D69" s="321">
        <f>SUM(D64:D68)</f>
        <v>1980000</v>
      </c>
      <c r="F69" s="321">
        <f>SUM(F64)</f>
        <v>2088000</v>
      </c>
      <c r="H69" s="321">
        <f>SUM(H64)</f>
        <v>2340000</v>
      </c>
      <c r="J69" s="321">
        <f>SUM(J64)</f>
        <v>2430000</v>
      </c>
      <c r="K69" s="322"/>
      <c r="L69" s="323"/>
      <c r="M69" s="321">
        <f>SUM(M64)</f>
        <v>2676000</v>
      </c>
      <c r="N69" s="324"/>
      <c r="O69" s="115">
        <f>SUM(O64)</f>
        <v>2987000</v>
      </c>
      <c r="P69" s="325"/>
      <c r="Q69" s="115">
        <f>SUM(Q64)</f>
        <v>3088000</v>
      </c>
      <c r="R69" s="325"/>
      <c r="S69" s="122">
        <f t="shared" ref="S69:X69" si="38">SUM(S63:S68)</f>
        <v>3283496.9594999999</v>
      </c>
      <c r="T69" s="325"/>
      <c r="U69" s="122">
        <f t="shared" si="38"/>
        <v>3503575.2690000003</v>
      </c>
      <c r="V69" s="122">
        <f t="shared" si="38"/>
        <v>3709282.0608000001</v>
      </c>
      <c r="W69" s="122">
        <f t="shared" si="38"/>
        <v>3915925.9910999998</v>
      </c>
      <c r="X69" s="122">
        <f t="shared" si="38"/>
        <v>4149010.4183999994</v>
      </c>
    </row>
    <row r="70" spans="1:24">
      <c r="A70" s="101">
        <v>57</v>
      </c>
      <c r="B70" s="111" t="s">
        <v>134</v>
      </c>
      <c r="D70" s="339">
        <v>1</v>
      </c>
      <c r="F70" s="339">
        <v>1</v>
      </c>
      <c r="H70" s="339">
        <v>1</v>
      </c>
      <c r="J70" s="339">
        <v>1</v>
      </c>
      <c r="K70" s="340"/>
      <c r="L70" s="323"/>
      <c r="M70" s="339">
        <v>1</v>
      </c>
      <c r="N70" s="342"/>
      <c r="O70" s="119">
        <v>1</v>
      </c>
      <c r="P70" s="343"/>
      <c r="Q70" s="119">
        <v>1</v>
      </c>
      <c r="R70" s="343"/>
      <c r="S70" s="157">
        <v>1</v>
      </c>
      <c r="T70" s="343"/>
      <c r="U70" s="157">
        <v>1</v>
      </c>
      <c r="V70" s="157">
        <v>1</v>
      </c>
      <c r="W70" s="157">
        <v>1</v>
      </c>
      <c r="X70" s="157">
        <v>1</v>
      </c>
    </row>
    <row r="71" spans="1:24">
      <c r="A71" s="101">
        <v>58</v>
      </c>
      <c r="B71" s="111" t="s">
        <v>135</v>
      </c>
      <c r="D71" s="346">
        <v>0.15857099999999999</v>
      </c>
      <c r="F71" s="346">
        <v>0.1574547</v>
      </c>
      <c r="H71" s="346">
        <f>350240377/2340000000%*0.01</f>
        <v>0.14967537478632481</v>
      </c>
      <c r="J71" s="346">
        <f>370904020/2430000000</f>
        <v>0.15263539917695473</v>
      </c>
      <c r="K71" s="347"/>
      <c r="L71" s="348"/>
      <c r="M71" s="346">
        <v>0.141817</v>
      </c>
      <c r="N71" s="350"/>
      <c r="O71" s="120">
        <f>345023.428/2987000</f>
        <v>0.11550834549715434</v>
      </c>
      <c r="P71" s="351"/>
      <c r="Q71" s="120">
        <f>422107.916/3088000</f>
        <v>0.13669297797927463</v>
      </c>
      <c r="R71" s="351"/>
      <c r="S71" s="158">
        <f>SUM(Q71)</f>
        <v>0.13669297797927463</v>
      </c>
      <c r="T71" s="351"/>
      <c r="U71" s="158">
        <f>SUM(S71)</f>
        <v>0.13669297797927463</v>
      </c>
      <c r="V71" s="158">
        <f t="shared" ref="V71:X71" si="39">SUM(U71)</f>
        <v>0.13669297797927463</v>
      </c>
      <c r="W71" s="158">
        <f t="shared" si="39"/>
        <v>0.13669297797927463</v>
      </c>
      <c r="X71" s="158">
        <f t="shared" si="39"/>
        <v>0.13669297797927463</v>
      </c>
    </row>
    <row r="72" spans="1:24">
      <c r="A72" s="101">
        <v>59</v>
      </c>
      <c r="B72" s="111" t="s">
        <v>116</v>
      </c>
      <c r="D72" s="321">
        <f>SUM(D69*D71)</f>
        <v>313970.57999999996</v>
      </c>
      <c r="F72" s="321">
        <f>SUM(F69*F71)</f>
        <v>328765.41360000003</v>
      </c>
      <c r="H72" s="321">
        <f t="shared" ref="H72:J72" si="40">SUM(H69*H71)</f>
        <v>350240.37700000004</v>
      </c>
      <c r="J72" s="321">
        <f t="shared" si="40"/>
        <v>370904.02</v>
      </c>
      <c r="K72" s="322"/>
      <c r="L72" s="323"/>
      <c r="M72" s="321">
        <f t="shared" ref="M72:X72" si="41">SUM(M69*M71)</f>
        <v>379502.29200000002</v>
      </c>
      <c r="N72" s="324"/>
      <c r="O72" s="115">
        <f t="shared" si="41"/>
        <v>345023.42800000001</v>
      </c>
      <c r="P72" s="325"/>
      <c r="Q72" s="115">
        <f t="shared" si="41"/>
        <v>422107.91600000003</v>
      </c>
      <c r="R72" s="325"/>
      <c r="S72" s="122">
        <f t="shared" si="41"/>
        <v>448830.97757994867</v>
      </c>
      <c r="T72" s="325"/>
      <c r="U72" s="122">
        <f t="shared" si="41"/>
        <v>478914.1370941482</v>
      </c>
      <c r="V72" s="122">
        <f t="shared" si="41"/>
        <v>507032.8110558528</v>
      </c>
      <c r="W72" s="122">
        <f t="shared" si="41"/>
        <v>535279.58526990144</v>
      </c>
      <c r="X72" s="122">
        <f t="shared" si="41"/>
        <v>567140.58975813212</v>
      </c>
    </row>
    <row r="73" spans="1:24">
      <c r="A73" s="101">
        <v>60</v>
      </c>
      <c r="B73" s="111" t="s">
        <v>146</v>
      </c>
      <c r="D73" s="321">
        <f>6237-14-53-14-267</f>
        <v>5889</v>
      </c>
      <c r="F73" s="321">
        <f>-198.728-15-50.618056</f>
        <v>-264.34605600000003</v>
      </c>
      <c r="H73" s="321">
        <f>-217.58-15-69.194-0.062</f>
        <v>-301.83600000000001</v>
      </c>
      <c r="J73" s="321">
        <f>-215.103-15-50.168-0.061</f>
        <v>-280.33199999999999</v>
      </c>
      <c r="K73" s="322"/>
      <c r="L73" s="323"/>
      <c r="M73" s="321">
        <f>-49.245-0.521-15-223.702</f>
        <v>-288.46799999999996</v>
      </c>
      <c r="N73" s="324"/>
      <c r="O73" s="115">
        <v>-276.91899999999998</v>
      </c>
      <c r="P73" s="325"/>
      <c r="Q73" s="115">
        <v>-569.95299999999997</v>
      </c>
      <c r="R73" s="325"/>
      <c r="S73" s="122">
        <v>0</v>
      </c>
      <c r="T73" s="325"/>
      <c r="U73" s="122">
        <v>0</v>
      </c>
      <c r="V73" s="122">
        <v>0</v>
      </c>
      <c r="W73" s="122">
        <v>0</v>
      </c>
      <c r="X73" s="122">
        <v>0</v>
      </c>
    </row>
    <row r="74" spans="1:24">
      <c r="A74" s="101">
        <v>61</v>
      </c>
      <c r="B74" s="111" t="s">
        <v>147</v>
      </c>
      <c r="D74" s="445">
        <v>1</v>
      </c>
      <c r="F74" s="445">
        <v>1</v>
      </c>
      <c r="H74" s="445">
        <v>1</v>
      </c>
      <c r="J74" s="445">
        <v>1</v>
      </c>
      <c r="K74" s="446"/>
      <c r="L74" s="323"/>
      <c r="M74" s="445">
        <v>1</v>
      </c>
      <c r="N74" s="447"/>
      <c r="O74" s="149">
        <v>1</v>
      </c>
      <c r="P74" s="448"/>
      <c r="Q74" s="149">
        <v>1</v>
      </c>
      <c r="R74" s="448"/>
      <c r="S74" s="159">
        <v>1</v>
      </c>
      <c r="T74" s="448"/>
      <c r="U74" s="159">
        <v>1</v>
      </c>
      <c r="V74" s="159">
        <v>1</v>
      </c>
      <c r="W74" s="159">
        <v>1</v>
      </c>
      <c r="X74" s="159">
        <v>1</v>
      </c>
    </row>
    <row r="75" spans="1:24">
      <c r="A75" s="101">
        <v>62</v>
      </c>
      <c r="B75" s="150" t="s">
        <v>148</v>
      </c>
      <c r="D75" s="321">
        <f>SUM(D72:D73)*D74</f>
        <v>319859.57999999996</v>
      </c>
      <c r="F75" s="321">
        <f>SUM(F72:F73)*F74</f>
        <v>328501.06754400005</v>
      </c>
      <c r="H75" s="321">
        <f t="shared" ref="H75:J75" si="42">SUM(H72:H73)*H74</f>
        <v>349938.54100000003</v>
      </c>
      <c r="J75" s="321">
        <f t="shared" si="42"/>
        <v>370623.68800000002</v>
      </c>
      <c r="K75" s="322"/>
      <c r="L75" s="323"/>
      <c r="M75" s="321">
        <f t="shared" ref="M75:O75" si="43">SUM(M72:M73)*M74</f>
        <v>379213.82400000002</v>
      </c>
      <c r="N75" s="324"/>
      <c r="O75" s="115">
        <f t="shared" si="43"/>
        <v>344746.50900000002</v>
      </c>
      <c r="P75" s="325"/>
      <c r="Q75" s="115">
        <f t="shared" ref="Q75:X75" si="44">SUM(Q72:Q73)*Q74</f>
        <v>421537.96300000005</v>
      </c>
      <c r="R75" s="325"/>
      <c r="S75" s="122">
        <f t="shared" si="44"/>
        <v>448830.97757994867</v>
      </c>
      <c r="T75" s="325"/>
      <c r="U75" s="122">
        <f t="shared" si="44"/>
        <v>478914.1370941482</v>
      </c>
      <c r="V75" s="122">
        <f t="shared" si="44"/>
        <v>507032.8110558528</v>
      </c>
      <c r="W75" s="122">
        <f t="shared" si="44"/>
        <v>535279.58526990144</v>
      </c>
      <c r="X75" s="122">
        <f t="shared" si="44"/>
        <v>567140.58975813212</v>
      </c>
    </row>
    <row r="76" spans="1:24">
      <c r="A76" s="101">
        <v>63</v>
      </c>
      <c r="B76" s="111" t="s">
        <v>149</v>
      </c>
      <c r="D76" s="355">
        <f>20889221/319841522</f>
        <v>6.5311160569077084E-2</v>
      </c>
      <c r="F76" s="372">
        <v>6.5777000000000002E-2</v>
      </c>
      <c r="H76" s="373">
        <f>22904266/349938542</f>
        <v>6.5452253041621236E-2</v>
      </c>
      <c r="J76" s="355">
        <f>24674/370624</f>
        <v>6.6574209981005009E-2</v>
      </c>
      <c r="K76" s="451"/>
      <c r="L76" s="334"/>
      <c r="M76" s="355">
        <f>24737.466/379214</f>
        <v>6.5233525133565742E-2</v>
      </c>
      <c r="N76" s="452"/>
      <c r="O76" s="453">
        <f>22376.23/344747</f>
        <v>6.4906235587256736E-2</v>
      </c>
      <c r="P76" s="454"/>
      <c r="Q76" s="151">
        <f>27999.644/421537.956</f>
        <v>6.6422592797313842E-2</v>
      </c>
      <c r="R76" s="454"/>
      <c r="S76" s="160">
        <f>SUM(Q76)</f>
        <v>6.6422592797313842E-2</v>
      </c>
      <c r="T76" s="454"/>
      <c r="U76" s="160">
        <f>SUM(S76)</f>
        <v>6.6422592797313842E-2</v>
      </c>
      <c r="V76" s="160">
        <f t="shared" ref="V76:X76" si="45">SUM(U76)</f>
        <v>6.6422592797313842E-2</v>
      </c>
      <c r="W76" s="160">
        <f t="shared" si="45"/>
        <v>6.6422592797313842E-2</v>
      </c>
      <c r="X76" s="160">
        <f t="shared" si="45"/>
        <v>6.6422592797313842E-2</v>
      </c>
    </row>
    <row r="77" spans="1:24">
      <c r="A77" s="101">
        <v>64</v>
      </c>
      <c r="B77" s="111" t="s">
        <v>151</v>
      </c>
      <c r="D77" s="321">
        <f>SUM(D75*D76)</f>
        <v>20890.400388937553</v>
      </c>
      <c r="F77" s="321">
        <f>SUM(F75*F76)</f>
        <v>21607.814719841692</v>
      </c>
      <c r="H77" s="321">
        <f t="shared" ref="H77:J77" si="46">SUM(H75*H76)</f>
        <v>22904.265934547748</v>
      </c>
      <c r="J77" s="321">
        <f t="shared" si="46"/>
        <v>24673.979228846489</v>
      </c>
      <c r="K77" s="442"/>
      <c r="L77" s="323"/>
      <c r="M77" s="321">
        <f t="shared" ref="M77:X77" si="47">SUM(M75*M76)</f>
        <v>24737.454518899576</v>
      </c>
      <c r="N77" s="324"/>
      <c r="O77" s="115">
        <f t="shared" si="47"/>
        <v>22376.198131038327</v>
      </c>
      <c r="P77" s="457"/>
      <c r="Q77" s="138">
        <f t="shared" si="47"/>
        <v>27999.644464958154</v>
      </c>
      <c r="R77" s="457"/>
      <c r="S77" s="122">
        <f t="shared" si="47"/>
        <v>29812.517258613228</v>
      </c>
      <c r="T77" s="457"/>
      <c r="U77" s="122">
        <f t="shared" si="47"/>
        <v>31810.718713081544</v>
      </c>
      <c r="V77" s="122">
        <f t="shared" si="47"/>
        <v>33678.433943640281</v>
      </c>
      <c r="W77" s="122">
        <f t="shared" si="47"/>
        <v>35554.657925097694</v>
      </c>
      <c r="X77" s="122">
        <f t="shared" si="47"/>
        <v>37670.948452332828</v>
      </c>
    </row>
    <row r="78" spans="1:24">
      <c r="A78" s="101">
        <v>65</v>
      </c>
      <c r="B78" s="111" t="s">
        <v>152</v>
      </c>
      <c r="D78" s="321">
        <v>0</v>
      </c>
      <c r="F78" s="321">
        <v>0</v>
      </c>
      <c r="H78" s="321">
        <v>0</v>
      </c>
      <c r="J78" s="321">
        <v>0</v>
      </c>
      <c r="K78" s="442"/>
      <c r="L78" s="323"/>
      <c r="M78" s="321">
        <v>0</v>
      </c>
      <c r="N78" s="324"/>
      <c r="O78" s="116">
        <v>0</v>
      </c>
      <c r="P78" s="324"/>
      <c r="Q78" s="115">
        <v>0</v>
      </c>
      <c r="R78" s="324"/>
      <c r="S78" s="122">
        <v>0</v>
      </c>
      <c r="T78" s="324"/>
      <c r="U78" s="122">
        <v>0</v>
      </c>
      <c r="V78" s="122">
        <v>0</v>
      </c>
      <c r="W78" s="122">
        <v>0</v>
      </c>
      <c r="X78" s="122">
        <v>0</v>
      </c>
    </row>
    <row r="79" spans="1:24">
      <c r="A79" s="101">
        <v>66</v>
      </c>
      <c r="B79" s="111" t="s">
        <v>153</v>
      </c>
      <c r="D79" s="364">
        <f>SUM(D77:D78)</f>
        <v>20890.400388937553</v>
      </c>
      <c r="F79" s="364">
        <f>SUM(F77:F78)</f>
        <v>21607.814719841692</v>
      </c>
      <c r="H79" s="364">
        <f t="shared" ref="H79:J79" si="48">SUM(H77:H78)</f>
        <v>22904.265934547748</v>
      </c>
      <c r="J79" s="364">
        <f t="shared" si="48"/>
        <v>24673.979228846489</v>
      </c>
      <c r="K79" s="459"/>
      <c r="L79" s="366"/>
      <c r="M79" s="364">
        <f t="shared" ref="M79:X79" si="49">SUM(M77:M78)</f>
        <v>24737.454518899576</v>
      </c>
      <c r="N79" s="367"/>
      <c r="O79" s="152">
        <f t="shared" si="49"/>
        <v>22376.198131038327</v>
      </c>
      <c r="P79" s="367"/>
      <c r="Q79" s="152">
        <f t="shared" si="49"/>
        <v>27999.644464958154</v>
      </c>
      <c r="R79" s="367"/>
      <c r="S79" s="123">
        <f t="shared" si="49"/>
        <v>29812.517258613228</v>
      </c>
      <c r="T79" s="367"/>
      <c r="U79" s="123">
        <f t="shared" si="49"/>
        <v>31810.718713081544</v>
      </c>
      <c r="V79" s="123">
        <f t="shared" si="49"/>
        <v>33678.433943640281</v>
      </c>
      <c r="W79" s="123">
        <f t="shared" si="49"/>
        <v>35554.657925097694</v>
      </c>
      <c r="X79" s="123">
        <f t="shared" si="49"/>
        <v>37670.948452332828</v>
      </c>
    </row>
    <row r="80" spans="1:24">
      <c r="A80" s="101">
        <v>67</v>
      </c>
      <c r="B80" s="111" t="s">
        <v>138</v>
      </c>
      <c r="C80" s="460" t="e">
        <f>SUM(D80-#REF!)/D80</f>
        <v>#REF!</v>
      </c>
      <c r="D80" s="373">
        <v>0.31665890000000002</v>
      </c>
      <c r="E80" s="418">
        <f>SUM(F80-D80)/F80</f>
        <v>1.2508805778898601E-2</v>
      </c>
      <c r="F80" s="373">
        <v>0.32067010000000001</v>
      </c>
      <c r="G80" s="461">
        <f>SUM(H80-F80)/H80</f>
        <v>-1.7309515855741205E-2</v>
      </c>
      <c r="H80" s="373">
        <v>0.31521389999999999</v>
      </c>
      <c r="I80" s="419">
        <f>SUM(J80-H80)/H80</f>
        <v>4.9560661099330737E-2</v>
      </c>
      <c r="J80" s="373">
        <f>8163129.23/24674239</f>
        <v>0.33083610927169832</v>
      </c>
      <c r="K80" s="420"/>
      <c r="L80" s="421">
        <f>SUM(M80-J80)/J80</f>
        <v>3.3346375673087368E-2</v>
      </c>
      <c r="M80" s="373">
        <f>8456.796/24737</f>
        <v>0.34186829445769495</v>
      </c>
      <c r="N80" s="376">
        <f>SUM((O80-M80)/M80)</f>
        <v>5.3951137019573575E-2</v>
      </c>
      <c r="O80" s="372">
        <f>8062.352/22376</f>
        <v>0.36031247765462998</v>
      </c>
      <c r="P80" s="462">
        <f>SUM(Q82-O82)/O82</f>
        <v>0.20943770890577873</v>
      </c>
      <c r="Q80" s="463">
        <f>9750.99871/27999.644</f>
        <v>0.34825438173428203</v>
      </c>
      <c r="R80" s="379">
        <v>0.02</v>
      </c>
      <c r="S80" s="141">
        <f>SUM(Q80*(1+R80))</f>
        <v>0.3552194693689677</v>
      </c>
      <c r="T80" s="379">
        <v>0.02</v>
      </c>
      <c r="U80" s="141">
        <f>SUM(S80*(1+T80))</f>
        <v>0.36232385875634704</v>
      </c>
      <c r="V80" s="141">
        <f>SUM(U80*(1+T80))</f>
        <v>0.36957033593147398</v>
      </c>
      <c r="W80" s="141">
        <f>SUM(V80*(1+T80))</f>
        <v>0.37696174265010346</v>
      </c>
      <c r="X80" s="141">
        <f>SUM(W80*(1+T80))</f>
        <v>0.38450097750310552</v>
      </c>
    </row>
    <row r="81" spans="1:24">
      <c r="A81" s="101">
        <v>68</v>
      </c>
      <c r="B81" s="111"/>
      <c r="D81" s="382"/>
      <c r="F81" s="382"/>
      <c r="H81" s="382"/>
      <c r="J81" s="382"/>
      <c r="K81" s="423"/>
      <c r="L81" s="323"/>
      <c r="M81" s="382"/>
      <c r="N81" s="383"/>
      <c r="O81" s="382"/>
      <c r="P81" s="383"/>
      <c r="Q81" s="464"/>
      <c r="R81" s="383"/>
      <c r="S81" s="125"/>
      <c r="T81" s="383"/>
      <c r="U81" s="125"/>
      <c r="V81" s="125"/>
      <c r="W81" s="125"/>
      <c r="X81" s="125"/>
    </row>
    <row r="82" spans="1:24" ht="13.5" thickBot="1">
      <c r="A82" s="101">
        <v>69</v>
      </c>
      <c r="B82" s="109" t="s">
        <v>128</v>
      </c>
      <c r="D82" s="386">
        <f>SUM(D79*D80)</f>
        <v>6615.1312077205384</v>
      </c>
      <c r="F82" s="386">
        <f>SUM(F79*F80)</f>
        <v>6928.9801069931073</v>
      </c>
      <c r="H82" s="386">
        <f t="shared" ref="H82:J82" si="50">SUM(H79*H80)</f>
        <v>7219.74299186594</v>
      </c>
      <c r="J82" s="386">
        <f t="shared" si="50"/>
        <v>8163.043288322272</v>
      </c>
      <c r="K82" s="424"/>
      <c r="L82" s="388"/>
      <c r="M82" s="386">
        <f t="shared" ref="M82:X82" si="51">SUM(M79*M80)</f>
        <v>8456.9513856009962</v>
      </c>
      <c r="N82" s="387"/>
      <c r="O82" s="425">
        <f t="shared" si="51"/>
        <v>8062.4233890853202</v>
      </c>
      <c r="P82" s="387"/>
      <c r="Q82" s="425">
        <f>SUM(Q79*Q80)</f>
        <v>9750.9988719237135</v>
      </c>
      <c r="R82" s="387"/>
      <c r="S82" s="126">
        <f t="shared" si="51"/>
        <v>10589.986561157782</v>
      </c>
      <c r="T82" s="387"/>
      <c r="U82" s="126">
        <f t="shared" si="51"/>
        <v>11525.782353936444</v>
      </c>
      <c r="V82" s="126">
        <f t="shared" si="51"/>
        <v>12446.550146197094</v>
      </c>
      <c r="W82" s="126">
        <f t="shared" si="51"/>
        <v>13402.745810773138</v>
      </c>
      <c r="X82" s="126">
        <f t="shared" si="51"/>
        <v>14484.516503391073</v>
      </c>
    </row>
    <row r="83" spans="1:24" ht="13.5" thickTop="1">
      <c r="A83" s="101">
        <v>70</v>
      </c>
      <c r="B83" s="153"/>
      <c r="D83" s="154"/>
      <c r="F83" s="154"/>
      <c r="G83" s="154"/>
      <c r="H83" s="154"/>
      <c r="J83" s="154"/>
      <c r="K83" s="154"/>
      <c r="L83" s="465"/>
      <c r="M83" s="466"/>
      <c r="N83" s="154"/>
      <c r="O83" s="154"/>
      <c r="P83" s="154"/>
      <c r="Q83" s="154"/>
      <c r="R83" s="154"/>
      <c r="S83" s="154"/>
      <c r="T83" s="154"/>
      <c r="U83" s="154"/>
      <c r="V83" s="154"/>
      <c r="W83" s="154"/>
      <c r="X83" s="860"/>
    </row>
    <row r="84" spans="1:24">
      <c r="A84" s="101">
        <v>71</v>
      </c>
      <c r="B84" s="145"/>
      <c r="D84" s="129"/>
      <c r="F84" s="431"/>
      <c r="H84" s="431"/>
      <c r="J84" s="431"/>
      <c r="K84" s="432"/>
      <c r="L84" s="396"/>
      <c r="M84" s="129"/>
      <c r="N84" s="177"/>
      <c r="O84" s="431"/>
      <c r="P84" s="432"/>
      <c r="Q84" s="129"/>
      <c r="R84" s="432"/>
      <c r="S84" s="155"/>
      <c r="T84" s="432"/>
      <c r="U84" s="155"/>
      <c r="V84" s="155"/>
      <c r="W84" s="155"/>
      <c r="X84" s="155"/>
    </row>
    <row r="85" spans="1:24">
      <c r="A85" s="101">
        <v>72</v>
      </c>
      <c r="B85" s="113" t="s">
        <v>155</v>
      </c>
      <c r="D85" s="131" t="s">
        <v>272</v>
      </c>
      <c r="F85" s="131" t="s">
        <v>273</v>
      </c>
      <c r="H85" s="131" t="s">
        <v>274</v>
      </c>
      <c r="J85" s="131" t="s">
        <v>275</v>
      </c>
      <c r="K85" s="399"/>
      <c r="L85" s="308"/>
      <c r="M85" s="131" t="s">
        <v>276</v>
      </c>
      <c r="N85" s="307"/>
      <c r="O85" s="131" t="s">
        <v>277</v>
      </c>
      <c r="P85" s="399"/>
      <c r="Q85" s="131" t="s">
        <v>278</v>
      </c>
      <c r="R85" s="399"/>
      <c r="S85" s="112" t="s">
        <v>156</v>
      </c>
      <c r="T85" s="399"/>
      <c r="U85" s="112" t="s">
        <v>279</v>
      </c>
      <c r="V85" s="112" t="s">
        <v>280</v>
      </c>
      <c r="W85" s="112" t="s">
        <v>281</v>
      </c>
      <c r="X85" s="112" t="s">
        <v>282</v>
      </c>
    </row>
    <row r="86" spans="1:24">
      <c r="A86" s="101">
        <v>73</v>
      </c>
      <c r="B86" s="147"/>
      <c r="D86" s="312"/>
      <c r="F86" s="312"/>
      <c r="H86" s="312"/>
      <c r="J86" s="312"/>
      <c r="K86" s="313"/>
      <c r="L86" s="314"/>
      <c r="M86" s="312"/>
      <c r="N86" s="315"/>
      <c r="O86" s="312"/>
      <c r="P86" s="313"/>
      <c r="Q86" s="133"/>
      <c r="R86" s="313"/>
      <c r="S86" s="156"/>
      <c r="T86" s="313"/>
      <c r="U86" s="156"/>
      <c r="V86" s="156"/>
      <c r="W86" s="156"/>
      <c r="X86" s="156"/>
    </row>
    <row r="87" spans="1:24">
      <c r="A87" s="101">
        <v>74</v>
      </c>
      <c r="B87" s="111" t="s">
        <v>131</v>
      </c>
      <c r="D87" s="317" t="s">
        <v>157</v>
      </c>
      <c r="F87" s="317" t="s">
        <v>157</v>
      </c>
      <c r="H87" s="317" t="s">
        <v>157</v>
      </c>
      <c r="J87" s="317" t="s">
        <v>157</v>
      </c>
      <c r="K87" s="318"/>
      <c r="L87" s="294"/>
      <c r="M87" s="317" t="s">
        <v>157</v>
      </c>
      <c r="N87" s="293"/>
      <c r="O87" s="317" t="s">
        <v>157</v>
      </c>
      <c r="P87" s="318"/>
      <c r="Q87" s="317" t="s">
        <v>157</v>
      </c>
      <c r="R87" s="318"/>
      <c r="S87" s="104" t="s">
        <v>157</v>
      </c>
      <c r="T87" s="318"/>
      <c r="U87" s="104" t="s">
        <v>157</v>
      </c>
      <c r="V87" s="104" t="s">
        <v>157</v>
      </c>
      <c r="W87" s="104" t="s">
        <v>157</v>
      </c>
      <c r="X87" s="104" t="s">
        <v>157</v>
      </c>
    </row>
    <row r="88" spans="1:24">
      <c r="A88" s="101">
        <v>75</v>
      </c>
      <c r="B88" s="111" t="s">
        <v>108</v>
      </c>
      <c r="D88" s="321">
        <v>841</v>
      </c>
      <c r="F88" s="321">
        <v>925</v>
      </c>
      <c r="H88" s="321">
        <v>888</v>
      </c>
      <c r="J88" s="321">
        <v>1002</v>
      </c>
      <c r="K88" s="322"/>
      <c r="L88" s="323"/>
      <c r="M88" s="321">
        <v>1190</v>
      </c>
      <c r="N88" s="324"/>
      <c r="O88" s="115">
        <v>1131</v>
      </c>
      <c r="P88" s="325"/>
      <c r="Q88" s="321">
        <v>1137.998</v>
      </c>
      <c r="R88" s="325"/>
      <c r="S88" s="122">
        <f>SUM(Q88)</f>
        <v>1137.998</v>
      </c>
      <c r="T88" s="325"/>
      <c r="U88" s="122">
        <f>SUM(S88)</f>
        <v>1137.998</v>
      </c>
      <c r="V88" s="122">
        <f t="shared" ref="V88:X88" si="52">SUM(U88)</f>
        <v>1137.998</v>
      </c>
      <c r="W88" s="122">
        <f t="shared" si="52"/>
        <v>1137.998</v>
      </c>
      <c r="X88" s="122">
        <f t="shared" si="52"/>
        <v>1137.998</v>
      </c>
    </row>
    <row r="89" spans="1:24">
      <c r="A89" s="101">
        <v>76</v>
      </c>
      <c r="B89" s="111" t="s">
        <v>159</v>
      </c>
      <c r="D89" s="321">
        <f>SUM(D80)</f>
        <v>0.31665890000000002</v>
      </c>
      <c r="F89" s="321">
        <f>SUM(F80)</f>
        <v>0.32067010000000001</v>
      </c>
      <c r="H89" s="321">
        <f t="shared" ref="H89:J90" si="53">SUM(H80)</f>
        <v>0.31521389999999999</v>
      </c>
      <c r="J89" s="321">
        <f t="shared" si="53"/>
        <v>0.33083610927169832</v>
      </c>
      <c r="K89" s="322"/>
      <c r="L89" s="323" t="s">
        <v>234</v>
      </c>
      <c r="M89" s="321">
        <v>0</v>
      </c>
      <c r="N89" s="324"/>
      <c r="O89" s="115">
        <v>0</v>
      </c>
      <c r="P89" s="325"/>
      <c r="Q89" s="321">
        <v>0</v>
      </c>
      <c r="R89" s="325"/>
      <c r="S89" s="122">
        <v>0</v>
      </c>
      <c r="T89" s="325"/>
      <c r="U89" s="122">
        <v>0</v>
      </c>
      <c r="V89" s="122">
        <v>0</v>
      </c>
      <c r="W89" s="122">
        <v>0</v>
      </c>
      <c r="X89" s="122">
        <v>0</v>
      </c>
    </row>
    <row r="90" spans="1:24">
      <c r="A90" s="101">
        <v>77</v>
      </c>
      <c r="B90" s="111" t="s">
        <v>132</v>
      </c>
      <c r="D90" s="321">
        <f>SUM(D81)</f>
        <v>0</v>
      </c>
      <c r="F90" s="321">
        <f>SUM(F81)</f>
        <v>0</v>
      </c>
      <c r="H90" s="321">
        <f t="shared" si="53"/>
        <v>0</v>
      </c>
      <c r="J90" s="321">
        <f t="shared" si="53"/>
        <v>0</v>
      </c>
      <c r="K90" s="322"/>
      <c r="L90" s="323"/>
      <c r="M90" s="321">
        <v>0</v>
      </c>
      <c r="N90" s="324"/>
      <c r="O90" s="115">
        <v>0</v>
      </c>
      <c r="P90" s="325"/>
      <c r="Q90" s="321">
        <f t="shared" ref="Q90:X90" si="54">SUM(Q81)</f>
        <v>0</v>
      </c>
      <c r="R90" s="325"/>
      <c r="S90" s="122">
        <f t="shared" si="54"/>
        <v>0</v>
      </c>
      <c r="T90" s="325"/>
      <c r="U90" s="122">
        <f t="shared" si="54"/>
        <v>0</v>
      </c>
      <c r="V90" s="122">
        <f t="shared" si="54"/>
        <v>0</v>
      </c>
      <c r="W90" s="122">
        <f t="shared" si="54"/>
        <v>0</v>
      </c>
      <c r="X90" s="122">
        <f t="shared" si="54"/>
        <v>0</v>
      </c>
    </row>
    <row r="91" spans="1:24">
      <c r="A91" s="101">
        <v>78</v>
      </c>
      <c r="B91" s="111" t="s">
        <v>134</v>
      </c>
      <c r="D91" s="339">
        <v>1</v>
      </c>
      <c r="F91" s="339">
        <v>1</v>
      </c>
      <c r="H91" s="339">
        <v>1</v>
      </c>
      <c r="J91" s="339">
        <v>1</v>
      </c>
      <c r="K91" s="340"/>
      <c r="L91" s="323"/>
      <c r="M91" s="339">
        <v>1</v>
      </c>
      <c r="N91" s="342"/>
      <c r="O91" s="119">
        <v>1</v>
      </c>
      <c r="P91" s="343"/>
      <c r="Q91" s="339">
        <v>1</v>
      </c>
      <c r="R91" s="343"/>
      <c r="S91" s="157">
        <v>1</v>
      </c>
      <c r="T91" s="343"/>
      <c r="U91" s="157">
        <v>1</v>
      </c>
      <c r="V91" s="157">
        <v>1</v>
      </c>
      <c r="W91" s="157">
        <v>1</v>
      </c>
      <c r="X91" s="157">
        <v>1</v>
      </c>
    </row>
    <row r="92" spans="1:24">
      <c r="A92" s="101">
        <v>79</v>
      </c>
      <c r="B92" s="111" t="s">
        <v>135</v>
      </c>
      <c r="D92" s="346">
        <v>1</v>
      </c>
      <c r="F92" s="346">
        <v>1</v>
      </c>
      <c r="H92" s="346">
        <v>1</v>
      </c>
      <c r="J92" s="346">
        <v>1</v>
      </c>
      <c r="K92" s="347"/>
      <c r="L92" s="334"/>
      <c r="M92" s="346">
        <v>1</v>
      </c>
      <c r="N92" s="350"/>
      <c r="O92" s="120">
        <v>1</v>
      </c>
      <c r="P92" s="351"/>
      <c r="Q92" s="346">
        <v>1</v>
      </c>
      <c r="R92" s="351"/>
      <c r="S92" s="158">
        <v>1</v>
      </c>
      <c r="T92" s="351"/>
      <c r="U92" s="158">
        <v>1</v>
      </c>
      <c r="V92" s="158">
        <v>1</v>
      </c>
      <c r="W92" s="158">
        <v>1</v>
      </c>
      <c r="X92" s="158">
        <v>1</v>
      </c>
    </row>
    <row r="93" spans="1:24">
      <c r="A93" s="101">
        <v>80</v>
      </c>
      <c r="B93" s="111" t="s">
        <v>116</v>
      </c>
      <c r="D93" s="321">
        <f>SUM((D88+D89+D90)*D91*D92)</f>
        <v>841.31665889999999</v>
      </c>
      <c r="F93" s="321">
        <f>SUM((F88+F89+F90)*F91*F92)</f>
        <v>925.32067010000003</v>
      </c>
      <c r="H93" s="321">
        <f t="shared" ref="H93:J93" si="55">SUM((H88+H89+H90)*H91*H92)</f>
        <v>888.3152139</v>
      </c>
      <c r="J93" s="321">
        <f t="shared" si="55"/>
        <v>1002.3308361092717</v>
      </c>
      <c r="K93" s="322"/>
      <c r="L93" s="323"/>
      <c r="M93" s="321">
        <f>SUM((M88+M89+M90)*M91*M92)</f>
        <v>1190</v>
      </c>
      <c r="N93" s="324"/>
      <c r="O93" s="115">
        <f>SUM((O88+O89+O90)*O91*O92)</f>
        <v>1131</v>
      </c>
      <c r="P93" s="325"/>
      <c r="Q93" s="321">
        <f t="shared" ref="Q93:X93" si="56">SUM((Q88+Q89+Q90)*Q91*Q92)</f>
        <v>1137.998</v>
      </c>
      <c r="R93" s="325"/>
      <c r="S93" s="122">
        <f t="shared" si="56"/>
        <v>1137.998</v>
      </c>
      <c r="T93" s="325"/>
      <c r="U93" s="122">
        <f t="shared" si="56"/>
        <v>1137.998</v>
      </c>
      <c r="V93" s="122">
        <f t="shared" si="56"/>
        <v>1137.998</v>
      </c>
      <c r="W93" s="122">
        <f t="shared" si="56"/>
        <v>1137.998</v>
      </c>
      <c r="X93" s="122">
        <f t="shared" si="56"/>
        <v>1137.998</v>
      </c>
    </row>
    <row r="94" spans="1:24">
      <c r="A94" s="101">
        <v>81</v>
      </c>
      <c r="B94" s="111" t="s">
        <v>146</v>
      </c>
      <c r="D94" s="321"/>
      <c r="F94" s="321"/>
      <c r="H94" s="321"/>
      <c r="J94" s="321"/>
      <c r="K94" s="322"/>
      <c r="L94" s="323"/>
      <c r="M94" s="321"/>
      <c r="N94" s="324"/>
      <c r="O94" s="115"/>
      <c r="P94" s="325"/>
      <c r="Q94" s="134"/>
      <c r="R94" s="325"/>
      <c r="S94" s="122"/>
      <c r="T94" s="325"/>
      <c r="U94" s="122"/>
      <c r="V94" s="122"/>
      <c r="W94" s="122"/>
      <c r="X94" s="122"/>
    </row>
    <row r="95" spans="1:24">
      <c r="A95" s="101">
        <v>82</v>
      </c>
      <c r="B95" s="111" t="s">
        <v>147</v>
      </c>
      <c r="D95" s="445">
        <v>1</v>
      </c>
      <c r="F95" s="445">
        <v>1</v>
      </c>
      <c r="H95" s="445">
        <v>1</v>
      </c>
      <c r="J95" s="445">
        <v>1</v>
      </c>
      <c r="K95" s="446"/>
      <c r="L95" s="323"/>
      <c r="M95" s="445">
        <v>1</v>
      </c>
      <c r="N95" s="447"/>
      <c r="O95" s="149">
        <v>1</v>
      </c>
      <c r="P95" s="448"/>
      <c r="Q95" s="445">
        <v>1</v>
      </c>
      <c r="R95" s="448"/>
      <c r="S95" s="159">
        <v>1</v>
      </c>
      <c r="T95" s="448"/>
      <c r="U95" s="159">
        <v>1</v>
      </c>
      <c r="V95" s="159">
        <v>1</v>
      </c>
      <c r="W95" s="159">
        <v>1</v>
      </c>
      <c r="X95" s="159">
        <v>1</v>
      </c>
    </row>
    <row r="96" spans="1:24">
      <c r="A96" s="101">
        <v>83</v>
      </c>
      <c r="B96" s="150" t="s">
        <v>148</v>
      </c>
      <c r="D96" s="321">
        <f>SUM(D93:D94)*D95</f>
        <v>841.31665889999999</v>
      </c>
      <c r="F96" s="321">
        <f>SUM(F93:F94)*F95</f>
        <v>925.32067010000003</v>
      </c>
      <c r="H96" s="321">
        <f t="shared" ref="H96:J96" si="57">SUM(H93:H94)*H95</f>
        <v>888.3152139</v>
      </c>
      <c r="J96" s="321">
        <f t="shared" si="57"/>
        <v>1002.3308361092717</v>
      </c>
      <c r="K96" s="322"/>
      <c r="L96" s="323"/>
      <c r="M96" s="321">
        <v>1190</v>
      </c>
      <c r="N96" s="324"/>
      <c r="O96" s="115">
        <f t="shared" ref="O96" si="58">SUM(O93:O94)*O95</f>
        <v>1131</v>
      </c>
      <c r="P96" s="325"/>
      <c r="Q96" s="321">
        <f t="shared" ref="Q96:X96" si="59">SUM(Q93:Q94)*Q95</f>
        <v>1137.998</v>
      </c>
      <c r="R96" s="325"/>
      <c r="S96" s="122">
        <f t="shared" si="59"/>
        <v>1137.998</v>
      </c>
      <c r="T96" s="325"/>
      <c r="U96" s="122">
        <f t="shared" si="59"/>
        <v>1137.998</v>
      </c>
      <c r="V96" s="122">
        <f t="shared" si="59"/>
        <v>1137.998</v>
      </c>
      <c r="W96" s="122">
        <f t="shared" si="59"/>
        <v>1137.998</v>
      </c>
      <c r="X96" s="122">
        <f t="shared" si="59"/>
        <v>1137.998</v>
      </c>
    </row>
    <row r="97" spans="1:24">
      <c r="A97" s="101">
        <v>84</v>
      </c>
      <c r="B97" s="111" t="s">
        <v>136</v>
      </c>
      <c r="D97" s="355">
        <v>1</v>
      </c>
      <c r="F97" s="355">
        <v>1</v>
      </c>
      <c r="H97" s="355">
        <v>1</v>
      </c>
      <c r="J97" s="355">
        <v>1</v>
      </c>
      <c r="K97" s="472"/>
      <c r="L97" s="334"/>
      <c r="M97" s="355">
        <v>1</v>
      </c>
      <c r="N97" s="452"/>
      <c r="O97" s="453">
        <v>1</v>
      </c>
      <c r="P97" s="473"/>
      <c r="Q97" s="355">
        <v>1</v>
      </c>
      <c r="R97" s="473"/>
      <c r="S97" s="160">
        <v>1</v>
      </c>
      <c r="T97" s="473"/>
      <c r="U97" s="160">
        <v>1</v>
      </c>
      <c r="V97" s="160">
        <v>1</v>
      </c>
      <c r="W97" s="160">
        <v>1</v>
      </c>
      <c r="X97" s="160">
        <v>1</v>
      </c>
    </row>
    <row r="98" spans="1:24">
      <c r="A98" s="101">
        <v>85</v>
      </c>
      <c r="B98" s="111" t="s">
        <v>151</v>
      </c>
      <c r="D98" s="321">
        <f>SUM(D96*D97)</f>
        <v>841.31665889999999</v>
      </c>
      <c r="F98" s="321">
        <f>SUM(F96*F97)</f>
        <v>925.32067010000003</v>
      </c>
      <c r="H98" s="321">
        <f t="shared" ref="H98:J98" si="60">SUM(H96*H97)</f>
        <v>888.3152139</v>
      </c>
      <c r="J98" s="321">
        <f t="shared" si="60"/>
        <v>1002.3308361092717</v>
      </c>
      <c r="K98" s="322"/>
      <c r="L98" s="323"/>
      <c r="M98" s="321">
        <f t="shared" ref="M98:X98" si="61">SUM(M96*M97)</f>
        <v>1190</v>
      </c>
      <c r="N98" s="324"/>
      <c r="O98" s="115">
        <f t="shared" si="61"/>
        <v>1131</v>
      </c>
      <c r="P98" s="325"/>
      <c r="Q98" s="321">
        <f t="shared" si="61"/>
        <v>1137.998</v>
      </c>
      <c r="R98" s="325"/>
      <c r="S98" s="122">
        <f t="shared" si="61"/>
        <v>1137.998</v>
      </c>
      <c r="T98" s="325"/>
      <c r="U98" s="122">
        <f t="shared" si="61"/>
        <v>1137.998</v>
      </c>
      <c r="V98" s="122">
        <f t="shared" si="61"/>
        <v>1137.998</v>
      </c>
      <c r="W98" s="122">
        <f t="shared" si="61"/>
        <v>1137.998</v>
      </c>
      <c r="X98" s="122">
        <f t="shared" si="61"/>
        <v>1137.998</v>
      </c>
    </row>
    <row r="99" spans="1:24">
      <c r="A99" s="101">
        <v>86</v>
      </c>
      <c r="B99" s="111" t="s">
        <v>160</v>
      </c>
      <c r="D99" s="321">
        <v>0</v>
      </c>
      <c r="F99" s="321">
        <v>0</v>
      </c>
      <c r="H99" s="321">
        <v>0</v>
      </c>
      <c r="J99" s="321">
        <v>0</v>
      </c>
      <c r="K99" s="322"/>
      <c r="L99" s="323"/>
      <c r="M99" s="321">
        <v>0</v>
      </c>
      <c r="N99" s="324"/>
      <c r="O99" s="115">
        <v>0</v>
      </c>
      <c r="P99" s="325"/>
      <c r="Q99" s="321">
        <v>0</v>
      </c>
      <c r="R99" s="325"/>
      <c r="S99" s="122">
        <v>0</v>
      </c>
      <c r="T99" s="325"/>
      <c r="U99" s="122">
        <v>0</v>
      </c>
      <c r="V99" s="122">
        <v>0</v>
      </c>
      <c r="W99" s="122">
        <v>0</v>
      </c>
      <c r="X99" s="122">
        <v>0</v>
      </c>
    </row>
    <row r="100" spans="1:24">
      <c r="A100" s="101">
        <v>87</v>
      </c>
      <c r="B100" s="111" t="s">
        <v>153</v>
      </c>
      <c r="D100" s="364">
        <f>SUM(D98:D99)</f>
        <v>841.31665889999999</v>
      </c>
      <c r="F100" s="364">
        <f>SUM(F98:F99)</f>
        <v>925.32067010000003</v>
      </c>
      <c r="H100" s="364">
        <f t="shared" ref="H100:J100" si="62">SUM(H98:H99)</f>
        <v>888.3152139</v>
      </c>
      <c r="J100" s="364">
        <f t="shared" si="62"/>
        <v>1002.3308361092717</v>
      </c>
      <c r="K100" s="365"/>
      <c r="L100" s="366"/>
      <c r="M100" s="364">
        <f t="shared" ref="M100:X100" si="63">SUM(M98:M99)</f>
        <v>1190</v>
      </c>
      <c r="N100" s="383"/>
      <c r="O100" s="152">
        <f t="shared" si="63"/>
        <v>1131</v>
      </c>
      <c r="P100" s="474"/>
      <c r="Q100" s="364">
        <f t="shared" si="63"/>
        <v>1137.998</v>
      </c>
      <c r="R100" s="474"/>
      <c r="S100" s="123">
        <f t="shared" si="63"/>
        <v>1137.998</v>
      </c>
      <c r="T100" s="474"/>
      <c r="U100" s="123">
        <f t="shared" si="63"/>
        <v>1137.998</v>
      </c>
      <c r="V100" s="123">
        <f t="shared" si="63"/>
        <v>1137.998</v>
      </c>
      <c r="W100" s="123">
        <f t="shared" si="63"/>
        <v>1137.998</v>
      </c>
      <c r="X100" s="123">
        <f t="shared" si="63"/>
        <v>1137.998</v>
      </c>
    </row>
    <row r="101" spans="1:24">
      <c r="A101" s="101">
        <v>88</v>
      </c>
      <c r="B101" s="111" t="s">
        <v>138</v>
      </c>
      <c r="C101" s="460" t="e">
        <f>SUM(D101-#REF!)/D101</f>
        <v>#REF!</v>
      </c>
      <c r="D101" s="373">
        <v>9.7459999999999995E-3</v>
      </c>
      <c r="E101" s="475">
        <f>SUM(F101-D101)/F101</f>
        <v>-4.425158041358622E-2</v>
      </c>
      <c r="F101" s="373">
        <v>9.3329999999999993E-3</v>
      </c>
      <c r="G101" s="475">
        <f>SUM(H101-F101)/H101</f>
        <v>-2.4704618689579713E-3</v>
      </c>
      <c r="H101" s="373">
        <v>9.3100000000000006E-3</v>
      </c>
      <c r="I101" s="374">
        <f>SUM(J101-H101)/H101</f>
        <v>-1.5450106807006719E-3</v>
      </c>
      <c r="J101" s="373">
        <f>9314.17/1001996</f>
        <v>9.2956159505626773E-3</v>
      </c>
      <c r="K101" s="420"/>
      <c r="L101" s="421">
        <f>SUM(M101-J101)/J101</f>
        <v>2.8979687937840962E-2</v>
      </c>
      <c r="M101" s="373">
        <v>9.5650000000000006E-3</v>
      </c>
      <c r="N101" s="378">
        <f>SUM((O101-M101)/M101)</f>
        <v>-3.2263460533194024E-2</v>
      </c>
      <c r="O101" s="373">
        <v>9.2563999999999997E-3</v>
      </c>
      <c r="P101" s="462">
        <f>SUM(Q103-O103)/O103</f>
        <v>4.0282402070482212E-3</v>
      </c>
      <c r="Q101" s="373">
        <f>10511.16/1137998</f>
        <v>9.2365364438250323E-3</v>
      </c>
      <c r="R101" s="379">
        <f>SUM(R80)</f>
        <v>0.02</v>
      </c>
      <c r="S101" s="141">
        <f>SUM(Q101*(1+R101))</f>
        <v>9.4212671727015324E-3</v>
      </c>
      <c r="T101" s="379">
        <v>0.02</v>
      </c>
      <c r="U101" s="141">
        <f>SUM(S101*(1+T101))</f>
        <v>9.609692516155564E-3</v>
      </c>
      <c r="V101" s="141">
        <f>SUM(U101*(1+T101))</f>
        <v>9.8018863664786748E-3</v>
      </c>
      <c r="W101" s="141">
        <f>SUM(V101*(1+T101))</f>
        <v>9.9979240938082477E-3</v>
      </c>
      <c r="X101" s="141">
        <f>SUM(W101*(1+T101))</f>
        <v>1.0197882575684413E-2</v>
      </c>
    </row>
    <row r="102" spans="1:24">
      <c r="A102" s="101">
        <v>89</v>
      </c>
      <c r="B102" s="111"/>
      <c r="D102" s="382"/>
      <c r="F102" s="382"/>
      <c r="H102" s="382"/>
      <c r="J102" s="382"/>
      <c r="K102" s="423"/>
      <c r="L102" s="323"/>
      <c r="M102" s="382"/>
      <c r="N102" s="383"/>
      <c r="O102" s="382"/>
      <c r="P102" s="423"/>
      <c r="Q102" s="382"/>
      <c r="R102" s="423"/>
      <c r="S102" s="125"/>
      <c r="T102" s="423"/>
      <c r="U102" s="125"/>
      <c r="V102" s="125"/>
      <c r="W102" s="125"/>
      <c r="X102" s="125"/>
    </row>
    <row r="103" spans="1:24">
      <c r="A103" s="101">
        <v>90</v>
      </c>
      <c r="B103" s="109" t="s">
        <v>128</v>
      </c>
      <c r="D103" s="477">
        <f>SUM(D100*D101)</f>
        <v>8.1994721576394003</v>
      </c>
      <c r="F103" s="477">
        <f>SUM(F100*F101)</f>
        <v>8.6360178140432993</v>
      </c>
      <c r="H103" s="477">
        <f t="shared" ref="H103:J103" si="64">SUM(H100*H101)</f>
        <v>8.2702146414089999</v>
      </c>
      <c r="J103" s="477">
        <f t="shared" si="64"/>
        <v>9.3172825078781703</v>
      </c>
      <c r="K103" s="478"/>
      <c r="L103" s="479"/>
      <c r="M103" s="477">
        <f t="shared" ref="M103:X103" si="65">SUM(M100*M101)</f>
        <v>11.382350000000001</v>
      </c>
      <c r="N103" s="480"/>
      <c r="O103" s="481">
        <f t="shared" si="65"/>
        <v>10.468988399999999</v>
      </c>
      <c r="P103" s="482"/>
      <c r="Q103" s="481">
        <f t="shared" si="65"/>
        <v>10.51116</v>
      </c>
      <c r="R103" s="482"/>
      <c r="S103" s="161">
        <f t="shared" si="65"/>
        <v>10.721383199999998</v>
      </c>
      <c r="T103" s="482"/>
      <c r="U103" s="161">
        <f t="shared" si="65"/>
        <v>10.935810864</v>
      </c>
      <c r="V103" s="161">
        <f t="shared" si="65"/>
        <v>11.154527081279999</v>
      </c>
      <c r="W103" s="161">
        <f t="shared" si="65"/>
        <v>11.377617622905598</v>
      </c>
      <c r="X103" s="161">
        <f t="shared" si="65"/>
        <v>11.605169975363712</v>
      </c>
    </row>
    <row r="104" spans="1:24">
      <c r="A104" s="101">
        <v>91</v>
      </c>
      <c r="B104" s="153"/>
      <c r="D104" s="485"/>
      <c r="F104" s="154"/>
      <c r="J104" s="465"/>
      <c r="K104" s="465"/>
      <c r="L104" s="465"/>
      <c r="M104" s="465"/>
      <c r="N104" s="154"/>
      <c r="O104" s="154"/>
      <c r="P104" s="154"/>
      <c r="Q104" s="154"/>
      <c r="R104" s="154"/>
      <c r="S104" s="154"/>
      <c r="T104" s="154"/>
      <c r="U104" s="154"/>
      <c r="V104" s="154"/>
      <c r="W104" s="154"/>
      <c r="X104" s="154"/>
    </row>
    <row r="105" spans="1:24">
      <c r="A105" s="101">
        <v>92</v>
      </c>
      <c r="B105" s="162" t="s">
        <v>155</v>
      </c>
      <c r="D105" s="163" t="s">
        <v>272</v>
      </c>
      <c r="F105" s="163" t="s">
        <v>273</v>
      </c>
      <c r="H105" s="163" t="s">
        <v>274</v>
      </c>
      <c r="J105" s="163" t="s">
        <v>275</v>
      </c>
      <c r="K105" s="486"/>
      <c r="L105" s="487"/>
      <c r="M105" s="163" t="s">
        <v>276</v>
      </c>
      <c r="N105" s="488"/>
      <c r="O105" s="163" t="s">
        <v>277</v>
      </c>
      <c r="P105" s="399"/>
      <c r="Q105" s="163" t="s">
        <v>278</v>
      </c>
      <c r="R105" s="399"/>
      <c r="S105" s="489" t="s">
        <v>156</v>
      </c>
      <c r="T105" s="399"/>
      <c r="U105" s="489" t="s">
        <v>279</v>
      </c>
      <c r="V105" s="489" t="s">
        <v>280</v>
      </c>
      <c r="W105" s="489" t="s">
        <v>281</v>
      </c>
      <c r="X105" s="489" t="s">
        <v>282</v>
      </c>
    </row>
    <row r="106" spans="1:24">
      <c r="A106" s="101">
        <v>93</v>
      </c>
      <c r="B106" s="164"/>
      <c r="D106" s="317" t="s">
        <v>163</v>
      </c>
      <c r="F106" s="317" t="s">
        <v>163</v>
      </c>
      <c r="H106" s="317" t="s">
        <v>163</v>
      </c>
      <c r="J106" s="490" t="s">
        <v>163</v>
      </c>
      <c r="K106" s="428"/>
      <c r="L106" s="465"/>
      <c r="M106" s="490" t="s">
        <v>163</v>
      </c>
      <c r="N106" s="293"/>
      <c r="O106" s="491" t="s">
        <v>163</v>
      </c>
      <c r="P106" s="492"/>
      <c r="Q106" s="146" t="s">
        <v>163</v>
      </c>
      <c r="R106" s="492"/>
      <c r="S106" s="104" t="s">
        <v>163</v>
      </c>
      <c r="T106" s="492"/>
      <c r="U106" s="104" t="s">
        <v>163</v>
      </c>
      <c r="V106" s="104" t="s">
        <v>163</v>
      </c>
      <c r="W106" s="104" t="s">
        <v>163</v>
      </c>
      <c r="X106" s="104" t="s">
        <v>163</v>
      </c>
    </row>
    <row r="107" spans="1:24">
      <c r="A107" s="101">
        <v>94</v>
      </c>
      <c r="B107" s="164"/>
      <c r="D107" s="494"/>
      <c r="F107" s="317"/>
      <c r="H107" s="317"/>
      <c r="J107" s="317"/>
      <c r="K107" s="428"/>
      <c r="L107" s="465"/>
      <c r="M107" s="317"/>
      <c r="N107" s="293"/>
      <c r="O107" s="491"/>
      <c r="P107" s="492"/>
      <c r="Q107" s="146"/>
      <c r="R107" s="492"/>
      <c r="S107" s="104"/>
      <c r="T107" s="492"/>
      <c r="U107" s="104"/>
      <c r="V107" s="104"/>
      <c r="W107" s="104"/>
      <c r="X107" s="104"/>
    </row>
    <row r="108" spans="1:24">
      <c r="A108" s="101">
        <v>95</v>
      </c>
      <c r="B108" s="164"/>
      <c r="D108" s="494"/>
      <c r="F108" s="317"/>
      <c r="H108" s="317"/>
      <c r="J108" s="317"/>
      <c r="K108" s="428"/>
      <c r="L108" s="465"/>
      <c r="M108" s="317"/>
      <c r="N108" s="293"/>
      <c r="O108" s="317"/>
      <c r="P108" s="318"/>
      <c r="Q108" s="165"/>
      <c r="R108" s="318"/>
      <c r="S108" s="104"/>
      <c r="T108" s="318"/>
      <c r="U108" s="104"/>
      <c r="V108" s="104"/>
      <c r="W108" s="104"/>
      <c r="X108" s="104"/>
    </row>
    <row r="109" spans="1:24">
      <c r="A109" s="101">
        <v>96</v>
      </c>
      <c r="B109" s="130" t="s">
        <v>131</v>
      </c>
      <c r="D109" s="495">
        <v>104359</v>
      </c>
      <c r="F109" s="495">
        <v>115700</v>
      </c>
      <c r="H109" s="495">
        <v>110212</v>
      </c>
      <c r="J109" s="495">
        <v>127298</v>
      </c>
      <c r="K109" s="496"/>
      <c r="L109" s="497"/>
      <c r="M109" s="495">
        <v>151210</v>
      </c>
      <c r="N109" s="498"/>
      <c r="O109" s="166">
        <v>151669</v>
      </c>
      <c r="P109" s="499"/>
      <c r="Q109" s="166">
        <v>152662</v>
      </c>
      <c r="R109" s="499"/>
      <c r="S109" s="502">
        <f>SUM(Q109:Q111)</f>
        <v>152662</v>
      </c>
      <c r="T109" s="499"/>
      <c r="U109" s="502">
        <f>SUM(S109:S111)</f>
        <v>156162</v>
      </c>
      <c r="V109" s="502">
        <f t="shared" ref="V109:X109" si="66">SUM(U109:U111)</f>
        <v>156162</v>
      </c>
      <c r="W109" s="502">
        <f t="shared" si="66"/>
        <v>156162</v>
      </c>
      <c r="X109" s="502">
        <f t="shared" si="66"/>
        <v>156162</v>
      </c>
    </row>
    <row r="110" spans="1:24">
      <c r="A110" s="101">
        <v>97</v>
      </c>
      <c r="B110" s="130" t="s">
        <v>109</v>
      </c>
      <c r="D110" s="321">
        <v>0</v>
      </c>
      <c r="F110" s="321"/>
      <c r="H110" s="321"/>
      <c r="J110" s="321"/>
      <c r="K110" s="503"/>
      <c r="L110" s="504"/>
      <c r="M110" s="328"/>
      <c r="N110" s="324"/>
      <c r="O110" s="321"/>
      <c r="P110" s="322"/>
      <c r="Q110" s="115"/>
      <c r="R110" s="322"/>
      <c r="S110" s="443">
        <v>3500</v>
      </c>
      <c r="T110" s="322"/>
      <c r="U110" s="443">
        <v>0</v>
      </c>
      <c r="V110" s="443">
        <v>0</v>
      </c>
      <c r="W110" s="443">
        <v>0</v>
      </c>
      <c r="X110" s="443">
        <v>0</v>
      </c>
    </row>
    <row r="111" spans="1:24">
      <c r="A111" s="101">
        <v>98</v>
      </c>
      <c r="B111" s="130" t="s">
        <v>164</v>
      </c>
      <c r="D111" s="321"/>
      <c r="F111" s="321"/>
      <c r="H111" s="321"/>
      <c r="J111" s="321"/>
      <c r="K111" s="503"/>
      <c r="L111" s="504"/>
      <c r="M111" s="328"/>
      <c r="N111" s="324"/>
      <c r="O111" s="321"/>
      <c r="P111" s="322"/>
      <c r="Q111" s="115"/>
      <c r="R111" s="322"/>
      <c r="S111" s="443">
        <v>0</v>
      </c>
      <c r="T111" s="322"/>
      <c r="U111" s="443">
        <v>0</v>
      </c>
      <c r="V111" s="443">
        <v>0</v>
      </c>
      <c r="W111" s="443">
        <v>0</v>
      </c>
      <c r="X111" s="443">
        <v>0</v>
      </c>
    </row>
    <row r="112" spans="1:24">
      <c r="A112" s="101">
        <v>99</v>
      </c>
      <c r="B112" s="130" t="s">
        <v>165</v>
      </c>
      <c r="D112" s="506"/>
      <c r="F112" s="506"/>
      <c r="H112" s="506"/>
      <c r="J112" s="506">
        <v>0</v>
      </c>
      <c r="K112" s="507"/>
      <c r="L112" s="504"/>
      <c r="M112" s="508"/>
      <c r="N112" s="509"/>
      <c r="O112" s="506"/>
      <c r="P112" s="510"/>
      <c r="Q112" s="167"/>
      <c r="R112" s="510"/>
      <c r="S112" s="513">
        <v>0</v>
      </c>
      <c r="T112" s="510"/>
      <c r="U112" s="513">
        <v>0</v>
      </c>
      <c r="V112" s="513">
        <v>0</v>
      </c>
      <c r="W112" s="513">
        <v>0</v>
      </c>
      <c r="X112" s="513">
        <v>0</v>
      </c>
    </row>
    <row r="113" spans="1:24">
      <c r="A113" s="101">
        <v>100</v>
      </c>
      <c r="B113" s="130" t="s">
        <v>135</v>
      </c>
      <c r="D113" s="514" t="s">
        <v>166</v>
      </c>
      <c r="F113" s="514" t="s">
        <v>166</v>
      </c>
      <c r="H113" s="514" t="s">
        <v>166</v>
      </c>
      <c r="J113" s="514" t="s">
        <v>166</v>
      </c>
      <c r="K113" s="515"/>
      <c r="L113" s="504"/>
      <c r="M113" s="516" t="s">
        <v>166</v>
      </c>
      <c r="N113" s="509"/>
      <c r="O113" s="514" t="s">
        <v>166</v>
      </c>
      <c r="P113" s="517"/>
      <c r="Q113" s="168" t="s">
        <v>166</v>
      </c>
      <c r="R113" s="517"/>
      <c r="S113" s="520" t="s">
        <v>166</v>
      </c>
      <c r="T113" s="517"/>
      <c r="U113" s="520" t="s">
        <v>166</v>
      </c>
      <c r="V113" s="520" t="s">
        <v>166</v>
      </c>
      <c r="W113" s="520" t="s">
        <v>166</v>
      </c>
      <c r="X113" s="520" t="s">
        <v>166</v>
      </c>
    </row>
    <row r="114" spans="1:24">
      <c r="A114" s="101">
        <v>101</v>
      </c>
      <c r="B114" s="130" t="s">
        <v>167</v>
      </c>
      <c r="D114" s="521">
        <v>0</v>
      </c>
      <c r="F114" s="521">
        <v>0</v>
      </c>
      <c r="H114" s="521">
        <v>0</v>
      </c>
      <c r="J114" s="521">
        <v>0</v>
      </c>
      <c r="K114" s="522"/>
      <c r="L114" s="504"/>
      <c r="M114" s="523">
        <v>0</v>
      </c>
      <c r="N114" s="509"/>
      <c r="O114" s="521">
        <v>0</v>
      </c>
      <c r="P114" s="524"/>
      <c r="Q114" s="169">
        <v>0</v>
      </c>
      <c r="R114" s="524"/>
      <c r="S114" s="527">
        <v>0</v>
      </c>
      <c r="T114" s="524"/>
      <c r="U114" s="527">
        <v>0</v>
      </c>
      <c r="V114" s="527">
        <v>0</v>
      </c>
      <c r="W114" s="527">
        <v>0</v>
      </c>
      <c r="X114" s="527">
        <v>0</v>
      </c>
    </row>
    <row r="115" spans="1:24">
      <c r="A115" s="101">
        <v>102</v>
      </c>
      <c r="B115" s="142" t="s">
        <v>168</v>
      </c>
      <c r="D115" s="528"/>
      <c r="F115" s="528"/>
      <c r="H115" s="528"/>
      <c r="J115" s="528"/>
      <c r="K115" s="529"/>
      <c r="L115" s="504"/>
      <c r="M115" s="530"/>
      <c r="N115" s="509"/>
      <c r="O115" s="528"/>
      <c r="P115" s="531"/>
      <c r="Q115" s="170"/>
      <c r="R115" s="531"/>
      <c r="S115" s="534"/>
      <c r="T115" s="531"/>
      <c r="U115" s="534"/>
      <c r="V115" s="534"/>
      <c r="W115" s="534"/>
      <c r="X115" s="534"/>
    </row>
    <row r="116" spans="1:24">
      <c r="A116" s="101">
        <v>103</v>
      </c>
      <c r="B116" s="130" t="s">
        <v>169</v>
      </c>
      <c r="C116" s="460" t="e">
        <f>SUM(D116-#REF!)/D116</f>
        <v>#REF!</v>
      </c>
      <c r="D116" s="373">
        <f>1842880.17/104359000</f>
        <v>1.7659043973207868E-2</v>
      </c>
      <c r="E116" s="535">
        <f>SUM(F116-D116)/F116</f>
        <v>-6.6797886391917281E-3</v>
      </c>
      <c r="F116" s="373">
        <f>+(2013367.9)/(114775000)</f>
        <v>1.7541868002613807E-2</v>
      </c>
      <c r="G116" s="535">
        <f>SUM(H116-F116)/H116</f>
        <v>-7.516397829751751E-3</v>
      </c>
      <c r="H116" s="373">
        <v>1.7410999999999999E-2</v>
      </c>
      <c r="I116" s="374">
        <f>SUM(J116-H116)/H116</f>
        <v>-1.2155474878995879E-2</v>
      </c>
      <c r="J116" s="373">
        <f>2189444.26/127298000</f>
        <v>1.7199361026881802E-2</v>
      </c>
      <c r="K116" s="420"/>
      <c r="L116" s="536">
        <f>SUM(M116-J116)/J116</f>
        <v>-2.8796838525869704E-2</v>
      </c>
      <c r="M116" s="373">
        <f>2525823/151210000</f>
        <v>1.670407380464255E-2</v>
      </c>
      <c r="N116" s="376">
        <f>SUM((O116-M116)/M116)</f>
        <v>6.8625546604017693E-2</v>
      </c>
      <c r="O116" s="372">
        <v>1.7850399999999999E-2</v>
      </c>
      <c r="P116" s="537">
        <f>SUM(Q119-O119)/O119</f>
        <v>-7.1049071208625469E-2</v>
      </c>
      <c r="Q116" s="373">
        <f>2514997.45/152662000</f>
        <v>1.6474286004375682E-2</v>
      </c>
      <c r="R116" s="379">
        <f>SUM(R101)</f>
        <v>0.02</v>
      </c>
      <c r="S116" s="141">
        <f>SUM(Q116*(1+R116))</f>
        <v>1.6803771724463196E-2</v>
      </c>
      <c r="T116" s="379">
        <v>0.02</v>
      </c>
      <c r="U116" s="141">
        <f>SUM(S116*(1+T116))</f>
        <v>1.7139847158952462E-2</v>
      </c>
      <c r="V116" s="141">
        <f>SUM(U116*(1+T116))</f>
        <v>1.748264410213151E-2</v>
      </c>
      <c r="W116" s="141">
        <f>SUM(V116*(1+T116))</f>
        <v>1.7832296984174139E-2</v>
      </c>
      <c r="X116" s="141">
        <f>SUM(W116*(1+T116))</f>
        <v>1.8188942923857622E-2</v>
      </c>
    </row>
    <row r="117" spans="1:24">
      <c r="A117" s="101">
        <v>104</v>
      </c>
      <c r="B117" s="130" t="s">
        <v>170</v>
      </c>
      <c r="D117" s="538">
        <v>1</v>
      </c>
      <c r="F117" s="538">
        <v>1</v>
      </c>
      <c r="H117" s="538">
        <v>1</v>
      </c>
      <c r="J117" s="538">
        <v>1</v>
      </c>
      <c r="K117" s="539"/>
      <c r="L117" s="497"/>
      <c r="M117" s="538">
        <v>1</v>
      </c>
      <c r="N117" s="509"/>
      <c r="O117" s="538">
        <v>1</v>
      </c>
      <c r="P117" s="540"/>
      <c r="Q117" s="538">
        <v>1</v>
      </c>
      <c r="R117" s="540"/>
      <c r="S117" s="171">
        <v>1</v>
      </c>
      <c r="T117" s="540"/>
      <c r="U117" s="171">
        <v>1</v>
      </c>
      <c r="V117" s="171">
        <v>1</v>
      </c>
      <c r="W117" s="171">
        <v>1</v>
      </c>
      <c r="X117" s="171">
        <v>1</v>
      </c>
    </row>
    <row r="118" spans="1:24">
      <c r="A118" s="101">
        <v>105</v>
      </c>
      <c r="B118" s="130" t="s">
        <v>171</v>
      </c>
      <c r="D118" s="543"/>
      <c r="F118" s="543"/>
      <c r="H118" s="543"/>
      <c r="J118" s="543"/>
      <c r="K118" s="539"/>
      <c r="L118" s="497"/>
      <c r="M118" s="543"/>
      <c r="N118" s="509"/>
      <c r="O118" s="543"/>
      <c r="P118" s="544"/>
      <c r="Q118" s="543"/>
      <c r="R118" s="544"/>
      <c r="S118" s="172"/>
      <c r="T118" s="544"/>
      <c r="U118" s="172"/>
      <c r="V118" s="172"/>
      <c r="W118" s="172"/>
      <c r="X118" s="172"/>
    </row>
    <row r="119" spans="1:24">
      <c r="A119" s="101">
        <v>106</v>
      </c>
      <c r="B119" s="142"/>
      <c r="D119" s="477">
        <f>SUM(D109:D112)*D116*D117</f>
        <v>1842.8801699999999</v>
      </c>
      <c r="F119" s="477">
        <f>SUM(F109:F113)*F116*F117</f>
        <v>2029.5941279024175</v>
      </c>
      <c r="H119" s="477">
        <f t="shared" ref="H119:J119" si="67">SUM(H109:H113)*H116*H117</f>
        <v>1918.901132</v>
      </c>
      <c r="J119" s="477">
        <f t="shared" si="67"/>
        <v>2189.4442599999998</v>
      </c>
      <c r="K119" s="547"/>
      <c r="L119" s="548"/>
      <c r="M119" s="477">
        <f>SUM(M109*M116)</f>
        <v>2525.8229999999999</v>
      </c>
      <c r="N119" s="509"/>
      <c r="O119" s="481">
        <f t="shared" ref="O119" si="68">SUM(O109:O113)*O116*O117</f>
        <v>2707.3523175999999</v>
      </c>
      <c r="P119" s="482"/>
      <c r="Q119" s="477">
        <f t="shared" ref="Q119:S119" si="69">SUM(Q109:Q113)*Q116*Q117</f>
        <v>2514.9974500000003</v>
      </c>
      <c r="R119" s="482"/>
      <c r="S119" s="173">
        <f t="shared" si="69"/>
        <v>2624.1106000356217</v>
      </c>
      <c r="T119" s="482"/>
      <c r="U119" s="173">
        <f t="shared" ref="U119:X119" si="70">SUM(U109:U113)*U116*U117</f>
        <v>2676.5928120363342</v>
      </c>
      <c r="V119" s="173">
        <f t="shared" si="70"/>
        <v>2730.1246682770607</v>
      </c>
      <c r="W119" s="173">
        <f t="shared" si="70"/>
        <v>2784.7271616426019</v>
      </c>
      <c r="X119" s="173">
        <f t="shared" si="70"/>
        <v>2840.421704875454</v>
      </c>
    </row>
    <row r="120" spans="1:24">
      <c r="A120" s="101">
        <v>107</v>
      </c>
      <c r="B120" s="143"/>
      <c r="D120" s="485"/>
      <c r="F120" s="154"/>
      <c r="H120" s="154"/>
      <c r="I120" s="271"/>
      <c r="J120" s="154"/>
      <c r="K120" s="154"/>
      <c r="L120" s="465"/>
      <c r="M120" s="465"/>
      <c r="N120" s="509"/>
      <c r="O120" s="154"/>
      <c r="P120" s="154"/>
      <c r="Q120" s="154"/>
      <c r="R120" s="154"/>
      <c r="S120" s="154"/>
      <c r="T120" s="154"/>
      <c r="U120" s="154"/>
      <c r="V120" s="154"/>
      <c r="W120" s="154"/>
      <c r="X120" s="154"/>
    </row>
    <row r="121" spans="1:24">
      <c r="A121" s="101">
        <v>108</v>
      </c>
      <c r="B121" s="153"/>
      <c r="D121" s="426"/>
      <c r="F121" s="144"/>
      <c r="H121" s="144"/>
      <c r="I121" s="271"/>
      <c r="J121" s="144"/>
      <c r="K121" s="144"/>
      <c r="L121" s="427"/>
      <c r="M121" s="144"/>
      <c r="N121" s="144"/>
      <c r="O121" s="144"/>
      <c r="P121" s="144"/>
      <c r="Q121" s="144"/>
      <c r="R121" s="144"/>
      <c r="S121" s="144"/>
      <c r="T121" s="144"/>
      <c r="U121" s="144"/>
      <c r="V121" s="144"/>
      <c r="W121" s="144"/>
      <c r="X121" s="144"/>
    </row>
    <row r="122" spans="1:24">
      <c r="A122" s="101">
        <v>109</v>
      </c>
      <c r="B122" s="128"/>
      <c r="D122" s="129"/>
      <c r="F122" s="129"/>
      <c r="H122" s="129"/>
      <c r="J122" s="129"/>
      <c r="K122" s="177"/>
      <c r="L122" s="396"/>
      <c r="M122" s="129"/>
      <c r="N122" s="177"/>
      <c r="O122" s="129"/>
      <c r="P122" s="177"/>
      <c r="Q122" s="155"/>
      <c r="R122" s="177"/>
      <c r="S122" s="155"/>
      <c r="T122" s="177"/>
      <c r="U122" s="155"/>
      <c r="V122" s="155"/>
      <c r="W122" s="155"/>
      <c r="X122" s="155"/>
    </row>
    <row r="123" spans="1:24">
      <c r="A123" s="101">
        <v>110</v>
      </c>
      <c r="B123" s="132" t="s">
        <v>173</v>
      </c>
      <c r="D123" s="131" t="s">
        <v>284</v>
      </c>
      <c r="F123" s="131" t="s">
        <v>253</v>
      </c>
      <c r="H123" s="131" t="s">
        <v>254</v>
      </c>
      <c r="J123" s="131" t="s">
        <v>285</v>
      </c>
      <c r="K123" s="307"/>
      <c r="L123" s="308"/>
      <c r="M123" s="131" t="s">
        <v>286</v>
      </c>
      <c r="N123" s="307"/>
      <c r="O123" s="131" t="s">
        <v>287</v>
      </c>
      <c r="P123" s="307"/>
      <c r="Q123" s="112" t="s">
        <v>258</v>
      </c>
      <c r="R123" s="307"/>
      <c r="S123" s="112" t="s">
        <v>104</v>
      </c>
      <c r="T123" s="307"/>
      <c r="U123" s="112" t="s">
        <v>259</v>
      </c>
      <c r="V123" s="112" t="s">
        <v>260</v>
      </c>
      <c r="W123" s="112" t="s">
        <v>261</v>
      </c>
      <c r="X123" s="112" t="s">
        <v>262</v>
      </c>
    </row>
    <row r="124" spans="1:24" ht="19.5">
      <c r="A124" s="101">
        <v>111</v>
      </c>
      <c r="B124" s="130"/>
      <c r="D124" s="550"/>
      <c r="F124" s="133"/>
      <c r="H124" s="312"/>
      <c r="J124" s="312"/>
      <c r="K124" s="313"/>
      <c r="L124" s="314"/>
      <c r="M124" s="133"/>
      <c r="N124" s="315"/>
      <c r="O124" s="133"/>
      <c r="P124" s="315"/>
      <c r="Q124" s="156"/>
      <c r="R124" s="315"/>
      <c r="S124" s="156"/>
      <c r="T124" s="315"/>
      <c r="U124" s="156"/>
      <c r="V124" s="156"/>
      <c r="W124" s="156"/>
      <c r="X124" s="156"/>
    </row>
    <row r="125" spans="1:24">
      <c r="A125" s="101">
        <v>112</v>
      </c>
      <c r="B125" s="130" t="s">
        <v>131</v>
      </c>
      <c r="D125" s="312"/>
      <c r="F125" s="133"/>
      <c r="H125" s="312"/>
      <c r="J125" s="312"/>
      <c r="K125" s="313"/>
      <c r="L125" s="314"/>
      <c r="M125" s="133"/>
      <c r="N125" s="315"/>
      <c r="O125" s="174"/>
      <c r="P125" s="551"/>
      <c r="Q125" s="156"/>
      <c r="R125" s="551"/>
      <c r="S125" s="156"/>
      <c r="T125" s="551"/>
      <c r="U125" s="156"/>
      <c r="V125" s="156"/>
      <c r="W125" s="156"/>
      <c r="X125" s="156"/>
    </row>
    <row r="126" spans="1:24">
      <c r="A126" s="101">
        <v>113</v>
      </c>
      <c r="B126" s="130" t="s">
        <v>108</v>
      </c>
      <c r="D126" s="321">
        <v>365000</v>
      </c>
      <c r="F126" s="321">
        <v>370000</v>
      </c>
      <c r="H126" s="321">
        <v>400000</v>
      </c>
      <c r="J126" s="321">
        <v>435000</v>
      </c>
      <c r="K126" s="322"/>
      <c r="L126" s="323"/>
      <c r="M126" s="321">
        <v>515000</v>
      </c>
      <c r="N126" s="324"/>
      <c r="O126" s="115">
        <v>500000</v>
      </c>
      <c r="P126" s="325"/>
      <c r="Q126" s="115">
        <f>SUM(O126:O128)</f>
        <v>500000</v>
      </c>
      <c r="R126" s="325"/>
      <c r="S126" s="122">
        <f>SUM(Q126)</f>
        <v>500000</v>
      </c>
      <c r="T126" s="325"/>
      <c r="U126" s="122">
        <f>SUM(S126:S128)</f>
        <v>539239.69099999999</v>
      </c>
      <c r="V126" s="122">
        <f t="shared" ref="V126:X126" si="71">SUM(U126:U128)</f>
        <v>587915.08299999998</v>
      </c>
      <c r="W126" s="122">
        <f t="shared" si="71"/>
        <v>630501.49800000002</v>
      </c>
      <c r="X126" s="122">
        <f t="shared" si="71"/>
        <v>679777.39100000006</v>
      </c>
    </row>
    <row r="127" spans="1:24">
      <c r="A127" s="101">
        <v>114</v>
      </c>
      <c r="B127" s="130" t="s">
        <v>109</v>
      </c>
      <c r="D127" s="321"/>
      <c r="F127" s="328"/>
      <c r="H127" s="321"/>
      <c r="J127" s="321"/>
      <c r="K127" s="322"/>
      <c r="L127" s="323"/>
      <c r="M127" s="328"/>
      <c r="N127" s="324"/>
      <c r="O127" s="115"/>
      <c r="P127" s="325"/>
      <c r="Q127" s="115"/>
      <c r="R127" s="325"/>
      <c r="S127" s="443">
        <v>66239.691000000006</v>
      </c>
      <c r="T127" s="325"/>
      <c r="U127" s="443">
        <v>75675.392000000007</v>
      </c>
      <c r="V127" s="443">
        <v>69586.414999999994</v>
      </c>
      <c r="W127" s="443">
        <v>76275.892999999996</v>
      </c>
      <c r="X127" s="443">
        <v>68855.188999999998</v>
      </c>
    </row>
    <row r="128" spans="1:24">
      <c r="A128" s="101">
        <v>115</v>
      </c>
      <c r="B128" s="130" t="s">
        <v>174</v>
      </c>
      <c r="D128" s="321"/>
      <c r="F128" s="328"/>
      <c r="H128" s="321"/>
      <c r="J128" s="321"/>
      <c r="K128" s="322"/>
      <c r="L128" s="323"/>
      <c r="M128" s="328"/>
      <c r="N128" s="324"/>
      <c r="O128" s="115"/>
      <c r="P128" s="325"/>
      <c r="Q128" s="115"/>
      <c r="R128" s="325"/>
      <c r="S128" s="443">
        <v>-27000</v>
      </c>
      <c r="T128" s="325"/>
      <c r="U128" s="443">
        <v>-27000</v>
      </c>
      <c r="V128" s="443">
        <v>-27000</v>
      </c>
      <c r="W128" s="443">
        <v>-27000</v>
      </c>
      <c r="X128" s="443">
        <v>-27000</v>
      </c>
    </row>
    <row r="129" spans="1:24">
      <c r="A129" s="101">
        <v>116</v>
      </c>
      <c r="B129" s="130" t="s">
        <v>134</v>
      </c>
      <c r="D129" s="339">
        <v>0.94630499999999995</v>
      </c>
      <c r="F129" s="339">
        <v>0.96772369999999996</v>
      </c>
      <c r="H129" s="339">
        <f>188890268/195011082</f>
        <v>0.96861299400410483</v>
      </c>
      <c r="J129" s="339">
        <v>0.96685500000000002</v>
      </c>
      <c r="K129" s="340"/>
      <c r="L129" s="323"/>
      <c r="M129" s="339">
        <f>234774025/243990907</f>
        <v>0.96222448568544405</v>
      </c>
      <c r="N129" s="342"/>
      <c r="O129" s="119">
        <f>230552.665/238786.689</f>
        <v>0.96551724036845288</v>
      </c>
      <c r="P129" s="343"/>
      <c r="Q129" s="119">
        <f>229911.818/238226.137</f>
        <v>0.96509904788490952</v>
      </c>
      <c r="R129" s="343"/>
      <c r="S129" s="157">
        <f t="shared" ref="S129:S130" si="72">SUM(Q129)</f>
        <v>0.96509904788490952</v>
      </c>
      <c r="T129" s="343"/>
      <c r="U129" s="157">
        <f>SUM(S129)</f>
        <v>0.96509904788490952</v>
      </c>
      <c r="V129" s="157">
        <f t="shared" ref="V129:X130" si="73">SUM(U129)</f>
        <v>0.96509904788490952</v>
      </c>
      <c r="W129" s="157">
        <f t="shared" si="73"/>
        <v>0.96509904788490952</v>
      </c>
      <c r="X129" s="157">
        <f t="shared" si="73"/>
        <v>0.96509904788490952</v>
      </c>
    </row>
    <row r="130" spans="1:24">
      <c r="A130" s="101">
        <v>117</v>
      </c>
      <c r="B130" s="130" t="s">
        <v>135</v>
      </c>
      <c r="D130" s="346">
        <v>0.471997</v>
      </c>
      <c r="F130" s="346">
        <v>0.47163899999999997</v>
      </c>
      <c r="H130" s="346">
        <f>195011082/400000000</f>
        <v>0.48752770499999998</v>
      </c>
      <c r="J130" s="346">
        <v>0.47452299999999997</v>
      </c>
      <c r="K130" s="347"/>
      <c r="L130" s="334"/>
      <c r="M130" s="346">
        <f>243990907/515000000</f>
        <v>0.4737687514563107</v>
      </c>
      <c r="N130" s="350"/>
      <c r="O130" s="120">
        <f>238786.689/500000</f>
        <v>0.47757337800000005</v>
      </c>
      <c r="P130" s="351"/>
      <c r="Q130" s="120">
        <f>238226.137/500000</f>
        <v>0.47645227399999995</v>
      </c>
      <c r="R130" s="351"/>
      <c r="S130" s="158">
        <f t="shared" si="72"/>
        <v>0.47645227399999995</v>
      </c>
      <c r="T130" s="351"/>
      <c r="U130" s="158">
        <f>SUM(S130)</f>
        <v>0.47645227399999995</v>
      </c>
      <c r="V130" s="158">
        <f t="shared" si="73"/>
        <v>0.47645227399999995</v>
      </c>
      <c r="W130" s="158">
        <f t="shared" si="73"/>
        <v>0.47645227399999995</v>
      </c>
      <c r="X130" s="158">
        <f t="shared" si="73"/>
        <v>0.47645227399999995</v>
      </c>
    </row>
    <row r="131" spans="1:24">
      <c r="A131" s="101">
        <v>118</v>
      </c>
      <c r="B131" s="130" t="s">
        <v>116</v>
      </c>
      <c r="D131" s="321">
        <f>SUM(D126+D127+D128)*D129*D130</f>
        <v>163028.38919602497</v>
      </c>
      <c r="F131" s="321">
        <f>SUM(F126+F127+F128)*F129*F130</f>
        <v>168874.00811339097</v>
      </c>
      <c r="H131" s="321">
        <f t="shared" ref="H131:J131" si="74">SUM(H126+H127+H128)*H129*H130</f>
        <v>188890.26799999998</v>
      </c>
      <c r="J131" s="321">
        <f t="shared" si="74"/>
        <v>199575.79679677499</v>
      </c>
      <c r="K131" s="322"/>
      <c r="L131" s="323"/>
      <c r="M131" s="321">
        <f t="shared" ref="M131:O131" si="75">SUM(M126+M127+M128)*M129*M130</f>
        <v>234774.02500000002</v>
      </c>
      <c r="N131" s="324"/>
      <c r="O131" s="115">
        <f t="shared" si="75"/>
        <v>230552.66500000001</v>
      </c>
      <c r="P131" s="325"/>
      <c r="Q131" s="115">
        <f t="shared" ref="Q131:X131" si="76">SUM(Q126+Q127+Q128)*Q129*Q130</f>
        <v>229911.818</v>
      </c>
      <c r="R131" s="325"/>
      <c r="S131" s="122">
        <f t="shared" si="76"/>
        <v>247955.15539113645</v>
      </c>
      <c r="T131" s="325"/>
      <c r="U131" s="122">
        <f t="shared" si="76"/>
        <v>270337.25112430175</v>
      </c>
      <c r="V131" s="122">
        <f t="shared" si="76"/>
        <v>289919.49131380673</v>
      </c>
      <c r="W131" s="122">
        <f t="shared" si="76"/>
        <v>312577.71160021366</v>
      </c>
      <c r="X131" s="122">
        <f t="shared" si="76"/>
        <v>331823.71679166087</v>
      </c>
    </row>
    <row r="132" spans="1:24">
      <c r="A132" s="101">
        <v>119</v>
      </c>
      <c r="B132" s="130" t="s">
        <v>146</v>
      </c>
      <c r="D132" s="321"/>
      <c r="F132" s="553"/>
      <c r="H132" s="321"/>
      <c r="J132" s="321"/>
      <c r="K132" s="322"/>
      <c r="L132" s="323"/>
      <c r="M132" s="321"/>
      <c r="N132" s="324"/>
      <c r="O132" s="115"/>
      <c r="P132" s="325"/>
      <c r="Q132" s="115"/>
      <c r="R132" s="325"/>
      <c r="S132" s="122"/>
      <c r="T132" s="325"/>
      <c r="U132" s="122"/>
      <c r="V132" s="122"/>
      <c r="W132" s="122"/>
      <c r="X132" s="122"/>
    </row>
    <row r="133" spans="1:24">
      <c r="A133" s="101">
        <v>120</v>
      </c>
      <c r="B133" s="130" t="s">
        <v>118</v>
      </c>
      <c r="D133" s="321">
        <f>SUM(D131)</f>
        <v>163028.38919602497</v>
      </c>
      <c r="F133" s="321">
        <f>SUM(F131)</f>
        <v>168874.00811339097</v>
      </c>
      <c r="H133" s="321">
        <f t="shared" ref="H133:J133" si="77">SUM(H131)</f>
        <v>188890.26799999998</v>
      </c>
      <c r="J133" s="321">
        <f t="shared" si="77"/>
        <v>199575.79679677499</v>
      </c>
      <c r="K133" s="322"/>
      <c r="L133" s="323"/>
      <c r="M133" s="321">
        <f t="shared" ref="M133:X133" si="78">SUM(M131)</f>
        <v>234774.02500000002</v>
      </c>
      <c r="N133" s="324"/>
      <c r="O133" s="115">
        <f t="shared" si="78"/>
        <v>230552.66500000001</v>
      </c>
      <c r="P133" s="325"/>
      <c r="Q133" s="115">
        <f t="shared" si="78"/>
        <v>229911.818</v>
      </c>
      <c r="R133" s="325"/>
      <c r="S133" s="122">
        <f t="shared" si="78"/>
        <v>247955.15539113645</v>
      </c>
      <c r="T133" s="325"/>
      <c r="U133" s="122">
        <f t="shared" si="78"/>
        <v>270337.25112430175</v>
      </c>
      <c r="V133" s="122">
        <f t="shared" si="78"/>
        <v>289919.49131380673</v>
      </c>
      <c r="W133" s="122">
        <f t="shared" si="78"/>
        <v>312577.71160021366</v>
      </c>
      <c r="X133" s="122">
        <f t="shared" si="78"/>
        <v>331823.71679166087</v>
      </c>
    </row>
    <row r="134" spans="1:24">
      <c r="A134" s="101">
        <v>121</v>
      </c>
      <c r="B134" s="130" t="s">
        <v>136</v>
      </c>
      <c r="C134" s="554"/>
      <c r="D134" s="555">
        <f>148020.988/163028</f>
        <v>0.90794825428760706</v>
      </c>
      <c r="F134" s="555">
        <f>SUM(F135/F133)</f>
        <v>0.90322653973832534</v>
      </c>
      <c r="H134" s="555">
        <f>173803920/188890000</f>
        <v>0.92013298745301497</v>
      </c>
      <c r="J134" s="555">
        <f>189501.264/199576</f>
        <v>0.94951930091794601</v>
      </c>
      <c r="K134" s="556"/>
      <c r="L134" s="334"/>
      <c r="M134" s="555">
        <f>223370.065/M133</f>
        <v>0.95142580189609982</v>
      </c>
      <c r="N134" s="557"/>
      <c r="O134" s="558">
        <f>216345.522/O133</f>
        <v>0.93837788428947455</v>
      </c>
      <c r="P134" s="559"/>
      <c r="Q134" s="358">
        <f>SUM(O134)</f>
        <v>0.93837788428947455</v>
      </c>
      <c r="R134" s="559"/>
      <c r="S134" s="562">
        <f>SUM(Q134)</f>
        <v>0.93837788428947455</v>
      </c>
      <c r="T134" s="559"/>
      <c r="U134" s="562">
        <f>SUM(S134)</f>
        <v>0.93837788428947455</v>
      </c>
      <c r="V134" s="562">
        <f t="shared" ref="V134:X134" si="79">SUM(U134)</f>
        <v>0.93837788428947455</v>
      </c>
      <c r="W134" s="562">
        <f t="shared" si="79"/>
        <v>0.93837788428947455</v>
      </c>
      <c r="X134" s="562">
        <f t="shared" si="79"/>
        <v>0.93837788428947455</v>
      </c>
    </row>
    <row r="135" spans="1:24">
      <c r="A135" s="101">
        <v>122</v>
      </c>
      <c r="B135" s="130" t="s">
        <v>137</v>
      </c>
      <c r="D135" s="321">
        <f>SUM(D133*D134)</f>
        <v>148021.34136985146</v>
      </c>
      <c r="F135" s="321">
        <v>152531.486</v>
      </c>
      <c r="H135" s="321">
        <f t="shared" ref="H135:J135" si="80">SUM(H133*H134)</f>
        <v>173804.16659564062</v>
      </c>
      <c r="J135" s="321">
        <f t="shared" si="80"/>
        <v>189501.07105461584</v>
      </c>
      <c r="K135" s="322"/>
      <c r="L135" s="323"/>
      <c r="M135" s="321">
        <f t="shared" ref="M135:X135" si="81">SUM(M133*M134)</f>
        <v>223370.065</v>
      </c>
      <c r="N135" s="324"/>
      <c r="O135" s="115">
        <f t="shared" si="81"/>
        <v>216345.522</v>
      </c>
      <c r="P135" s="563"/>
      <c r="Q135" s="362">
        <f t="shared" si="81"/>
        <v>215744.16534798674</v>
      </c>
      <c r="R135" s="563"/>
      <c r="S135" s="122">
        <f t="shared" si="81"/>
        <v>232675.63411460252</v>
      </c>
      <c r="T135" s="563"/>
      <c r="U135" s="122">
        <f t="shared" si="81"/>
        <v>253678.49775465464</v>
      </c>
      <c r="V135" s="122">
        <f t="shared" si="81"/>
        <v>272054.03887333063</v>
      </c>
      <c r="W135" s="122">
        <f t="shared" si="81"/>
        <v>293316.01168745407</v>
      </c>
      <c r="X135" s="122">
        <f t="shared" si="81"/>
        <v>311376.03732002852</v>
      </c>
    </row>
    <row r="136" spans="1:24">
      <c r="A136" s="101">
        <v>123</v>
      </c>
      <c r="B136" s="130" t="s">
        <v>138</v>
      </c>
      <c r="C136" s="460" t="e">
        <f>SUM(D136-#REF!)/D136</f>
        <v>#REF!</v>
      </c>
      <c r="D136" s="372">
        <v>1.2448000000000001E-2</v>
      </c>
      <c r="E136" s="535">
        <f>SUM(F136-D136)/F136</f>
        <v>2.1152787607139924E-2</v>
      </c>
      <c r="F136" s="373">
        <v>1.2716999999999999E-2</v>
      </c>
      <c r="G136" s="535">
        <f>SUM(H136-F136)/H136</f>
        <v>1.2578616352201311E-2</v>
      </c>
      <c r="H136" s="566">
        <v>1.2879E-2</v>
      </c>
      <c r="I136" s="567">
        <f>SUM((J136-H136)/H136)</f>
        <v>1.5232524017182573E-3</v>
      </c>
      <c r="J136" s="373">
        <f>SUM(J138/J135)</f>
        <v>1.2898617967681729E-2</v>
      </c>
      <c r="K136" s="375"/>
      <c r="L136" s="421">
        <f>SUM(M136-J136)/J136</f>
        <v>2.0893237059376537E-2</v>
      </c>
      <c r="M136" s="377">
        <f>SUM(M138/M135)</f>
        <v>1.3168111850618837E-2</v>
      </c>
      <c r="N136" s="536">
        <f>SUM(O136-M136)/M136</f>
        <v>-2.4622895488339361E-2</v>
      </c>
      <c r="O136" s="377">
        <f>SUM(O138/O135)</f>
        <v>1.2843874808742287E-2</v>
      </c>
      <c r="P136" s="379">
        <v>0.02</v>
      </c>
      <c r="Q136" s="141">
        <f>SUM(O136*(1+P136))</f>
        <v>1.3100752304917132E-2</v>
      </c>
      <c r="R136" s="379">
        <f>SUM(R116)</f>
        <v>0.02</v>
      </c>
      <c r="S136" s="141">
        <f>SUM(Q136*(1+R136))</f>
        <v>1.3362767351015475E-2</v>
      </c>
      <c r="T136" s="379">
        <v>0.02</v>
      </c>
      <c r="U136" s="141">
        <f>SUM(S136*(1+T136))</f>
        <v>1.3630022698035784E-2</v>
      </c>
      <c r="V136" s="141">
        <f>SUM(U136*(1+T136))</f>
        <v>1.39026231519965E-2</v>
      </c>
      <c r="W136" s="141">
        <f>SUM(V136*(1+T136))</f>
        <v>1.418067561503643E-2</v>
      </c>
      <c r="X136" s="141">
        <f>SUM(W136*(1+T136))</f>
        <v>1.4464289127337158E-2</v>
      </c>
    </row>
    <row r="137" spans="1:24">
      <c r="A137" s="101">
        <v>124</v>
      </c>
      <c r="B137" s="130"/>
      <c r="D137" s="381"/>
      <c r="F137" s="382"/>
      <c r="H137" s="381"/>
      <c r="J137" s="381"/>
      <c r="K137" s="383"/>
      <c r="L137" s="323"/>
      <c r="M137" s="568"/>
      <c r="N137" s="383"/>
      <c r="O137" s="382"/>
      <c r="P137" s="383"/>
      <c r="Q137" s="125"/>
      <c r="R137" s="383"/>
      <c r="S137" s="125"/>
      <c r="T137" s="383"/>
      <c r="U137" s="125"/>
      <c r="V137" s="125"/>
      <c r="W137" s="125"/>
      <c r="X137" s="125"/>
    </row>
    <row r="138" spans="1:24" ht="13.5" thickBot="1">
      <c r="A138" s="101">
        <v>125</v>
      </c>
      <c r="B138" s="142" t="s">
        <v>128</v>
      </c>
      <c r="D138" s="386">
        <v>1843</v>
      </c>
      <c r="F138" s="386">
        <f>SUM(F135*F136)</f>
        <v>1939.7429074619999</v>
      </c>
      <c r="H138" s="386">
        <f t="shared" ref="H138" si="82">SUM(H135*H136)</f>
        <v>2238.4238615852555</v>
      </c>
      <c r="J138" s="386">
        <v>2444.3019199999999</v>
      </c>
      <c r="K138" s="387"/>
      <c r="L138" s="388"/>
      <c r="M138" s="569">
        <v>2941.3620000000001</v>
      </c>
      <c r="N138" s="387"/>
      <c r="O138" s="386">
        <v>2778.7148000000002</v>
      </c>
      <c r="P138" s="387"/>
      <c r="Q138" s="126">
        <f t="shared" ref="Q138:X138" si="83">SUM(Q135*Q136)</f>
        <v>2826.4108714550603</v>
      </c>
      <c r="R138" s="387"/>
      <c r="S138" s="126">
        <f t="shared" si="83"/>
        <v>3109.190366923433</v>
      </c>
      <c r="T138" s="387"/>
      <c r="U138" s="126">
        <f t="shared" si="83"/>
        <v>3457.6436823995623</v>
      </c>
      <c r="V138" s="126">
        <f t="shared" si="83"/>
        <v>3782.2647794345221</v>
      </c>
      <c r="W138" s="126">
        <f t="shared" si="83"/>
        <v>4159.4192144360204</v>
      </c>
      <c r="X138" s="126">
        <f t="shared" si="83"/>
        <v>4503.8330311214177</v>
      </c>
    </row>
    <row r="139" spans="1:24" ht="13.5" thickTop="1">
      <c r="A139" s="101">
        <v>126</v>
      </c>
      <c r="B139" s="128"/>
      <c r="D139" s="129"/>
      <c r="F139" s="431"/>
      <c r="H139" s="177"/>
      <c r="J139" s="177"/>
      <c r="K139" s="177"/>
      <c r="L139" s="396"/>
      <c r="M139" s="396"/>
      <c r="N139" s="177"/>
      <c r="O139" s="396"/>
      <c r="P139" s="177"/>
      <c r="Q139" s="177"/>
      <c r="R139" s="177"/>
      <c r="S139" s="177"/>
      <c r="T139" s="177"/>
      <c r="U139" s="177"/>
      <c r="V139" s="177"/>
      <c r="W139" s="177"/>
      <c r="X139" s="177"/>
    </row>
    <row r="140" spans="1:24">
      <c r="A140" s="101">
        <v>127</v>
      </c>
      <c r="B140" s="132" t="s">
        <v>176</v>
      </c>
      <c r="D140" s="131" t="s">
        <v>265</v>
      </c>
      <c r="F140" s="131" t="s">
        <v>253</v>
      </c>
      <c r="H140" s="131" t="s">
        <v>254</v>
      </c>
      <c r="J140" s="131" t="s">
        <v>266</v>
      </c>
      <c r="K140" s="399"/>
      <c r="L140" s="308"/>
      <c r="M140" s="131" t="s">
        <v>267</v>
      </c>
      <c r="N140" s="307"/>
      <c r="O140" s="131" t="s">
        <v>268</v>
      </c>
      <c r="P140" s="307"/>
      <c r="Q140" s="131" t="s">
        <v>269</v>
      </c>
      <c r="R140" s="307"/>
      <c r="S140" s="112" t="s">
        <v>104</v>
      </c>
      <c r="T140" s="307"/>
      <c r="U140" s="112" t="s">
        <v>259</v>
      </c>
      <c r="V140" s="112" t="s">
        <v>260</v>
      </c>
      <c r="W140" s="112" t="s">
        <v>261</v>
      </c>
      <c r="X140" s="112" t="s">
        <v>262</v>
      </c>
    </row>
    <row r="141" spans="1:24" ht="19.5">
      <c r="A141" s="101">
        <v>128</v>
      </c>
      <c r="B141" s="178"/>
      <c r="D141" s="550"/>
      <c r="F141" s="133"/>
      <c r="H141" s="312"/>
      <c r="J141" s="312"/>
      <c r="K141" s="313"/>
      <c r="L141" s="314"/>
      <c r="M141" s="133"/>
      <c r="N141" s="315"/>
      <c r="O141" s="133"/>
      <c r="P141" s="315"/>
      <c r="Q141" s="133"/>
      <c r="R141" s="315"/>
      <c r="S141" s="156"/>
      <c r="T141" s="315"/>
      <c r="U141" s="156"/>
      <c r="V141" s="156"/>
      <c r="W141" s="156"/>
      <c r="X141" s="156"/>
    </row>
    <row r="142" spans="1:24">
      <c r="A142" s="101">
        <v>129</v>
      </c>
      <c r="B142" s="130" t="s">
        <v>131</v>
      </c>
      <c r="D142" s="312"/>
      <c r="F142" s="133"/>
      <c r="H142" s="312"/>
      <c r="J142" s="312"/>
      <c r="K142" s="313"/>
      <c r="L142" s="314"/>
      <c r="M142" s="133"/>
      <c r="N142" s="315"/>
      <c r="O142" s="133"/>
      <c r="P142" s="315"/>
      <c r="Q142" s="133"/>
      <c r="R142" s="315"/>
      <c r="S142" s="156"/>
      <c r="T142" s="315"/>
      <c r="U142" s="156"/>
      <c r="V142" s="156"/>
      <c r="W142" s="156"/>
      <c r="X142" s="156"/>
    </row>
    <row r="143" spans="1:24">
      <c r="A143" s="101">
        <v>130</v>
      </c>
      <c r="B143" s="130" t="s">
        <v>108</v>
      </c>
      <c r="D143" s="321">
        <v>364953</v>
      </c>
      <c r="F143" s="321">
        <v>369405.65100000001</v>
      </c>
      <c r="H143" s="321">
        <v>424400.88699999999</v>
      </c>
      <c r="J143" s="321">
        <v>451330.43099999998</v>
      </c>
      <c r="K143" s="322"/>
      <c r="L143" s="323"/>
      <c r="M143" s="321">
        <v>489356.26899999997</v>
      </c>
      <c r="N143" s="324"/>
      <c r="O143" s="115">
        <v>510289.36700000003</v>
      </c>
      <c r="P143" s="325"/>
      <c r="Q143" s="115">
        <v>558892.69999999995</v>
      </c>
      <c r="R143" s="325"/>
      <c r="S143" s="122">
        <f>SUM(Q143:Q145)</f>
        <v>558892.69999999995</v>
      </c>
      <c r="T143" s="325"/>
      <c r="U143" s="122">
        <f>SUM(S143:S145)</f>
        <v>598132.39099999995</v>
      </c>
      <c r="V143" s="122">
        <f t="shared" ref="V143:X143" si="84">SUM(U143:U145)</f>
        <v>646807.78299999994</v>
      </c>
      <c r="W143" s="122">
        <f t="shared" si="84"/>
        <v>689394.19799999997</v>
      </c>
      <c r="X143" s="122">
        <f t="shared" si="84"/>
        <v>738670.09100000001</v>
      </c>
    </row>
    <row r="144" spans="1:24">
      <c r="A144" s="101">
        <v>131</v>
      </c>
      <c r="B144" s="130" t="s">
        <v>109</v>
      </c>
      <c r="D144" s="321"/>
      <c r="F144" s="328"/>
      <c r="H144" s="321"/>
      <c r="J144" s="321"/>
      <c r="K144" s="322"/>
      <c r="L144" s="323"/>
      <c r="M144" s="328"/>
      <c r="N144" s="324"/>
      <c r="O144" s="115"/>
      <c r="P144" s="325"/>
      <c r="Q144" s="115"/>
      <c r="R144" s="325"/>
      <c r="S144" s="443">
        <f t="shared" ref="S144:X145" si="85">SUM(S127)</f>
        <v>66239.691000000006</v>
      </c>
      <c r="T144" s="325"/>
      <c r="U144" s="443">
        <f t="shared" si="85"/>
        <v>75675.392000000007</v>
      </c>
      <c r="V144" s="443">
        <f t="shared" si="85"/>
        <v>69586.414999999994</v>
      </c>
      <c r="W144" s="443">
        <f t="shared" si="85"/>
        <v>76275.892999999996</v>
      </c>
      <c r="X144" s="443">
        <f t="shared" si="85"/>
        <v>68855.188999999998</v>
      </c>
    </row>
    <row r="145" spans="1:24">
      <c r="A145" s="101">
        <v>132</v>
      </c>
      <c r="B145" s="130" t="s">
        <v>132</v>
      </c>
      <c r="D145" s="321"/>
      <c r="F145" s="328"/>
      <c r="H145" s="321"/>
      <c r="J145" s="321"/>
      <c r="K145" s="322"/>
      <c r="L145" s="323"/>
      <c r="M145" s="328"/>
      <c r="N145" s="324"/>
      <c r="O145" s="115"/>
      <c r="P145" s="325"/>
      <c r="Q145" s="115"/>
      <c r="R145" s="325"/>
      <c r="S145" s="443">
        <f t="shared" si="85"/>
        <v>-27000</v>
      </c>
      <c r="T145" s="325"/>
      <c r="U145" s="443">
        <f t="shared" si="85"/>
        <v>-27000</v>
      </c>
      <c r="V145" s="443">
        <f t="shared" si="85"/>
        <v>-27000</v>
      </c>
      <c r="W145" s="443">
        <f t="shared" si="85"/>
        <v>-27000</v>
      </c>
      <c r="X145" s="443">
        <f t="shared" si="85"/>
        <v>-27000</v>
      </c>
    </row>
    <row r="146" spans="1:24">
      <c r="A146" s="101">
        <v>133</v>
      </c>
      <c r="B146" s="130" t="s">
        <v>134</v>
      </c>
      <c r="D146" s="339">
        <v>1</v>
      </c>
      <c r="F146" s="339">
        <v>1</v>
      </c>
      <c r="H146" s="339">
        <v>1</v>
      </c>
      <c r="J146" s="339">
        <v>1</v>
      </c>
      <c r="K146" s="340"/>
      <c r="L146" s="323"/>
      <c r="M146" s="339">
        <v>1</v>
      </c>
      <c r="N146" s="342"/>
      <c r="O146" s="119">
        <v>1</v>
      </c>
      <c r="P146" s="343"/>
      <c r="Q146" s="119">
        <v>1</v>
      </c>
      <c r="R146" s="343"/>
      <c r="S146" s="157">
        <v>1</v>
      </c>
      <c r="T146" s="343"/>
      <c r="U146" s="157">
        <v>1</v>
      </c>
      <c r="V146" s="157">
        <v>1</v>
      </c>
      <c r="W146" s="157">
        <v>1</v>
      </c>
      <c r="X146" s="157">
        <v>1</v>
      </c>
    </row>
    <row r="147" spans="1:24">
      <c r="A147" s="101">
        <v>134</v>
      </c>
      <c r="B147" s="130" t="s">
        <v>135</v>
      </c>
      <c r="D147" s="346">
        <v>0.19417899999999999</v>
      </c>
      <c r="F147" s="346">
        <v>0.18853565999999999</v>
      </c>
      <c r="H147" s="346">
        <f>79213073/424400887</f>
        <v>0.18664681301667496</v>
      </c>
      <c r="J147" s="346">
        <f>85831.54/451330.431</f>
        <v>0.1901745021044238</v>
      </c>
      <c r="K147" s="347"/>
      <c r="L147" s="334"/>
      <c r="M147" s="346">
        <v>0.18943473999999999</v>
      </c>
      <c r="N147" s="350"/>
      <c r="O147" s="120">
        <f>96666.593/510289.367</f>
        <v>0.18943485647820679</v>
      </c>
      <c r="P147" s="351"/>
      <c r="Q147" s="120">
        <f>103095.598/558892.7</f>
        <v>0.18446402681588078</v>
      </c>
      <c r="R147" s="351"/>
      <c r="S147" s="158">
        <f>SUM(Q147)</f>
        <v>0.18446402681588078</v>
      </c>
      <c r="T147" s="351"/>
      <c r="U147" s="158">
        <f>SUM(S147)</f>
        <v>0.18446402681588078</v>
      </c>
      <c r="V147" s="158">
        <f t="shared" ref="V147:X147" si="86">SUM(U147)</f>
        <v>0.18446402681588078</v>
      </c>
      <c r="W147" s="158">
        <f t="shared" si="86"/>
        <v>0.18446402681588078</v>
      </c>
      <c r="X147" s="158">
        <f t="shared" si="86"/>
        <v>0.18446402681588078</v>
      </c>
    </row>
    <row r="148" spans="1:24">
      <c r="A148" s="101">
        <v>135</v>
      </c>
      <c r="B148" s="130" t="s">
        <v>116</v>
      </c>
      <c r="D148" s="364">
        <f>SUM((D143+D144+D145)*D146*D147)</f>
        <v>70866.208587000001</v>
      </c>
      <c r="F148" s="364">
        <f>SUM((F143+F144+F145)*F146*F147)</f>
        <v>69646.138219014654</v>
      </c>
      <c r="H148" s="364">
        <f t="shared" ref="H148:J148" si="87">SUM((H143+H144+H145)*H146*H147)</f>
        <v>79213.073000000004</v>
      </c>
      <c r="J148" s="364">
        <f t="shared" si="87"/>
        <v>85831.54</v>
      </c>
      <c r="K148" s="365"/>
      <c r="L148" s="366"/>
      <c r="M148" s="364">
        <f t="shared" ref="M148:X148" si="88">SUM((M143+M144+M145)*M146*M147)</f>
        <v>92701.07758538505</v>
      </c>
      <c r="N148" s="367"/>
      <c r="O148" s="152">
        <f t="shared" si="88"/>
        <v>96666.592999999993</v>
      </c>
      <c r="P148" s="474"/>
      <c r="Q148" s="152">
        <f t="shared" si="88"/>
        <v>103095.598</v>
      </c>
      <c r="R148" s="474"/>
      <c r="S148" s="123">
        <f t="shared" si="88"/>
        <v>110333.90941287088</v>
      </c>
      <c r="T148" s="474"/>
      <c r="U148" s="123">
        <f t="shared" si="88"/>
        <v>119312.76822803239</v>
      </c>
      <c r="V148" s="123">
        <f t="shared" si="88"/>
        <v>127168.42982658462</v>
      </c>
      <c r="W148" s="123">
        <f t="shared" si="88"/>
        <v>136258.05947431311</v>
      </c>
      <c r="X148" s="123">
        <f t="shared" si="88"/>
        <v>143978.83618039286</v>
      </c>
    </row>
    <row r="149" spans="1:24">
      <c r="A149" s="101">
        <v>136</v>
      </c>
      <c r="B149" s="130" t="s">
        <v>146</v>
      </c>
      <c r="D149" s="331">
        <v>-902</v>
      </c>
      <c r="F149" s="331">
        <v>-925.8</v>
      </c>
      <c r="H149" s="331"/>
      <c r="J149" s="331"/>
      <c r="K149" s="409"/>
      <c r="L149" s="334"/>
      <c r="M149" s="331"/>
      <c r="N149" s="333"/>
      <c r="O149" s="179"/>
      <c r="P149" s="335"/>
      <c r="Q149" s="179"/>
      <c r="R149" s="335"/>
      <c r="S149" s="407"/>
      <c r="T149" s="335"/>
      <c r="U149" s="407"/>
      <c r="V149" s="407"/>
      <c r="W149" s="407"/>
      <c r="X149" s="407"/>
    </row>
    <row r="150" spans="1:24">
      <c r="A150" s="101">
        <v>137</v>
      </c>
      <c r="B150" s="130" t="s">
        <v>118</v>
      </c>
      <c r="D150" s="321">
        <f>D148+D149</f>
        <v>69964.208587000001</v>
      </c>
      <c r="F150" s="321">
        <f>SUM(F148:F149)</f>
        <v>68720.338219014651</v>
      </c>
      <c r="H150" s="321">
        <f t="shared" ref="H150:J150" si="89">SUM(H148)</f>
        <v>79213.073000000004</v>
      </c>
      <c r="J150" s="321">
        <f t="shared" si="89"/>
        <v>85831.54</v>
      </c>
      <c r="K150" s="322"/>
      <c r="L150" s="323"/>
      <c r="M150" s="321">
        <f t="shared" ref="M150:X150" si="90">SUM(M148)</f>
        <v>92701.07758538505</v>
      </c>
      <c r="N150" s="324"/>
      <c r="O150" s="115">
        <f t="shared" si="90"/>
        <v>96666.592999999993</v>
      </c>
      <c r="P150" s="325"/>
      <c r="Q150" s="115">
        <f t="shared" si="90"/>
        <v>103095.598</v>
      </c>
      <c r="R150" s="325"/>
      <c r="S150" s="122">
        <f t="shared" si="90"/>
        <v>110333.90941287088</v>
      </c>
      <c r="T150" s="325"/>
      <c r="U150" s="122">
        <f t="shared" si="90"/>
        <v>119312.76822803239</v>
      </c>
      <c r="V150" s="122">
        <f t="shared" si="90"/>
        <v>127168.42982658462</v>
      </c>
      <c r="W150" s="122">
        <f t="shared" si="90"/>
        <v>136258.05947431311</v>
      </c>
      <c r="X150" s="122">
        <f t="shared" si="90"/>
        <v>143978.83618039286</v>
      </c>
    </row>
    <row r="151" spans="1:24">
      <c r="A151" s="101">
        <v>138</v>
      </c>
      <c r="B151" s="130" t="s">
        <v>136</v>
      </c>
      <c r="D151" s="410">
        <v>1</v>
      </c>
      <c r="F151" s="410">
        <v>1</v>
      </c>
      <c r="H151" s="410">
        <f>77458/79213</f>
        <v>0.97784454571850576</v>
      </c>
      <c r="J151" s="410">
        <v>1</v>
      </c>
      <c r="K151" s="411"/>
      <c r="L151" s="334"/>
      <c r="M151" s="410">
        <v>1</v>
      </c>
      <c r="N151" s="412"/>
      <c r="O151" s="140">
        <v>1</v>
      </c>
      <c r="P151" s="413"/>
      <c r="Q151" s="140">
        <v>1</v>
      </c>
      <c r="R151" s="413"/>
      <c r="S151" s="416">
        <v>1</v>
      </c>
      <c r="T151" s="413"/>
      <c r="U151" s="416">
        <v>1</v>
      </c>
      <c r="V151" s="416">
        <v>1</v>
      </c>
      <c r="W151" s="416">
        <v>1</v>
      </c>
      <c r="X151" s="416">
        <v>1</v>
      </c>
    </row>
    <row r="152" spans="1:24">
      <c r="A152" s="101">
        <v>139</v>
      </c>
      <c r="B152" s="130" t="s">
        <v>137</v>
      </c>
      <c r="D152" s="321">
        <f>SUM(D150*D151)</f>
        <v>69964.208587000001</v>
      </c>
      <c r="F152" s="321">
        <f>SUM(F150*F151)</f>
        <v>68720.338219014651</v>
      </c>
      <c r="H152" s="321">
        <f t="shared" ref="H152:J152" si="91">SUM(H150*H151)</f>
        <v>77458.071382651833</v>
      </c>
      <c r="J152" s="321">
        <f t="shared" si="91"/>
        <v>85831.54</v>
      </c>
      <c r="K152" s="322"/>
      <c r="L152" s="323"/>
      <c r="M152" s="321">
        <f t="shared" ref="M152:X152" si="92">SUM(M150*M151)</f>
        <v>92701.07758538505</v>
      </c>
      <c r="N152" s="324"/>
      <c r="O152" s="115">
        <f t="shared" si="92"/>
        <v>96666.592999999993</v>
      </c>
      <c r="P152" s="325"/>
      <c r="Q152" s="115">
        <f t="shared" si="92"/>
        <v>103095.598</v>
      </c>
      <c r="R152" s="325"/>
      <c r="S152" s="122">
        <f t="shared" si="92"/>
        <v>110333.90941287088</v>
      </c>
      <c r="T152" s="325"/>
      <c r="U152" s="122">
        <f t="shared" si="92"/>
        <v>119312.76822803239</v>
      </c>
      <c r="V152" s="122">
        <f t="shared" si="92"/>
        <v>127168.42982658462</v>
      </c>
      <c r="W152" s="122">
        <f t="shared" si="92"/>
        <v>136258.05947431311</v>
      </c>
      <c r="X152" s="122">
        <f t="shared" si="92"/>
        <v>143978.83618039286</v>
      </c>
    </row>
    <row r="153" spans="1:24">
      <c r="A153" s="101">
        <v>140</v>
      </c>
      <c r="B153" s="130" t="s">
        <v>138</v>
      </c>
      <c r="C153" s="460" t="e">
        <f>SUM(D153-#REF!)/D153</f>
        <v>#REF!</v>
      </c>
      <c r="D153" s="373">
        <f>802707.06/69964158</f>
        <v>1.1473118278647762E-2</v>
      </c>
      <c r="E153" s="418">
        <f>SUM(F153-D153)/F153</f>
        <v>7.9026924355978134E-2</v>
      </c>
      <c r="F153" s="373">
        <f>856090.19/68720290</f>
        <v>1.2457604442588935E-2</v>
      </c>
      <c r="G153" s="418">
        <f>SUM(H153-F153)/H153</f>
        <v>0.13269904482785214</v>
      </c>
      <c r="H153" s="373">
        <f>1112585/77458394</f>
        <v>1.4363646630731848E-2</v>
      </c>
      <c r="I153" s="419">
        <f>SUM(J153-H153)/H153</f>
        <v>1.8103872228034199E-2</v>
      </c>
      <c r="J153" s="373">
        <f>1255173.34/85831540</f>
        <v>1.4623684254063251E-2</v>
      </c>
      <c r="K153" s="420"/>
      <c r="L153" s="536">
        <f>SUM(M153-J153)/J153</f>
        <v>-1.3949345977307324E-2</v>
      </c>
      <c r="M153" s="373">
        <f>1336.72/92701</f>
        <v>1.4419693422940421E-2</v>
      </c>
      <c r="N153" s="376">
        <f>SUM((O153-M153)/M153)</f>
        <v>2.0801192302491757E-3</v>
      </c>
      <c r="O153" s="377">
        <f>1396.808/96667</f>
        <v>1.4449688104523777E-2</v>
      </c>
      <c r="P153" s="462">
        <f>SUM(Q155-O155)/O155</f>
        <v>5.2438044034974686E-2</v>
      </c>
      <c r="Q153" s="373">
        <f>1470.04769/103095.598</f>
        <v>1.4259073311743148E-2</v>
      </c>
      <c r="R153" s="379">
        <f>SUM(R136)</f>
        <v>0.02</v>
      </c>
      <c r="S153" s="141">
        <f>SUM(Q153*(1+R153))</f>
        <v>1.4544254777978011E-2</v>
      </c>
      <c r="T153" s="379">
        <v>0.02</v>
      </c>
      <c r="U153" s="141">
        <f>SUM(S153*(1+T153))</f>
        <v>1.4835139873537571E-2</v>
      </c>
      <c r="V153" s="141">
        <f>SUM(U153*(1+T153))</f>
        <v>1.5131842671008323E-2</v>
      </c>
      <c r="W153" s="141">
        <f>SUM(V153*(1+T153))</f>
        <v>1.5434479524428489E-2</v>
      </c>
      <c r="X153" s="141">
        <f>SUM(W153*(1+T153))</f>
        <v>1.574316911491706E-2</v>
      </c>
    </row>
    <row r="154" spans="1:24">
      <c r="A154" s="101">
        <v>141</v>
      </c>
      <c r="B154" s="130"/>
      <c r="D154" s="570"/>
      <c r="F154" s="364"/>
      <c r="H154" s="364"/>
      <c r="J154" s="364"/>
      <c r="K154" s="365"/>
      <c r="L154" s="366"/>
      <c r="M154" s="570"/>
      <c r="N154" s="367"/>
      <c r="O154" s="364"/>
      <c r="P154" s="367"/>
      <c r="Q154" s="364"/>
      <c r="R154" s="367"/>
      <c r="S154" s="123"/>
      <c r="T154" s="367"/>
      <c r="U154" s="123"/>
      <c r="V154" s="123"/>
      <c r="W154" s="123"/>
      <c r="X154" s="123"/>
    </row>
    <row r="155" spans="1:24">
      <c r="A155" s="101">
        <v>142</v>
      </c>
      <c r="B155" s="142" t="s">
        <v>128</v>
      </c>
      <c r="D155" s="477">
        <f>SUM(D152*D153)</f>
        <v>802.70764039063442</v>
      </c>
      <c r="F155" s="477">
        <f>SUM(F152*F153)</f>
        <v>856.09079069341112</v>
      </c>
      <c r="H155" s="477">
        <f t="shared" ref="H155:J155" si="93">SUM(H152*H153)</f>
        <v>1112.580366038414</v>
      </c>
      <c r="J155" s="477">
        <f t="shared" si="93"/>
        <v>1255.1733400000001</v>
      </c>
      <c r="K155" s="478"/>
      <c r="L155" s="479"/>
      <c r="M155" s="477">
        <f t="shared" ref="M155:X155" si="94">SUM(M152*M153)</f>
        <v>1336.7211187574665</v>
      </c>
      <c r="N155" s="480"/>
      <c r="O155" s="571">
        <f t="shared" si="94"/>
        <v>1396.8021189769413</v>
      </c>
      <c r="P155" s="480"/>
      <c r="Q155" s="571">
        <f t="shared" si="94"/>
        <v>1470.0476900000001</v>
      </c>
      <c r="R155" s="480"/>
      <c r="S155" s="180">
        <f t="shared" si="94"/>
        <v>1604.7244891511405</v>
      </c>
      <c r="T155" s="632"/>
      <c r="U155" s="180">
        <f t="shared" si="94"/>
        <v>1770.0216053618301</v>
      </c>
      <c r="V155" s="180">
        <f t="shared" si="94"/>
        <v>1924.2926728550406</v>
      </c>
      <c r="W155" s="180">
        <f t="shared" si="94"/>
        <v>2103.0722289946452</v>
      </c>
      <c r="X155" s="161">
        <f t="shared" si="94"/>
        <v>2266.6831669568637</v>
      </c>
    </row>
    <row r="156" spans="1:24">
      <c r="A156" s="101">
        <v>143</v>
      </c>
      <c r="B156" s="153"/>
      <c r="D156" s="426"/>
      <c r="J156" s="430"/>
      <c r="K156" s="430"/>
      <c r="L156" s="427"/>
      <c r="M156" s="427"/>
      <c r="N156" s="144"/>
      <c r="O156" s="144"/>
      <c r="P156" s="144"/>
      <c r="Q156" s="144"/>
      <c r="R156" s="144"/>
      <c r="S156" s="144"/>
      <c r="T156" s="144"/>
      <c r="U156" s="144"/>
      <c r="V156" s="144"/>
      <c r="W156" s="144"/>
      <c r="X156" s="144"/>
    </row>
    <row r="157" spans="1:24">
      <c r="A157" s="101">
        <v>144</v>
      </c>
      <c r="B157" s="162" t="s">
        <v>177</v>
      </c>
      <c r="D157" s="163" t="s">
        <v>272</v>
      </c>
      <c r="F157" s="163" t="s">
        <v>273</v>
      </c>
      <c r="H157" s="163" t="s">
        <v>274</v>
      </c>
      <c r="J157" s="163" t="s">
        <v>275</v>
      </c>
      <c r="K157" s="486"/>
      <c r="L157" s="487"/>
      <c r="M157" s="163" t="s">
        <v>276</v>
      </c>
      <c r="N157" s="488"/>
      <c r="O157" s="163" t="s">
        <v>277</v>
      </c>
      <c r="P157" s="486"/>
      <c r="Q157" s="163" t="s">
        <v>278</v>
      </c>
      <c r="R157" s="486"/>
      <c r="S157" s="489" t="s">
        <v>156</v>
      </c>
      <c r="T157" s="486"/>
      <c r="U157" s="489" t="s">
        <v>279</v>
      </c>
      <c r="V157" s="489" t="s">
        <v>280</v>
      </c>
      <c r="W157" s="489" t="s">
        <v>281</v>
      </c>
      <c r="X157" s="489" t="s">
        <v>282</v>
      </c>
    </row>
    <row r="158" spans="1:24">
      <c r="A158" s="101">
        <v>145</v>
      </c>
      <c r="B158" s="130"/>
      <c r="D158" s="312"/>
      <c r="F158" s="312"/>
      <c r="H158" s="312"/>
      <c r="J158" s="312"/>
      <c r="K158" s="313"/>
      <c r="L158" s="314"/>
      <c r="M158" s="312"/>
      <c r="N158" s="315"/>
      <c r="O158" s="133"/>
      <c r="P158" s="315"/>
      <c r="Q158" s="133"/>
      <c r="R158" s="315"/>
      <c r="S158" s="156"/>
      <c r="T158" s="315"/>
      <c r="U158" s="156"/>
      <c r="V158" s="156"/>
      <c r="W158" s="156"/>
      <c r="X158" s="156"/>
    </row>
    <row r="159" spans="1:24">
      <c r="A159" s="101">
        <v>146</v>
      </c>
      <c r="B159" s="130" t="s">
        <v>288</v>
      </c>
      <c r="D159" s="312"/>
      <c r="F159" s="312"/>
      <c r="H159" s="312"/>
      <c r="J159" s="312"/>
      <c r="K159" s="313"/>
      <c r="L159" s="314"/>
      <c r="M159" s="312"/>
      <c r="N159" s="315"/>
      <c r="O159" s="133"/>
      <c r="P159" s="315"/>
      <c r="Q159" s="133"/>
      <c r="R159" s="315"/>
      <c r="S159" s="156"/>
      <c r="T159" s="315"/>
      <c r="U159" s="156"/>
      <c r="V159" s="156"/>
      <c r="W159" s="156"/>
      <c r="X159" s="156"/>
    </row>
    <row r="160" spans="1:24">
      <c r="A160" s="101">
        <v>147</v>
      </c>
      <c r="B160" s="130" t="s">
        <v>178</v>
      </c>
      <c r="D160" s="321">
        <v>130466</v>
      </c>
      <c r="F160" s="321">
        <v>142400</v>
      </c>
      <c r="H160" s="321">
        <v>160600</v>
      </c>
      <c r="J160" s="321">
        <v>168937</v>
      </c>
      <c r="K160" s="322"/>
      <c r="L160" s="323"/>
      <c r="M160" s="321">
        <v>184700</v>
      </c>
      <c r="N160" s="324"/>
      <c r="O160" s="115">
        <v>209500</v>
      </c>
      <c r="P160" s="325"/>
      <c r="Q160" s="115">
        <v>243796.47</v>
      </c>
      <c r="R160" s="325"/>
      <c r="S160" s="122">
        <f>SUM(Q160:Q162)</f>
        <v>243796.47</v>
      </c>
      <c r="T160" s="325"/>
      <c r="U160" s="122">
        <f>SUM(S160:S162)</f>
        <v>257400.098</v>
      </c>
      <c r="V160" s="122">
        <f t="shared" ref="V160:X160" si="95">SUM(U160:U162)</f>
        <v>274548.484</v>
      </c>
      <c r="W160" s="122">
        <f t="shared" si="95"/>
        <v>288142.92300000001</v>
      </c>
      <c r="X160" s="122">
        <f t="shared" si="95"/>
        <v>302157.315</v>
      </c>
    </row>
    <row r="161" spans="1:24">
      <c r="A161" s="101">
        <v>148</v>
      </c>
      <c r="B161" s="130" t="s">
        <v>179</v>
      </c>
      <c r="D161" s="321"/>
      <c r="F161" s="321"/>
      <c r="H161" s="321"/>
      <c r="J161" s="321"/>
      <c r="K161" s="322"/>
      <c r="L161" s="323"/>
      <c r="M161" s="321"/>
      <c r="N161" s="324"/>
      <c r="O161" s="115"/>
      <c r="P161" s="325"/>
      <c r="Q161" s="115"/>
      <c r="R161" s="325"/>
      <c r="S161" s="575">
        <v>13603.628000000001</v>
      </c>
      <c r="T161" s="325"/>
      <c r="U161" s="575">
        <v>17148.385999999999</v>
      </c>
      <c r="V161" s="575">
        <v>13594.439</v>
      </c>
      <c r="W161" s="575">
        <v>14014.392</v>
      </c>
      <c r="X161" s="575">
        <v>20213.057000000001</v>
      </c>
    </row>
    <row r="162" spans="1:24">
      <c r="A162" s="101">
        <v>149</v>
      </c>
      <c r="B162" s="130" t="s">
        <v>132</v>
      </c>
      <c r="D162" s="321"/>
      <c r="F162" s="321"/>
      <c r="H162" s="321"/>
      <c r="J162" s="321"/>
      <c r="K162" s="322"/>
      <c r="L162" s="323"/>
      <c r="M162" s="321"/>
      <c r="N162" s="324"/>
      <c r="O162" s="115"/>
      <c r="P162" s="325"/>
      <c r="Q162" s="115"/>
      <c r="R162" s="325"/>
      <c r="S162" s="575">
        <v>0</v>
      </c>
      <c r="T162" s="325"/>
      <c r="U162" s="575">
        <v>0</v>
      </c>
      <c r="V162" s="575">
        <v>0</v>
      </c>
      <c r="W162" s="575">
        <v>0</v>
      </c>
      <c r="X162" s="575">
        <v>0</v>
      </c>
    </row>
    <row r="163" spans="1:24">
      <c r="A163" s="101">
        <v>150</v>
      </c>
      <c r="B163" s="130" t="s">
        <v>134</v>
      </c>
      <c r="D163" s="339">
        <v>1</v>
      </c>
      <c r="F163" s="339">
        <v>1</v>
      </c>
      <c r="H163" s="339">
        <v>1</v>
      </c>
      <c r="J163" s="339">
        <v>1</v>
      </c>
      <c r="K163" s="340"/>
      <c r="L163" s="323"/>
      <c r="M163" s="339">
        <v>1</v>
      </c>
      <c r="N163" s="342"/>
      <c r="O163" s="119">
        <v>1</v>
      </c>
      <c r="P163" s="343"/>
      <c r="Q163" s="119">
        <v>1</v>
      </c>
      <c r="R163" s="343"/>
      <c r="S163" s="157">
        <v>1</v>
      </c>
      <c r="T163" s="343"/>
      <c r="U163" s="157">
        <v>1</v>
      </c>
      <c r="V163" s="157">
        <v>1</v>
      </c>
      <c r="W163" s="157">
        <v>1</v>
      </c>
      <c r="X163" s="157">
        <v>1</v>
      </c>
    </row>
    <row r="164" spans="1:24">
      <c r="A164" s="101">
        <v>151</v>
      </c>
      <c r="B164" s="130" t="s">
        <v>135</v>
      </c>
      <c r="D164" s="346">
        <v>1</v>
      </c>
      <c r="F164" s="346">
        <v>1</v>
      </c>
      <c r="H164" s="346">
        <v>1</v>
      </c>
      <c r="J164" s="346">
        <v>1</v>
      </c>
      <c r="K164" s="347"/>
      <c r="L164" s="334"/>
      <c r="M164" s="346">
        <v>1</v>
      </c>
      <c r="N164" s="350"/>
      <c r="O164" s="120">
        <v>1</v>
      </c>
      <c r="P164" s="351"/>
      <c r="Q164" s="120">
        <v>1</v>
      </c>
      <c r="R164" s="351"/>
      <c r="S164" s="158">
        <v>1</v>
      </c>
      <c r="T164" s="351"/>
      <c r="U164" s="158">
        <v>1</v>
      </c>
      <c r="V164" s="158">
        <v>1</v>
      </c>
      <c r="W164" s="158">
        <v>1</v>
      </c>
      <c r="X164" s="158">
        <v>1</v>
      </c>
    </row>
    <row r="165" spans="1:24">
      <c r="A165" s="101">
        <v>152</v>
      </c>
      <c r="B165" s="130" t="s">
        <v>180</v>
      </c>
      <c r="D165" s="364">
        <f>SUM((D160+D161+D162)*D163*D164)</f>
        <v>130466</v>
      </c>
      <c r="F165" s="364">
        <f>SUM((F160+F161+F162)*F163*F164)</f>
        <v>142400</v>
      </c>
      <c r="H165" s="364">
        <f t="shared" ref="H165:J165" si="96">SUM((H160+H161+H162)*H163*H164)</f>
        <v>160600</v>
      </c>
      <c r="J165" s="364">
        <f t="shared" si="96"/>
        <v>168937</v>
      </c>
      <c r="K165" s="365"/>
      <c r="L165" s="366"/>
      <c r="M165" s="364">
        <f t="shared" ref="M165:X165" si="97">SUM((M160+M161+M162)*M163*M164)</f>
        <v>184700</v>
      </c>
      <c r="N165" s="367"/>
      <c r="O165" s="152">
        <f t="shared" si="97"/>
        <v>209500</v>
      </c>
      <c r="P165" s="474"/>
      <c r="Q165" s="152">
        <f t="shared" ref="Q165" si="98">SUM((Q160+Q161+Q162)*Q163*Q164)</f>
        <v>243796.47</v>
      </c>
      <c r="R165" s="474"/>
      <c r="S165" s="123">
        <f t="shared" si="97"/>
        <v>257400.098</v>
      </c>
      <c r="T165" s="474"/>
      <c r="U165" s="123">
        <f t="shared" si="97"/>
        <v>274548.484</v>
      </c>
      <c r="V165" s="123">
        <f t="shared" si="97"/>
        <v>288142.92300000001</v>
      </c>
      <c r="W165" s="123">
        <f t="shared" si="97"/>
        <v>302157.315</v>
      </c>
      <c r="X165" s="123">
        <f t="shared" si="97"/>
        <v>322370.37199999997</v>
      </c>
    </row>
    <row r="166" spans="1:24">
      <c r="A166" s="101">
        <v>153</v>
      </c>
      <c r="B166" s="130" t="s">
        <v>181</v>
      </c>
      <c r="D166" s="321"/>
      <c r="F166" s="321"/>
      <c r="H166" s="321"/>
      <c r="J166" s="321"/>
      <c r="K166" s="322"/>
      <c r="L166" s="323"/>
      <c r="M166" s="321"/>
      <c r="N166" s="324"/>
      <c r="O166" s="115"/>
      <c r="P166" s="325"/>
      <c r="Q166" s="115"/>
      <c r="R166" s="325"/>
      <c r="S166" s="122"/>
      <c r="T166" s="325"/>
      <c r="U166" s="122"/>
      <c r="V166" s="122"/>
      <c r="W166" s="122"/>
      <c r="X166" s="122"/>
    </row>
    <row r="167" spans="1:24">
      <c r="A167" s="101">
        <v>154</v>
      </c>
      <c r="B167" s="130"/>
      <c r="D167" s="576">
        <v>1</v>
      </c>
      <c r="F167" s="576">
        <v>1</v>
      </c>
      <c r="H167" s="576">
        <v>1</v>
      </c>
      <c r="J167" s="576">
        <v>1</v>
      </c>
      <c r="K167" s="577"/>
      <c r="L167" s="323"/>
      <c r="M167" s="576">
        <v>1</v>
      </c>
      <c r="N167" s="578"/>
      <c r="O167" s="181">
        <v>1</v>
      </c>
      <c r="P167" s="579"/>
      <c r="Q167" s="181">
        <v>1</v>
      </c>
      <c r="R167" s="579"/>
      <c r="S167" s="582">
        <v>1</v>
      </c>
      <c r="T167" s="579"/>
      <c r="U167" s="582">
        <v>1</v>
      </c>
      <c r="V167" s="582">
        <v>1</v>
      </c>
      <c r="W167" s="582">
        <v>1</v>
      </c>
      <c r="X167" s="582">
        <v>1</v>
      </c>
    </row>
    <row r="168" spans="1:24">
      <c r="A168" s="101">
        <v>155</v>
      </c>
      <c r="B168" s="130" t="s">
        <v>118</v>
      </c>
      <c r="D168" s="321">
        <f>SUM(D165*D167)</f>
        <v>130466</v>
      </c>
      <c r="F168" s="321">
        <f>SUM(F165*F167)</f>
        <v>142400</v>
      </c>
      <c r="H168" s="321">
        <f t="shared" ref="H168:J168" si="99">SUM(H165*H167)</f>
        <v>160600</v>
      </c>
      <c r="J168" s="321">
        <f t="shared" si="99"/>
        <v>168937</v>
      </c>
      <c r="K168" s="322"/>
      <c r="L168" s="323"/>
      <c r="M168" s="321">
        <f t="shared" ref="M168:X168" si="100">SUM(M165*M167)</f>
        <v>184700</v>
      </c>
      <c r="N168" s="324"/>
      <c r="O168" s="115">
        <f t="shared" si="100"/>
        <v>209500</v>
      </c>
      <c r="P168" s="325"/>
      <c r="Q168" s="115">
        <f t="shared" ref="Q168" si="101">SUM(Q165*Q167)</f>
        <v>243796.47</v>
      </c>
      <c r="R168" s="325"/>
      <c r="S168" s="122">
        <f t="shared" si="100"/>
        <v>257400.098</v>
      </c>
      <c r="T168" s="325"/>
      <c r="U168" s="122">
        <f t="shared" si="100"/>
        <v>274548.484</v>
      </c>
      <c r="V168" s="122">
        <f t="shared" si="100"/>
        <v>288142.92300000001</v>
      </c>
      <c r="W168" s="122">
        <f t="shared" si="100"/>
        <v>302157.315</v>
      </c>
      <c r="X168" s="122">
        <f t="shared" si="100"/>
        <v>322370.37199999997</v>
      </c>
    </row>
    <row r="169" spans="1:24">
      <c r="A169" s="101">
        <v>156</v>
      </c>
      <c r="B169" s="130" t="s">
        <v>136</v>
      </c>
      <c r="D169" s="354">
        <v>1</v>
      </c>
      <c r="F169" s="354">
        <v>1</v>
      </c>
      <c r="H169" s="354">
        <v>1</v>
      </c>
      <c r="J169" s="354">
        <v>1</v>
      </c>
      <c r="K169" s="583"/>
      <c r="L169" s="334"/>
      <c r="M169" s="354">
        <v>1</v>
      </c>
      <c r="N169" s="357"/>
      <c r="O169" s="182">
        <v>1</v>
      </c>
      <c r="P169" s="584"/>
      <c r="Q169" s="182">
        <v>1</v>
      </c>
      <c r="R169" s="584"/>
      <c r="S169" s="360">
        <v>1</v>
      </c>
      <c r="T169" s="584"/>
      <c r="U169" s="360">
        <v>1</v>
      </c>
      <c r="V169" s="360">
        <v>1</v>
      </c>
      <c r="W169" s="360">
        <v>1</v>
      </c>
      <c r="X169" s="360">
        <v>1</v>
      </c>
    </row>
    <row r="170" spans="1:24">
      <c r="A170" s="101">
        <v>157</v>
      </c>
      <c r="B170" s="130" t="s">
        <v>137</v>
      </c>
      <c r="D170" s="321">
        <f>SUM(D168*D169)</f>
        <v>130466</v>
      </c>
      <c r="F170" s="321">
        <f>SUM(F168*F169)</f>
        <v>142400</v>
      </c>
      <c r="H170" s="321">
        <f t="shared" ref="H170:J170" si="102">SUM(H168*H169)</f>
        <v>160600</v>
      </c>
      <c r="J170" s="321">
        <f t="shared" si="102"/>
        <v>168937</v>
      </c>
      <c r="K170" s="322"/>
      <c r="L170" s="323"/>
      <c r="M170" s="321">
        <f t="shared" ref="M170:X170" si="103">SUM(M168*M169)</f>
        <v>184700</v>
      </c>
      <c r="N170" s="324"/>
      <c r="O170" s="115">
        <f t="shared" si="103"/>
        <v>209500</v>
      </c>
      <c r="P170" s="325"/>
      <c r="Q170" s="115">
        <f t="shared" ref="Q170" si="104">SUM(Q168*Q169)</f>
        <v>243796.47</v>
      </c>
      <c r="R170" s="325"/>
      <c r="S170" s="122">
        <f t="shared" si="103"/>
        <v>257400.098</v>
      </c>
      <c r="T170" s="325"/>
      <c r="U170" s="122">
        <f t="shared" si="103"/>
        <v>274548.484</v>
      </c>
      <c r="V170" s="122">
        <f t="shared" si="103"/>
        <v>288142.92300000001</v>
      </c>
      <c r="W170" s="122">
        <f t="shared" si="103"/>
        <v>302157.315</v>
      </c>
      <c r="X170" s="122">
        <f t="shared" si="103"/>
        <v>322370.37199999997</v>
      </c>
    </row>
    <row r="171" spans="1:24">
      <c r="A171" s="101">
        <v>158</v>
      </c>
      <c r="B171" s="130" t="s">
        <v>138</v>
      </c>
      <c r="C171" s="475" t="e">
        <f>SUM(D171-#REF!)/D171</f>
        <v>#REF!</v>
      </c>
      <c r="D171" s="373">
        <f>1651218.73/130466761</f>
        <v>1.2656240695666537E-2</v>
      </c>
      <c r="E171" s="475">
        <f>SUM(F171-D171)/F171</f>
        <v>-6.262980404406311E-3</v>
      </c>
      <c r="F171" s="372">
        <f>1791.03148/142400</f>
        <v>1.2577468258426967E-2</v>
      </c>
      <c r="G171" s="475">
        <f>SUM(H171-F171)/H171</f>
        <v>5.2758046385714798E-3</v>
      </c>
      <c r="H171" s="373">
        <f>2030654.74/160600000</f>
        <v>1.2644176463262765E-2</v>
      </c>
      <c r="I171" s="419">
        <f>SUM(J171-H171)/H171</f>
        <v>5.1867792740404131E-4</v>
      </c>
      <c r="J171" s="373">
        <f>2137183.37/168937490</f>
        <v>1.2650734718504461E-2</v>
      </c>
      <c r="K171" s="420"/>
      <c r="L171" s="421">
        <f>SUM(M171-J171)/J171</f>
        <v>1.8090373058002526E-2</v>
      </c>
      <c r="M171" s="566">
        <f>2378.8605/184700</f>
        <v>1.2879591229020031E-2</v>
      </c>
      <c r="N171" s="378">
        <f>SUM((O171-M171)/M171)</f>
        <v>-1.7520220751848135E-2</v>
      </c>
      <c r="O171" s="373">
        <f>2651/209500</f>
        <v>1.2653937947494033E-2</v>
      </c>
      <c r="P171" s="325"/>
      <c r="Q171" s="586">
        <f>3184144.12/243796470</f>
        <v>1.3060665398477674E-2</v>
      </c>
      <c r="R171" s="379">
        <f>SUM(R153)</f>
        <v>0.02</v>
      </c>
      <c r="S171" s="141">
        <f>SUM(Q171*(1+R171))</f>
        <v>1.3321878706447228E-2</v>
      </c>
      <c r="T171" s="379">
        <v>0.02</v>
      </c>
      <c r="U171" s="141">
        <f>SUM(S171*(1+T171))</f>
        <v>1.3588316280576173E-2</v>
      </c>
      <c r="V171" s="141">
        <f>SUM(U171*(1+T171))</f>
        <v>1.3860082606187697E-2</v>
      </c>
      <c r="W171" s="141">
        <f>SUM(V171*(1+T171))</f>
        <v>1.413728425831145E-2</v>
      </c>
      <c r="X171" s="141">
        <f>SUM(W171*(1+T171))</f>
        <v>1.4420029943477679E-2</v>
      </c>
    </row>
    <row r="172" spans="1:24">
      <c r="A172" s="101">
        <v>159</v>
      </c>
      <c r="B172" s="130"/>
      <c r="D172" s="381"/>
      <c r="F172" s="382"/>
      <c r="H172" s="382"/>
      <c r="J172" s="382"/>
      <c r="K172" s="423"/>
      <c r="L172" s="323"/>
      <c r="M172" s="381"/>
      <c r="N172" s="383"/>
      <c r="O172" s="382"/>
      <c r="P172" s="423"/>
      <c r="Q172" s="587"/>
      <c r="R172" s="423"/>
      <c r="S172" s="125"/>
      <c r="T172" s="423"/>
      <c r="U172" s="125"/>
      <c r="V172" s="125"/>
      <c r="W172" s="125"/>
      <c r="X172" s="125"/>
    </row>
    <row r="173" spans="1:24" ht="13.5" thickBot="1">
      <c r="A173" s="101">
        <v>160</v>
      </c>
      <c r="B173" s="142" t="s">
        <v>128</v>
      </c>
      <c r="D173" s="386">
        <f>SUM(D170*D171)</f>
        <v>1651.2090986008304</v>
      </c>
      <c r="F173" s="386">
        <f>SUM(F170*F171)</f>
        <v>1791.0314800000001</v>
      </c>
      <c r="H173" s="386">
        <f t="shared" ref="H173:J173" si="105">SUM(H170*H171)</f>
        <v>2030.6547399999999</v>
      </c>
      <c r="J173" s="386">
        <f t="shared" si="105"/>
        <v>2137.1771711399883</v>
      </c>
      <c r="K173" s="424"/>
      <c r="L173" s="388"/>
      <c r="M173" s="588">
        <f t="shared" ref="M173:X173" si="106">SUM(M170*M171)</f>
        <v>2378.8604999999998</v>
      </c>
      <c r="N173" s="387"/>
      <c r="O173" s="386">
        <f t="shared" si="106"/>
        <v>2651</v>
      </c>
      <c r="P173" s="424"/>
      <c r="Q173" s="569">
        <f t="shared" si="106"/>
        <v>3184.1441200000004</v>
      </c>
      <c r="R173" s="424"/>
      <c r="S173" s="126">
        <f t="shared" si="106"/>
        <v>3429.0528845836297</v>
      </c>
      <c r="T173" s="424"/>
      <c r="U173" s="126">
        <f t="shared" si="106"/>
        <v>3730.651634944707</v>
      </c>
      <c r="V173" s="126">
        <f t="shared" si="106"/>
        <v>3993.684715168381</v>
      </c>
      <c r="W173" s="126">
        <f t="shared" si="106"/>
        <v>4271.683852883154</v>
      </c>
      <c r="X173" s="126">
        <f t="shared" si="106"/>
        <v>4648.5904171300381</v>
      </c>
    </row>
    <row r="174" spans="1:24" ht="13.5" thickTop="1">
      <c r="A174" s="101">
        <v>161</v>
      </c>
      <c r="B174" s="183"/>
      <c r="C174" s="590"/>
      <c r="D174" s="144"/>
      <c r="E174" s="246"/>
      <c r="F174" s="144"/>
      <c r="H174" s="144"/>
      <c r="J174" s="144"/>
      <c r="K174" s="144"/>
      <c r="L174" s="427"/>
      <c r="M174" s="427"/>
      <c r="N174" s="144"/>
      <c r="O174" s="144"/>
      <c r="P174" s="144"/>
      <c r="Q174" s="144"/>
      <c r="R174" s="144"/>
      <c r="S174" s="144"/>
      <c r="T174" s="144"/>
      <c r="U174" s="144"/>
      <c r="V174" s="144"/>
      <c r="W174" s="144"/>
      <c r="X174" s="144"/>
    </row>
    <row r="175" spans="1:24" ht="13.5" thickBot="1">
      <c r="A175" s="101">
        <v>162</v>
      </c>
      <c r="B175" s="183"/>
      <c r="C175" s="590"/>
      <c r="D175" s="144"/>
      <c r="E175" s="246"/>
      <c r="F175" s="127"/>
      <c r="G175" s="591"/>
      <c r="H175" s="127"/>
      <c r="I175" s="592"/>
      <c r="J175" s="144"/>
      <c r="K175" s="144"/>
      <c r="L175" s="427"/>
      <c r="M175" s="144"/>
      <c r="N175" s="144"/>
      <c r="O175" s="144"/>
      <c r="P175" s="144"/>
      <c r="Q175" s="144"/>
      <c r="R175" s="144"/>
      <c r="S175" s="144"/>
      <c r="T175" s="144"/>
      <c r="U175" s="144"/>
      <c r="V175" s="144"/>
      <c r="W175" s="144"/>
      <c r="X175" s="144"/>
    </row>
    <row r="176" spans="1:24" ht="18">
      <c r="A176" s="101">
        <v>163</v>
      </c>
      <c r="B176" s="184"/>
      <c r="C176" s="593"/>
      <c r="D176" s="594"/>
      <c r="E176" s="594"/>
      <c r="F176" s="594"/>
      <c r="G176" s="594"/>
      <c r="H176" s="594"/>
      <c r="I176" s="595"/>
      <c r="J176" s="596"/>
      <c r="K176" s="597"/>
      <c r="L176" s="598"/>
      <c r="M176" s="599"/>
      <c r="N176" s="600"/>
      <c r="O176" s="272" t="s">
        <v>184</v>
      </c>
      <c r="P176" s="202"/>
      <c r="Q176" s="185" t="s">
        <v>184</v>
      </c>
      <c r="S176" s="185" t="s">
        <v>184</v>
      </c>
      <c r="U176" s="185" t="s">
        <v>184</v>
      </c>
      <c r="V176" s="185" t="s">
        <v>184</v>
      </c>
      <c r="W176" s="185" t="s">
        <v>184</v>
      </c>
      <c r="X176" s="185" t="s">
        <v>184</v>
      </c>
    </row>
    <row r="177" spans="1:24" ht="18">
      <c r="A177" s="101">
        <v>164</v>
      </c>
      <c r="B177" s="186" t="s">
        <v>289</v>
      </c>
      <c r="C177" s="275"/>
      <c r="D177" s="280"/>
      <c r="E177" s="280"/>
      <c r="F177" s="280"/>
      <c r="G177" s="280"/>
      <c r="I177" s="85"/>
      <c r="K177" s="601"/>
      <c r="L177" s="285"/>
      <c r="M177" s="602">
        <v>2014</v>
      </c>
      <c r="N177" s="603"/>
      <c r="O177" s="277">
        <v>2015</v>
      </c>
      <c r="P177" s="208"/>
      <c r="Q177" s="187" t="s">
        <v>202</v>
      </c>
      <c r="R177" s="276"/>
      <c r="S177" s="187" t="s">
        <v>202</v>
      </c>
      <c r="T177" s="276"/>
      <c r="U177" s="187" t="s">
        <v>202</v>
      </c>
      <c r="V177" s="187" t="s">
        <v>202</v>
      </c>
      <c r="W177" s="187" t="s">
        <v>202</v>
      </c>
      <c r="X177" s="187" t="s">
        <v>202</v>
      </c>
    </row>
    <row r="178" spans="1:24" ht="18.75" thickBot="1">
      <c r="A178" s="101">
        <v>165</v>
      </c>
      <c r="B178" s="188" t="s">
        <v>290</v>
      </c>
      <c r="C178" s="275"/>
      <c r="D178" s="280"/>
      <c r="E178" s="280"/>
      <c r="F178" s="604"/>
      <c r="G178" s="280"/>
      <c r="H178" s="604"/>
      <c r="I178" s="85"/>
      <c r="J178" s="605"/>
      <c r="K178" s="604"/>
      <c r="L178" s="606"/>
      <c r="M178" s="607" t="s">
        <v>291</v>
      </c>
      <c r="N178" s="605"/>
      <c r="O178" s="286" t="s">
        <v>235</v>
      </c>
      <c r="P178" s="208"/>
      <c r="Q178" s="189" t="s">
        <v>203</v>
      </c>
      <c r="R178" s="208"/>
      <c r="S178" s="189" t="s">
        <v>203</v>
      </c>
      <c r="T178" s="208"/>
      <c r="U178" s="189" t="s">
        <v>203</v>
      </c>
      <c r="V178" s="189" t="s">
        <v>203</v>
      </c>
      <c r="W178" s="189" t="s">
        <v>203</v>
      </c>
      <c r="X178" s="189" t="s">
        <v>203</v>
      </c>
    </row>
    <row r="179" spans="1:24">
      <c r="A179" s="101">
        <v>166</v>
      </c>
      <c r="B179" s="190"/>
      <c r="C179" s="275"/>
      <c r="D179" s="280"/>
      <c r="E179" s="280"/>
      <c r="F179" s="608"/>
      <c r="G179" s="280"/>
      <c r="H179" s="608"/>
      <c r="I179" s="85"/>
      <c r="J179" s="191"/>
      <c r="K179" s="191"/>
      <c r="L179" s="609"/>
      <c r="M179" s="191"/>
      <c r="N179" s="191"/>
      <c r="O179" s="191"/>
      <c r="P179" s="191"/>
      <c r="Q179" s="191"/>
      <c r="R179" s="191"/>
      <c r="S179" s="191"/>
      <c r="T179" s="191"/>
      <c r="U179" s="191"/>
      <c r="V179" s="191"/>
      <c r="W179" s="191"/>
      <c r="X179" s="191"/>
    </row>
    <row r="180" spans="1:24">
      <c r="A180" s="101">
        <v>167</v>
      </c>
      <c r="B180" s="192" t="s">
        <v>188</v>
      </c>
      <c r="C180" s="275"/>
      <c r="D180" s="490" t="s">
        <v>292</v>
      </c>
      <c r="E180" s="280"/>
      <c r="F180" s="317" t="s">
        <v>119</v>
      </c>
      <c r="G180" s="280"/>
      <c r="H180" s="317" t="s">
        <v>119</v>
      </c>
      <c r="I180" s="85"/>
      <c r="J180" s="490" t="s">
        <v>292</v>
      </c>
      <c r="K180" s="611"/>
      <c r="L180" s="612"/>
      <c r="M180" s="490" t="s">
        <v>292</v>
      </c>
      <c r="N180" s="611"/>
      <c r="O180" s="490" t="s">
        <v>119</v>
      </c>
      <c r="P180" s="611"/>
      <c r="Q180" s="193" t="s">
        <v>293</v>
      </c>
      <c r="R180" s="611"/>
      <c r="S180" s="193" t="s">
        <v>189</v>
      </c>
      <c r="T180" s="611"/>
      <c r="U180" s="193" t="s">
        <v>189</v>
      </c>
      <c r="V180" s="193" t="s">
        <v>189</v>
      </c>
      <c r="W180" s="193" t="s">
        <v>189</v>
      </c>
      <c r="X180" s="193" t="s">
        <v>189</v>
      </c>
    </row>
    <row r="181" spans="1:24">
      <c r="A181" s="101">
        <v>168</v>
      </c>
      <c r="B181" s="192"/>
      <c r="C181" s="275"/>
      <c r="D181" s="131">
        <v>2010</v>
      </c>
      <c r="E181" s="280"/>
      <c r="F181" s="131">
        <v>2011</v>
      </c>
      <c r="G181" s="280"/>
      <c r="H181" s="131">
        <v>2012</v>
      </c>
      <c r="I181" s="85"/>
      <c r="J181" s="131">
        <v>2013</v>
      </c>
      <c r="K181" s="307"/>
      <c r="L181" s="308"/>
      <c r="M181" s="131">
        <v>2014</v>
      </c>
      <c r="N181" s="307"/>
      <c r="O181" s="131">
        <v>2015</v>
      </c>
      <c r="P181" s="307"/>
      <c r="Q181" s="112">
        <v>2016</v>
      </c>
      <c r="R181" s="307"/>
      <c r="S181" s="112">
        <v>2017</v>
      </c>
      <c r="T181" s="307"/>
      <c r="U181" s="112">
        <v>2018</v>
      </c>
      <c r="V181" s="112">
        <v>2019</v>
      </c>
      <c r="W181" s="112">
        <v>2020</v>
      </c>
      <c r="X181" s="112">
        <v>2021</v>
      </c>
    </row>
    <row r="182" spans="1:24">
      <c r="A182" s="101">
        <v>169</v>
      </c>
      <c r="B182" s="192" t="s">
        <v>190</v>
      </c>
      <c r="C182" s="275"/>
      <c r="D182" s="615"/>
      <c r="E182" s="280"/>
      <c r="F182" s="174"/>
      <c r="G182" s="280"/>
      <c r="H182" s="615"/>
      <c r="I182" s="85"/>
      <c r="J182" s="174"/>
      <c r="K182" s="218"/>
      <c r="L182" s="616"/>
      <c r="M182" s="615"/>
      <c r="N182" s="218"/>
      <c r="O182" s="615"/>
      <c r="P182" s="218"/>
      <c r="Q182" s="194"/>
      <c r="R182" s="218"/>
      <c r="S182" s="194"/>
      <c r="T182" s="218"/>
      <c r="U182" s="194"/>
      <c r="V182" s="194"/>
      <c r="W182" s="194"/>
      <c r="X182" s="194"/>
    </row>
    <row r="183" spans="1:24">
      <c r="A183" s="101">
        <v>170</v>
      </c>
      <c r="B183" s="192"/>
      <c r="C183" s="275"/>
      <c r="D183" s="615"/>
      <c r="E183" s="280"/>
      <c r="F183" s="174"/>
      <c r="G183" s="280"/>
      <c r="H183" s="615"/>
      <c r="I183" s="85"/>
      <c r="J183" s="174"/>
      <c r="K183" s="218"/>
      <c r="L183" s="616"/>
      <c r="M183" s="615"/>
      <c r="N183" s="218"/>
      <c r="O183" s="615"/>
      <c r="P183" s="218"/>
      <c r="Q183" s="194"/>
      <c r="R183" s="218"/>
      <c r="S183" s="194"/>
      <c r="T183" s="218"/>
      <c r="U183" s="194"/>
      <c r="V183" s="194"/>
      <c r="W183" s="194"/>
      <c r="X183" s="194"/>
    </row>
    <row r="184" spans="1:24">
      <c r="A184" s="101">
        <v>171</v>
      </c>
      <c r="B184" s="195" t="s">
        <v>191</v>
      </c>
      <c r="C184" s="275"/>
      <c r="D184" s="617">
        <f>SUM(D35)</f>
        <v>6644.5774054519761</v>
      </c>
      <c r="E184" s="280"/>
      <c r="F184" s="617">
        <f>SUM(F35)</f>
        <v>7876.3008272199995</v>
      </c>
      <c r="G184" s="280"/>
      <c r="H184" s="617">
        <f t="shared" ref="H184:J184" si="107">SUM(H35)</f>
        <v>8630.5537097419092</v>
      </c>
      <c r="I184" s="85"/>
      <c r="J184" s="617">
        <f t="shared" si="107"/>
        <v>9501.7079599999997</v>
      </c>
      <c r="K184" s="618"/>
      <c r="L184" s="619"/>
      <c r="M184" s="617">
        <f t="shared" ref="M184:X184" si="108">SUM(M35)</f>
        <v>11286.939</v>
      </c>
      <c r="N184" s="618"/>
      <c r="O184" s="617">
        <f t="shared" ref="O184" si="109">SUM(O35)</f>
        <v>12999.765589175515</v>
      </c>
      <c r="P184" s="620"/>
      <c r="Q184" s="196">
        <f t="shared" si="108"/>
        <v>13357.886699310237</v>
      </c>
      <c r="R184" s="620"/>
      <c r="S184" s="196">
        <f t="shared" si="108"/>
        <v>14720.140880469966</v>
      </c>
      <c r="T184" s="620"/>
      <c r="U184" s="196">
        <f t="shared" si="108"/>
        <v>15605.480113394406</v>
      </c>
      <c r="V184" s="196">
        <f t="shared" si="108"/>
        <v>16778.552784368349</v>
      </c>
      <c r="W184" s="196">
        <f t="shared" si="108"/>
        <v>18012.776176203031</v>
      </c>
      <c r="X184" s="196">
        <f t="shared" si="108"/>
        <v>19391.906327879617</v>
      </c>
    </row>
    <row r="185" spans="1:24">
      <c r="A185" s="101">
        <v>172</v>
      </c>
      <c r="B185" s="195" t="s">
        <v>192</v>
      </c>
      <c r="C185" s="275"/>
      <c r="D185" s="623"/>
      <c r="E185" s="280"/>
      <c r="F185" s="617"/>
      <c r="G185" s="280"/>
      <c r="H185" s="624"/>
      <c r="I185" s="85"/>
      <c r="J185" s="617"/>
      <c r="K185" s="238"/>
      <c r="L185" s="619"/>
      <c r="M185" s="617"/>
      <c r="N185" s="618"/>
      <c r="O185" s="624"/>
      <c r="P185" s="618"/>
      <c r="Q185" s="625"/>
      <c r="R185" s="618"/>
      <c r="S185" s="196"/>
      <c r="T185" s="618"/>
      <c r="U185" s="196"/>
      <c r="V185" s="196"/>
      <c r="W185" s="196"/>
      <c r="X185" s="196"/>
    </row>
    <row r="186" spans="1:24">
      <c r="A186" s="101">
        <v>173</v>
      </c>
      <c r="B186" s="195" t="s">
        <v>193</v>
      </c>
      <c r="C186" s="275"/>
      <c r="D186" s="617">
        <f>SUM(D58)</f>
        <v>3829.9382243772443</v>
      </c>
      <c r="E186" s="280"/>
      <c r="F186" s="617">
        <f>SUM(F58)</f>
        <v>4334.8598087510027</v>
      </c>
      <c r="G186" s="280"/>
      <c r="H186" s="617">
        <f t="shared" ref="H186:J186" si="110">SUM(H58)</f>
        <v>4690.254523070862</v>
      </c>
      <c r="I186" s="85"/>
      <c r="J186" s="617">
        <f t="shared" si="110"/>
        <v>5359.0285675337436</v>
      </c>
      <c r="K186" s="238"/>
      <c r="L186" s="619"/>
      <c r="M186" s="617">
        <f t="shared" ref="M186:X186" si="111">SUM(M58)</f>
        <v>5440.7422465869995</v>
      </c>
      <c r="N186" s="618"/>
      <c r="O186" s="617">
        <f t="shared" ref="O186" si="112">SUM(O58)</f>
        <v>5717.717903841688</v>
      </c>
      <c r="P186" s="620"/>
      <c r="Q186" s="617">
        <f t="shared" si="111"/>
        <v>5675.1669887565686</v>
      </c>
      <c r="R186" s="620"/>
      <c r="S186" s="196">
        <f t="shared" si="111"/>
        <v>6289.4253156686991</v>
      </c>
      <c r="T186" s="620"/>
      <c r="U186" s="196">
        <f t="shared" si="111"/>
        <v>6683.6507297143226</v>
      </c>
      <c r="V186" s="196">
        <f t="shared" si="111"/>
        <v>7208.4221059012207</v>
      </c>
      <c r="W186" s="196">
        <f t="shared" si="111"/>
        <v>7760.8095170823417</v>
      </c>
      <c r="X186" s="196">
        <f t="shared" si="111"/>
        <v>8378.8564747617893</v>
      </c>
    </row>
    <row r="187" spans="1:24">
      <c r="A187" s="101">
        <v>174</v>
      </c>
      <c r="B187" s="195" t="s">
        <v>194</v>
      </c>
      <c r="C187" s="275"/>
      <c r="D187" s="617">
        <f>SUM(D82)</f>
        <v>6615.1312077205384</v>
      </c>
      <c r="E187" s="280"/>
      <c r="F187" s="617">
        <f>SUM(F82)</f>
        <v>6928.9801069931073</v>
      </c>
      <c r="G187" s="280"/>
      <c r="H187" s="617">
        <f t="shared" ref="H187:J187" si="113">SUM(H82)</f>
        <v>7219.74299186594</v>
      </c>
      <c r="I187" s="85"/>
      <c r="J187" s="617">
        <f t="shared" si="113"/>
        <v>8163.043288322272</v>
      </c>
      <c r="K187" s="238"/>
      <c r="L187" s="619"/>
      <c r="M187" s="617">
        <f t="shared" ref="M187:X187" si="114">SUM(M82)</f>
        <v>8456.9513856009962</v>
      </c>
      <c r="N187" s="618"/>
      <c r="O187" s="627">
        <f t="shared" ref="O187" si="115">SUM(O82)</f>
        <v>8062.4233890853202</v>
      </c>
      <c r="P187" s="620"/>
      <c r="Q187" s="617">
        <f t="shared" si="114"/>
        <v>9750.9988719237135</v>
      </c>
      <c r="R187" s="620"/>
      <c r="S187" s="196">
        <f t="shared" si="114"/>
        <v>10589.986561157782</v>
      </c>
      <c r="T187" s="620"/>
      <c r="U187" s="196">
        <f t="shared" si="114"/>
        <v>11525.782353936444</v>
      </c>
      <c r="V187" s="196">
        <f t="shared" si="114"/>
        <v>12446.550146197094</v>
      </c>
      <c r="W187" s="196">
        <f t="shared" si="114"/>
        <v>13402.745810773138</v>
      </c>
      <c r="X187" s="196">
        <f t="shared" si="114"/>
        <v>14484.516503391073</v>
      </c>
    </row>
    <row r="188" spans="1:24">
      <c r="A188" s="101">
        <v>175</v>
      </c>
      <c r="B188" s="197" t="s">
        <v>195</v>
      </c>
      <c r="C188" s="275"/>
      <c r="D188" s="617">
        <f>SUM(D103)</f>
        <v>8.1994721576394003</v>
      </c>
      <c r="E188" s="280"/>
      <c r="F188" s="617">
        <f>SUM(F103)</f>
        <v>8.6360178140432993</v>
      </c>
      <c r="G188" s="280"/>
      <c r="H188" s="617">
        <f t="shared" ref="H188:J188" si="116">SUM(H103)</f>
        <v>8.2702146414089999</v>
      </c>
      <c r="I188" s="85"/>
      <c r="J188" s="617">
        <f t="shared" si="116"/>
        <v>9.3172825078781703</v>
      </c>
      <c r="K188" s="238"/>
      <c r="L188" s="619"/>
      <c r="M188" s="617">
        <f t="shared" ref="M188:X188" si="117">SUM(M103)</f>
        <v>11.382350000000001</v>
      </c>
      <c r="N188" s="618"/>
      <c r="O188" s="628">
        <f t="shared" ref="O188" si="118">SUM(O103)</f>
        <v>10.468988399999999</v>
      </c>
      <c r="P188" s="229"/>
      <c r="Q188" s="628">
        <f t="shared" si="117"/>
        <v>10.51116</v>
      </c>
      <c r="R188" s="229"/>
      <c r="S188" s="196">
        <f t="shared" si="117"/>
        <v>10.721383199999998</v>
      </c>
      <c r="T188" s="229"/>
      <c r="U188" s="196">
        <f t="shared" si="117"/>
        <v>10.935810864</v>
      </c>
      <c r="V188" s="196">
        <f t="shared" si="117"/>
        <v>11.154527081279999</v>
      </c>
      <c r="W188" s="196">
        <f t="shared" si="117"/>
        <v>11.377617622905598</v>
      </c>
      <c r="X188" s="196">
        <f t="shared" si="117"/>
        <v>11.605169975363712</v>
      </c>
    </row>
    <row r="189" spans="1:24">
      <c r="A189" s="101">
        <v>176</v>
      </c>
      <c r="B189" s="197" t="s">
        <v>196</v>
      </c>
      <c r="C189" s="275"/>
      <c r="D189" s="571">
        <f>SUM(D119)</f>
        <v>1842.8801699999999</v>
      </c>
      <c r="E189" s="280"/>
      <c r="F189" s="571">
        <f>SUM(F119)</f>
        <v>2029.5941279024175</v>
      </c>
      <c r="G189" s="280"/>
      <c r="H189" s="571">
        <f t="shared" ref="H189:J189" si="119">SUM(H119)</f>
        <v>1918.901132</v>
      </c>
      <c r="I189" s="85"/>
      <c r="J189" s="571">
        <f t="shared" si="119"/>
        <v>2189.4442599999998</v>
      </c>
      <c r="K189" s="630"/>
      <c r="L189" s="631"/>
      <c r="M189" s="571">
        <f t="shared" ref="M189:X189" si="120">SUM(M119)</f>
        <v>2525.8229999999999</v>
      </c>
      <c r="N189" s="632"/>
      <c r="O189" s="571">
        <f t="shared" ref="O189" si="121">SUM(O119)</f>
        <v>2707.3523175999999</v>
      </c>
      <c r="P189" s="230"/>
      <c r="Q189" s="571">
        <f t="shared" si="120"/>
        <v>2514.9974500000003</v>
      </c>
      <c r="R189" s="230"/>
      <c r="S189" s="180">
        <f t="shared" si="120"/>
        <v>2624.1106000356217</v>
      </c>
      <c r="T189" s="230"/>
      <c r="U189" s="180">
        <f t="shared" si="120"/>
        <v>2676.5928120363342</v>
      </c>
      <c r="V189" s="180">
        <f t="shared" si="120"/>
        <v>2730.1246682770607</v>
      </c>
      <c r="W189" s="180">
        <f t="shared" si="120"/>
        <v>2784.7271616426019</v>
      </c>
      <c r="X189" s="180">
        <f t="shared" si="120"/>
        <v>2840.421704875454</v>
      </c>
    </row>
    <row r="190" spans="1:24">
      <c r="A190" s="101">
        <v>177</v>
      </c>
      <c r="B190" s="192"/>
      <c r="C190" s="275"/>
      <c r="D190" s="617"/>
      <c r="E190" s="280"/>
      <c r="F190" s="617"/>
      <c r="G190" s="280"/>
      <c r="H190" s="617"/>
      <c r="I190" s="85"/>
      <c r="J190" s="617"/>
      <c r="K190" s="618"/>
      <c r="L190" s="619"/>
      <c r="M190" s="617"/>
      <c r="N190" s="618"/>
      <c r="O190" s="624"/>
      <c r="P190" s="618"/>
      <c r="Q190" s="196"/>
      <c r="R190" s="618"/>
      <c r="S190" s="196"/>
      <c r="T190" s="618"/>
      <c r="U190" s="196"/>
      <c r="V190" s="196"/>
      <c r="W190" s="196"/>
      <c r="X190" s="196"/>
    </row>
    <row r="191" spans="1:24">
      <c r="A191" s="101">
        <v>178</v>
      </c>
      <c r="B191" s="195" t="s">
        <v>197</v>
      </c>
      <c r="C191" s="275"/>
      <c r="D191" s="571">
        <f>SUM(D184:D189)</f>
        <v>18940.726479707399</v>
      </c>
      <c r="E191" s="280"/>
      <c r="F191" s="571">
        <f>SUM(F184:F189)</f>
        <v>21178.370888680573</v>
      </c>
      <c r="G191" s="280"/>
      <c r="H191" s="571">
        <f t="shared" ref="H191:J191" si="122">SUM(H184:H189)</f>
        <v>22467.722571320119</v>
      </c>
      <c r="I191" s="85"/>
      <c r="J191" s="571">
        <f t="shared" si="122"/>
        <v>25222.541358363891</v>
      </c>
      <c r="K191" s="632"/>
      <c r="L191" s="631"/>
      <c r="M191" s="571">
        <f t="shared" ref="M191:X191" si="123">SUM(M184:M189)</f>
        <v>27721.837982187997</v>
      </c>
      <c r="N191" s="632"/>
      <c r="O191" s="571">
        <f t="shared" ref="O191" si="124">SUM(O184:O189)</f>
        <v>29497.728188102526</v>
      </c>
      <c r="P191" s="634"/>
      <c r="Q191" s="180">
        <f t="shared" si="123"/>
        <v>31309.561169990513</v>
      </c>
      <c r="R191" s="634"/>
      <c r="S191" s="180">
        <f t="shared" si="123"/>
        <v>34234.38474053207</v>
      </c>
      <c r="T191" s="634"/>
      <c r="U191" s="180">
        <f t="shared" si="123"/>
        <v>36502.441819945503</v>
      </c>
      <c r="V191" s="180">
        <f t="shared" si="123"/>
        <v>39174.804231825001</v>
      </c>
      <c r="W191" s="180">
        <f t="shared" si="123"/>
        <v>41972.436283324016</v>
      </c>
      <c r="X191" s="180">
        <f t="shared" si="123"/>
        <v>45107.306180883294</v>
      </c>
    </row>
    <row r="192" spans="1:24">
      <c r="A192" s="101">
        <v>179</v>
      </c>
      <c r="B192" s="192"/>
      <c r="C192" s="275"/>
      <c r="D192" s="623"/>
      <c r="E192" s="280"/>
      <c r="F192" s="617"/>
      <c r="G192" s="280"/>
      <c r="H192" s="617"/>
      <c r="I192" s="85"/>
      <c r="J192" s="617"/>
      <c r="K192" s="618"/>
      <c r="L192" s="619"/>
      <c r="M192" s="617"/>
      <c r="N192" s="618"/>
      <c r="O192" s="617"/>
      <c r="P192" s="618"/>
      <c r="Q192" s="625"/>
      <c r="R192" s="618"/>
      <c r="S192" s="196"/>
      <c r="T192" s="618"/>
      <c r="U192" s="196"/>
      <c r="V192" s="196"/>
      <c r="W192" s="196"/>
      <c r="X192" s="196"/>
    </row>
    <row r="193" spans="1:24">
      <c r="A193" s="101">
        <v>180</v>
      </c>
      <c r="B193" s="192" t="s">
        <v>198</v>
      </c>
      <c r="C193" s="275"/>
      <c r="D193" s="623"/>
      <c r="E193" s="280"/>
      <c r="F193" s="617"/>
      <c r="G193" s="280"/>
      <c r="H193" s="617"/>
      <c r="I193" s="85"/>
      <c r="J193" s="617"/>
      <c r="K193" s="618"/>
      <c r="L193" s="619"/>
      <c r="M193" s="617"/>
      <c r="N193" s="618"/>
      <c r="O193" s="617"/>
      <c r="P193" s="618"/>
      <c r="Q193" s="625"/>
      <c r="R193" s="618"/>
      <c r="S193" s="196"/>
      <c r="T193" s="618"/>
      <c r="U193" s="196"/>
      <c r="V193" s="196"/>
      <c r="W193" s="196"/>
      <c r="X193" s="196"/>
    </row>
    <row r="194" spans="1:24">
      <c r="A194" s="101">
        <v>181</v>
      </c>
      <c r="B194" s="192"/>
      <c r="C194" s="275"/>
      <c r="D194" s="623"/>
      <c r="E194" s="280"/>
      <c r="F194" s="617"/>
      <c r="G194" s="280"/>
      <c r="H194" s="617"/>
      <c r="I194" s="85"/>
      <c r="J194" s="617"/>
      <c r="K194" s="618"/>
      <c r="L194" s="619"/>
      <c r="M194" s="617"/>
      <c r="N194" s="618"/>
      <c r="O194" s="617"/>
      <c r="P194" s="618"/>
      <c r="Q194" s="196"/>
      <c r="R194" s="618"/>
      <c r="S194" s="196"/>
      <c r="T194" s="618"/>
      <c r="U194" s="196"/>
      <c r="V194" s="196"/>
      <c r="W194" s="196"/>
      <c r="X194" s="196"/>
    </row>
    <row r="195" spans="1:24">
      <c r="A195" s="101">
        <v>182</v>
      </c>
      <c r="B195" s="195" t="s">
        <v>199</v>
      </c>
      <c r="C195" s="275"/>
      <c r="D195" s="617">
        <f>SUM(D138)</f>
        <v>1843</v>
      </c>
      <c r="E195" s="280"/>
      <c r="F195" s="617">
        <f>SUM(F138)</f>
        <v>1939.7429074619999</v>
      </c>
      <c r="G195" s="280"/>
      <c r="H195" s="617">
        <f t="shared" ref="H195:J195" si="125">SUM(H138)</f>
        <v>2238.4238615852555</v>
      </c>
      <c r="I195" s="85"/>
      <c r="J195" s="617">
        <f t="shared" si="125"/>
        <v>2444.3019199999999</v>
      </c>
      <c r="K195" s="618"/>
      <c r="L195" s="619"/>
      <c r="M195" s="617">
        <f t="shared" ref="M195:X195" si="126">SUM(M138)</f>
        <v>2941.3620000000001</v>
      </c>
      <c r="N195" s="618"/>
      <c r="O195" s="617">
        <f t="shared" ref="O195" si="127">SUM(O138)</f>
        <v>2778.7148000000002</v>
      </c>
      <c r="P195" s="620"/>
      <c r="Q195" s="196">
        <f t="shared" si="126"/>
        <v>2826.4108714550603</v>
      </c>
      <c r="R195" s="620"/>
      <c r="S195" s="196">
        <f t="shared" si="126"/>
        <v>3109.190366923433</v>
      </c>
      <c r="T195" s="620"/>
      <c r="U195" s="196">
        <f t="shared" si="126"/>
        <v>3457.6436823995623</v>
      </c>
      <c r="V195" s="196">
        <f t="shared" si="126"/>
        <v>3782.2647794345221</v>
      </c>
      <c r="W195" s="196">
        <f t="shared" si="126"/>
        <v>4159.4192144360204</v>
      </c>
      <c r="X195" s="196">
        <f t="shared" si="126"/>
        <v>4503.8330311214177</v>
      </c>
    </row>
    <row r="196" spans="1:24">
      <c r="A196" s="101">
        <v>183</v>
      </c>
      <c r="B196" s="195" t="s">
        <v>193</v>
      </c>
      <c r="C196" s="275"/>
      <c r="D196" s="617">
        <f>SUM(D155)</f>
        <v>802.70764039063442</v>
      </c>
      <c r="E196" s="280"/>
      <c r="F196" s="617">
        <f>SUM(F155)</f>
        <v>856.09079069341112</v>
      </c>
      <c r="G196" s="280"/>
      <c r="H196" s="617">
        <f t="shared" ref="H196:J196" si="128">SUM(H155)</f>
        <v>1112.580366038414</v>
      </c>
      <c r="I196" s="85"/>
      <c r="J196" s="617">
        <f t="shared" si="128"/>
        <v>1255.1733400000001</v>
      </c>
      <c r="K196" s="238"/>
      <c r="L196" s="619"/>
      <c r="M196" s="617">
        <f t="shared" ref="M196:X196" si="129">SUM(M155)</f>
        <v>1336.7211187574665</v>
      </c>
      <c r="N196" s="618"/>
      <c r="O196" s="617">
        <f t="shared" ref="O196" si="130">SUM(O155)</f>
        <v>1396.8021189769413</v>
      </c>
      <c r="P196" s="620"/>
      <c r="Q196" s="617">
        <f t="shared" si="129"/>
        <v>1470.0476900000001</v>
      </c>
      <c r="R196" s="620"/>
      <c r="S196" s="196">
        <f t="shared" si="129"/>
        <v>1604.7244891511405</v>
      </c>
      <c r="T196" s="620"/>
      <c r="U196" s="196">
        <f t="shared" si="129"/>
        <v>1770.0216053618301</v>
      </c>
      <c r="V196" s="196">
        <f t="shared" si="129"/>
        <v>1924.2926728550406</v>
      </c>
      <c r="W196" s="196">
        <f t="shared" si="129"/>
        <v>2103.0722289946452</v>
      </c>
      <c r="X196" s="196">
        <f t="shared" si="129"/>
        <v>2266.6831669568637</v>
      </c>
    </row>
    <row r="197" spans="1:24">
      <c r="A197" s="101">
        <v>184</v>
      </c>
      <c r="B197" s="195" t="s">
        <v>200</v>
      </c>
      <c r="C197" s="275"/>
      <c r="D197" s="617">
        <f>SUM(D173)</f>
        <v>1651.2090986008304</v>
      </c>
      <c r="E197" s="280"/>
      <c r="F197" s="617">
        <f>SUM(F173)</f>
        <v>1791.0314800000001</v>
      </c>
      <c r="G197" s="280"/>
      <c r="H197" s="617">
        <f t="shared" ref="H197:J197" si="131">SUM(H173)</f>
        <v>2030.6547399999999</v>
      </c>
      <c r="I197" s="85"/>
      <c r="J197" s="617">
        <f t="shared" si="131"/>
        <v>2137.1771711399883</v>
      </c>
      <c r="K197" s="238"/>
      <c r="L197" s="619"/>
      <c r="M197" s="617">
        <f t="shared" ref="M197:X197" si="132">SUM(M173)</f>
        <v>2378.8604999999998</v>
      </c>
      <c r="N197" s="618"/>
      <c r="O197" s="617">
        <f t="shared" ref="O197" si="133">SUM(O173)</f>
        <v>2651</v>
      </c>
      <c r="P197" s="238"/>
      <c r="Q197" s="617">
        <f t="shared" si="132"/>
        <v>3184.1441200000004</v>
      </c>
      <c r="R197" s="238"/>
      <c r="S197" s="196">
        <f t="shared" si="132"/>
        <v>3429.0528845836297</v>
      </c>
      <c r="T197" s="620"/>
      <c r="U197" s="196">
        <f t="shared" si="132"/>
        <v>3730.651634944707</v>
      </c>
      <c r="V197" s="196">
        <f t="shared" si="132"/>
        <v>3993.684715168381</v>
      </c>
      <c r="W197" s="196">
        <f t="shared" si="132"/>
        <v>4271.683852883154</v>
      </c>
      <c r="X197" s="196">
        <f t="shared" si="132"/>
        <v>4648.5904171300381</v>
      </c>
    </row>
    <row r="198" spans="1:24">
      <c r="A198" s="101">
        <v>185</v>
      </c>
      <c r="B198" s="192" t="s">
        <v>125</v>
      </c>
      <c r="C198" s="275"/>
      <c r="D198" s="571">
        <v>0</v>
      </c>
      <c r="E198" s="280"/>
      <c r="F198" s="571">
        <v>0</v>
      </c>
      <c r="G198" s="280"/>
      <c r="H198" s="571">
        <v>0</v>
      </c>
      <c r="I198" s="85"/>
      <c r="J198" s="571">
        <v>0</v>
      </c>
      <c r="K198" s="630"/>
      <c r="L198" s="631"/>
      <c r="M198" s="571">
        <v>0</v>
      </c>
      <c r="N198" s="632"/>
      <c r="O198" s="571">
        <v>0</v>
      </c>
      <c r="P198" s="632"/>
      <c r="Q198" s="636">
        <v>0</v>
      </c>
      <c r="R198" s="632"/>
      <c r="S198" s="180">
        <v>0</v>
      </c>
      <c r="T198" s="632"/>
      <c r="U198" s="180">
        <v>0</v>
      </c>
      <c r="V198" s="180">
        <v>0</v>
      </c>
      <c r="W198" s="180">
        <v>0</v>
      </c>
      <c r="X198" s="180">
        <v>0</v>
      </c>
    </row>
    <row r="199" spans="1:24">
      <c r="A199" s="101">
        <v>186</v>
      </c>
      <c r="B199" s="195" t="s">
        <v>197</v>
      </c>
      <c r="C199" s="275"/>
      <c r="D199" s="617"/>
      <c r="E199" s="280"/>
      <c r="F199" s="617"/>
      <c r="G199" s="280"/>
      <c r="H199" s="617"/>
      <c r="I199" s="85"/>
      <c r="J199" s="617"/>
      <c r="K199" s="618"/>
      <c r="L199" s="619"/>
      <c r="M199" s="617"/>
      <c r="N199" s="618"/>
      <c r="O199" s="617"/>
      <c r="P199" s="618"/>
      <c r="Q199" s="196"/>
      <c r="R199" s="618"/>
      <c r="S199" s="196"/>
      <c r="T199" s="618"/>
      <c r="U199" s="196"/>
      <c r="V199" s="196"/>
      <c r="W199" s="196"/>
      <c r="X199" s="196"/>
    </row>
    <row r="200" spans="1:24">
      <c r="A200" s="101">
        <v>187</v>
      </c>
      <c r="B200" s="192"/>
      <c r="C200" s="275"/>
      <c r="D200" s="571">
        <f>SUM(D195:D197)</f>
        <v>4296.9167389914646</v>
      </c>
      <c r="E200" s="280"/>
      <c r="F200" s="571">
        <f>SUM(F195:F197)</f>
        <v>4586.8651781554108</v>
      </c>
      <c r="G200" s="280"/>
      <c r="H200" s="571">
        <f t="shared" ref="H200:J200" si="134">SUM(H195:H197)</f>
        <v>5381.658967623669</v>
      </c>
      <c r="I200" s="85"/>
      <c r="J200" s="571">
        <f t="shared" si="134"/>
        <v>5836.652431139988</v>
      </c>
      <c r="K200" s="632"/>
      <c r="L200" s="631"/>
      <c r="M200" s="571">
        <f t="shared" ref="M200:X200" si="135">SUM(M195:M197)</f>
        <v>6656.9436187574665</v>
      </c>
      <c r="N200" s="632"/>
      <c r="O200" s="571">
        <f t="shared" ref="O200" si="136">SUM(O195:O197)</f>
        <v>6826.5169189769413</v>
      </c>
      <c r="P200" s="632"/>
      <c r="Q200" s="180">
        <f t="shared" si="135"/>
        <v>7480.6026814550605</v>
      </c>
      <c r="R200" s="632"/>
      <c r="S200" s="180">
        <f t="shared" si="135"/>
        <v>8142.9677406582032</v>
      </c>
      <c r="T200" s="632"/>
      <c r="U200" s="180">
        <f t="shared" si="135"/>
        <v>8958.3169227060989</v>
      </c>
      <c r="V200" s="180">
        <f t="shared" si="135"/>
        <v>9700.2421674579437</v>
      </c>
      <c r="W200" s="180">
        <f t="shared" si="135"/>
        <v>10534.175296313821</v>
      </c>
      <c r="X200" s="180">
        <f t="shared" si="135"/>
        <v>11419.106615208319</v>
      </c>
    </row>
    <row r="201" spans="1:24">
      <c r="A201" s="101">
        <v>188</v>
      </c>
      <c r="B201" s="192" t="s">
        <v>201</v>
      </c>
      <c r="C201" s="275"/>
      <c r="D201" s="617"/>
      <c r="E201" s="280"/>
      <c r="F201" s="617"/>
      <c r="G201" s="280"/>
      <c r="H201" s="617"/>
      <c r="I201" s="85"/>
      <c r="J201" s="617"/>
      <c r="K201" s="618"/>
      <c r="L201" s="619"/>
      <c r="M201" s="624"/>
      <c r="N201" s="618"/>
      <c r="O201" s="627"/>
      <c r="P201" s="618"/>
      <c r="Q201" s="199"/>
      <c r="R201" s="618"/>
      <c r="S201" s="199"/>
      <c r="T201" s="618"/>
      <c r="U201" s="199"/>
      <c r="V201" s="199"/>
      <c r="W201" s="199"/>
      <c r="X201" s="199"/>
    </row>
    <row r="202" spans="1:24" ht="13.5" thickBot="1">
      <c r="A202" s="101">
        <v>189</v>
      </c>
      <c r="B202" s="192"/>
      <c r="C202" s="275"/>
      <c r="D202" s="425">
        <f>SUM(D191+D200)</f>
        <v>23237.643218698864</v>
      </c>
      <c r="E202" s="280"/>
      <c r="F202" s="425">
        <f>SUM(F191+F200)</f>
        <v>25765.236066835983</v>
      </c>
      <c r="G202" s="280"/>
      <c r="H202" s="425">
        <f t="shared" ref="H202:J202" si="137">SUM(H191+H200)</f>
        <v>27849.381538943788</v>
      </c>
      <c r="I202" s="85"/>
      <c r="J202" s="425">
        <f t="shared" si="137"/>
        <v>31059.193789503879</v>
      </c>
      <c r="K202" s="637"/>
      <c r="L202" s="638"/>
      <c r="M202" s="425">
        <f t="shared" ref="M202:X202" si="138">SUM(M191+M200)</f>
        <v>34378.781600945462</v>
      </c>
      <c r="N202" s="637"/>
      <c r="O202" s="639">
        <f t="shared" ref="O202" si="139">SUM(O191+O200)</f>
        <v>36324.24510707947</v>
      </c>
      <c r="P202" s="637"/>
      <c r="Q202" s="200">
        <f t="shared" si="138"/>
        <v>38790.16385144557</v>
      </c>
      <c r="R202" s="637"/>
      <c r="S202" s="200">
        <f t="shared" si="138"/>
        <v>42377.352481190275</v>
      </c>
      <c r="T202" s="637"/>
      <c r="U202" s="200">
        <f t="shared" si="138"/>
        <v>45460.758742651604</v>
      </c>
      <c r="V202" s="200">
        <f t="shared" si="138"/>
        <v>48875.046399282946</v>
      </c>
      <c r="W202" s="200">
        <f t="shared" si="138"/>
        <v>52506.611579637836</v>
      </c>
      <c r="X202" s="200">
        <f t="shared" si="138"/>
        <v>56526.412796091608</v>
      </c>
    </row>
    <row r="203" spans="1:24" ht="13.5" thickTop="1">
      <c r="A203" s="101">
        <v>190</v>
      </c>
      <c r="B203" s="109"/>
      <c r="C203" s="641"/>
      <c r="D203" s="642"/>
      <c r="E203" s="591"/>
      <c r="F203" s="643"/>
      <c r="G203" s="591"/>
      <c r="H203" s="644"/>
      <c r="I203" s="85"/>
      <c r="J203" s="645"/>
      <c r="K203" s="645"/>
      <c r="L203" s="646"/>
      <c r="M203" s="647"/>
      <c r="N203" s="645"/>
      <c r="O203" s="645"/>
      <c r="P203" s="645"/>
      <c r="Q203" s="645"/>
      <c r="R203" s="645"/>
      <c r="S203" s="645"/>
      <c r="T203" s="645"/>
      <c r="U203" s="645"/>
      <c r="V203" s="645"/>
      <c r="W203" s="645"/>
      <c r="X203" s="645"/>
    </row>
    <row r="204" spans="1:24">
      <c r="A204" s="101">
        <v>191</v>
      </c>
      <c r="B204" s="111"/>
      <c r="C204" s="275"/>
      <c r="D204" s="650"/>
      <c r="E204" s="280"/>
      <c r="F204" s="650"/>
      <c r="G204" s="280"/>
      <c r="H204" s="651"/>
      <c r="I204" s="85"/>
      <c r="J204" s="651"/>
      <c r="K204" s="651"/>
      <c r="L204" s="652"/>
      <c r="M204" s="651"/>
      <c r="N204" s="651"/>
      <c r="O204" s="651"/>
      <c r="P204" s="651"/>
      <c r="Q204" s="651"/>
      <c r="R204" s="651"/>
      <c r="S204" s="651"/>
      <c r="T204" s="651"/>
      <c r="U204" s="651"/>
      <c r="V204" s="651"/>
      <c r="W204" s="651"/>
      <c r="X204" s="651"/>
    </row>
    <row r="205" spans="1:24">
      <c r="A205" s="101">
        <v>192</v>
      </c>
      <c r="B205" s="111"/>
      <c r="C205" s="275"/>
      <c r="D205" s="655"/>
      <c r="E205" s="280"/>
      <c r="F205" s="656"/>
      <c r="G205" s="280"/>
      <c r="H205" s="657"/>
      <c r="I205" s="85"/>
      <c r="J205" s="657"/>
      <c r="K205" s="657"/>
      <c r="L205" s="652"/>
      <c r="M205" s="657"/>
      <c r="N205" s="657"/>
      <c r="O205" s="657"/>
      <c r="P205" s="657"/>
      <c r="Q205" s="657" t="s">
        <v>294</v>
      </c>
      <c r="R205" s="657"/>
      <c r="S205" s="657" t="s">
        <v>294</v>
      </c>
      <c r="T205" s="657"/>
      <c r="U205" s="657" t="s">
        <v>294</v>
      </c>
      <c r="V205" s="657" t="s">
        <v>294</v>
      </c>
      <c r="W205" s="657" t="s">
        <v>294</v>
      </c>
      <c r="X205" s="657" t="s">
        <v>294</v>
      </c>
    </row>
    <row r="206" spans="1:24">
      <c r="A206" s="101">
        <v>193</v>
      </c>
      <c r="B206" s="660"/>
      <c r="C206" s="641"/>
      <c r="D206" s="661" t="e">
        <f>SUM(D202-#REF!)</f>
        <v>#REF!</v>
      </c>
      <c r="E206" s="591"/>
      <c r="F206" s="662">
        <f>SUM(F202-D202)</f>
        <v>2527.5928481371193</v>
      </c>
      <c r="G206" s="591"/>
      <c r="H206" s="662">
        <f>SUM(H202-F202)</f>
        <v>2084.1454721078044</v>
      </c>
      <c r="I206" s="592"/>
      <c r="J206" s="662">
        <f>SUM(J202-H202)</f>
        <v>3209.8122505600913</v>
      </c>
      <c r="K206" s="662"/>
      <c r="L206" s="663"/>
      <c r="M206" s="662">
        <f>SUM(M202-J202)</f>
        <v>3319.5878114415827</v>
      </c>
      <c r="N206" s="662"/>
      <c r="O206" s="662">
        <f>SUM(O202-M202)</f>
        <v>1945.4635061340086</v>
      </c>
      <c r="P206" s="662"/>
      <c r="Q206" s="662">
        <f>SUM(Q202-O202)</f>
        <v>2465.9187443660994</v>
      </c>
      <c r="R206" s="662"/>
      <c r="S206" s="662">
        <f>SUM(S202-Q202)</f>
        <v>3587.1886297447054</v>
      </c>
      <c r="T206" s="662"/>
      <c r="U206" s="662">
        <f>SUM(U202-S202)</f>
        <v>3083.4062614613285</v>
      </c>
      <c r="V206" s="662">
        <f t="shared" ref="V206:X206" si="140">SUM(V202-U202)</f>
        <v>3414.2876566313425</v>
      </c>
      <c r="W206" s="662">
        <f t="shared" si="140"/>
        <v>3631.5651803548899</v>
      </c>
      <c r="X206" s="662">
        <f t="shared" si="140"/>
        <v>4019.8012164537722</v>
      </c>
    </row>
    <row r="207" spans="1:24">
      <c r="H207" s="666"/>
      <c r="J207" s="666"/>
      <c r="K207" s="666"/>
      <c r="L207" s="667"/>
      <c r="M207" s="666"/>
      <c r="N207" s="666"/>
      <c r="O207" s="666"/>
      <c r="P207" s="666"/>
      <c r="Q207" s="666"/>
      <c r="R207" s="666"/>
      <c r="S207" s="666"/>
      <c r="T207" s="666"/>
    </row>
  </sheetData>
  <pageMargins left="0.7" right="0.7" top="0.75" bottom="0.75" header="0.3" footer="0.3"/>
  <pageSetup orientation="portrait" r:id="rId1"/>
  <headerFooter>
    <oddHeader>&amp;RExh AIW-2
Dockets UE-170485 / UG-170486
Page &amp;P of &amp;N</oddHeader>
  </headerFooter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X207"/>
  <sheetViews>
    <sheetView topLeftCell="A100" zoomScaleNormal="100" workbookViewId="0">
      <selection activeCell="B22" sqref="B22"/>
    </sheetView>
  </sheetViews>
  <sheetFormatPr defaultRowHeight="12.75"/>
  <cols>
    <col min="1" max="1" width="6.5703125" customWidth="1"/>
    <col min="2" max="2" width="64" customWidth="1"/>
    <col min="3" max="3" width="5.7109375" style="269" hidden="1" customWidth="1"/>
    <col min="4" max="4" width="21.28515625" hidden="1" customWidth="1"/>
    <col min="5" max="5" width="6.42578125" hidden="1" customWidth="1"/>
    <col min="6" max="6" width="21.28515625" hidden="1" customWidth="1"/>
    <col min="7" max="7" width="7.28515625" hidden="1" customWidth="1"/>
    <col min="8" max="8" width="21.28515625" hidden="1" customWidth="1"/>
    <col min="9" max="9" width="5.28515625" style="270" hidden="1" customWidth="1"/>
    <col min="10" max="10" width="21.28515625" hidden="1" customWidth="1"/>
    <col min="11" max="11" width="4.7109375" hidden="1" customWidth="1"/>
    <col min="12" max="12" width="6.28515625" style="271" hidden="1" customWidth="1"/>
    <col min="13" max="13" width="21.28515625" hidden="1" customWidth="1"/>
    <col min="14" max="14" width="6.28515625" style="246" hidden="1" customWidth="1"/>
    <col min="15" max="15" width="21.28515625" hidden="1" customWidth="1"/>
    <col min="16" max="16" width="6.7109375" style="246" customWidth="1"/>
    <col min="17" max="17" width="21.42578125" customWidth="1"/>
    <col min="18" max="18" width="9.7109375" style="246" customWidth="1"/>
    <col min="19" max="19" width="21.42578125" customWidth="1"/>
    <col min="20" max="20" width="7.5703125" style="246" customWidth="1"/>
    <col min="21" max="24" width="18.7109375" customWidth="1"/>
  </cols>
  <sheetData>
    <row r="1" spans="1:24">
      <c r="B1" t="s">
        <v>431</v>
      </c>
      <c r="Q1" s="861" t="s">
        <v>488</v>
      </c>
    </row>
    <row r="2" spans="1:24" ht="13.5" thickBot="1">
      <c r="B2" t="s">
        <v>429</v>
      </c>
      <c r="Q2" s="862" t="s">
        <v>489</v>
      </c>
    </row>
    <row r="3" spans="1:24" ht="18">
      <c r="B3" t="s">
        <v>483</v>
      </c>
      <c r="O3" s="272" t="s">
        <v>184</v>
      </c>
      <c r="Q3" s="272" t="s">
        <v>184</v>
      </c>
      <c r="S3" s="272" t="s">
        <v>184</v>
      </c>
      <c r="U3" s="272" t="s">
        <v>184</v>
      </c>
      <c r="V3" s="272" t="s">
        <v>184</v>
      </c>
      <c r="W3" s="272" t="s">
        <v>184</v>
      </c>
      <c r="X3" s="272" t="s">
        <v>184</v>
      </c>
    </row>
    <row r="4" spans="1:24" ht="18">
      <c r="B4" t="s">
        <v>484</v>
      </c>
      <c r="C4" s="275"/>
      <c r="D4" s="275"/>
      <c r="E4" s="275"/>
      <c r="F4" s="275"/>
      <c r="G4" s="275"/>
      <c r="K4" s="276"/>
      <c r="L4"/>
      <c r="O4" s="277">
        <v>2015</v>
      </c>
      <c r="P4" s="276"/>
      <c r="Q4" s="277" t="s">
        <v>232</v>
      </c>
      <c r="R4" s="276"/>
      <c r="S4" s="277" t="s">
        <v>232</v>
      </c>
      <c r="T4" s="276"/>
      <c r="U4" s="277" t="s">
        <v>232</v>
      </c>
      <c r="V4" s="277" t="s">
        <v>232</v>
      </c>
      <c r="W4" s="277" t="s">
        <v>232</v>
      </c>
      <c r="X4" s="277" t="s">
        <v>232</v>
      </c>
    </row>
    <row r="5" spans="1:24" ht="18.75" thickBot="1">
      <c r="B5" t="s">
        <v>485</v>
      </c>
      <c r="C5" s="275"/>
      <c r="D5" s="275"/>
      <c r="E5" s="275"/>
      <c r="F5" s="275"/>
      <c r="G5" s="275"/>
      <c r="H5" s="280"/>
      <c r="I5" s="281" t="s">
        <v>234</v>
      </c>
      <c r="J5" s="282"/>
      <c r="K5" s="283"/>
      <c r="L5" s="284"/>
      <c r="M5" s="85"/>
      <c r="N5" s="285"/>
      <c r="O5" s="286" t="s">
        <v>235</v>
      </c>
      <c r="P5" s="208"/>
      <c r="Q5" s="189" t="s">
        <v>481</v>
      </c>
      <c r="R5" s="208"/>
      <c r="S5" s="189" t="s">
        <v>203</v>
      </c>
      <c r="T5" s="208"/>
      <c r="U5" s="189" t="s">
        <v>203</v>
      </c>
      <c r="V5" s="189" t="s">
        <v>203</v>
      </c>
      <c r="W5" s="189" t="s">
        <v>203</v>
      </c>
      <c r="X5" s="189" t="s">
        <v>203</v>
      </c>
    </row>
    <row r="6" spans="1:24">
      <c r="D6" s="101" t="s">
        <v>98</v>
      </c>
      <c r="F6" s="101" t="s">
        <v>98</v>
      </c>
      <c r="H6" s="101" t="s">
        <v>98</v>
      </c>
      <c r="J6" s="101" t="s">
        <v>98</v>
      </c>
      <c r="K6" s="288"/>
      <c r="L6" s="289"/>
      <c r="M6" s="101" t="s">
        <v>98</v>
      </c>
      <c r="N6" s="288"/>
      <c r="O6" s="101" t="s">
        <v>98</v>
      </c>
      <c r="P6" s="288"/>
      <c r="Q6" s="101" t="s">
        <v>98</v>
      </c>
      <c r="R6" s="288"/>
      <c r="S6" s="101" t="s">
        <v>98</v>
      </c>
      <c r="T6" s="288"/>
      <c r="U6" s="101" t="s">
        <v>98</v>
      </c>
      <c r="V6" s="101" t="s">
        <v>98</v>
      </c>
      <c r="W6" s="101" t="s">
        <v>98</v>
      </c>
      <c r="X6" s="101" t="s">
        <v>98</v>
      </c>
    </row>
    <row r="7" spans="1:24">
      <c r="B7" s="102" t="s">
        <v>99</v>
      </c>
      <c r="D7" s="290">
        <v>2009</v>
      </c>
      <c r="F7" s="290">
        <v>2010</v>
      </c>
      <c r="H7" s="290">
        <v>2011</v>
      </c>
      <c r="J7" s="290">
        <v>2012</v>
      </c>
      <c r="K7" s="291"/>
      <c r="L7" s="292"/>
      <c r="M7" s="290">
        <v>2013</v>
      </c>
      <c r="N7" s="291"/>
      <c r="O7" s="290">
        <v>2014</v>
      </c>
      <c r="P7" s="291"/>
      <c r="Q7" s="290">
        <v>2015</v>
      </c>
      <c r="R7" s="291"/>
      <c r="S7" s="103">
        <v>2016</v>
      </c>
      <c r="T7" s="291"/>
      <c r="U7" s="103">
        <v>2017</v>
      </c>
      <c r="V7" s="103">
        <v>2018</v>
      </c>
      <c r="W7" s="103">
        <v>2019</v>
      </c>
      <c r="X7" s="103">
        <v>2020</v>
      </c>
    </row>
    <row r="8" spans="1:24">
      <c r="B8" s="102" t="s">
        <v>100</v>
      </c>
      <c r="D8" s="146">
        <v>2010</v>
      </c>
      <c r="F8" s="146">
        <v>2011</v>
      </c>
      <c r="H8" s="146">
        <v>2012</v>
      </c>
      <c r="J8" s="146">
        <v>2013</v>
      </c>
      <c r="K8" s="293"/>
      <c r="L8" s="294"/>
      <c r="M8" s="146">
        <v>2014</v>
      </c>
      <c r="N8" s="293"/>
      <c r="O8" s="146">
        <v>2015</v>
      </c>
      <c r="P8" s="293"/>
      <c r="Q8" s="146">
        <v>2016</v>
      </c>
      <c r="R8" s="293"/>
      <c r="S8" s="104">
        <v>2017</v>
      </c>
      <c r="T8" s="293"/>
      <c r="U8" s="104">
        <v>2018</v>
      </c>
      <c r="V8" s="104">
        <v>2019</v>
      </c>
      <c r="W8" s="104">
        <v>2020</v>
      </c>
      <c r="X8" s="104">
        <v>2021</v>
      </c>
    </row>
    <row r="9" spans="1:24">
      <c r="B9" s="105" t="s">
        <v>101</v>
      </c>
      <c r="D9" s="165">
        <v>2010</v>
      </c>
      <c r="F9" s="165">
        <v>2011</v>
      </c>
      <c r="H9" s="165">
        <v>2012</v>
      </c>
      <c r="J9" s="165">
        <v>2013</v>
      </c>
      <c r="K9" s="297"/>
      <c r="L9" s="298"/>
      <c r="M9" s="165">
        <v>2014</v>
      </c>
      <c r="N9" s="297"/>
      <c r="O9" s="165">
        <v>2015</v>
      </c>
      <c r="P9" s="297"/>
      <c r="Q9" s="165">
        <v>2016</v>
      </c>
      <c r="R9" s="297"/>
      <c r="S9" s="106">
        <v>2017</v>
      </c>
      <c r="T9" s="297"/>
      <c r="U9" s="106">
        <v>2018</v>
      </c>
      <c r="V9" s="106">
        <v>2019</v>
      </c>
      <c r="W9" s="106">
        <v>2020</v>
      </c>
      <c r="X9" s="106">
        <v>2021</v>
      </c>
    </row>
    <row r="10" spans="1:24">
      <c r="A10" s="101" t="s">
        <v>460</v>
      </c>
      <c r="B10" s="107" t="s">
        <v>102</v>
      </c>
      <c r="D10" s="290" t="s">
        <v>240</v>
      </c>
      <c r="F10" s="290" t="s">
        <v>241</v>
      </c>
      <c r="H10" s="290" t="s">
        <v>242</v>
      </c>
      <c r="J10" s="290" t="s">
        <v>243</v>
      </c>
      <c r="K10" s="291"/>
      <c r="L10" s="292"/>
      <c r="M10" s="290" t="s">
        <v>244</v>
      </c>
      <c r="N10" s="291"/>
      <c r="O10" s="108" t="s">
        <v>245</v>
      </c>
      <c r="P10" s="300"/>
      <c r="Q10" s="108" t="s">
        <v>246</v>
      </c>
      <c r="R10" s="300"/>
      <c r="S10" s="108" t="s">
        <v>103</v>
      </c>
      <c r="T10" s="300"/>
      <c r="U10" s="301" t="s">
        <v>247</v>
      </c>
      <c r="V10" s="301" t="s">
        <v>248</v>
      </c>
      <c r="W10" s="301" t="s">
        <v>249</v>
      </c>
      <c r="X10" s="301" t="s">
        <v>250</v>
      </c>
    </row>
    <row r="11" spans="1:24">
      <c r="A11" s="101" t="s">
        <v>313</v>
      </c>
      <c r="B11" s="109"/>
      <c r="D11" s="110"/>
      <c r="F11" s="110"/>
      <c r="H11" s="110"/>
      <c r="J11" s="110"/>
      <c r="K11" s="303"/>
      <c r="L11" s="304"/>
      <c r="M11" s="110"/>
      <c r="N11" s="303"/>
      <c r="O11" s="110"/>
      <c r="P11" s="303"/>
      <c r="Q11" s="110"/>
      <c r="R11" s="303"/>
      <c r="S11" s="110"/>
      <c r="T11" s="303"/>
      <c r="U11" s="305"/>
      <c r="V11" s="305"/>
      <c r="W11" s="305"/>
      <c r="X11" s="305"/>
    </row>
    <row r="12" spans="1:24">
      <c r="A12" s="101">
        <v>1</v>
      </c>
      <c r="B12" s="111"/>
      <c r="D12" s="131" t="s">
        <v>252</v>
      </c>
      <c r="F12" s="131" t="s">
        <v>253</v>
      </c>
      <c r="H12" s="131" t="s">
        <v>254</v>
      </c>
      <c r="J12" s="131" t="s">
        <v>255</v>
      </c>
      <c r="K12" s="307"/>
      <c r="L12" s="308"/>
      <c r="M12" s="131" t="s">
        <v>256</v>
      </c>
      <c r="N12" s="307"/>
      <c r="O12" s="131" t="s">
        <v>257</v>
      </c>
      <c r="P12" s="307"/>
      <c r="Q12" s="131" t="s">
        <v>258</v>
      </c>
      <c r="R12" s="307"/>
      <c r="S12" s="112" t="s">
        <v>104</v>
      </c>
      <c r="T12" s="307"/>
      <c r="U12" s="112" t="s">
        <v>259</v>
      </c>
      <c r="V12" s="112" t="s">
        <v>260</v>
      </c>
      <c r="W12" s="112" t="s">
        <v>261</v>
      </c>
      <c r="X12" s="112" t="s">
        <v>262</v>
      </c>
    </row>
    <row r="13" spans="1:24" ht="19.5">
      <c r="A13" s="101">
        <v>2</v>
      </c>
      <c r="B13" s="113" t="s">
        <v>105</v>
      </c>
      <c r="D13" s="311"/>
      <c r="F13" s="133"/>
      <c r="H13" s="312"/>
      <c r="J13" s="312"/>
      <c r="K13" s="313"/>
      <c r="L13" s="314"/>
      <c r="M13" s="133"/>
      <c r="N13" s="315"/>
      <c r="O13" s="146"/>
      <c r="P13" s="293"/>
      <c r="Q13" s="146"/>
      <c r="R13" s="293"/>
      <c r="S13" s="104"/>
      <c r="T13" s="293"/>
      <c r="U13" s="104"/>
      <c r="V13" s="104"/>
      <c r="W13" s="104"/>
      <c r="X13" s="104"/>
    </row>
    <row r="14" spans="1:24">
      <c r="A14" s="101">
        <v>3</v>
      </c>
      <c r="B14" s="111"/>
      <c r="D14" s="316"/>
      <c r="F14" s="316"/>
      <c r="H14" s="317"/>
      <c r="J14" s="317"/>
      <c r="K14" s="318"/>
      <c r="L14" s="319"/>
      <c r="M14" s="316"/>
      <c r="N14" s="320"/>
      <c r="O14" s="165"/>
      <c r="P14" s="297"/>
      <c r="Q14" s="316"/>
      <c r="R14" s="297"/>
      <c r="S14" s="114"/>
      <c r="T14" s="297"/>
      <c r="U14" s="114"/>
      <c r="V14" s="114"/>
      <c r="W14" s="114"/>
      <c r="X14" s="114"/>
    </row>
    <row r="15" spans="1:24">
      <c r="A15" s="101">
        <v>4</v>
      </c>
      <c r="B15" s="111" t="s">
        <v>106</v>
      </c>
      <c r="D15" s="321">
        <v>1400000</v>
      </c>
      <c r="F15" s="321">
        <v>1600000</v>
      </c>
      <c r="H15" s="321">
        <v>1700000</v>
      </c>
      <c r="J15" s="321">
        <v>1800000</v>
      </c>
      <c r="K15" s="322"/>
      <c r="L15" s="323"/>
      <c r="M15" s="321">
        <v>2000000</v>
      </c>
      <c r="N15" s="324"/>
      <c r="O15" s="115">
        <v>2275000</v>
      </c>
      <c r="P15" s="325"/>
      <c r="Q15" s="115">
        <v>2200000</v>
      </c>
      <c r="R15" s="325"/>
      <c r="S15" s="115">
        <v>2300000</v>
      </c>
      <c r="T15" s="325"/>
      <c r="U15" s="122">
        <f>SUM(S15:S21)</f>
        <v>2300000</v>
      </c>
      <c r="V15" s="122">
        <f t="shared" ref="V15:X15" si="0">SUM(U15:U21)</f>
        <v>2393595.9270000001</v>
      </c>
      <c r="W15" s="122">
        <f t="shared" si="0"/>
        <v>2527286.4270000001</v>
      </c>
      <c r="X15" s="122">
        <f t="shared" si="0"/>
        <v>2664093.1880000001</v>
      </c>
    </row>
    <row r="16" spans="1:24">
      <c r="A16" s="101">
        <v>5</v>
      </c>
      <c r="B16" s="111" t="s">
        <v>108</v>
      </c>
      <c r="D16" s="116"/>
      <c r="F16" s="328"/>
      <c r="H16" s="321"/>
      <c r="J16" s="321"/>
      <c r="K16" s="322"/>
      <c r="L16" s="323"/>
      <c r="M16" s="116"/>
      <c r="N16" s="324"/>
      <c r="O16" s="115"/>
      <c r="P16" s="325"/>
      <c r="Q16" s="116"/>
      <c r="R16" s="325"/>
      <c r="S16" s="116"/>
      <c r="T16" s="325"/>
      <c r="U16" s="122"/>
      <c r="V16" s="122"/>
      <c r="W16" s="122"/>
      <c r="X16" s="122"/>
    </row>
    <row r="17" spans="1:24">
      <c r="A17" s="101">
        <v>6</v>
      </c>
      <c r="B17" s="117" t="s">
        <v>109</v>
      </c>
      <c r="D17" s="321"/>
      <c r="F17" s="328"/>
      <c r="H17" s="321"/>
      <c r="J17" s="328"/>
      <c r="K17" s="324"/>
      <c r="L17" s="323"/>
      <c r="M17" s="116"/>
      <c r="N17" s="324"/>
      <c r="O17" s="115"/>
      <c r="P17" s="325"/>
      <c r="Q17" s="116"/>
      <c r="R17" s="325"/>
      <c r="S17" s="116"/>
      <c r="T17" s="325"/>
      <c r="U17" s="330">
        <v>291856.06300000002</v>
      </c>
      <c r="V17" s="330">
        <v>281976.68699999998</v>
      </c>
      <c r="W17" s="330">
        <v>276328.47399999999</v>
      </c>
      <c r="X17" s="330">
        <v>313127.50799999997</v>
      </c>
    </row>
    <row r="18" spans="1:24">
      <c r="A18" s="101">
        <v>7</v>
      </c>
      <c r="B18" s="117" t="s">
        <v>110</v>
      </c>
      <c r="D18" s="321"/>
      <c r="F18" s="328"/>
      <c r="H18" s="321"/>
      <c r="J18" s="328"/>
      <c r="K18" s="324"/>
      <c r="L18" s="323"/>
      <c r="M18" s="116"/>
      <c r="N18" s="324"/>
      <c r="O18" s="115"/>
      <c r="P18" s="325"/>
      <c r="Q18" s="116"/>
      <c r="R18" s="325"/>
      <c r="S18" s="116"/>
      <c r="T18" s="325"/>
      <c r="U18" s="330">
        <v>-94410.135999999999</v>
      </c>
      <c r="V18" s="330">
        <v>-41436.186999999998</v>
      </c>
      <c r="W18" s="330">
        <v>-35671.713000000003</v>
      </c>
      <c r="X18" s="330">
        <v>-57210</v>
      </c>
    </row>
    <row r="19" spans="1:24">
      <c r="A19" s="101">
        <v>8</v>
      </c>
      <c r="B19" s="117" t="s">
        <v>111</v>
      </c>
      <c r="D19" s="321"/>
      <c r="F19" s="328"/>
      <c r="H19" s="321"/>
      <c r="J19" s="328"/>
      <c r="K19" s="324"/>
      <c r="L19" s="323"/>
      <c r="M19" s="116"/>
      <c r="N19" s="324"/>
      <c r="O19" s="115"/>
      <c r="P19" s="325"/>
      <c r="Q19" s="116"/>
      <c r="R19" s="325"/>
      <c r="S19" s="116"/>
      <c r="T19" s="325"/>
      <c r="U19" s="330"/>
      <c r="V19" s="330"/>
      <c r="W19" s="330"/>
      <c r="X19" s="330"/>
    </row>
    <row r="20" spans="1:24">
      <c r="A20" s="101">
        <v>9</v>
      </c>
      <c r="B20" s="117" t="s">
        <v>112</v>
      </c>
      <c r="D20" s="321"/>
      <c r="F20" s="328"/>
      <c r="H20" s="321"/>
      <c r="J20" s="328"/>
      <c r="K20" s="324"/>
      <c r="L20" s="323"/>
      <c r="M20" s="116"/>
      <c r="N20" s="324"/>
      <c r="O20" s="115"/>
      <c r="P20" s="325"/>
      <c r="Q20" s="116"/>
      <c r="R20" s="325"/>
      <c r="S20" s="116"/>
      <c r="T20" s="325"/>
      <c r="U20" s="330">
        <v>-7850</v>
      </c>
      <c r="V20" s="330">
        <v>-10850</v>
      </c>
      <c r="W20" s="330">
        <v>-7850</v>
      </c>
      <c r="X20" s="330">
        <v>-7850</v>
      </c>
    </row>
    <row r="21" spans="1:24">
      <c r="A21" s="101">
        <v>10</v>
      </c>
      <c r="B21" s="111" t="s">
        <v>113</v>
      </c>
      <c r="D21" s="331"/>
      <c r="F21" s="332"/>
      <c r="H21" s="331"/>
      <c r="J21" s="332"/>
      <c r="K21" s="333"/>
      <c r="L21" s="334"/>
      <c r="M21" s="118"/>
      <c r="N21" s="333"/>
      <c r="O21" s="179"/>
      <c r="P21" s="335"/>
      <c r="Q21" s="118"/>
      <c r="R21" s="335"/>
      <c r="S21" s="118"/>
      <c r="T21" s="335"/>
      <c r="U21" s="338">
        <v>-96000</v>
      </c>
      <c r="V21" s="338">
        <v>-96000</v>
      </c>
      <c r="W21" s="338">
        <v>-96000</v>
      </c>
      <c r="X21" s="338">
        <v>-96000</v>
      </c>
    </row>
    <row r="22" spans="1:24">
      <c r="A22" s="101">
        <v>11</v>
      </c>
      <c r="B22" s="111" t="s">
        <v>114</v>
      </c>
      <c r="D22" s="339">
        <v>0.96753500000000003</v>
      </c>
      <c r="F22" s="339">
        <v>0.96154600000000001</v>
      </c>
      <c r="H22" s="339">
        <v>0.95345100000000005</v>
      </c>
      <c r="J22" s="339">
        <v>0.95927200000000001</v>
      </c>
      <c r="K22" s="340"/>
      <c r="L22" s="323"/>
      <c r="M22" s="341">
        <f>962461349/997330000</f>
        <v>0.96503800046123145</v>
      </c>
      <c r="N22" s="342"/>
      <c r="O22" s="119">
        <f>1154211.157/1180295.025</f>
        <v>0.97790055244874052</v>
      </c>
      <c r="P22" s="343"/>
      <c r="Q22" s="119">
        <f>1162234.576/1188424.6</f>
        <v>0.97796240165341564</v>
      </c>
      <c r="R22" s="343"/>
      <c r="S22" s="119">
        <f>1207497787/1239327400</f>
        <v>0.97431702631604855</v>
      </c>
      <c r="T22" s="343"/>
      <c r="U22" s="157">
        <f>SUM(S22)</f>
        <v>0.97431702631604855</v>
      </c>
      <c r="V22" s="157">
        <f t="shared" ref="V22:X23" si="1">SUM(U22)</f>
        <v>0.97431702631604855</v>
      </c>
      <c r="W22" s="157">
        <f t="shared" si="1"/>
        <v>0.97431702631604855</v>
      </c>
      <c r="X22" s="157">
        <f t="shared" si="1"/>
        <v>0.97431702631604855</v>
      </c>
    </row>
    <row r="23" spans="1:24">
      <c r="A23" s="101">
        <v>12</v>
      </c>
      <c r="B23" s="111" t="s">
        <v>115</v>
      </c>
      <c r="D23" s="346">
        <v>0.45469100000000001</v>
      </c>
      <c r="F23" s="346">
        <v>0.464889</v>
      </c>
      <c r="H23" s="346">
        <v>0.46240399999999998</v>
      </c>
      <c r="J23" s="346">
        <v>0.47619</v>
      </c>
      <c r="K23" s="347"/>
      <c r="L23" s="348"/>
      <c r="M23" s="349">
        <f>997330000/2000000000</f>
        <v>0.49866500000000002</v>
      </c>
      <c r="N23" s="350"/>
      <c r="O23" s="120">
        <f>1180295.025/2275000</f>
        <v>0.51881099999999991</v>
      </c>
      <c r="P23" s="351"/>
      <c r="Q23" s="120">
        <f>1188424.6/2200000</f>
        <v>0.54019300000000003</v>
      </c>
      <c r="R23" s="351"/>
      <c r="S23" s="120">
        <v>0.53883999999999999</v>
      </c>
      <c r="T23" s="351"/>
      <c r="U23" s="158">
        <f>SUM(S23)</f>
        <v>0.53883999999999999</v>
      </c>
      <c r="V23" s="158">
        <f t="shared" si="1"/>
        <v>0.53883999999999999</v>
      </c>
      <c r="W23" s="158">
        <f t="shared" si="1"/>
        <v>0.53883999999999999</v>
      </c>
      <c r="X23" s="158">
        <f t="shared" si="1"/>
        <v>0.53883999999999999</v>
      </c>
    </row>
    <row r="24" spans="1:24">
      <c r="A24" s="101">
        <v>13</v>
      </c>
      <c r="B24" s="111" t="s">
        <v>116</v>
      </c>
      <c r="D24" s="321">
        <f>SUM(D15:D21)*D22*D23</f>
        <v>615901.239359</v>
      </c>
      <c r="F24" s="321">
        <f>SUM(F15:F21)*F22*F23</f>
        <v>715219.4534304</v>
      </c>
      <c r="H24" s="321">
        <f t="shared" ref="H24:J24" si="2">SUM(H15:H21)*H22*H23</f>
        <v>749495.24554680008</v>
      </c>
      <c r="J24" s="321">
        <f t="shared" si="2"/>
        <v>822232.32062400004</v>
      </c>
      <c r="K24" s="322"/>
      <c r="L24" s="323"/>
      <c r="M24" s="321">
        <f t="shared" ref="M24:O24" si="3">SUM(M15:M21)*M22*M23</f>
        <v>962461.34900000005</v>
      </c>
      <c r="N24" s="324"/>
      <c r="O24" s="115">
        <f t="shared" si="3"/>
        <v>1154211.1569999997</v>
      </c>
      <c r="P24" s="325"/>
      <c r="Q24" s="115">
        <f t="shared" ref="Q24:X24" si="4">SUM(Q15:Q21)*Q22*Q23</f>
        <v>1162234.5759999999</v>
      </c>
      <c r="R24" s="325"/>
      <c r="S24" s="115">
        <f t="shared" si="4"/>
        <v>1207502.268858321</v>
      </c>
      <c r="T24" s="325"/>
      <c r="U24" s="122">
        <f t="shared" si="4"/>
        <v>1256640.2228619724</v>
      </c>
      <c r="V24" s="122">
        <f t="shared" si="4"/>
        <v>1326827.8672423216</v>
      </c>
      <c r="W24" s="122">
        <f t="shared" si="4"/>
        <v>1398651.5517217382</v>
      </c>
      <c r="X24" s="122">
        <f t="shared" si="4"/>
        <v>1478487.1434302733</v>
      </c>
    </row>
    <row r="25" spans="1:24">
      <c r="A25" s="101">
        <v>14</v>
      </c>
      <c r="B25" s="111" t="s">
        <v>117</v>
      </c>
      <c r="D25" s="331">
        <v>284</v>
      </c>
      <c r="F25" s="331">
        <v>284</v>
      </c>
      <c r="H25" s="331">
        <v>442</v>
      </c>
      <c r="J25" s="321"/>
      <c r="K25" s="322"/>
      <c r="L25" s="323"/>
      <c r="M25" s="321"/>
      <c r="N25" s="324"/>
      <c r="O25" s="115">
        <v>101.197</v>
      </c>
      <c r="P25" s="325"/>
      <c r="Q25" s="115">
        <v>620</v>
      </c>
      <c r="R25" s="325"/>
      <c r="S25" s="115">
        <v>492</v>
      </c>
      <c r="T25" s="325"/>
      <c r="U25" s="122"/>
      <c r="V25" s="122"/>
      <c r="W25" s="122"/>
      <c r="X25" s="122"/>
    </row>
    <row r="26" spans="1:24">
      <c r="A26" s="101">
        <v>15</v>
      </c>
      <c r="B26" s="111" t="s">
        <v>118</v>
      </c>
      <c r="D26" s="321">
        <f>SUM(D24:D25)</f>
        <v>616185.239359</v>
      </c>
      <c r="F26" s="321">
        <f>SUM(F24:F25)</f>
        <v>715503.4534304</v>
      </c>
      <c r="H26" s="321">
        <f>SUM(H24:H25)</f>
        <v>749937.24554680008</v>
      </c>
      <c r="J26" s="321">
        <f t="shared" ref="J26" si="5">SUM(J24)</f>
        <v>822232.32062400004</v>
      </c>
      <c r="K26" s="322"/>
      <c r="L26" s="323"/>
      <c r="M26" s="321">
        <f t="shared" ref="M26" si="6">SUM(M24)</f>
        <v>962461.34900000005</v>
      </c>
      <c r="N26" s="324"/>
      <c r="O26" s="115">
        <f>SUM(O24:O25)</f>
        <v>1154312.3539999996</v>
      </c>
      <c r="P26" s="325"/>
      <c r="Q26" s="115">
        <f>SUM(Q24:Q25)</f>
        <v>1162854.5759999999</v>
      </c>
      <c r="R26" s="325"/>
      <c r="S26" s="115">
        <f>S24+S25</f>
        <v>1207994.268858321</v>
      </c>
      <c r="T26" s="325"/>
      <c r="U26" s="122">
        <f t="shared" ref="U26:X26" si="7">SUM(U24)</f>
        <v>1256640.2228619724</v>
      </c>
      <c r="V26" s="122">
        <f t="shared" si="7"/>
        <v>1326827.8672423216</v>
      </c>
      <c r="W26" s="122">
        <f t="shared" si="7"/>
        <v>1398651.5517217382</v>
      </c>
      <c r="X26" s="122">
        <f t="shared" si="7"/>
        <v>1478487.1434302733</v>
      </c>
    </row>
    <row r="27" spans="1:24">
      <c r="A27" s="101">
        <v>16</v>
      </c>
      <c r="B27" s="111" t="s">
        <v>120</v>
      </c>
      <c r="D27" s="321"/>
      <c r="F27" s="321"/>
      <c r="H27" s="321"/>
      <c r="J27" s="321"/>
      <c r="K27" s="322"/>
      <c r="L27" s="323"/>
      <c r="M27" s="321"/>
      <c r="N27" s="324"/>
      <c r="O27" s="115"/>
      <c r="P27" s="325"/>
      <c r="Q27" s="115">
        <v>1064023.335</v>
      </c>
      <c r="R27" s="325"/>
      <c r="S27" s="115"/>
      <c r="T27" s="325"/>
      <c r="U27" s="122"/>
      <c r="V27" s="122"/>
      <c r="W27" s="122"/>
      <c r="X27" s="122"/>
    </row>
    <row r="28" spans="1:24">
      <c r="A28" s="101">
        <v>17</v>
      </c>
      <c r="B28" s="111" t="s">
        <v>121</v>
      </c>
      <c r="D28" s="354">
        <f>553299.594/616185</f>
        <v>0.89794395189756326</v>
      </c>
      <c r="F28" s="354">
        <f>SUM(F29/F26)</f>
        <v>0.9021516344963243</v>
      </c>
      <c r="H28" s="354">
        <f>681556573/749937000</f>
        <v>0.90881843808213225</v>
      </c>
      <c r="J28" s="355">
        <f>765508.488/822232</f>
        <v>0.93101276525360244</v>
      </c>
      <c r="K28" s="356"/>
      <c r="L28" s="334"/>
      <c r="M28" s="354">
        <f>898630/M26</f>
        <v>0.93367905208212154</v>
      </c>
      <c r="N28" s="357"/>
      <c r="O28" s="354">
        <f>1070854.593/O26</f>
        <v>0.92769915291056526</v>
      </c>
      <c r="P28" s="357"/>
      <c r="Q28" s="858">
        <f>Q27/Q26</f>
        <v>0.91500980170713975</v>
      </c>
      <c r="R28" s="859"/>
      <c r="S28" s="121">
        <f>SUM(Q28)</f>
        <v>0.91500980170713975</v>
      </c>
      <c r="T28" s="859"/>
      <c r="U28" s="360">
        <f>SUM(S28)</f>
        <v>0.91500980170713975</v>
      </c>
      <c r="V28" s="360">
        <f t="shared" ref="V28:X28" si="8">SUM(U28)</f>
        <v>0.91500980170713975</v>
      </c>
      <c r="W28" s="360">
        <f t="shared" si="8"/>
        <v>0.91500980170713975</v>
      </c>
      <c r="X28" s="360">
        <f t="shared" si="8"/>
        <v>0.91500980170713975</v>
      </c>
    </row>
    <row r="29" spans="1:24">
      <c r="A29" s="101">
        <v>18</v>
      </c>
      <c r="B29" s="111" t="s">
        <v>123</v>
      </c>
      <c r="D29" s="321">
        <f>SUM(D26*D28)</f>
        <v>553299.80893096642</v>
      </c>
      <c r="F29" s="321">
        <v>645492.61</v>
      </c>
      <c r="H29" s="321">
        <f t="shared" ref="H29:J29" si="9">SUM(H26*H28)</f>
        <v>681556.79615745938</v>
      </c>
      <c r="J29" s="321">
        <f t="shared" si="9"/>
        <v>765508.78650503687</v>
      </c>
      <c r="K29" s="322"/>
      <c r="L29" s="323"/>
      <c r="M29" s="321">
        <f t="shared" ref="M29:X29" si="10">SUM(M26*M28)</f>
        <v>898630</v>
      </c>
      <c r="N29" s="324"/>
      <c r="O29" s="321">
        <f t="shared" si="10"/>
        <v>1070854.5930000001</v>
      </c>
      <c r="P29" s="324"/>
      <c r="Q29" s="321">
        <f>SUM(Q26*Q28)</f>
        <v>1064023.335</v>
      </c>
      <c r="S29" s="122">
        <f t="shared" si="10"/>
        <v>1105326.5964114135</v>
      </c>
      <c r="U29" s="122">
        <f t="shared" si="10"/>
        <v>1149838.1211381492</v>
      </c>
      <c r="V29" s="122">
        <f t="shared" si="10"/>
        <v>1214060.5037049039</v>
      </c>
      <c r="W29" s="122">
        <f t="shared" si="10"/>
        <v>1279779.878998291</v>
      </c>
      <c r="X29" s="122">
        <f t="shared" si="10"/>
        <v>1352830.2279366897</v>
      </c>
    </row>
    <row r="30" spans="1:24">
      <c r="A30" s="101">
        <v>19</v>
      </c>
      <c r="B30" s="111" t="s">
        <v>125</v>
      </c>
      <c r="D30" s="321">
        <v>0</v>
      </c>
      <c r="F30" s="321">
        <v>0</v>
      </c>
      <c r="H30" s="321">
        <v>0</v>
      </c>
      <c r="J30" s="321">
        <v>0</v>
      </c>
      <c r="K30" s="322"/>
      <c r="L30" s="323"/>
      <c r="M30" s="116">
        <v>0</v>
      </c>
      <c r="N30" s="324"/>
      <c r="O30" s="321">
        <v>0</v>
      </c>
      <c r="P30" s="324"/>
      <c r="Q30" s="321">
        <v>0</v>
      </c>
      <c r="R30" s="324"/>
      <c r="S30" s="122">
        <v>0</v>
      </c>
      <c r="T30" s="324"/>
      <c r="U30" s="122">
        <v>0</v>
      </c>
      <c r="V30" s="122">
        <v>0</v>
      </c>
      <c r="W30" s="122">
        <v>0</v>
      </c>
      <c r="X30" s="122">
        <v>0</v>
      </c>
    </row>
    <row r="31" spans="1:24">
      <c r="A31" s="101">
        <v>20</v>
      </c>
      <c r="B31" s="111"/>
      <c r="D31" s="364">
        <f>SUM(D29:D30)</f>
        <v>553299.80893096642</v>
      </c>
      <c r="F31" s="364">
        <f>SUM(F29:F30)</f>
        <v>645492.61</v>
      </c>
      <c r="H31" s="364">
        <f t="shared" ref="H31:J31" si="11">SUM(H29:H30)</f>
        <v>681556.79615745938</v>
      </c>
      <c r="J31" s="364">
        <f t="shared" si="11"/>
        <v>765508.78650503687</v>
      </c>
      <c r="K31" s="365"/>
      <c r="L31" s="366"/>
      <c r="M31" s="364">
        <f t="shared" ref="M31:X31" si="12">SUM(M29:M30)</f>
        <v>898630</v>
      </c>
      <c r="N31" s="367"/>
      <c r="O31" s="364">
        <f t="shared" si="12"/>
        <v>1070854.5930000001</v>
      </c>
      <c r="P31" s="367"/>
      <c r="Q31" s="364">
        <f t="shared" si="12"/>
        <v>1064023.335</v>
      </c>
      <c r="R31" s="367"/>
      <c r="S31" s="123">
        <f t="shared" si="12"/>
        <v>1105326.5964114135</v>
      </c>
      <c r="T31" s="367"/>
      <c r="U31" s="123">
        <f t="shared" si="12"/>
        <v>1149838.1211381492</v>
      </c>
      <c r="V31" s="123">
        <f t="shared" si="12"/>
        <v>1214060.5037049039</v>
      </c>
      <c r="W31" s="123">
        <f t="shared" si="12"/>
        <v>1279779.878998291</v>
      </c>
      <c r="X31" s="123">
        <f t="shared" si="12"/>
        <v>1352830.2279366897</v>
      </c>
    </row>
    <row r="32" spans="1:24" ht="15.75">
      <c r="A32" s="101">
        <v>21</v>
      </c>
      <c r="B32" s="111" t="s">
        <v>126</v>
      </c>
      <c r="C32" s="371"/>
      <c r="D32" s="372">
        <v>1.2009000000000001E-2</v>
      </c>
      <c r="F32" s="372">
        <v>1.2201999999999999E-2</v>
      </c>
      <c r="H32" s="373">
        <v>1.2663000000000001E-2</v>
      </c>
      <c r="I32" s="374">
        <f>SUM(J32-H32)/H32</f>
        <v>-1.9799564229200275E-2</v>
      </c>
      <c r="J32" s="373">
        <f>+J34/J31</f>
        <v>1.2412278118165638E-2</v>
      </c>
      <c r="K32" s="375"/>
      <c r="L32" s="376">
        <f>SUM(M32-J32)/J32</f>
        <v>1.1914378047644822E-2</v>
      </c>
      <c r="M32" s="377">
        <f>SUM(M34/M31)</f>
        <v>1.2560162692097972E-2</v>
      </c>
      <c r="N32" s="378">
        <f>SUM((O32-M32)/M32)</f>
        <v>-3.3482431633753494E-2</v>
      </c>
      <c r="O32" s="373">
        <f>12999.77053/1070855</f>
        <v>1.2139617903450981E-2</v>
      </c>
      <c r="P32" s="378">
        <f>SUM((Q32-O32)/O32)</f>
        <v>-1.8509541639643912E-2</v>
      </c>
      <c r="Q32" s="373">
        <f>12677752/1064023335</f>
        <v>1.1914919140377688E-2</v>
      </c>
      <c r="R32" s="379">
        <v>0</v>
      </c>
      <c r="S32" s="124">
        <f>SUM(Q32*(1+R32))</f>
        <v>1.1914919140377688E-2</v>
      </c>
      <c r="T32" s="379">
        <v>0</v>
      </c>
      <c r="U32" s="141">
        <f>SUM(S32*(1+T32))</f>
        <v>1.1914919140377688E-2</v>
      </c>
      <c r="V32" s="141">
        <f>SUM(U32*(1+T32))</f>
        <v>1.1914919140377688E-2</v>
      </c>
      <c r="W32" s="141">
        <f>SUM(V32*(1+T32))</f>
        <v>1.1914919140377688E-2</v>
      </c>
      <c r="X32" s="141">
        <f>SUM(W32*(1+T32))</f>
        <v>1.1914919140377688E-2</v>
      </c>
    </row>
    <row r="33" spans="1:24">
      <c r="A33" s="101">
        <v>22</v>
      </c>
      <c r="B33" s="111"/>
      <c r="D33" s="381"/>
      <c r="F33" s="382"/>
      <c r="H33" s="382"/>
      <c r="J33" s="382"/>
      <c r="K33" s="383"/>
      <c r="L33" s="323"/>
      <c r="M33" s="381"/>
      <c r="N33" s="383"/>
      <c r="O33" s="382"/>
      <c r="P33" s="383"/>
      <c r="Q33" s="382"/>
      <c r="R33" s="383"/>
      <c r="S33" s="125"/>
      <c r="T33" s="383"/>
      <c r="U33" s="125"/>
      <c r="V33" s="125"/>
      <c r="W33" s="125"/>
      <c r="X33" s="125"/>
    </row>
    <row r="34" spans="1:24" ht="13.5" thickBot="1">
      <c r="A34" s="101">
        <v>23</v>
      </c>
      <c r="B34" s="111" t="s">
        <v>128</v>
      </c>
      <c r="D34" s="386">
        <f>SUM(D31*D32)</f>
        <v>6644.5774054519761</v>
      </c>
      <c r="F34" s="386">
        <f>SUM(F31*F32)</f>
        <v>7876.3008272199995</v>
      </c>
      <c r="H34" s="386">
        <f t="shared" ref="H34" si="13">SUM(H31*H32)</f>
        <v>8630.5537097419092</v>
      </c>
      <c r="J34" s="386">
        <v>9501.7079599999997</v>
      </c>
      <c r="K34" s="387"/>
      <c r="L34" s="388"/>
      <c r="M34" s="386">
        <v>11286.939</v>
      </c>
      <c r="N34" s="387"/>
      <c r="O34" s="386">
        <f t="shared" ref="O34:X34" si="14">SUM(O31*O32)</f>
        <v>12999.765589175515</v>
      </c>
      <c r="P34" s="387"/>
      <c r="Q34" s="386">
        <f t="shared" si="14"/>
        <v>12677.752</v>
      </c>
      <c r="R34" s="387"/>
      <c r="S34" s="126">
        <f t="shared" si="14"/>
        <v>13169.877019950874</v>
      </c>
      <c r="T34" s="387"/>
      <c r="U34" s="126">
        <f t="shared" si="14"/>
        <v>13700.228237884852</v>
      </c>
      <c r="V34" s="126">
        <f t="shared" si="14"/>
        <v>14465.432733170137</v>
      </c>
      <c r="W34" s="126">
        <f t="shared" si="14"/>
        <v>15248.473775746979</v>
      </c>
      <c r="X34" s="126">
        <f t="shared" si="14"/>
        <v>16118.862776524375</v>
      </c>
    </row>
    <row r="35" spans="1:24" ht="13.5" thickTop="1">
      <c r="A35" s="101">
        <v>24</v>
      </c>
      <c r="B35" s="111"/>
      <c r="D35" s="391"/>
      <c r="F35" s="127"/>
      <c r="G35" s="127"/>
      <c r="H35" s="127"/>
      <c r="J35" s="127"/>
      <c r="K35" s="127"/>
      <c r="L35" s="392"/>
      <c r="M35" s="393"/>
      <c r="N35" s="127"/>
      <c r="O35" s="127"/>
      <c r="P35" s="127"/>
      <c r="Q35" s="127"/>
      <c r="R35" s="127"/>
      <c r="S35" s="127"/>
      <c r="T35" s="127"/>
      <c r="U35" s="127"/>
      <c r="V35" s="127"/>
      <c r="W35" s="127"/>
      <c r="X35" s="127"/>
    </row>
    <row r="36" spans="1:24">
      <c r="A36" s="101">
        <v>25</v>
      </c>
      <c r="B36" s="128"/>
      <c r="D36" s="129"/>
      <c r="F36" s="129"/>
      <c r="H36" s="129"/>
      <c r="J36" s="129"/>
      <c r="K36" s="177"/>
      <c r="L36" s="396"/>
      <c r="M36" s="129"/>
      <c r="N36" s="177"/>
      <c r="O36" s="129"/>
      <c r="P36" s="177"/>
      <c r="Q36" s="129"/>
      <c r="R36" s="177"/>
      <c r="S36" s="129"/>
      <c r="T36" s="177"/>
      <c r="U36" s="155"/>
      <c r="V36" s="155"/>
      <c r="W36" s="155"/>
      <c r="X36" s="155"/>
    </row>
    <row r="37" spans="1:24">
      <c r="A37" s="101">
        <v>26</v>
      </c>
      <c r="B37" s="130"/>
      <c r="D37" s="131" t="s">
        <v>265</v>
      </c>
      <c r="F37" s="131" t="s">
        <v>253</v>
      </c>
      <c r="H37" s="131" t="s">
        <v>254</v>
      </c>
      <c r="J37" s="131" t="s">
        <v>266</v>
      </c>
      <c r="K37" s="399"/>
      <c r="L37" s="308"/>
      <c r="M37" s="131" t="s">
        <v>267</v>
      </c>
      <c r="N37" s="307"/>
      <c r="O37" s="131" t="s">
        <v>268</v>
      </c>
      <c r="P37" s="307"/>
      <c r="Q37" s="131" t="s">
        <v>269</v>
      </c>
      <c r="R37" s="307"/>
      <c r="S37" s="131" t="s">
        <v>104</v>
      </c>
      <c r="T37" s="307"/>
      <c r="U37" s="112" t="s">
        <v>259</v>
      </c>
      <c r="V37" s="112" t="s">
        <v>260</v>
      </c>
      <c r="W37" s="112" t="s">
        <v>261</v>
      </c>
      <c r="X37" s="112" t="s">
        <v>262</v>
      </c>
    </row>
    <row r="38" spans="1:24" ht="19.5">
      <c r="A38" s="101">
        <v>27</v>
      </c>
      <c r="B38" s="132" t="s">
        <v>130</v>
      </c>
      <c r="D38" s="311"/>
      <c r="F38" s="133"/>
      <c r="H38" s="133"/>
      <c r="J38" s="312"/>
      <c r="K38" s="313"/>
      <c r="L38" s="314"/>
      <c r="M38" s="133"/>
      <c r="N38" s="315"/>
      <c r="O38" s="133"/>
      <c r="P38" s="315"/>
      <c r="Q38" s="133"/>
      <c r="R38" s="315"/>
      <c r="S38" s="133"/>
      <c r="T38" s="315"/>
      <c r="U38" s="156"/>
      <c r="V38" s="156"/>
      <c r="W38" s="156"/>
      <c r="X38" s="156"/>
    </row>
    <row r="39" spans="1:24">
      <c r="A39" s="101">
        <v>28</v>
      </c>
      <c r="B39" s="130"/>
      <c r="D39" s="133"/>
      <c r="F39" s="133"/>
      <c r="H39" s="133"/>
      <c r="J39" s="312"/>
      <c r="K39" s="313"/>
      <c r="L39" s="314"/>
      <c r="M39" s="133"/>
      <c r="N39" s="315"/>
      <c r="O39" s="133"/>
      <c r="P39" s="315"/>
      <c r="Q39" s="133"/>
      <c r="R39" s="315"/>
      <c r="S39" s="133"/>
      <c r="T39" s="315"/>
      <c r="U39" s="156"/>
      <c r="V39" s="156"/>
      <c r="W39" s="156"/>
      <c r="X39" s="156"/>
    </row>
    <row r="40" spans="1:24">
      <c r="A40" s="101">
        <v>29</v>
      </c>
      <c r="B40" s="130" t="s">
        <v>131</v>
      </c>
      <c r="D40" s="321">
        <v>1578492</v>
      </c>
      <c r="F40" s="321">
        <v>1699083.2690000001</v>
      </c>
      <c r="H40" s="321">
        <v>1795440.777</v>
      </c>
      <c r="J40" s="321">
        <v>1871167</v>
      </c>
      <c r="K40" s="322"/>
      <c r="L40" s="323"/>
      <c r="M40" s="321">
        <v>1892078.206</v>
      </c>
      <c r="N40" s="324"/>
      <c r="O40" s="115">
        <v>2018725.2420000001</v>
      </c>
      <c r="P40" s="325"/>
      <c r="Q40" s="115">
        <v>2098023.2439999999</v>
      </c>
      <c r="R40" s="325"/>
      <c r="S40" s="115">
        <v>2268109</v>
      </c>
      <c r="T40" s="325"/>
      <c r="U40" s="122">
        <f>SUM(S40:S46)</f>
        <v>2268109</v>
      </c>
      <c r="V40" s="122">
        <f t="shared" ref="V40:X40" si="15">SUM(U40:U46)</f>
        <v>2361704.9270000001</v>
      </c>
      <c r="W40" s="122">
        <f t="shared" si="15"/>
        <v>2495395.4270000001</v>
      </c>
      <c r="X40" s="122">
        <f t="shared" si="15"/>
        <v>2632202.1880000001</v>
      </c>
    </row>
    <row r="41" spans="1:24">
      <c r="A41" s="101">
        <v>30</v>
      </c>
      <c r="B41" s="130" t="s">
        <v>108</v>
      </c>
      <c r="D41" s="321"/>
      <c r="F41" s="321"/>
      <c r="H41" s="321"/>
      <c r="J41" s="321"/>
      <c r="K41" s="322"/>
      <c r="L41" s="401"/>
      <c r="M41" s="134"/>
      <c r="N41" s="402"/>
      <c r="O41" s="115"/>
      <c r="P41" s="325"/>
      <c r="Q41" s="134"/>
      <c r="R41" s="325"/>
      <c r="S41" s="134"/>
      <c r="T41" s="325"/>
      <c r="U41" s="403"/>
      <c r="V41" s="403"/>
      <c r="W41" s="403"/>
      <c r="X41" s="403"/>
    </row>
    <row r="42" spans="1:24">
      <c r="A42" s="101">
        <v>31</v>
      </c>
      <c r="B42" s="117" t="s">
        <v>109</v>
      </c>
      <c r="D42" s="321"/>
      <c r="F42" s="135"/>
      <c r="H42" s="116"/>
      <c r="J42" s="135"/>
      <c r="K42" s="404"/>
      <c r="L42" s="405"/>
      <c r="M42" s="135"/>
      <c r="N42" s="404"/>
      <c r="O42" s="115"/>
      <c r="P42" s="325"/>
      <c r="Q42" s="116"/>
      <c r="R42" s="325"/>
      <c r="S42" s="116">
        <f>SUM(S17)</f>
        <v>0</v>
      </c>
      <c r="T42" s="325"/>
      <c r="U42" s="406">
        <f t="shared" ref="U42:X46" si="16">SUM(U17)</f>
        <v>291856.06300000002</v>
      </c>
      <c r="V42" s="406">
        <f t="shared" si="16"/>
        <v>281976.68699999998</v>
      </c>
      <c r="W42" s="406">
        <f t="shared" si="16"/>
        <v>276328.47399999999</v>
      </c>
      <c r="X42" s="406">
        <f t="shared" si="16"/>
        <v>313127.50799999997</v>
      </c>
    </row>
    <row r="43" spans="1:24">
      <c r="A43" s="101">
        <v>32</v>
      </c>
      <c r="B43" s="117" t="s">
        <v>110</v>
      </c>
      <c r="D43" s="321"/>
      <c r="F43" s="135"/>
      <c r="H43" s="116"/>
      <c r="J43" s="135"/>
      <c r="K43" s="404"/>
      <c r="L43" s="405"/>
      <c r="M43" s="135"/>
      <c r="N43" s="404"/>
      <c r="O43" s="115"/>
      <c r="P43" s="325"/>
      <c r="Q43" s="135"/>
      <c r="R43" s="325"/>
      <c r="S43" s="135">
        <f>SUM(S18)</f>
        <v>0</v>
      </c>
      <c r="T43" s="325"/>
      <c r="U43" s="406">
        <f t="shared" si="16"/>
        <v>-94410.135999999999</v>
      </c>
      <c r="V43" s="406">
        <f t="shared" si="16"/>
        <v>-41436.186999999998</v>
      </c>
      <c r="W43" s="406">
        <f t="shared" si="16"/>
        <v>-35671.713000000003</v>
      </c>
      <c r="X43" s="406">
        <f t="shared" si="16"/>
        <v>-57210</v>
      </c>
    </row>
    <row r="44" spans="1:24">
      <c r="A44" s="101">
        <v>33</v>
      </c>
      <c r="B44" s="117" t="s">
        <v>111</v>
      </c>
      <c r="D44" s="321"/>
      <c r="F44" s="135"/>
      <c r="H44" s="116"/>
      <c r="J44" s="135"/>
      <c r="K44" s="404"/>
      <c r="L44" s="405"/>
      <c r="M44" s="135"/>
      <c r="N44" s="404"/>
      <c r="O44" s="115"/>
      <c r="P44" s="325"/>
      <c r="Q44" s="135"/>
      <c r="R44" s="325"/>
      <c r="S44" s="135">
        <f>SUM(S19)</f>
        <v>0</v>
      </c>
      <c r="T44" s="325"/>
      <c r="U44" s="406">
        <f t="shared" si="16"/>
        <v>0</v>
      </c>
      <c r="V44" s="406">
        <f t="shared" si="16"/>
        <v>0</v>
      </c>
      <c r="W44" s="406">
        <f t="shared" si="16"/>
        <v>0</v>
      </c>
      <c r="X44" s="406">
        <f t="shared" si="16"/>
        <v>0</v>
      </c>
    </row>
    <row r="45" spans="1:24">
      <c r="A45" s="101">
        <v>34</v>
      </c>
      <c r="B45" s="117" t="s">
        <v>112</v>
      </c>
      <c r="D45" s="321"/>
      <c r="F45" s="135"/>
      <c r="H45" s="116"/>
      <c r="J45" s="135"/>
      <c r="K45" s="404"/>
      <c r="L45" s="405"/>
      <c r="M45" s="135"/>
      <c r="N45" s="404"/>
      <c r="O45" s="115"/>
      <c r="P45" s="325"/>
      <c r="Q45" s="135"/>
      <c r="R45" s="325"/>
      <c r="S45" s="135">
        <f>SUM(S20)</f>
        <v>0</v>
      </c>
      <c r="T45" s="325"/>
      <c r="U45" s="406">
        <f t="shared" si="16"/>
        <v>-7850</v>
      </c>
      <c r="V45" s="406">
        <f t="shared" si="16"/>
        <v>-10850</v>
      </c>
      <c r="W45" s="406">
        <f t="shared" si="16"/>
        <v>-7850</v>
      </c>
      <c r="X45" s="406">
        <f t="shared" si="16"/>
        <v>-7850</v>
      </c>
    </row>
    <row r="46" spans="1:24">
      <c r="A46" s="101">
        <v>35</v>
      </c>
      <c r="B46" s="111" t="s">
        <v>132</v>
      </c>
      <c r="D46" s="321"/>
      <c r="F46" s="135"/>
      <c r="H46" s="116"/>
      <c r="J46" s="135"/>
      <c r="K46" s="404"/>
      <c r="L46" s="405"/>
      <c r="M46" s="135"/>
      <c r="N46" s="404"/>
      <c r="O46" s="115"/>
      <c r="P46" s="325"/>
      <c r="Q46" s="135"/>
      <c r="R46" s="325"/>
      <c r="S46" s="135">
        <f>SUM(S21)</f>
        <v>0</v>
      </c>
      <c r="T46" s="325"/>
      <c r="U46" s="406">
        <f t="shared" si="16"/>
        <v>-96000</v>
      </c>
      <c r="V46" s="406">
        <f t="shared" si="16"/>
        <v>-96000</v>
      </c>
      <c r="W46" s="406">
        <f t="shared" si="16"/>
        <v>-96000</v>
      </c>
      <c r="X46" s="406">
        <f t="shared" si="16"/>
        <v>-96000</v>
      </c>
    </row>
    <row r="47" spans="1:24">
      <c r="A47" s="101">
        <v>36</v>
      </c>
      <c r="B47" s="130" t="s">
        <v>133</v>
      </c>
      <c r="D47" s="331"/>
      <c r="F47" s="332"/>
      <c r="H47" s="118"/>
      <c r="J47" s="332"/>
      <c r="K47" s="333"/>
      <c r="L47" s="334"/>
      <c r="M47" s="332"/>
      <c r="N47" s="333"/>
      <c r="O47" s="179"/>
      <c r="P47" s="335"/>
      <c r="Q47" s="136" t="s">
        <v>270</v>
      </c>
      <c r="R47" s="335"/>
      <c r="S47" s="136"/>
      <c r="T47" s="335"/>
      <c r="U47" s="407"/>
      <c r="V47" s="407"/>
      <c r="W47" s="407"/>
      <c r="X47" s="407"/>
    </row>
    <row r="48" spans="1:24">
      <c r="A48" s="101">
        <v>37</v>
      </c>
      <c r="B48" s="130" t="s">
        <v>134</v>
      </c>
      <c r="D48" s="339">
        <v>1</v>
      </c>
      <c r="F48" s="339">
        <v>1</v>
      </c>
      <c r="H48" s="339">
        <v>1</v>
      </c>
      <c r="J48" s="339">
        <v>1</v>
      </c>
      <c r="K48" s="340"/>
      <c r="L48" s="323"/>
      <c r="M48" s="339">
        <v>1</v>
      </c>
      <c r="N48" s="342"/>
      <c r="O48" s="119">
        <v>1</v>
      </c>
      <c r="P48" s="343"/>
      <c r="Q48" s="119">
        <v>1</v>
      </c>
      <c r="R48" s="343"/>
      <c r="S48" s="119">
        <v>1</v>
      </c>
      <c r="T48" s="343"/>
      <c r="U48" s="157">
        <v>1</v>
      </c>
      <c r="V48" s="157">
        <v>1</v>
      </c>
      <c r="W48" s="157">
        <v>1</v>
      </c>
      <c r="X48" s="157">
        <v>1</v>
      </c>
    </row>
    <row r="49" spans="1:24">
      <c r="A49" s="101">
        <v>38</v>
      </c>
      <c r="B49" s="130" t="s">
        <v>135</v>
      </c>
      <c r="D49" s="346">
        <v>0.25974900000000001</v>
      </c>
      <c r="F49" s="408">
        <v>0.24714743</v>
      </c>
      <c r="H49" s="349">
        <v>0.24893693</v>
      </c>
      <c r="J49" s="346">
        <f>478010267/1871166525</f>
        <v>0.2554611044038424</v>
      </c>
      <c r="K49" s="347"/>
      <c r="L49" s="348"/>
      <c r="M49" s="346">
        <f>479016601/1892078206</f>
        <v>0.25316955688247061</v>
      </c>
      <c r="N49" s="350"/>
      <c r="O49" s="120">
        <f>515171.974/2018725.242</f>
        <v>0.25519667723063028</v>
      </c>
      <c r="P49" s="351"/>
      <c r="Q49" s="137">
        <f>514394.545/2098023.244</f>
        <v>0.24518057484400302</v>
      </c>
      <c r="R49" s="351"/>
      <c r="S49" s="137">
        <v>0.24651799999999999</v>
      </c>
      <c r="T49" s="351"/>
      <c r="U49" s="158">
        <f>SUM(S49)</f>
        <v>0.24651799999999999</v>
      </c>
      <c r="V49" s="158">
        <f t="shared" ref="V49:X49" si="17">SUM(U49)</f>
        <v>0.24651799999999999</v>
      </c>
      <c r="W49" s="158">
        <f t="shared" si="17"/>
        <v>0.24651799999999999</v>
      </c>
      <c r="X49" s="158">
        <f t="shared" si="17"/>
        <v>0.24651799999999999</v>
      </c>
    </row>
    <row r="50" spans="1:24">
      <c r="A50" s="101">
        <v>39</v>
      </c>
      <c r="B50" s="130" t="s">
        <v>116</v>
      </c>
      <c r="D50" s="321">
        <f>SUM(D40:D46)*D48*D49</f>
        <v>410011.71850800002</v>
      </c>
      <c r="F50" s="321">
        <f>SUM(F40:F47)*F48*F49</f>
        <v>419924.06328934868</v>
      </c>
      <c r="H50" s="321">
        <f t="shared" ref="H50:J50" si="18">SUM(H40:H47)*H48*H49</f>
        <v>446951.5150231946</v>
      </c>
      <c r="J50" s="321">
        <f t="shared" si="18"/>
        <v>478010.38834402454</v>
      </c>
      <c r="K50" s="322"/>
      <c r="L50" s="323"/>
      <c r="M50" s="321">
        <f t="shared" ref="M50:O50" si="19">SUM(M40:M47)*M48*M49</f>
        <v>479016.60099999997</v>
      </c>
      <c r="N50" s="324"/>
      <c r="O50" s="115">
        <f t="shared" si="19"/>
        <v>515171.97399999999</v>
      </c>
      <c r="P50" s="325"/>
      <c r="Q50" s="138">
        <f t="shared" ref="Q50:X50" si="20">SUM(Q40:Q47)*Q48*Q49</f>
        <v>514394.54499999998</v>
      </c>
      <c r="R50" s="325"/>
      <c r="S50" s="138">
        <f t="shared" si="20"/>
        <v>559129.69446199993</v>
      </c>
      <c r="T50" s="325"/>
      <c r="U50" s="122">
        <f t="shared" si="20"/>
        <v>582202.77519418602</v>
      </c>
      <c r="V50" s="122">
        <f t="shared" si="20"/>
        <v>615159.88987318601</v>
      </c>
      <c r="W50" s="122">
        <f t="shared" si="20"/>
        <v>648885.21898138395</v>
      </c>
      <c r="X50" s="122">
        <f t="shared" si="20"/>
        <v>686372.59691852797</v>
      </c>
    </row>
    <row r="51" spans="1:24">
      <c r="A51" s="101">
        <v>40</v>
      </c>
      <c r="B51" s="130" t="s">
        <v>117</v>
      </c>
      <c r="D51" s="331">
        <f>(5887+8589+229+382)*-1</f>
        <v>-15087</v>
      </c>
      <c r="F51" s="331">
        <f>-3975.631-8936.384-222.924-283</f>
        <v>-13417.939</v>
      </c>
      <c r="H51" s="331">
        <f>-10488.681-9022.891-264.554-322.957</f>
        <v>-20099.082999999999</v>
      </c>
      <c r="J51" s="331">
        <f>-8904.767-211.228-231.129</f>
        <v>-9347.1239999999998</v>
      </c>
      <c r="K51" s="409"/>
      <c r="L51" s="334"/>
      <c r="M51" s="331">
        <f>-8573.011-238.474-810.181</f>
        <v>-9621.6660000000011</v>
      </c>
      <c r="N51" s="333"/>
      <c r="O51" s="179">
        <f>-8697.667-262.431-1000-301.639</f>
        <v>-10261.736999999999</v>
      </c>
      <c r="P51" s="335"/>
      <c r="Q51" s="139">
        <f>-7890.157-307.219-1000-443.168</f>
        <v>-9640.5439999999999</v>
      </c>
      <c r="R51" s="335"/>
      <c r="S51" s="139">
        <f>-9592-366</f>
        <v>-9958</v>
      </c>
      <c r="T51" s="335"/>
      <c r="U51" s="407">
        <f>SUM(S51)</f>
        <v>-9958</v>
      </c>
      <c r="V51" s="407">
        <f t="shared" ref="V51:X51" si="21">SUM(U51)</f>
        <v>-9958</v>
      </c>
      <c r="W51" s="407">
        <f t="shared" si="21"/>
        <v>-9958</v>
      </c>
      <c r="X51" s="407">
        <f t="shared" si="21"/>
        <v>-9958</v>
      </c>
    </row>
    <row r="52" spans="1:24">
      <c r="A52" s="101">
        <v>41</v>
      </c>
      <c r="B52" s="130" t="s">
        <v>118</v>
      </c>
      <c r="D52" s="321">
        <f>SUM(D50:D51)</f>
        <v>394924.71850800002</v>
      </c>
      <c r="F52" s="321">
        <f>SUM(F50:F51)</f>
        <v>406506.12428934866</v>
      </c>
      <c r="H52" s="321">
        <f>SUM(H50:H51)</f>
        <v>426852.43202319462</v>
      </c>
      <c r="J52" s="321">
        <f>SUM(J50:J51)</f>
        <v>468663.26434402453</v>
      </c>
      <c r="K52" s="322"/>
      <c r="L52" s="323"/>
      <c r="M52" s="321">
        <f t="shared" ref="M52:X52" si="22">SUM(M50:M51)</f>
        <v>469394.93499999994</v>
      </c>
      <c r="N52" s="324"/>
      <c r="O52" s="115">
        <f t="shared" si="22"/>
        <v>504910.23699999996</v>
      </c>
      <c r="P52" s="325"/>
      <c r="Q52" s="115">
        <f t="shared" si="22"/>
        <v>504754.00099999999</v>
      </c>
      <c r="R52" s="325"/>
      <c r="S52" s="115">
        <f t="shared" si="22"/>
        <v>549171.69446199993</v>
      </c>
      <c r="T52" s="325"/>
      <c r="U52" s="122">
        <f t="shared" si="22"/>
        <v>572244.77519418602</v>
      </c>
      <c r="V52" s="122">
        <f t="shared" si="22"/>
        <v>605201.88987318601</v>
      </c>
      <c r="W52" s="122">
        <f t="shared" si="22"/>
        <v>638927.21898138395</v>
      </c>
      <c r="X52" s="122">
        <f t="shared" si="22"/>
        <v>676414.59691852797</v>
      </c>
    </row>
    <row r="53" spans="1:24">
      <c r="A53" s="101">
        <v>42</v>
      </c>
      <c r="B53" s="130" t="s">
        <v>136</v>
      </c>
      <c r="D53" s="410">
        <v>1</v>
      </c>
      <c r="F53" s="410">
        <v>1</v>
      </c>
      <c r="H53" s="410">
        <v>1</v>
      </c>
      <c r="J53" s="410">
        <v>1</v>
      </c>
      <c r="K53" s="411"/>
      <c r="L53" s="334"/>
      <c r="M53" s="410">
        <v>1</v>
      </c>
      <c r="N53" s="412"/>
      <c r="O53" s="140">
        <v>1</v>
      </c>
      <c r="P53" s="413"/>
      <c r="Q53" s="140">
        <v>1</v>
      </c>
      <c r="R53" s="413"/>
      <c r="S53" s="140">
        <v>1</v>
      </c>
      <c r="T53" s="413"/>
      <c r="U53" s="416">
        <v>1</v>
      </c>
      <c r="V53" s="416">
        <v>1</v>
      </c>
      <c r="W53" s="416">
        <v>1</v>
      </c>
      <c r="X53" s="416">
        <v>1</v>
      </c>
    </row>
    <row r="54" spans="1:24">
      <c r="A54" s="101">
        <v>43</v>
      </c>
      <c r="B54" s="130" t="s">
        <v>137</v>
      </c>
      <c r="D54" s="321">
        <f>SUM(D52*D53)</f>
        <v>394924.71850800002</v>
      </c>
      <c r="F54" s="321">
        <f>SUM(F52*F53)</f>
        <v>406506.12428934866</v>
      </c>
      <c r="H54" s="321">
        <f t="shared" ref="H54:J54" si="23">SUM(H52*H53)</f>
        <v>426852.43202319462</v>
      </c>
      <c r="J54" s="321">
        <f t="shared" si="23"/>
        <v>468663.26434402453</v>
      </c>
      <c r="K54" s="322"/>
      <c r="L54" s="323"/>
      <c r="M54" s="321">
        <f t="shared" ref="M54:X54" si="24">SUM(M52*M53)</f>
        <v>469394.93499999994</v>
      </c>
      <c r="N54" s="324"/>
      <c r="O54" s="115">
        <f t="shared" si="24"/>
        <v>504910.23699999996</v>
      </c>
      <c r="P54" s="325"/>
      <c r="Q54" s="115">
        <f t="shared" si="24"/>
        <v>504754.00099999999</v>
      </c>
      <c r="R54" s="325"/>
      <c r="S54" s="115">
        <f t="shared" si="24"/>
        <v>549171.69446199993</v>
      </c>
      <c r="T54" s="325"/>
      <c r="U54" s="122">
        <f t="shared" si="24"/>
        <v>572244.77519418602</v>
      </c>
      <c r="V54" s="122">
        <f t="shared" si="24"/>
        <v>605201.88987318601</v>
      </c>
      <c r="W54" s="122">
        <f t="shared" si="24"/>
        <v>638927.21898138395</v>
      </c>
      <c r="X54" s="122">
        <f t="shared" si="24"/>
        <v>676414.59691852797</v>
      </c>
    </row>
    <row r="55" spans="1:24">
      <c r="A55" s="101">
        <v>44</v>
      </c>
      <c r="B55" s="130" t="s">
        <v>138</v>
      </c>
      <c r="C55" s="417" t="e">
        <f>SUM(D55-#REF!)/D55</f>
        <v>#REF!</v>
      </c>
      <c r="D55" s="373">
        <f>3829943.98/394925312</f>
        <v>9.697894421110187E-3</v>
      </c>
      <c r="E55" s="418">
        <f>SUM(F55-D55)/F55</f>
        <v>9.0569557305089754E-2</v>
      </c>
      <c r="F55" s="373">
        <f>4334861/406506236</f>
        <v>1.06637011098644E-2</v>
      </c>
      <c r="G55" s="418">
        <f>SUM(H55-F55)/H55</f>
        <v>2.9513914282453545E-2</v>
      </c>
      <c r="H55" s="373">
        <v>1.0988E-2</v>
      </c>
      <c r="I55" s="419">
        <f>SUM(J55-H55)/H55</f>
        <v>4.0654360318626757E-2</v>
      </c>
      <c r="J55" s="373">
        <f>5359027.18/468663143</f>
        <v>1.143471011118107E-2</v>
      </c>
      <c r="K55" s="420"/>
      <c r="L55" s="421">
        <f>SUM(M55-J55)/J55</f>
        <v>1.3665332452170083E-2</v>
      </c>
      <c r="M55" s="373">
        <f>5440.743/469395</f>
        <v>1.159096922634455E-2</v>
      </c>
      <c r="N55" s="378">
        <f>SUM((O55-M55)/M55)</f>
        <v>-2.3012975508219759E-2</v>
      </c>
      <c r="O55" s="373">
        <f>5717.71522/504910</f>
        <v>1.1324226535422154E-2</v>
      </c>
      <c r="P55" s="422">
        <f>SUM(Q57-O57)/O57</f>
        <v>-7.4419402637072741E-3</v>
      </c>
      <c r="Q55" s="373">
        <f>5675.167/504754.002</f>
        <v>1.1243431409187718E-2</v>
      </c>
      <c r="R55" s="379">
        <f>R32</f>
        <v>0</v>
      </c>
      <c r="S55" s="141">
        <f>SUM(Q55*(1+R55))</f>
        <v>1.1243431409187718E-2</v>
      </c>
      <c r="T55" s="379">
        <f>T32</f>
        <v>0</v>
      </c>
      <c r="U55" s="141">
        <f>SUM(S55*(1+T55))</f>
        <v>1.1243431409187718E-2</v>
      </c>
      <c r="V55" s="141">
        <f>SUM(U55*(1+T55))</f>
        <v>1.1243431409187718E-2</v>
      </c>
      <c r="W55" s="141">
        <f>SUM(V55*(1+T55))</f>
        <v>1.1243431409187718E-2</v>
      </c>
      <c r="X55" s="141">
        <f>SUM(W55*(1+T55))</f>
        <v>1.1243431409187718E-2</v>
      </c>
    </row>
    <row r="56" spans="1:24">
      <c r="A56" s="101">
        <v>45</v>
      </c>
      <c r="B56" s="130"/>
      <c r="D56" s="381"/>
      <c r="F56" s="382"/>
      <c r="H56" s="382"/>
      <c r="J56" s="382"/>
      <c r="K56" s="423"/>
      <c r="L56" s="323"/>
      <c r="M56" s="382"/>
      <c r="N56" s="383"/>
      <c r="O56" s="382"/>
      <c r="P56" s="383"/>
      <c r="Q56" s="382"/>
      <c r="R56" s="383"/>
      <c r="S56" s="125"/>
      <c r="T56" s="383"/>
      <c r="U56" s="125"/>
      <c r="V56" s="125"/>
      <c r="W56" s="125"/>
      <c r="X56" s="125"/>
    </row>
    <row r="57" spans="1:24" ht="13.5" thickBot="1">
      <c r="A57" s="101">
        <v>46</v>
      </c>
      <c r="B57" s="142" t="s">
        <v>128</v>
      </c>
      <c r="D57" s="386">
        <f>SUM(D54*D55)</f>
        <v>3829.9382243772443</v>
      </c>
      <c r="F57" s="386">
        <f>SUM(F54*F55)</f>
        <v>4334.8598087510027</v>
      </c>
      <c r="H57" s="386">
        <f t="shared" ref="H57:J57" si="25">SUM(H54*H55)</f>
        <v>4690.254523070862</v>
      </c>
      <c r="J57" s="386">
        <f t="shared" si="25"/>
        <v>5359.0285675337436</v>
      </c>
      <c r="K57" s="424"/>
      <c r="L57" s="388"/>
      <c r="M57" s="386">
        <f t="shared" ref="M57:X57" si="26">SUM(M54*M55)</f>
        <v>5440.7422465869995</v>
      </c>
      <c r="N57" s="387"/>
      <c r="O57" s="425">
        <f t="shared" si="26"/>
        <v>5717.717903841688</v>
      </c>
      <c r="P57" s="387"/>
      <c r="Q57" s="386">
        <f t="shared" si="26"/>
        <v>5675.1669887565686</v>
      </c>
      <c r="R57" s="387"/>
      <c r="S57" s="126">
        <f t="shared" si="26"/>
        <v>6174.574278550891</v>
      </c>
      <c r="T57" s="387"/>
      <c r="U57" s="126">
        <f t="shared" si="26"/>
        <v>6433.9948791618763</v>
      </c>
      <c r="V57" s="126">
        <f t="shared" si="26"/>
        <v>6804.5459374999464</v>
      </c>
      <c r="W57" s="126">
        <f t="shared" si="26"/>
        <v>7183.7343620802512</v>
      </c>
      <c r="X57" s="126">
        <f t="shared" si="26"/>
        <v>7605.2211246268271</v>
      </c>
    </row>
    <row r="58" spans="1:24" ht="13.5" thickTop="1">
      <c r="A58" s="101">
        <v>47</v>
      </c>
      <c r="B58" s="143"/>
      <c r="D58" s="426"/>
      <c r="F58" s="144"/>
      <c r="G58" s="144"/>
      <c r="H58" s="144"/>
      <c r="J58" s="144"/>
      <c r="K58" s="144"/>
      <c r="L58" s="427"/>
      <c r="M58" s="428"/>
      <c r="N58" s="144"/>
      <c r="O58" s="144"/>
      <c r="P58" s="144"/>
      <c r="Q58" s="144"/>
      <c r="R58" s="144"/>
      <c r="S58" s="144"/>
      <c r="T58" s="144"/>
      <c r="U58" s="144"/>
      <c r="V58" s="144"/>
      <c r="W58" s="144"/>
      <c r="X58" s="144"/>
    </row>
    <row r="59" spans="1:24">
      <c r="A59" s="101">
        <v>48</v>
      </c>
      <c r="B59" s="145"/>
      <c r="D59" s="431"/>
      <c r="F59" s="129"/>
      <c r="H59" s="431"/>
      <c r="J59" s="431"/>
      <c r="K59" s="432"/>
      <c r="L59" s="396"/>
      <c r="M59" s="129"/>
      <c r="N59" s="177"/>
      <c r="O59" s="129"/>
      <c r="P59" s="177"/>
      <c r="Q59" s="129"/>
      <c r="R59" s="177"/>
      <c r="S59" s="129"/>
      <c r="T59" s="177"/>
      <c r="U59" s="155"/>
      <c r="V59" s="155"/>
      <c r="W59" s="155"/>
      <c r="X59" s="155"/>
    </row>
    <row r="60" spans="1:24">
      <c r="A60" s="101">
        <v>49</v>
      </c>
      <c r="B60" s="111"/>
      <c r="D60" s="131" t="s">
        <v>265</v>
      </c>
      <c r="F60" s="131" t="s">
        <v>253</v>
      </c>
      <c r="H60" s="131" t="s">
        <v>254</v>
      </c>
      <c r="J60" s="131" t="s">
        <v>266</v>
      </c>
      <c r="K60" s="399"/>
      <c r="L60" s="308"/>
      <c r="M60" s="131" t="s">
        <v>267</v>
      </c>
      <c r="N60" s="307"/>
      <c r="O60" s="131" t="s">
        <v>268</v>
      </c>
      <c r="P60" s="307"/>
      <c r="Q60" s="131" t="s">
        <v>269</v>
      </c>
      <c r="R60" s="307"/>
      <c r="S60" s="131" t="s">
        <v>104</v>
      </c>
      <c r="T60" s="307"/>
      <c r="U60" s="112" t="s">
        <v>259</v>
      </c>
      <c r="V60" s="112" t="s">
        <v>260</v>
      </c>
      <c r="W60" s="112" t="s">
        <v>261</v>
      </c>
      <c r="X60" s="112" t="s">
        <v>262</v>
      </c>
    </row>
    <row r="61" spans="1:24">
      <c r="A61" s="101">
        <v>50</v>
      </c>
      <c r="B61" s="113" t="s">
        <v>140</v>
      </c>
      <c r="D61" s="317" t="s">
        <v>141</v>
      </c>
      <c r="F61" s="317" t="s">
        <v>141</v>
      </c>
      <c r="H61" s="317" t="s">
        <v>141</v>
      </c>
      <c r="J61" s="146" t="s">
        <v>141</v>
      </c>
      <c r="K61" s="293"/>
      <c r="L61" s="319"/>
      <c r="M61" s="146" t="s">
        <v>141</v>
      </c>
      <c r="N61" s="320"/>
      <c r="O61" s="146" t="s">
        <v>141</v>
      </c>
      <c r="P61" s="293"/>
      <c r="Q61" s="146" t="s">
        <v>141</v>
      </c>
      <c r="R61" s="293"/>
      <c r="S61" s="146" t="s">
        <v>141</v>
      </c>
      <c r="T61" s="293"/>
      <c r="U61" s="114" t="s">
        <v>141</v>
      </c>
      <c r="V61" s="114" t="s">
        <v>141</v>
      </c>
      <c r="W61" s="114" t="s">
        <v>141</v>
      </c>
      <c r="X61" s="114" t="s">
        <v>141</v>
      </c>
    </row>
    <row r="62" spans="1:24">
      <c r="A62" s="101">
        <v>51</v>
      </c>
      <c r="B62" s="147" t="s">
        <v>142</v>
      </c>
      <c r="D62" s="433">
        <v>2200000</v>
      </c>
      <c r="E62" s="434"/>
      <c r="F62" s="433">
        <v>2320000</v>
      </c>
      <c r="H62" s="433">
        <v>2600000</v>
      </c>
      <c r="J62" s="433">
        <v>2700000</v>
      </c>
      <c r="K62" s="435"/>
      <c r="L62" s="436"/>
      <c r="M62" s="433">
        <v>2973000</v>
      </c>
      <c r="N62" s="437"/>
      <c r="O62" s="148">
        <v>3318000</v>
      </c>
      <c r="P62" s="438"/>
      <c r="Q62" s="148">
        <v>3431000</v>
      </c>
      <c r="R62" s="438"/>
      <c r="S62" s="148">
        <v>3761000</v>
      </c>
      <c r="T62" s="438"/>
      <c r="U62" s="440">
        <f>S62</f>
        <v>3761000</v>
      </c>
      <c r="V62" s="440">
        <f t="shared" ref="V62:X62" si="27">SUM(U62:U66)</f>
        <v>4005531.4550000001</v>
      </c>
      <c r="W62" s="440">
        <f t="shared" si="27"/>
        <v>4234094.557</v>
      </c>
      <c r="X62" s="440">
        <f t="shared" si="27"/>
        <v>4463698.9239999996</v>
      </c>
    </row>
    <row r="63" spans="1:24">
      <c r="A63" s="101">
        <v>52</v>
      </c>
      <c r="B63" s="111" t="s">
        <v>143</v>
      </c>
      <c r="D63" s="321">
        <v>1980000</v>
      </c>
      <c r="F63" s="321">
        <v>2088000</v>
      </c>
      <c r="H63" s="321">
        <v>2340000</v>
      </c>
      <c r="J63" s="321">
        <v>2430000</v>
      </c>
      <c r="K63" s="322"/>
      <c r="L63" s="323"/>
      <c r="M63" s="321">
        <v>2676000</v>
      </c>
      <c r="N63" s="324"/>
      <c r="O63" s="115">
        <v>2987000</v>
      </c>
      <c r="P63" s="325"/>
      <c r="Q63" s="115">
        <v>3088000</v>
      </c>
      <c r="R63" s="325"/>
      <c r="S63" s="115">
        <v>3385000</v>
      </c>
      <c r="T63" s="325"/>
      <c r="U63" s="122"/>
      <c r="V63" s="122"/>
      <c r="W63" s="122"/>
      <c r="X63" s="122"/>
    </row>
    <row r="64" spans="1:24">
      <c r="A64" s="101">
        <v>53</v>
      </c>
      <c r="B64" s="111" t="s">
        <v>144</v>
      </c>
      <c r="D64" s="321"/>
      <c r="F64" s="134"/>
      <c r="H64" s="116"/>
      <c r="J64" s="321"/>
      <c r="K64" s="322"/>
      <c r="L64" s="401"/>
      <c r="M64" s="321"/>
      <c r="N64" s="402"/>
      <c r="O64" s="115"/>
      <c r="P64" s="325"/>
      <c r="Q64" s="115"/>
      <c r="R64" s="325"/>
      <c r="S64" s="115"/>
      <c r="T64" s="325"/>
      <c r="U64" s="441">
        <f>SUM(U17+U126)</f>
        <v>367531.45500000002</v>
      </c>
      <c r="V64" s="441">
        <f t="shared" ref="V64:X64" si="28">SUM(V17+V126)</f>
        <v>351563.10199999996</v>
      </c>
      <c r="W64" s="441">
        <f t="shared" si="28"/>
        <v>352604.36699999997</v>
      </c>
      <c r="X64" s="441">
        <f t="shared" si="28"/>
        <v>381982.69699999999</v>
      </c>
    </row>
    <row r="65" spans="1:24">
      <c r="A65" s="101">
        <v>54</v>
      </c>
      <c r="B65" s="117" t="s">
        <v>111</v>
      </c>
      <c r="D65" s="321"/>
      <c r="F65" s="134"/>
      <c r="H65" s="116"/>
      <c r="J65" s="321"/>
      <c r="K65" s="322"/>
      <c r="L65" s="401"/>
      <c r="M65" s="321"/>
      <c r="N65" s="402"/>
      <c r="O65" s="115"/>
      <c r="P65" s="325"/>
      <c r="Q65" s="115"/>
      <c r="R65" s="325"/>
      <c r="S65" s="115"/>
      <c r="T65" s="325"/>
      <c r="U65" s="441"/>
      <c r="V65" s="441"/>
      <c r="W65" s="441"/>
      <c r="X65" s="441"/>
    </row>
    <row r="66" spans="1:24">
      <c r="A66" s="101">
        <v>55</v>
      </c>
      <c r="B66" s="111" t="s">
        <v>132</v>
      </c>
      <c r="D66" s="321"/>
      <c r="F66" s="328"/>
      <c r="H66" s="116"/>
      <c r="J66" s="116"/>
      <c r="K66" s="442"/>
      <c r="L66" s="323"/>
      <c r="M66" s="321"/>
      <c r="N66" s="324"/>
      <c r="O66" s="115"/>
      <c r="P66" s="325"/>
      <c r="Q66" s="115"/>
      <c r="R66" s="325"/>
      <c r="S66" s="115">
        <f t="shared" ref="S66" si="29">SUM(S21+S127)</f>
        <v>0</v>
      </c>
      <c r="T66" s="325"/>
      <c r="U66" s="443">
        <f t="shared" ref="U66:X66" si="30">SUM(U21+U127)</f>
        <v>-123000</v>
      </c>
      <c r="V66" s="443">
        <f t="shared" si="30"/>
        <v>-123000</v>
      </c>
      <c r="W66" s="443">
        <f t="shared" si="30"/>
        <v>-123000</v>
      </c>
      <c r="X66" s="443">
        <f t="shared" si="30"/>
        <v>-123000</v>
      </c>
    </row>
    <row r="67" spans="1:24">
      <c r="A67" s="101">
        <v>56</v>
      </c>
      <c r="B67" s="111" t="s">
        <v>145</v>
      </c>
      <c r="D67" s="331"/>
      <c r="F67" s="332"/>
      <c r="H67" s="118"/>
      <c r="J67" s="118"/>
      <c r="K67" s="444"/>
      <c r="L67" s="334"/>
      <c r="M67" s="331"/>
      <c r="N67" s="333"/>
      <c r="O67" s="179"/>
      <c r="P67" s="335"/>
      <c r="Q67" s="136" t="s">
        <v>270</v>
      </c>
      <c r="R67" s="335"/>
      <c r="S67" s="115"/>
      <c r="T67" s="335"/>
      <c r="U67" s="407">
        <f t="shared" ref="U67:W67" si="31">SUM(U62:U66)*0.1*-1</f>
        <v>-400553.14550000004</v>
      </c>
      <c r="V67" s="407">
        <f t="shared" si="31"/>
        <v>-423409.45570000005</v>
      </c>
      <c r="W67" s="407">
        <f t="shared" si="31"/>
        <v>-446369.89240000001</v>
      </c>
      <c r="X67" s="407">
        <f t="shared" ref="X67" si="32">SUM(X62:X66)*0.1*-1</f>
        <v>-472268.16209999996</v>
      </c>
    </row>
    <row r="68" spans="1:24">
      <c r="A68" s="101">
        <v>57</v>
      </c>
      <c r="B68" s="111"/>
      <c r="D68" s="321">
        <f>SUM(D63:D67)</f>
        <v>1980000</v>
      </c>
      <c r="F68" s="321">
        <f>SUM(F63)</f>
        <v>2088000</v>
      </c>
      <c r="H68" s="321">
        <f>SUM(H63)</f>
        <v>2340000</v>
      </c>
      <c r="J68" s="321">
        <f>SUM(J63)</f>
        <v>2430000</v>
      </c>
      <c r="K68" s="322"/>
      <c r="L68" s="323"/>
      <c r="M68" s="321">
        <f>SUM(M63)</f>
        <v>2676000</v>
      </c>
      <c r="N68" s="324"/>
      <c r="O68" s="115">
        <f>SUM(O63)</f>
        <v>2987000</v>
      </c>
      <c r="P68" s="325"/>
      <c r="Q68" s="115">
        <f>SUM(Q63)</f>
        <v>3088000</v>
      </c>
      <c r="R68" s="325"/>
      <c r="S68" s="115">
        <f>SUM(S63:S67)</f>
        <v>3385000</v>
      </c>
      <c r="T68" s="325"/>
      <c r="U68" s="122">
        <f t="shared" ref="U68:X68" si="33">SUM(U62:U67)</f>
        <v>3604978.3095</v>
      </c>
      <c r="V68" s="122">
        <f t="shared" si="33"/>
        <v>3810685.1013000002</v>
      </c>
      <c r="W68" s="122">
        <f t="shared" si="33"/>
        <v>4017329.0315999994</v>
      </c>
      <c r="X68" s="122">
        <f t="shared" si="33"/>
        <v>4250413.458899999</v>
      </c>
    </row>
    <row r="69" spans="1:24">
      <c r="A69" s="101">
        <v>58</v>
      </c>
      <c r="B69" s="111" t="s">
        <v>134</v>
      </c>
      <c r="D69" s="339">
        <v>1</v>
      </c>
      <c r="F69" s="339">
        <v>1</v>
      </c>
      <c r="H69" s="339">
        <v>1</v>
      </c>
      <c r="J69" s="339">
        <v>1</v>
      </c>
      <c r="K69" s="340"/>
      <c r="L69" s="323"/>
      <c r="M69" s="339">
        <v>1</v>
      </c>
      <c r="N69" s="342"/>
      <c r="O69" s="119">
        <v>1</v>
      </c>
      <c r="P69" s="343"/>
      <c r="Q69" s="119">
        <v>1</v>
      </c>
      <c r="R69" s="343"/>
      <c r="S69" s="119">
        <v>1</v>
      </c>
      <c r="T69" s="343"/>
      <c r="U69" s="157">
        <v>1</v>
      </c>
      <c r="V69" s="157">
        <v>1</v>
      </c>
      <c r="W69" s="157">
        <v>1</v>
      </c>
      <c r="X69" s="157">
        <v>1</v>
      </c>
    </row>
    <row r="70" spans="1:24">
      <c r="A70" s="101">
        <v>59</v>
      </c>
      <c r="B70" s="111" t="s">
        <v>135</v>
      </c>
      <c r="D70" s="346">
        <v>0.15857099999999999</v>
      </c>
      <c r="F70" s="346">
        <v>0.1574547</v>
      </c>
      <c r="H70" s="346">
        <f>350240377/2340000000%*0.01</f>
        <v>0.14967537478632481</v>
      </c>
      <c r="J70" s="346">
        <f>370904020/2430000000</f>
        <v>0.15263539917695473</v>
      </c>
      <c r="K70" s="347"/>
      <c r="L70" s="348"/>
      <c r="M70" s="346">
        <v>0.141817</v>
      </c>
      <c r="N70" s="350"/>
      <c r="O70" s="120">
        <f>345023.428/2987000</f>
        <v>0.11550834549715434</v>
      </c>
      <c r="P70" s="351"/>
      <c r="Q70" s="120">
        <f>422107.916/3088000</f>
        <v>0.13669297797927463</v>
      </c>
      <c r="R70" s="351"/>
      <c r="S70" s="120">
        <f>442919876/3385000000</f>
        <v>0.13084782156573116</v>
      </c>
      <c r="T70" s="351"/>
      <c r="U70" s="158">
        <f>SUM(S70)</f>
        <v>0.13084782156573116</v>
      </c>
      <c r="V70" s="158">
        <f t="shared" ref="V70:X70" si="34">SUM(U70)</f>
        <v>0.13084782156573116</v>
      </c>
      <c r="W70" s="158">
        <f t="shared" si="34"/>
        <v>0.13084782156573116</v>
      </c>
      <c r="X70" s="158">
        <f t="shared" si="34"/>
        <v>0.13084782156573116</v>
      </c>
    </row>
    <row r="71" spans="1:24">
      <c r="A71" s="101">
        <v>60</v>
      </c>
      <c r="B71" s="111" t="s">
        <v>116</v>
      </c>
      <c r="D71" s="321">
        <f>SUM(D68*D70)</f>
        <v>313970.57999999996</v>
      </c>
      <c r="F71" s="321">
        <f>SUM(F68*F70)</f>
        <v>328765.41360000003</v>
      </c>
      <c r="H71" s="321">
        <f t="shared" ref="H71:J71" si="35">SUM(H68*H70)</f>
        <v>350240.37700000004</v>
      </c>
      <c r="J71" s="321">
        <f t="shared" si="35"/>
        <v>370904.02</v>
      </c>
      <c r="K71" s="322"/>
      <c r="L71" s="323"/>
      <c r="M71" s="321">
        <f t="shared" ref="M71:X71" si="36">SUM(M68*M70)</f>
        <v>379502.29200000002</v>
      </c>
      <c r="N71" s="324"/>
      <c r="O71" s="115">
        <f t="shared" si="36"/>
        <v>345023.42800000001</v>
      </c>
      <c r="P71" s="325"/>
      <c r="Q71" s="115">
        <f t="shared" si="36"/>
        <v>422107.91600000003</v>
      </c>
      <c r="R71" s="325"/>
      <c r="S71" s="115">
        <f t="shared" si="36"/>
        <v>442919.87599999999</v>
      </c>
      <c r="T71" s="325"/>
      <c r="U71" s="122">
        <f t="shared" si="36"/>
        <v>471703.55858978716</v>
      </c>
      <c r="V71" s="122">
        <f t="shared" si="36"/>
        <v>498619.84417809261</v>
      </c>
      <c r="W71" s="122">
        <f t="shared" si="36"/>
        <v>525658.75229762832</v>
      </c>
      <c r="X71" s="122">
        <f t="shared" si="36"/>
        <v>556157.34185072931</v>
      </c>
    </row>
    <row r="72" spans="1:24">
      <c r="A72" s="101">
        <v>61</v>
      </c>
      <c r="B72" s="111" t="s">
        <v>146</v>
      </c>
      <c r="D72" s="321">
        <f>6237-14-53-14-267</f>
        <v>5889</v>
      </c>
      <c r="F72" s="321">
        <f>-198.728-15-50.618056</f>
        <v>-264.34605600000003</v>
      </c>
      <c r="H72" s="321">
        <f>-217.58-15-69.194-0.062</f>
        <v>-301.83600000000001</v>
      </c>
      <c r="J72" s="321">
        <f>-215.103-15-50.168-0.061</f>
        <v>-280.33199999999999</v>
      </c>
      <c r="K72" s="322"/>
      <c r="L72" s="323"/>
      <c r="M72" s="321">
        <f>-49.245-0.521-15-223.702</f>
        <v>-288.46799999999996</v>
      </c>
      <c r="N72" s="324"/>
      <c r="O72" s="115">
        <v>-276.91899999999998</v>
      </c>
      <c r="P72" s="325"/>
      <c r="Q72" s="115">
        <v>-569.95299999999997</v>
      </c>
      <c r="R72" s="325"/>
      <c r="S72" s="115">
        <v>-560</v>
      </c>
      <c r="T72" s="325"/>
      <c r="U72" s="122">
        <v>0</v>
      </c>
      <c r="V72" s="122">
        <v>0</v>
      </c>
      <c r="W72" s="122">
        <v>0</v>
      </c>
      <c r="X72" s="122">
        <v>0</v>
      </c>
    </row>
    <row r="73" spans="1:24">
      <c r="A73" s="101">
        <v>62</v>
      </c>
      <c r="B73" s="111" t="s">
        <v>147</v>
      </c>
      <c r="D73" s="445">
        <v>1</v>
      </c>
      <c r="F73" s="445">
        <v>1</v>
      </c>
      <c r="H73" s="445">
        <v>1</v>
      </c>
      <c r="J73" s="445">
        <v>1</v>
      </c>
      <c r="K73" s="446"/>
      <c r="L73" s="323"/>
      <c r="M73" s="445">
        <v>1</v>
      </c>
      <c r="N73" s="447"/>
      <c r="O73" s="149">
        <v>1</v>
      </c>
      <c r="P73" s="448"/>
      <c r="Q73" s="149">
        <v>1</v>
      </c>
      <c r="R73" s="448"/>
      <c r="S73" s="149">
        <v>1</v>
      </c>
      <c r="T73" s="448"/>
      <c r="U73" s="159">
        <v>1</v>
      </c>
      <c r="V73" s="159">
        <v>1</v>
      </c>
      <c r="W73" s="159">
        <v>1</v>
      </c>
      <c r="X73" s="159">
        <v>1</v>
      </c>
    </row>
    <row r="74" spans="1:24">
      <c r="A74" s="101">
        <v>63</v>
      </c>
      <c r="B74" s="150" t="s">
        <v>148</v>
      </c>
      <c r="D74" s="321">
        <f>SUM(D71:D72)*D73</f>
        <v>319859.57999999996</v>
      </c>
      <c r="F74" s="321">
        <f>SUM(F71:F72)*F73</f>
        <v>328501.06754400005</v>
      </c>
      <c r="H74" s="321">
        <f t="shared" ref="H74:J74" si="37">SUM(H71:H72)*H73</f>
        <v>349938.54100000003</v>
      </c>
      <c r="J74" s="321">
        <f t="shared" si="37"/>
        <v>370623.68800000002</v>
      </c>
      <c r="K74" s="322"/>
      <c r="L74" s="323"/>
      <c r="M74" s="321">
        <f t="shared" ref="M74:O74" si="38">SUM(M71:M72)*M73</f>
        <v>379213.82400000002</v>
      </c>
      <c r="N74" s="324"/>
      <c r="O74" s="115">
        <f t="shared" si="38"/>
        <v>344746.50900000002</v>
      </c>
      <c r="P74" s="325"/>
      <c r="Q74" s="115">
        <f t="shared" ref="Q74:X74" si="39">SUM(Q71:Q72)*Q73</f>
        <v>421537.96300000005</v>
      </c>
      <c r="R74" s="325"/>
      <c r="S74" s="115">
        <f t="shared" si="39"/>
        <v>442359.87599999999</v>
      </c>
      <c r="T74" s="325"/>
      <c r="U74" s="122">
        <f t="shared" si="39"/>
        <v>471703.55858978716</v>
      </c>
      <c r="V74" s="122">
        <f t="shared" si="39"/>
        <v>498619.84417809261</v>
      </c>
      <c r="W74" s="122">
        <f t="shared" si="39"/>
        <v>525658.75229762832</v>
      </c>
      <c r="X74" s="122">
        <f t="shared" si="39"/>
        <v>556157.34185072931</v>
      </c>
    </row>
    <row r="75" spans="1:24">
      <c r="A75" s="101">
        <v>64</v>
      </c>
      <c r="B75" s="111" t="s">
        <v>149</v>
      </c>
      <c r="D75" s="355">
        <f>20889221/319841522</f>
        <v>6.5311160569077084E-2</v>
      </c>
      <c r="F75" s="372">
        <v>6.5777000000000002E-2</v>
      </c>
      <c r="H75" s="373">
        <f>22904266/349938542</f>
        <v>6.5452253041621236E-2</v>
      </c>
      <c r="J75" s="355">
        <f>24674/370624</f>
        <v>6.6574209981005009E-2</v>
      </c>
      <c r="K75" s="451"/>
      <c r="L75" s="334"/>
      <c r="M75" s="355">
        <f>24737.466/379214</f>
        <v>6.5233525133565742E-2</v>
      </c>
      <c r="N75" s="452"/>
      <c r="O75" s="453">
        <f>22376.23/344747</f>
        <v>6.4906235587256736E-2</v>
      </c>
      <c r="P75" s="454"/>
      <c r="Q75" s="151">
        <f>27999.644/421537.956</f>
        <v>6.6422592797313842E-2</v>
      </c>
      <c r="R75" s="454"/>
      <c r="S75" s="151">
        <f>28838588/442360264</f>
        <v>6.5192537275454737E-2</v>
      </c>
      <c r="T75" s="454"/>
      <c r="U75" s="160">
        <f>SUM(S75)</f>
        <v>6.5192537275454737E-2</v>
      </c>
      <c r="V75" s="160">
        <f t="shared" ref="V75:X75" si="40">SUM(U75)</f>
        <v>6.5192537275454737E-2</v>
      </c>
      <c r="W75" s="160">
        <f t="shared" si="40"/>
        <v>6.5192537275454737E-2</v>
      </c>
      <c r="X75" s="160">
        <f t="shared" si="40"/>
        <v>6.5192537275454737E-2</v>
      </c>
    </row>
    <row r="76" spans="1:24">
      <c r="A76" s="101">
        <v>65</v>
      </c>
      <c r="B76" s="111" t="s">
        <v>151</v>
      </c>
      <c r="D76" s="321">
        <f>SUM(D74*D75)</f>
        <v>20890.400388937553</v>
      </c>
      <c r="F76" s="321">
        <f>SUM(F74*F75)</f>
        <v>21607.814719841692</v>
      </c>
      <c r="H76" s="321">
        <f t="shared" ref="H76:J76" si="41">SUM(H74*H75)</f>
        <v>22904.265934547748</v>
      </c>
      <c r="J76" s="321">
        <f t="shared" si="41"/>
        <v>24673.979228846489</v>
      </c>
      <c r="K76" s="442"/>
      <c r="L76" s="323"/>
      <c r="M76" s="321">
        <f t="shared" ref="M76:X76" si="42">SUM(M74*M75)</f>
        <v>24737.454518899576</v>
      </c>
      <c r="N76" s="324"/>
      <c r="O76" s="115">
        <f t="shared" si="42"/>
        <v>22376.198131038327</v>
      </c>
      <c r="P76" s="457"/>
      <c r="Q76" s="138">
        <f t="shared" si="42"/>
        <v>27999.644464958154</v>
      </c>
      <c r="R76" s="457"/>
      <c r="S76" s="138">
        <f t="shared" si="42"/>
        <v>28838.562705295535</v>
      </c>
      <c r="T76" s="457"/>
      <c r="U76" s="122">
        <f t="shared" si="42"/>
        <v>30751.551826329349</v>
      </c>
      <c r="V76" s="122">
        <f t="shared" si="42"/>
        <v>32506.292777861734</v>
      </c>
      <c r="W76" s="122">
        <f t="shared" si="42"/>
        <v>34269.027803332159</v>
      </c>
      <c r="X76" s="122">
        <f t="shared" si="42"/>
        <v>36257.308239621496</v>
      </c>
    </row>
    <row r="77" spans="1:24">
      <c r="A77" s="101">
        <v>66</v>
      </c>
      <c r="B77" s="111" t="s">
        <v>152</v>
      </c>
      <c r="D77" s="321">
        <v>0</v>
      </c>
      <c r="F77" s="321">
        <v>0</v>
      </c>
      <c r="H77" s="321">
        <v>0</v>
      </c>
      <c r="J77" s="321">
        <v>0</v>
      </c>
      <c r="K77" s="442"/>
      <c r="L77" s="323"/>
      <c r="M77" s="321">
        <v>0</v>
      </c>
      <c r="N77" s="324"/>
      <c r="O77" s="116">
        <v>0</v>
      </c>
      <c r="P77" s="324"/>
      <c r="Q77" s="115">
        <v>0</v>
      </c>
      <c r="R77" s="324"/>
      <c r="S77" s="115">
        <v>0</v>
      </c>
      <c r="T77" s="324"/>
      <c r="U77" s="122">
        <v>0</v>
      </c>
      <c r="V77" s="122">
        <v>0</v>
      </c>
      <c r="W77" s="122">
        <v>0</v>
      </c>
      <c r="X77" s="122">
        <v>0</v>
      </c>
    </row>
    <row r="78" spans="1:24">
      <c r="A78" s="101">
        <v>67</v>
      </c>
      <c r="B78" s="111" t="s">
        <v>153</v>
      </c>
      <c r="D78" s="364">
        <f>SUM(D76:D77)</f>
        <v>20890.400388937553</v>
      </c>
      <c r="F78" s="364">
        <f>SUM(F76:F77)</f>
        <v>21607.814719841692</v>
      </c>
      <c r="H78" s="364">
        <f t="shared" ref="H78:J78" si="43">SUM(H76:H77)</f>
        <v>22904.265934547748</v>
      </c>
      <c r="J78" s="364">
        <f t="shared" si="43"/>
        <v>24673.979228846489</v>
      </c>
      <c r="K78" s="459"/>
      <c r="L78" s="366"/>
      <c r="M78" s="364">
        <f t="shared" ref="M78:X78" si="44">SUM(M76:M77)</f>
        <v>24737.454518899576</v>
      </c>
      <c r="N78" s="367"/>
      <c r="O78" s="152">
        <f t="shared" si="44"/>
        <v>22376.198131038327</v>
      </c>
      <c r="P78" s="367"/>
      <c r="Q78" s="152">
        <f t="shared" si="44"/>
        <v>27999.644464958154</v>
      </c>
      <c r="R78" s="367"/>
      <c r="S78" s="152">
        <f t="shared" si="44"/>
        <v>28838.562705295535</v>
      </c>
      <c r="T78" s="367"/>
      <c r="U78" s="123">
        <f t="shared" si="44"/>
        <v>30751.551826329349</v>
      </c>
      <c r="V78" s="123">
        <f t="shared" si="44"/>
        <v>32506.292777861734</v>
      </c>
      <c r="W78" s="123">
        <f t="shared" si="44"/>
        <v>34269.027803332159</v>
      </c>
      <c r="X78" s="123">
        <f t="shared" si="44"/>
        <v>36257.308239621496</v>
      </c>
    </row>
    <row r="79" spans="1:24">
      <c r="A79" s="101">
        <v>68</v>
      </c>
      <c r="B79" s="111" t="s">
        <v>138</v>
      </c>
      <c r="C79" s="460" t="e">
        <f>SUM(D79-#REF!)/D79</f>
        <v>#REF!</v>
      </c>
      <c r="D79" s="373">
        <v>0.31665890000000002</v>
      </c>
      <c r="E79" s="418">
        <f>SUM(F79-D79)/F79</f>
        <v>1.2508805778898601E-2</v>
      </c>
      <c r="F79" s="373">
        <v>0.32067010000000001</v>
      </c>
      <c r="G79" s="461">
        <f>SUM(H79-F79)/H79</f>
        <v>-1.7309515855741205E-2</v>
      </c>
      <c r="H79" s="373">
        <v>0.31521389999999999</v>
      </c>
      <c r="I79" s="419">
        <f>SUM(J79-H79)/H79</f>
        <v>4.9560661099330737E-2</v>
      </c>
      <c r="J79" s="373">
        <f>8163129.23/24674239</f>
        <v>0.33083610927169832</v>
      </c>
      <c r="K79" s="420"/>
      <c r="L79" s="421">
        <f>SUM(M79-J79)/J79</f>
        <v>3.3346375673087368E-2</v>
      </c>
      <c r="M79" s="373">
        <f>8456.796/24737</f>
        <v>0.34186829445769495</v>
      </c>
      <c r="N79" s="376">
        <f>SUM((O79-M79)/M79)</f>
        <v>5.3951137019573575E-2</v>
      </c>
      <c r="O79" s="372">
        <f>8062.352/22376</f>
        <v>0.36031247765462998</v>
      </c>
      <c r="P79" s="376">
        <f>SUM((Q79-O79)/O79)</f>
        <v>-3.346566291247341E-2</v>
      </c>
      <c r="Q79" s="463">
        <f>9750.99871/27999.644</f>
        <v>0.34825438173428203</v>
      </c>
      <c r="R79" s="379">
        <f>R55</f>
        <v>0</v>
      </c>
      <c r="S79" s="141">
        <f>SUM(Q79*(1+R79))</f>
        <v>0.34825438173428203</v>
      </c>
      <c r="T79" s="379">
        <f>T55</f>
        <v>0</v>
      </c>
      <c r="U79" s="141">
        <f>SUM(S79*(1+T79))</f>
        <v>0.34825438173428203</v>
      </c>
      <c r="V79" s="141">
        <f>SUM(U79*(1+T79))</f>
        <v>0.34825438173428203</v>
      </c>
      <c r="W79" s="141">
        <f>SUM(V79*(1+T79))</f>
        <v>0.34825438173428203</v>
      </c>
      <c r="X79" s="141">
        <f>SUM(W79*(1+T79))</f>
        <v>0.34825438173428203</v>
      </c>
    </row>
    <row r="80" spans="1:24">
      <c r="A80" s="101">
        <v>69</v>
      </c>
      <c r="B80" s="111"/>
      <c r="D80" s="382"/>
      <c r="F80" s="382"/>
      <c r="H80" s="382"/>
      <c r="J80" s="382"/>
      <c r="K80" s="423"/>
      <c r="L80" s="323"/>
      <c r="M80" s="382"/>
      <c r="N80" s="383"/>
      <c r="O80" s="382"/>
      <c r="P80" s="383"/>
      <c r="Q80" s="464"/>
      <c r="R80" s="383"/>
      <c r="S80" s="125"/>
      <c r="T80" s="383"/>
      <c r="U80" s="125"/>
      <c r="V80" s="125"/>
      <c r="W80" s="125"/>
      <c r="X80" s="125"/>
    </row>
    <row r="81" spans="1:24" ht="13.5" thickBot="1">
      <c r="A81" s="101">
        <v>70</v>
      </c>
      <c r="B81" s="109" t="s">
        <v>128</v>
      </c>
      <c r="D81" s="386">
        <f>SUM(D78*D79)</f>
        <v>6615.1312077205384</v>
      </c>
      <c r="F81" s="386">
        <f>SUM(F78*F79)</f>
        <v>6928.9801069931073</v>
      </c>
      <c r="H81" s="386">
        <f t="shared" ref="H81:J81" si="45">SUM(H78*H79)</f>
        <v>7219.74299186594</v>
      </c>
      <c r="J81" s="386">
        <f t="shared" si="45"/>
        <v>8163.043288322272</v>
      </c>
      <c r="K81" s="424"/>
      <c r="L81" s="388"/>
      <c r="M81" s="386">
        <f t="shared" ref="M81:X81" si="46">SUM(M78*M79)</f>
        <v>8456.9513856009962</v>
      </c>
      <c r="N81" s="387"/>
      <c r="O81" s="425">
        <f t="shared" si="46"/>
        <v>8062.4233890853202</v>
      </c>
      <c r="P81" s="387"/>
      <c r="Q81" s="425">
        <f>SUM(Q78*Q79)</f>
        <v>9750.9988719237135</v>
      </c>
      <c r="R81" s="387"/>
      <c r="S81" s="126">
        <f t="shared" si="46"/>
        <v>10043.15582503802</v>
      </c>
      <c r="T81" s="387"/>
      <c r="U81" s="126">
        <f t="shared" si="46"/>
        <v>10709.362668648058</v>
      </c>
      <c r="V81" s="126">
        <f t="shared" si="46"/>
        <v>11320.458893827796</v>
      </c>
      <c r="W81" s="126">
        <f t="shared" si="46"/>
        <v>11934.339090284362</v>
      </c>
      <c r="X81" s="126">
        <f t="shared" si="46"/>
        <v>12626.766464338674</v>
      </c>
    </row>
    <row r="82" spans="1:24" ht="13.5" thickTop="1">
      <c r="A82" s="101">
        <v>71</v>
      </c>
      <c r="B82" s="153"/>
      <c r="D82" s="154"/>
      <c r="F82" s="154"/>
      <c r="G82" s="154"/>
      <c r="H82" s="154"/>
      <c r="J82" s="154"/>
      <c r="K82" s="154"/>
      <c r="L82" s="465"/>
      <c r="M82" s="466"/>
      <c r="N82" s="154"/>
      <c r="O82" s="154"/>
      <c r="P82" s="154"/>
      <c r="Q82" s="154"/>
      <c r="R82" s="154"/>
      <c r="S82" s="154"/>
      <c r="T82" s="154"/>
      <c r="U82" s="154"/>
      <c r="V82" s="154"/>
      <c r="W82" s="154"/>
      <c r="X82" s="860"/>
    </row>
    <row r="83" spans="1:24">
      <c r="A83" s="101">
        <v>72</v>
      </c>
      <c r="B83" s="145"/>
      <c r="D83" s="129"/>
      <c r="F83" s="431"/>
      <c r="H83" s="431"/>
      <c r="J83" s="431"/>
      <c r="K83" s="432"/>
      <c r="L83" s="396"/>
      <c r="M83" s="129"/>
      <c r="N83" s="177"/>
      <c r="O83" s="431"/>
      <c r="P83" s="432"/>
      <c r="Q83" s="129"/>
      <c r="R83" s="432"/>
      <c r="S83" s="155"/>
      <c r="T83" s="432"/>
      <c r="U83" s="155"/>
      <c r="V83" s="155"/>
      <c r="W83" s="155"/>
      <c r="X83" s="155"/>
    </row>
    <row r="84" spans="1:24">
      <c r="A84" s="101">
        <v>73</v>
      </c>
      <c r="B84" s="113" t="s">
        <v>155</v>
      </c>
      <c r="D84" s="131" t="s">
        <v>272</v>
      </c>
      <c r="F84" s="131" t="s">
        <v>273</v>
      </c>
      <c r="H84" s="131" t="s">
        <v>274</v>
      </c>
      <c r="J84" s="131" t="s">
        <v>275</v>
      </c>
      <c r="K84" s="399"/>
      <c r="L84" s="308"/>
      <c r="M84" s="131" t="s">
        <v>276</v>
      </c>
      <c r="N84" s="307"/>
      <c r="O84" s="131" t="s">
        <v>277</v>
      </c>
      <c r="P84" s="399"/>
      <c r="Q84" s="131" t="s">
        <v>278</v>
      </c>
      <c r="R84" s="399"/>
      <c r="S84" s="112" t="s">
        <v>156</v>
      </c>
      <c r="T84" s="399"/>
      <c r="U84" s="112" t="s">
        <v>279</v>
      </c>
      <c r="V84" s="112" t="s">
        <v>280</v>
      </c>
      <c r="W84" s="112" t="s">
        <v>281</v>
      </c>
      <c r="X84" s="112" t="s">
        <v>282</v>
      </c>
    </row>
    <row r="85" spans="1:24">
      <c r="A85" s="101">
        <v>74</v>
      </c>
      <c r="B85" s="147"/>
      <c r="D85" s="312"/>
      <c r="F85" s="312"/>
      <c r="H85" s="312"/>
      <c r="J85" s="312"/>
      <c r="K85" s="313"/>
      <c r="L85" s="314"/>
      <c r="M85" s="312"/>
      <c r="N85" s="315"/>
      <c r="O85" s="312"/>
      <c r="P85" s="313"/>
      <c r="Q85" s="133"/>
      <c r="R85" s="313"/>
      <c r="S85" s="156"/>
      <c r="T85" s="313"/>
      <c r="U85" s="156"/>
      <c r="V85" s="156"/>
      <c r="W85" s="156"/>
      <c r="X85" s="156"/>
    </row>
    <row r="86" spans="1:24">
      <c r="A86" s="101">
        <v>75</v>
      </c>
      <c r="B86" s="111" t="s">
        <v>131</v>
      </c>
      <c r="D86" s="317" t="s">
        <v>157</v>
      </c>
      <c r="F86" s="317" t="s">
        <v>157</v>
      </c>
      <c r="H86" s="317" t="s">
        <v>157</v>
      </c>
      <c r="J86" s="317" t="s">
        <v>157</v>
      </c>
      <c r="K86" s="318"/>
      <c r="L86" s="294"/>
      <c r="M86" s="317" t="s">
        <v>157</v>
      </c>
      <c r="N86" s="293"/>
      <c r="O86" s="317" t="s">
        <v>157</v>
      </c>
      <c r="P86" s="318"/>
      <c r="Q86" s="317" t="s">
        <v>157</v>
      </c>
      <c r="R86" s="318"/>
      <c r="S86" s="104" t="s">
        <v>157</v>
      </c>
      <c r="T86" s="318"/>
      <c r="U86" s="104" t="s">
        <v>157</v>
      </c>
      <c r="V86" s="104" t="s">
        <v>157</v>
      </c>
      <c r="W86" s="104" t="s">
        <v>157</v>
      </c>
      <c r="X86" s="104" t="s">
        <v>157</v>
      </c>
    </row>
    <row r="87" spans="1:24">
      <c r="A87" s="101">
        <v>76</v>
      </c>
      <c r="B87" s="111" t="s">
        <v>108</v>
      </c>
      <c r="D87" s="321">
        <v>841</v>
      </c>
      <c r="F87" s="321">
        <v>925</v>
      </c>
      <c r="H87" s="321">
        <v>888</v>
      </c>
      <c r="J87" s="321">
        <v>1002</v>
      </c>
      <c r="K87" s="322"/>
      <c r="L87" s="323"/>
      <c r="M87" s="321">
        <v>1190</v>
      </c>
      <c r="N87" s="324"/>
      <c r="O87" s="115">
        <v>1131</v>
      </c>
      <c r="P87" s="325"/>
      <c r="Q87" s="321">
        <v>1137.998</v>
      </c>
      <c r="R87" s="325"/>
      <c r="S87" s="122">
        <f>SUM(Q87)</f>
        <v>1137.998</v>
      </c>
      <c r="T87" s="325"/>
      <c r="U87" s="122">
        <f>SUM(S87)</f>
        <v>1137.998</v>
      </c>
      <c r="V87" s="122">
        <f t="shared" ref="V87:X87" si="47">SUM(U87)</f>
        <v>1137.998</v>
      </c>
      <c r="W87" s="122">
        <f t="shared" si="47"/>
        <v>1137.998</v>
      </c>
      <c r="X87" s="122">
        <f t="shared" si="47"/>
        <v>1137.998</v>
      </c>
    </row>
    <row r="88" spans="1:24">
      <c r="A88" s="101">
        <v>77</v>
      </c>
      <c r="B88" s="111" t="s">
        <v>159</v>
      </c>
      <c r="D88" s="321">
        <f>SUM(D79)</f>
        <v>0.31665890000000002</v>
      </c>
      <c r="F88" s="321">
        <f>SUM(F79)</f>
        <v>0.32067010000000001</v>
      </c>
      <c r="H88" s="321">
        <f t="shared" ref="H88:J89" si="48">SUM(H79)</f>
        <v>0.31521389999999999</v>
      </c>
      <c r="J88" s="321">
        <f t="shared" si="48"/>
        <v>0.33083610927169832</v>
      </c>
      <c r="K88" s="322"/>
      <c r="L88" s="323" t="s">
        <v>234</v>
      </c>
      <c r="M88" s="321">
        <v>0</v>
      </c>
      <c r="N88" s="324"/>
      <c r="O88" s="115">
        <v>0</v>
      </c>
      <c r="P88" s="325"/>
      <c r="Q88" s="321">
        <v>0</v>
      </c>
      <c r="R88" s="325"/>
      <c r="S88" s="122">
        <v>0</v>
      </c>
      <c r="T88" s="325"/>
      <c r="U88" s="122">
        <v>0</v>
      </c>
      <c r="V88" s="122">
        <v>0</v>
      </c>
      <c r="W88" s="122">
        <v>0</v>
      </c>
      <c r="X88" s="122">
        <v>0</v>
      </c>
    </row>
    <row r="89" spans="1:24">
      <c r="A89" s="101">
        <v>78</v>
      </c>
      <c r="B89" s="111" t="s">
        <v>132</v>
      </c>
      <c r="D89" s="321">
        <f>SUM(D80)</f>
        <v>0</v>
      </c>
      <c r="F89" s="321">
        <f>SUM(F80)</f>
        <v>0</v>
      </c>
      <c r="H89" s="321">
        <f t="shared" si="48"/>
        <v>0</v>
      </c>
      <c r="J89" s="321">
        <f t="shared" si="48"/>
        <v>0</v>
      </c>
      <c r="K89" s="322"/>
      <c r="L89" s="323"/>
      <c r="M89" s="321">
        <v>0</v>
      </c>
      <c r="N89" s="324"/>
      <c r="O89" s="115">
        <v>0</v>
      </c>
      <c r="P89" s="325"/>
      <c r="Q89" s="321">
        <f t="shared" ref="Q89:X89" si="49">SUM(Q80)</f>
        <v>0</v>
      </c>
      <c r="R89" s="325"/>
      <c r="S89" s="122">
        <f t="shared" si="49"/>
        <v>0</v>
      </c>
      <c r="T89" s="325"/>
      <c r="U89" s="122">
        <f t="shared" si="49"/>
        <v>0</v>
      </c>
      <c r="V89" s="122">
        <f t="shared" si="49"/>
        <v>0</v>
      </c>
      <c r="W89" s="122">
        <f t="shared" si="49"/>
        <v>0</v>
      </c>
      <c r="X89" s="122">
        <f t="shared" si="49"/>
        <v>0</v>
      </c>
    </row>
    <row r="90" spans="1:24">
      <c r="A90" s="101">
        <v>79</v>
      </c>
      <c r="B90" s="111" t="s">
        <v>134</v>
      </c>
      <c r="D90" s="339">
        <v>1</v>
      </c>
      <c r="F90" s="339">
        <v>1</v>
      </c>
      <c r="H90" s="339">
        <v>1</v>
      </c>
      <c r="J90" s="339">
        <v>1</v>
      </c>
      <c r="K90" s="340"/>
      <c r="L90" s="323"/>
      <c r="M90" s="339">
        <v>1</v>
      </c>
      <c r="N90" s="342"/>
      <c r="O90" s="119">
        <v>1</v>
      </c>
      <c r="P90" s="343"/>
      <c r="Q90" s="339">
        <v>1</v>
      </c>
      <c r="R90" s="343"/>
      <c r="S90" s="157">
        <v>1</v>
      </c>
      <c r="T90" s="343"/>
      <c r="U90" s="157">
        <v>1</v>
      </c>
      <c r="V90" s="157">
        <v>1</v>
      </c>
      <c r="W90" s="157">
        <v>1</v>
      </c>
      <c r="X90" s="157">
        <v>1</v>
      </c>
    </row>
    <row r="91" spans="1:24">
      <c r="A91" s="101">
        <v>80</v>
      </c>
      <c r="B91" s="111" t="s">
        <v>135</v>
      </c>
      <c r="D91" s="346">
        <v>1</v>
      </c>
      <c r="F91" s="346">
        <v>1</v>
      </c>
      <c r="H91" s="346">
        <v>1</v>
      </c>
      <c r="J91" s="346">
        <v>1</v>
      </c>
      <c r="K91" s="347"/>
      <c r="L91" s="334"/>
      <c r="M91" s="346">
        <v>1</v>
      </c>
      <c r="N91" s="350"/>
      <c r="O91" s="120">
        <v>1</v>
      </c>
      <c r="P91" s="351"/>
      <c r="Q91" s="346">
        <v>1</v>
      </c>
      <c r="R91" s="351"/>
      <c r="S91" s="158">
        <v>1</v>
      </c>
      <c r="T91" s="351"/>
      <c r="U91" s="158">
        <v>1</v>
      </c>
      <c r="V91" s="158">
        <v>1</v>
      </c>
      <c r="W91" s="158">
        <v>1</v>
      </c>
      <c r="X91" s="158">
        <v>1</v>
      </c>
    </row>
    <row r="92" spans="1:24">
      <c r="A92" s="101">
        <v>81</v>
      </c>
      <c r="B92" s="111" t="s">
        <v>116</v>
      </c>
      <c r="D92" s="321">
        <f>SUM((D87+D88+D89)*D90*D91)</f>
        <v>841.31665889999999</v>
      </c>
      <c r="F92" s="321">
        <f>SUM((F87+F88+F89)*F90*F91)</f>
        <v>925.32067010000003</v>
      </c>
      <c r="H92" s="321">
        <f t="shared" ref="H92:J92" si="50">SUM((H87+H88+H89)*H90*H91)</f>
        <v>888.3152139</v>
      </c>
      <c r="J92" s="321">
        <f t="shared" si="50"/>
        <v>1002.3308361092717</v>
      </c>
      <c r="K92" s="322"/>
      <c r="L92" s="323"/>
      <c r="M92" s="321">
        <f>SUM((M87+M88+M89)*M90*M91)</f>
        <v>1190</v>
      </c>
      <c r="N92" s="324"/>
      <c r="O92" s="115">
        <f>SUM((O87+O88+O89)*O90*O91)</f>
        <v>1131</v>
      </c>
      <c r="P92" s="325"/>
      <c r="Q92" s="321">
        <f t="shared" ref="Q92:X92" si="51">SUM((Q87+Q88+Q89)*Q90*Q91)</f>
        <v>1137.998</v>
      </c>
      <c r="R92" s="325"/>
      <c r="S92" s="122">
        <f t="shared" si="51"/>
        <v>1137.998</v>
      </c>
      <c r="T92" s="325"/>
      <c r="U92" s="122">
        <f t="shared" si="51"/>
        <v>1137.998</v>
      </c>
      <c r="V92" s="122">
        <f t="shared" si="51"/>
        <v>1137.998</v>
      </c>
      <c r="W92" s="122">
        <f t="shared" si="51"/>
        <v>1137.998</v>
      </c>
      <c r="X92" s="122">
        <f t="shared" si="51"/>
        <v>1137.998</v>
      </c>
    </row>
    <row r="93" spans="1:24">
      <c r="A93" s="101">
        <v>82</v>
      </c>
      <c r="B93" s="111" t="s">
        <v>146</v>
      </c>
      <c r="D93" s="321"/>
      <c r="F93" s="321"/>
      <c r="H93" s="321"/>
      <c r="J93" s="321"/>
      <c r="K93" s="322"/>
      <c r="L93" s="323"/>
      <c r="M93" s="321"/>
      <c r="N93" s="324"/>
      <c r="O93" s="115"/>
      <c r="P93" s="325"/>
      <c r="Q93" s="134"/>
      <c r="R93" s="325"/>
      <c r="S93" s="122"/>
      <c r="T93" s="325"/>
      <c r="U93" s="122"/>
      <c r="V93" s="122"/>
      <c r="W93" s="122"/>
      <c r="X93" s="122"/>
    </row>
    <row r="94" spans="1:24">
      <c r="A94" s="101">
        <v>83</v>
      </c>
      <c r="B94" s="111" t="s">
        <v>147</v>
      </c>
      <c r="D94" s="445">
        <v>1</v>
      </c>
      <c r="F94" s="445">
        <v>1</v>
      </c>
      <c r="H94" s="445">
        <v>1</v>
      </c>
      <c r="J94" s="445">
        <v>1</v>
      </c>
      <c r="K94" s="446"/>
      <c r="L94" s="323"/>
      <c r="M94" s="445">
        <v>1</v>
      </c>
      <c r="N94" s="447"/>
      <c r="O94" s="149">
        <v>1</v>
      </c>
      <c r="P94" s="448"/>
      <c r="Q94" s="445">
        <v>1</v>
      </c>
      <c r="R94" s="448"/>
      <c r="S94" s="159">
        <v>1</v>
      </c>
      <c r="T94" s="448"/>
      <c r="U94" s="159">
        <v>1</v>
      </c>
      <c r="V94" s="159">
        <v>1</v>
      </c>
      <c r="W94" s="159">
        <v>1</v>
      </c>
      <c r="X94" s="159">
        <v>1</v>
      </c>
    </row>
    <row r="95" spans="1:24">
      <c r="A95" s="101">
        <v>84</v>
      </c>
      <c r="B95" s="150" t="s">
        <v>148</v>
      </c>
      <c r="D95" s="321">
        <f>SUM(D92:D93)*D94</f>
        <v>841.31665889999999</v>
      </c>
      <c r="F95" s="321">
        <f>SUM(F92:F93)*F94</f>
        <v>925.32067010000003</v>
      </c>
      <c r="H95" s="321">
        <f t="shared" ref="H95:J95" si="52">SUM(H92:H93)*H94</f>
        <v>888.3152139</v>
      </c>
      <c r="J95" s="321">
        <f t="shared" si="52"/>
        <v>1002.3308361092717</v>
      </c>
      <c r="K95" s="322"/>
      <c r="L95" s="323"/>
      <c r="M95" s="321">
        <v>1190</v>
      </c>
      <c r="N95" s="324"/>
      <c r="O95" s="115">
        <f t="shared" ref="O95" si="53">SUM(O92:O93)*O94</f>
        <v>1131</v>
      </c>
      <c r="P95" s="325"/>
      <c r="Q95" s="321">
        <f t="shared" ref="Q95:X95" si="54">SUM(Q92:Q93)*Q94</f>
        <v>1137.998</v>
      </c>
      <c r="R95" s="325"/>
      <c r="S95" s="122">
        <f t="shared" si="54"/>
        <v>1137.998</v>
      </c>
      <c r="T95" s="325"/>
      <c r="U95" s="122">
        <f t="shared" si="54"/>
        <v>1137.998</v>
      </c>
      <c r="V95" s="122">
        <f t="shared" si="54"/>
        <v>1137.998</v>
      </c>
      <c r="W95" s="122">
        <f t="shared" si="54"/>
        <v>1137.998</v>
      </c>
      <c r="X95" s="122">
        <f t="shared" si="54"/>
        <v>1137.998</v>
      </c>
    </row>
    <row r="96" spans="1:24">
      <c r="A96" s="101">
        <v>85</v>
      </c>
      <c r="B96" s="111" t="s">
        <v>136</v>
      </c>
      <c r="D96" s="355">
        <v>1</v>
      </c>
      <c r="F96" s="355">
        <v>1</v>
      </c>
      <c r="H96" s="355">
        <v>1</v>
      </c>
      <c r="J96" s="355">
        <v>1</v>
      </c>
      <c r="K96" s="472"/>
      <c r="L96" s="334"/>
      <c r="M96" s="355">
        <v>1</v>
      </c>
      <c r="N96" s="452"/>
      <c r="O96" s="453">
        <v>1</v>
      </c>
      <c r="P96" s="473"/>
      <c r="Q96" s="355">
        <v>1</v>
      </c>
      <c r="R96" s="473"/>
      <c r="S96" s="160">
        <v>1</v>
      </c>
      <c r="T96" s="473"/>
      <c r="U96" s="160">
        <v>1</v>
      </c>
      <c r="V96" s="160">
        <v>1</v>
      </c>
      <c r="W96" s="160">
        <v>1</v>
      </c>
      <c r="X96" s="160">
        <v>1</v>
      </c>
    </row>
    <row r="97" spans="1:24">
      <c r="A97" s="101">
        <v>86</v>
      </c>
      <c r="B97" s="111" t="s">
        <v>151</v>
      </c>
      <c r="D97" s="321">
        <f>SUM(D95*D96)</f>
        <v>841.31665889999999</v>
      </c>
      <c r="F97" s="321">
        <f>SUM(F95*F96)</f>
        <v>925.32067010000003</v>
      </c>
      <c r="H97" s="321">
        <f t="shared" ref="H97:J97" si="55">SUM(H95*H96)</f>
        <v>888.3152139</v>
      </c>
      <c r="J97" s="321">
        <f t="shared" si="55"/>
        <v>1002.3308361092717</v>
      </c>
      <c r="K97" s="322"/>
      <c r="L97" s="323"/>
      <c r="M97" s="321">
        <f t="shared" ref="M97:X97" si="56">SUM(M95*M96)</f>
        <v>1190</v>
      </c>
      <c r="N97" s="324"/>
      <c r="O97" s="115">
        <f t="shared" si="56"/>
        <v>1131</v>
      </c>
      <c r="P97" s="325"/>
      <c r="Q97" s="321">
        <f t="shared" si="56"/>
        <v>1137.998</v>
      </c>
      <c r="R97" s="325"/>
      <c r="S97" s="122">
        <f t="shared" si="56"/>
        <v>1137.998</v>
      </c>
      <c r="T97" s="325"/>
      <c r="U97" s="122">
        <f t="shared" si="56"/>
        <v>1137.998</v>
      </c>
      <c r="V97" s="122">
        <f t="shared" si="56"/>
        <v>1137.998</v>
      </c>
      <c r="W97" s="122">
        <f t="shared" si="56"/>
        <v>1137.998</v>
      </c>
      <c r="X97" s="122">
        <f t="shared" si="56"/>
        <v>1137.998</v>
      </c>
    </row>
    <row r="98" spans="1:24">
      <c r="A98" s="101">
        <v>87</v>
      </c>
      <c r="B98" s="111" t="s">
        <v>160</v>
      </c>
      <c r="D98" s="321">
        <v>0</v>
      </c>
      <c r="F98" s="321">
        <v>0</v>
      </c>
      <c r="H98" s="321">
        <v>0</v>
      </c>
      <c r="J98" s="321">
        <v>0</v>
      </c>
      <c r="K98" s="322"/>
      <c r="L98" s="323"/>
      <c r="M98" s="321">
        <v>0</v>
      </c>
      <c r="N98" s="324"/>
      <c r="O98" s="115">
        <v>0</v>
      </c>
      <c r="P98" s="325"/>
      <c r="Q98" s="321">
        <v>0</v>
      </c>
      <c r="R98" s="325"/>
      <c r="S98" s="122">
        <v>0</v>
      </c>
      <c r="T98" s="325"/>
      <c r="U98" s="122">
        <v>0</v>
      </c>
      <c r="V98" s="122">
        <v>0</v>
      </c>
      <c r="W98" s="122">
        <v>0</v>
      </c>
      <c r="X98" s="122">
        <v>0</v>
      </c>
    </row>
    <row r="99" spans="1:24">
      <c r="A99" s="101">
        <v>88</v>
      </c>
      <c r="B99" s="111" t="s">
        <v>153</v>
      </c>
      <c r="D99" s="364">
        <f>SUM(D97:D98)</f>
        <v>841.31665889999999</v>
      </c>
      <c r="F99" s="364">
        <f>SUM(F97:F98)</f>
        <v>925.32067010000003</v>
      </c>
      <c r="H99" s="364">
        <f t="shared" ref="H99:J99" si="57">SUM(H97:H98)</f>
        <v>888.3152139</v>
      </c>
      <c r="J99" s="364">
        <f t="shared" si="57"/>
        <v>1002.3308361092717</v>
      </c>
      <c r="K99" s="365"/>
      <c r="L99" s="366"/>
      <c r="M99" s="364">
        <f t="shared" ref="M99:X99" si="58">SUM(M97:M98)</f>
        <v>1190</v>
      </c>
      <c r="N99" s="383"/>
      <c r="O99" s="152">
        <f t="shared" si="58"/>
        <v>1131</v>
      </c>
      <c r="P99" s="474"/>
      <c r="Q99" s="364">
        <f t="shared" si="58"/>
        <v>1137.998</v>
      </c>
      <c r="R99" s="474"/>
      <c r="S99" s="123">
        <f t="shared" si="58"/>
        <v>1137.998</v>
      </c>
      <c r="T99" s="474"/>
      <c r="U99" s="123">
        <f t="shared" si="58"/>
        <v>1137.998</v>
      </c>
      <c r="V99" s="123">
        <f t="shared" si="58"/>
        <v>1137.998</v>
      </c>
      <c r="W99" s="123">
        <f t="shared" si="58"/>
        <v>1137.998</v>
      </c>
      <c r="X99" s="123">
        <f t="shared" si="58"/>
        <v>1137.998</v>
      </c>
    </row>
    <row r="100" spans="1:24">
      <c r="A100" s="101">
        <v>89</v>
      </c>
      <c r="B100" s="111" t="s">
        <v>138</v>
      </c>
      <c r="C100" s="460" t="e">
        <f>SUM(D100-#REF!)/D100</f>
        <v>#REF!</v>
      </c>
      <c r="D100" s="373">
        <v>9.7459999999999995E-3</v>
      </c>
      <c r="E100" s="475">
        <f>SUM(F100-D100)/F100</f>
        <v>-4.425158041358622E-2</v>
      </c>
      <c r="F100" s="373">
        <v>9.3329999999999993E-3</v>
      </c>
      <c r="G100" s="475">
        <f>SUM(H100-F100)/H100</f>
        <v>-2.4704618689579713E-3</v>
      </c>
      <c r="H100" s="373">
        <v>9.3100000000000006E-3</v>
      </c>
      <c r="I100" s="374">
        <f>SUM(J100-H100)/H100</f>
        <v>-1.5450106807006719E-3</v>
      </c>
      <c r="J100" s="373">
        <f>9314.17/1001996</f>
        <v>9.2956159505626773E-3</v>
      </c>
      <c r="K100" s="420"/>
      <c r="L100" s="421">
        <f>SUM(M100-J100)/J100</f>
        <v>2.8979687937840962E-2</v>
      </c>
      <c r="M100" s="373">
        <v>9.5650000000000006E-3</v>
      </c>
      <c r="N100" s="378">
        <f>SUM((O100-M100)/M100)</f>
        <v>-3.2263460533194024E-2</v>
      </c>
      <c r="O100" s="373">
        <v>9.2563999999999997E-3</v>
      </c>
      <c r="P100" s="462">
        <f>SUM(Q102-O102)/O102</f>
        <v>4.0282402070482212E-3</v>
      </c>
      <c r="Q100" s="373">
        <f>10511.16/1137998</f>
        <v>9.2365364438250323E-3</v>
      </c>
      <c r="R100" s="379">
        <f>SUM(R79)</f>
        <v>0</v>
      </c>
      <c r="S100" s="141">
        <f>SUM(Q100*(1+R100))</f>
        <v>9.2365364438250323E-3</v>
      </c>
      <c r="T100" s="379">
        <f>SUM(T79)</f>
        <v>0</v>
      </c>
      <c r="U100" s="141">
        <f>SUM(S100*(1+T100))</f>
        <v>9.2365364438250323E-3</v>
      </c>
      <c r="V100" s="141">
        <f>SUM(U100*(1+T100))</f>
        <v>9.2365364438250323E-3</v>
      </c>
      <c r="W100" s="141">
        <f>SUM(V100*(1+T100))</f>
        <v>9.2365364438250323E-3</v>
      </c>
      <c r="X100" s="141">
        <f>SUM(W100*(1+T100))</f>
        <v>9.2365364438250323E-3</v>
      </c>
    </row>
    <row r="101" spans="1:24">
      <c r="A101" s="101">
        <v>90</v>
      </c>
      <c r="B101" s="111"/>
      <c r="D101" s="382"/>
      <c r="F101" s="382"/>
      <c r="H101" s="382"/>
      <c r="J101" s="382"/>
      <c r="K101" s="423"/>
      <c r="L101" s="323"/>
      <c r="M101" s="382"/>
      <c r="N101" s="383"/>
      <c r="O101" s="382"/>
      <c r="P101" s="423"/>
      <c r="Q101" s="382"/>
      <c r="R101" s="423"/>
      <c r="S101" s="125"/>
      <c r="T101" s="423"/>
      <c r="U101" s="125"/>
      <c r="V101" s="125"/>
      <c r="W101" s="125"/>
      <c r="X101" s="125"/>
    </row>
    <row r="102" spans="1:24">
      <c r="A102" s="101">
        <v>91</v>
      </c>
      <c r="B102" s="109" t="s">
        <v>128</v>
      </c>
      <c r="D102" s="477">
        <f>SUM(D99*D100)</f>
        <v>8.1994721576394003</v>
      </c>
      <c r="F102" s="477">
        <f>SUM(F99*F100)</f>
        <v>8.6360178140432993</v>
      </c>
      <c r="H102" s="477">
        <f t="shared" ref="H102:J102" si="59">SUM(H99*H100)</f>
        <v>8.2702146414089999</v>
      </c>
      <c r="J102" s="477">
        <f t="shared" si="59"/>
        <v>9.3172825078781703</v>
      </c>
      <c r="K102" s="478"/>
      <c r="L102" s="479"/>
      <c r="M102" s="477">
        <f t="shared" ref="M102:X102" si="60">SUM(M99*M100)</f>
        <v>11.382350000000001</v>
      </c>
      <c r="N102" s="480"/>
      <c r="O102" s="481">
        <f t="shared" si="60"/>
        <v>10.468988399999999</v>
      </c>
      <c r="P102" s="482"/>
      <c r="Q102" s="481">
        <f t="shared" si="60"/>
        <v>10.51116</v>
      </c>
      <c r="R102" s="482"/>
      <c r="S102" s="161">
        <f t="shared" si="60"/>
        <v>10.51116</v>
      </c>
      <c r="T102" s="482"/>
      <c r="U102" s="161">
        <f t="shared" si="60"/>
        <v>10.51116</v>
      </c>
      <c r="V102" s="161">
        <f t="shared" si="60"/>
        <v>10.51116</v>
      </c>
      <c r="W102" s="161">
        <f t="shared" si="60"/>
        <v>10.51116</v>
      </c>
      <c r="X102" s="161">
        <f t="shared" si="60"/>
        <v>10.51116</v>
      </c>
    </row>
    <row r="103" spans="1:24">
      <c r="A103" s="101">
        <v>92</v>
      </c>
      <c r="B103" s="153"/>
      <c r="D103" s="485"/>
      <c r="F103" s="154"/>
      <c r="J103" s="465"/>
      <c r="K103" s="465"/>
      <c r="L103" s="465"/>
      <c r="M103" s="465"/>
      <c r="N103" s="154"/>
      <c r="O103" s="154"/>
      <c r="P103" s="154"/>
      <c r="Q103" s="154"/>
      <c r="R103" s="154"/>
      <c r="S103" s="154"/>
      <c r="T103" s="154"/>
      <c r="U103" s="154"/>
      <c r="V103" s="154"/>
      <c r="W103" s="154"/>
      <c r="X103" s="154"/>
    </row>
    <row r="104" spans="1:24">
      <c r="A104" s="101">
        <v>93</v>
      </c>
      <c r="B104" s="162" t="s">
        <v>155</v>
      </c>
      <c r="D104" s="163" t="s">
        <v>272</v>
      </c>
      <c r="F104" s="163" t="s">
        <v>273</v>
      </c>
      <c r="H104" s="163" t="s">
        <v>274</v>
      </c>
      <c r="J104" s="163" t="s">
        <v>275</v>
      </c>
      <c r="K104" s="486"/>
      <c r="L104" s="487"/>
      <c r="M104" s="163" t="s">
        <v>276</v>
      </c>
      <c r="N104" s="488"/>
      <c r="O104" s="163" t="s">
        <v>277</v>
      </c>
      <c r="P104" s="399"/>
      <c r="Q104" s="163" t="s">
        <v>278</v>
      </c>
      <c r="R104" s="399"/>
      <c r="S104" s="163" t="s">
        <v>156</v>
      </c>
      <c r="T104" s="399"/>
      <c r="U104" s="489" t="s">
        <v>279</v>
      </c>
      <c r="V104" s="489" t="s">
        <v>280</v>
      </c>
      <c r="W104" s="489" t="s">
        <v>281</v>
      </c>
      <c r="X104" s="489" t="s">
        <v>282</v>
      </c>
    </row>
    <row r="105" spans="1:24">
      <c r="A105" s="101">
        <v>94</v>
      </c>
      <c r="B105" s="164"/>
      <c r="D105" s="317" t="s">
        <v>163</v>
      </c>
      <c r="F105" s="317" t="s">
        <v>163</v>
      </c>
      <c r="H105" s="317" t="s">
        <v>163</v>
      </c>
      <c r="J105" s="490" t="s">
        <v>163</v>
      </c>
      <c r="K105" s="428"/>
      <c r="L105" s="465"/>
      <c r="M105" s="490" t="s">
        <v>163</v>
      </c>
      <c r="N105" s="293"/>
      <c r="O105" s="491" t="s">
        <v>163</v>
      </c>
      <c r="P105" s="492"/>
      <c r="Q105" s="146" t="s">
        <v>163</v>
      </c>
      <c r="R105" s="492"/>
      <c r="S105" s="146" t="s">
        <v>163</v>
      </c>
      <c r="T105" s="492"/>
      <c r="U105" s="104" t="s">
        <v>163</v>
      </c>
      <c r="V105" s="104" t="s">
        <v>163</v>
      </c>
      <c r="W105" s="104" t="s">
        <v>163</v>
      </c>
      <c r="X105" s="104" t="s">
        <v>163</v>
      </c>
    </row>
    <row r="106" spans="1:24">
      <c r="A106" s="101">
        <v>95</v>
      </c>
      <c r="B106" s="164"/>
      <c r="D106" s="494"/>
      <c r="F106" s="317"/>
      <c r="H106" s="317"/>
      <c r="J106" s="317"/>
      <c r="K106" s="428"/>
      <c r="L106" s="465"/>
      <c r="M106" s="317"/>
      <c r="N106" s="293"/>
      <c r="O106" s="491"/>
      <c r="P106" s="492"/>
      <c r="Q106" s="146"/>
      <c r="R106" s="492"/>
      <c r="S106" s="146"/>
      <c r="T106" s="492"/>
      <c r="U106" s="104"/>
      <c r="V106" s="104"/>
      <c r="W106" s="104"/>
      <c r="X106" s="104"/>
    </row>
    <row r="107" spans="1:24">
      <c r="A107" s="101">
        <v>96</v>
      </c>
      <c r="B107" s="164"/>
      <c r="D107" s="494"/>
      <c r="F107" s="317"/>
      <c r="H107" s="317"/>
      <c r="J107" s="317"/>
      <c r="K107" s="428"/>
      <c r="L107" s="465"/>
      <c r="M107" s="317"/>
      <c r="N107" s="293"/>
      <c r="O107" s="317"/>
      <c r="P107" s="318"/>
      <c r="Q107" s="165"/>
      <c r="R107" s="318"/>
      <c r="S107" s="165"/>
      <c r="T107" s="318"/>
      <c r="U107" s="104"/>
      <c r="V107" s="104"/>
      <c r="W107" s="104"/>
      <c r="X107" s="104"/>
    </row>
    <row r="108" spans="1:24">
      <c r="A108" s="101">
        <v>97</v>
      </c>
      <c r="B108" s="130" t="s">
        <v>137</v>
      </c>
      <c r="D108" s="495">
        <v>104359</v>
      </c>
      <c r="F108" s="495">
        <v>115700</v>
      </c>
      <c r="H108" s="495">
        <v>110212</v>
      </c>
      <c r="J108" s="495">
        <v>127298</v>
      </c>
      <c r="K108" s="496"/>
      <c r="L108" s="497"/>
      <c r="M108" s="495">
        <v>151210</v>
      </c>
      <c r="N108" s="498"/>
      <c r="O108" s="166">
        <v>151669</v>
      </c>
      <c r="P108" s="499"/>
      <c r="Q108" s="166">
        <v>152662</v>
      </c>
      <c r="R108" s="499"/>
      <c r="S108" s="166">
        <v>173400</v>
      </c>
      <c r="T108" s="499"/>
      <c r="U108" s="502">
        <f>SUM(S108:S110)</f>
        <v>173400</v>
      </c>
      <c r="V108" s="502">
        <f t="shared" ref="V108:X108" si="61">SUM(U108:U110)</f>
        <v>173400</v>
      </c>
      <c r="W108" s="502">
        <f t="shared" si="61"/>
        <v>173400</v>
      </c>
      <c r="X108" s="502">
        <f t="shared" si="61"/>
        <v>173400</v>
      </c>
    </row>
    <row r="109" spans="1:24">
      <c r="A109" s="101">
        <v>98</v>
      </c>
      <c r="B109" s="130" t="s">
        <v>109</v>
      </c>
      <c r="D109" s="321">
        <v>0</v>
      </c>
      <c r="F109" s="321"/>
      <c r="H109" s="321"/>
      <c r="J109" s="321"/>
      <c r="K109" s="503"/>
      <c r="L109" s="504"/>
      <c r="M109" s="328"/>
      <c r="N109" s="324"/>
      <c r="O109" s="321"/>
      <c r="P109" s="322"/>
      <c r="Q109" s="115"/>
      <c r="R109" s="322"/>
      <c r="S109" s="115"/>
      <c r="T109" s="322"/>
      <c r="U109" s="443">
        <v>0</v>
      </c>
      <c r="V109" s="443">
        <v>0</v>
      </c>
      <c r="W109" s="443">
        <v>0</v>
      </c>
      <c r="X109" s="443">
        <v>0</v>
      </c>
    </row>
    <row r="110" spans="1:24">
      <c r="A110" s="101">
        <v>99</v>
      </c>
      <c r="B110" s="130" t="s">
        <v>164</v>
      </c>
      <c r="D110" s="321"/>
      <c r="F110" s="321"/>
      <c r="H110" s="321"/>
      <c r="J110" s="321"/>
      <c r="K110" s="503"/>
      <c r="L110" s="504"/>
      <c r="M110" s="328"/>
      <c r="N110" s="324"/>
      <c r="O110" s="321"/>
      <c r="P110" s="322"/>
      <c r="Q110" s="115"/>
      <c r="R110" s="322"/>
      <c r="S110" s="115">
        <v>0</v>
      </c>
      <c r="T110" s="322"/>
      <c r="U110" s="443">
        <v>0</v>
      </c>
      <c r="V110" s="443">
        <v>0</v>
      </c>
      <c r="W110" s="443">
        <v>0</v>
      </c>
      <c r="X110" s="443">
        <v>0</v>
      </c>
    </row>
    <row r="111" spans="1:24">
      <c r="A111" s="101">
        <v>100</v>
      </c>
      <c r="B111" s="130" t="s">
        <v>165</v>
      </c>
      <c r="D111" s="506"/>
      <c r="F111" s="506"/>
      <c r="H111" s="506"/>
      <c r="J111" s="506">
        <v>0</v>
      </c>
      <c r="K111" s="507"/>
      <c r="L111" s="504"/>
      <c r="M111" s="508"/>
      <c r="N111" s="509"/>
      <c r="O111" s="506"/>
      <c r="P111" s="510"/>
      <c r="Q111" s="167"/>
      <c r="R111" s="510"/>
      <c r="S111" s="167">
        <v>0</v>
      </c>
      <c r="T111" s="510"/>
      <c r="U111" s="513">
        <v>0</v>
      </c>
      <c r="V111" s="513">
        <v>0</v>
      </c>
      <c r="W111" s="513">
        <v>0</v>
      </c>
      <c r="X111" s="513">
        <v>0</v>
      </c>
    </row>
    <row r="112" spans="1:24">
      <c r="A112" s="101">
        <v>101</v>
      </c>
      <c r="B112" s="130" t="s">
        <v>135</v>
      </c>
      <c r="D112" s="514" t="s">
        <v>166</v>
      </c>
      <c r="F112" s="514" t="s">
        <v>166</v>
      </c>
      <c r="H112" s="514" t="s">
        <v>166</v>
      </c>
      <c r="J112" s="514" t="s">
        <v>166</v>
      </c>
      <c r="K112" s="515"/>
      <c r="L112" s="504"/>
      <c r="M112" s="516" t="s">
        <v>166</v>
      </c>
      <c r="N112" s="509"/>
      <c r="O112" s="514" t="s">
        <v>166</v>
      </c>
      <c r="P112" s="517"/>
      <c r="Q112" s="168" t="s">
        <v>166</v>
      </c>
      <c r="R112" s="517"/>
      <c r="S112" s="168" t="s">
        <v>166</v>
      </c>
      <c r="T112" s="517"/>
      <c r="U112" s="520" t="s">
        <v>166</v>
      </c>
      <c r="V112" s="520" t="s">
        <v>166</v>
      </c>
      <c r="W112" s="520" t="s">
        <v>166</v>
      </c>
      <c r="X112" s="520" t="s">
        <v>166</v>
      </c>
    </row>
    <row r="113" spans="1:24">
      <c r="A113" s="101">
        <v>102</v>
      </c>
      <c r="B113" s="130" t="s">
        <v>167</v>
      </c>
      <c r="D113" s="521">
        <v>0</v>
      </c>
      <c r="F113" s="521">
        <v>0</v>
      </c>
      <c r="H113" s="521">
        <v>0</v>
      </c>
      <c r="J113" s="521">
        <v>0</v>
      </c>
      <c r="K113" s="522"/>
      <c r="L113" s="504"/>
      <c r="M113" s="523">
        <v>0</v>
      </c>
      <c r="N113" s="509"/>
      <c r="O113" s="521">
        <v>0</v>
      </c>
      <c r="P113" s="524"/>
      <c r="Q113" s="169">
        <v>0</v>
      </c>
      <c r="R113" s="524"/>
      <c r="S113" s="169">
        <v>0</v>
      </c>
      <c r="T113" s="524"/>
      <c r="U113" s="527">
        <v>0</v>
      </c>
      <c r="V113" s="527">
        <v>0</v>
      </c>
      <c r="W113" s="527">
        <v>0</v>
      </c>
      <c r="X113" s="527">
        <v>0</v>
      </c>
    </row>
    <row r="114" spans="1:24">
      <c r="A114" s="101">
        <v>103</v>
      </c>
      <c r="B114" s="142" t="s">
        <v>168</v>
      </c>
      <c r="D114" s="528"/>
      <c r="F114" s="528"/>
      <c r="H114" s="528"/>
      <c r="J114" s="528"/>
      <c r="K114" s="529"/>
      <c r="L114" s="504"/>
      <c r="M114" s="530"/>
      <c r="N114" s="509"/>
      <c r="O114" s="528"/>
      <c r="P114" s="531"/>
      <c r="Q114" s="170"/>
      <c r="R114" s="531"/>
      <c r="S114" s="170"/>
      <c r="T114" s="531"/>
      <c r="U114" s="534"/>
      <c r="V114" s="534"/>
      <c r="W114" s="534"/>
      <c r="X114" s="534"/>
    </row>
    <row r="115" spans="1:24">
      <c r="A115" s="101">
        <v>104</v>
      </c>
      <c r="B115" s="130" t="s">
        <v>169</v>
      </c>
      <c r="C115" s="460" t="e">
        <f>SUM(D115-#REF!)/D115</f>
        <v>#REF!</v>
      </c>
      <c r="D115" s="373">
        <f>1842880.17/104359000</f>
        <v>1.7659043973207868E-2</v>
      </c>
      <c r="E115" s="535">
        <f>SUM(F115-D115)/F115</f>
        <v>-6.6797886391917281E-3</v>
      </c>
      <c r="F115" s="373">
        <f>+(2013367.9)/(114775000)</f>
        <v>1.7541868002613807E-2</v>
      </c>
      <c r="G115" s="535">
        <f>SUM(H115-F115)/H115</f>
        <v>-7.516397829751751E-3</v>
      </c>
      <c r="H115" s="373">
        <v>1.7410999999999999E-2</v>
      </c>
      <c r="I115" s="374">
        <f>SUM(J115-H115)/H115</f>
        <v>-1.2155474878995879E-2</v>
      </c>
      <c r="J115" s="373">
        <f>2189444.26/127298000</f>
        <v>1.7199361026881802E-2</v>
      </c>
      <c r="K115" s="420"/>
      <c r="L115" s="536">
        <f>SUM(M115-J115)/J115</f>
        <v>-2.8796838525869704E-2</v>
      </c>
      <c r="M115" s="373">
        <f>2525823/151210000</f>
        <v>1.670407380464255E-2</v>
      </c>
      <c r="N115" s="376">
        <f>SUM((O115-M115)/M115)</f>
        <v>6.8625546604017693E-2</v>
      </c>
      <c r="O115" s="372">
        <v>1.7850399999999999E-2</v>
      </c>
      <c r="P115" s="537">
        <f>SUM(Q118-O118)/O118</f>
        <v>-7.1049071208625469E-2</v>
      </c>
      <c r="Q115" s="373">
        <f>2514997.45/152662000</f>
        <v>1.6474286004375682E-2</v>
      </c>
      <c r="R115" s="379">
        <f>SUM(R100)</f>
        <v>0</v>
      </c>
      <c r="S115" s="141">
        <f>SUM(Q115*(1+R115))</f>
        <v>1.6474286004375682E-2</v>
      </c>
      <c r="T115" s="379">
        <f>SUM(T100)</f>
        <v>0</v>
      </c>
      <c r="U115" s="141">
        <f>SUM(S115*(1+T115))</f>
        <v>1.6474286004375682E-2</v>
      </c>
      <c r="V115" s="141">
        <f>SUM(U115*(1+T115))</f>
        <v>1.6474286004375682E-2</v>
      </c>
      <c r="W115" s="141">
        <f>SUM(V115*(1+T115))</f>
        <v>1.6474286004375682E-2</v>
      </c>
      <c r="X115" s="141">
        <f>SUM(W115*(1+T115))</f>
        <v>1.6474286004375682E-2</v>
      </c>
    </row>
    <row r="116" spans="1:24">
      <c r="A116" s="101">
        <v>105</v>
      </c>
      <c r="B116" s="130" t="s">
        <v>170</v>
      </c>
      <c r="D116" s="538">
        <v>1</v>
      </c>
      <c r="F116" s="538">
        <v>1</v>
      </c>
      <c r="H116" s="538">
        <v>1</v>
      </c>
      <c r="J116" s="538">
        <v>1</v>
      </c>
      <c r="K116" s="539"/>
      <c r="L116" s="497"/>
      <c r="M116" s="538">
        <v>1</v>
      </c>
      <c r="N116" s="509"/>
      <c r="O116" s="538">
        <v>1</v>
      </c>
      <c r="P116" s="540"/>
      <c r="Q116" s="538">
        <v>1</v>
      </c>
      <c r="R116" s="540"/>
      <c r="S116" s="171">
        <v>1</v>
      </c>
      <c r="T116" s="540"/>
      <c r="U116" s="171">
        <v>1</v>
      </c>
      <c r="V116" s="171">
        <v>1</v>
      </c>
      <c r="W116" s="171">
        <v>1</v>
      </c>
      <c r="X116" s="171">
        <v>1</v>
      </c>
    </row>
    <row r="117" spans="1:24">
      <c r="A117" s="101">
        <v>106</v>
      </c>
      <c r="B117" s="130" t="s">
        <v>171</v>
      </c>
      <c r="D117" s="543"/>
      <c r="F117" s="543"/>
      <c r="H117" s="543"/>
      <c r="J117" s="543"/>
      <c r="K117" s="539"/>
      <c r="L117" s="497"/>
      <c r="M117" s="543"/>
      <c r="N117" s="509"/>
      <c r="O117" s="543"/>
      <c r="P117" s="544"/>
      <c r="Q117" s="543"/>
      <c r="R117" s="544"/>
      <c r="S117" s="172"/>
      <c r="T117" s="544"/>
      <c r="U117" s="172"/>
      <c r="V117" s="172"/>
      <c r="W117" s="172"/>
      <c r="X117" s="172"/>
    </row>
    <row r="118" spans="1:24">
      <c r="A118" s="101">
        <v>107</v>
      </c>
      <c r="B118" s="142"/>
      <c r="D118" s="477">
        <f>SUM(D108:D111)*D115*D116</f>
        <v>1842.8801699999999</v>
      </c>
      <c r="F118" s="477">
        <f>SUM(F108:F112)*F115*F116</f>
        <v>2029.5941279024175</v>
      </c>
      <c r="H118" s="477">
        <f t="shared" ref="H118:J118" si="62">SUM(H108:H112)*H115*H116</f>
        <v>1918.901132</v>
      </c>
      <c r="J118" s="477">
        <f t="shared" si="62"/>
        <v>2189.4442599999998</v>
      </c>
      <c r="K118" s="547"/>
      <c r="L118" s="548"/>
      <c r="M118" s="477">
        <f>SUM(M108*M115)</f>
        <v>2525.8229999999999</v>
      </c>
      <c r="N118" s="509"/>
      <c r="O118" s="481">
        <f t="shared" ref="O118" si="63">SUM(O108:O112)*O115*O116</f>
        <v>2707.3523175999999</v>
      </c>
      <c r="P118" s="482"/>
      <c r="Q118" s="477">
        <f t="shared" ref="Q118:S118" si="64">SUM(Q108:Q112)*Q115*Q116</f>
        <v>2514.9974500000003</v>
      </c>
      <c r="R118" s="482"/>
      <c r="S118" s="173">
        <f t="shared" si="64"/>
        <v>2856.6411931587431</v>
      </c>
      <c r="T118" s="482"/>
      <c r="U118" s="173">
        <f t="shared" ref="U118:X118" si="65">SUM(U108:U112)*U115*U116</f>
        <v>2856.6411931587431</v>
      </c>
      <c r="V118" s="173">
        <f t="shared" si="65"/>
        <v>2856.6411931587431</v>
      </c>
      <c r="W118" s="173">
        <f t="shared" si="65"/>
        <v>2856.6411931587431</v>
      </c>
      <c r="X118" s="173">
        <f t="shared" si="65"/>
        <v>2856.6411931587431</v>
      </c>
    </row>
    <row r="119" spans="1:24">
      <c r="A119" s="101">
        <v>108</v>
      </c>
      <c r="B119" s="143"/>
      <c r="D119" s="485"/>
      <c r="F119" s="154"/>
      <c r="H119" s="154"/>
      <c r="I119" s="271"/>
      <c r="J119" s="154"/>
      <c r="K119" s="154"/>
      <c r="L119" s="465"/>
      <c r="M119" s="465"/>
      <c r="N119" s="509"/>
      <c r="O119" s="154"/>
      <c r="P119" s="154"/>
      <c r="Q119" s="154"/>
      <c r="R119" s="154"/>
      <c r="S119" s="154"/>
      <c r="T119" s="154"/>
      <c r="U119" s="154"/>
      <c r="V119" s="154"/>
      <c r="W119" s="154"/>
      <c r="X119" s="154"/>
    </row>
    <row r="120" spans="1:24">
      <c r="A120" s="101">
        <v>109</v>
      </c>
      <c r="B120" s="153"/>
      <c r="D120" s="426"/>
      <c r="F120" s="144"/>
      <c r="H120" s="144"/>
      <c r="I120" s="271"/>
      <c r="J120" s="144"/>
      <c r="K120" s="144"/>
      <c r="L120" s="427"/>
      <c r="M120" s="144"/>
      <c r="N120" s="144"/>
      <c r="O120" s="144"/>
      <c r="P120" s="144"/>
      <c r="Q120" s="144"/>
      <c r="R120" s="144"/>
      <c r="S120" s="144"/>
      <c r="T120" s="144"/>
      <c r="U120" s="144"/>
      <c r="V120" s="144"/>
      <c r="W120" s="144"/>
      <c r="X120" s="144"/>
    </row>
    <row r="121" spans="1:24">
      <c r="A121" s="101">
        <v>110</v>
      </c>
      <c r="B121" s="128"/>
      <c r="D121" s="129"/>
      <c r="F121" s="129"/>
      <c r="H121" s="129"/>
      <c r="J121" s="129"/>
      <c r="K121" s="177"/>
      <c r="L121" s="396"/>
      <c r="M121" s="129"/>
      <c r="N121" s="177"/>
      <c r="O121" s="129"/>
      <c r="P121" s="177"/>
      <c r="Q121" s="129"/>
      <c r="R121" s="177"/>
      <c r="S121" s="129"/>
      <c r="T121" s="177"/>
      <c r="U121" s="155"/>
      <c r="V121" s="155"/>
      <c r="W121" s="155"/>
      <c r="X121" s="155"/>
    </row>
    <row r="122" spans="1:24">
      <c r="A122" s="101">
        <v>111</v>
      </c>
      <c r="B122" s="132" t="s">
        <v>173</v>
      </c>
      <c r="D122" s="131" t="s">
        <v>284</v>
      </c>
      <c r="F122" s="131" t="s">
        <v>253</v>
      </c>
      <c r="H122" s="131" t="s">
        <v>254</v>
      </c>
      <c r="J122" s="131" t="s">
        <v>285</v>
      </c>
      <c r="K122" s="307"/>
      <c r="L122" s="308"/>
      <c r="M122" s="131" t="s">
        <v>286</v>
      </c>
      <c r="N122" s="307"/>
      <c r="O122" s="131" t="s">
        <v>287</v>
      </c>
      <c r="P122" s="307"/>
      <c r="Q122" s="131" t="s">
        <v>258</v>
      </c>
      <c r="R122" s="307"/>
      <c r="S122" s="131" t="s">
        <v>104</v>
      </c>
      <c r="T122" s="307"/>
      <c r="U122" s="112" t="s">
        <v>259</v>
      </c>
      <c r="V122" s="112" t="s">
        <v>260</v>
      </c>
      <c r="W122" s="112" t="s">
        <v>261</v>
      </c>
      <c r="X122" s="112" t="s">
        <v>262</v>
      </c>
    </row>
    <row r="123" spans="1:24" ht="19.5">
      <c r="A123" s="101">
        <v>112</v>
      </c>
      <c r="B123" s="130"/>
      <c r="D123" s="550"/>
      <c r="F123" s="133"/>
      <c r="H123" s="312"/>
      <c r="J123" s="312"/>
      <c r="K123" s="313"/>
      <c r="L123" s="314"/>
      <c r="M123" s="133"/>
      <c r="N123" s="315"/>
      <c r="O123" s="133"/>
      <c r="P123" s="315"/>
      <c r="Q123" s="133"/>
      <c r="R123" s="315"/>
      <c r="S123" s="133"/>
      <c r="T123" s="315"/>
      <c r="U123" s="156"/>
      <c r="V123" s="156"/>
      <c r="W123" s="156"/>
      <c r="X123" s="156"/>
    </row>
    <row r="124" spans="1:24">
      <c r="A124" s="101">
        <v>113</v>
      </c>
      <c r="B124" s="130" t="s">
        <v>131</v>
      </c>
      <c r="D124" s="312"/>
      <c r="F124" s="133"/>
      <c r="H124" s="312"/>
      <c r="J124" s="312"/>
      <c r="K124" s="313"/>
      <c r="L124" s="314"/>
      <c r="M124" s="133"/>
      <c r="N124" s="315"/>
      <c r="O124" s="174"/>
      <c r="P124" s="551"/>
      <c r="Q124" s="174"/>
      <c r="R124" s="551"/>
      <c r="S124" s="174"/>
      <c r="T124" s="551"/>
      <c r="U124" s="156"/>
      <c r="V124" s="156"/>
      <c r="W124" s="156"/>
      <c r="X124" s="156"/>
    </row>
    <row r="125" spans="1:24">
      <c r="A125" s="101">
        <v>114</v>
      </c>
      <c r="B125" s="130" t="s">
        <v>108</v>
      </c>
      <c r="D125" s="321">
        <v>365000</v>
      </c>
      <c r="F125" s="321">
        <v>370000</v>
      </c>
      <c r="H125" s="321">
        <v>400000</v>
      </c>
      <c r="J125" s="321">
        <v>435000</v>
      </c>
      <c r="K125" s="322"/>
      <c r="L125" s="323"/>
      <c r="M125" s="321">
        <v>515000</v>
      </c>
      <c r="N125" s="324"/>
      <c r="O125" s="115">
        <v>500000</v>
      </c>
      <c r="P125" s="325"/>
      <c r="Q125" s="115">
        <f>SUM(O125:O127)</f>
        <v>500000</v>
      </c>
      <c r="R125" s="325"/>
      <c r="S125" s="115">
        <v>550000</v>
      </c>
      <c r="T125" s="325"/>
      <c r="U125" s="122">
        <f>SUM(S125:S127)</f>
        <v>550000</v>
      </c>
      <c r="V125" s="122">
        <f t="shared" ref="V125:X125" si="66">SUM(U125:U127)</f>
        <v>598675.39199999999</v>
      </c>
      <c r="W125" s="122">
        <f t="shared" si="66"/>
        <v>641261.80700000003</v>
      </c>
      <c r="X125" s="122">
        <f t="shared" si="66"/>
        <v>690537.70000000007</v>
      </c>
    </row>
    <row r="126" spans="1:24">
      <c r="A126" s="101">
        <v>115</v>
      </c>
      <c r="B126" s="130" t="s">
        <v>109</v>
      </c>
      <c r="D126" s="321"/>
      <c r="F126" s="328"/>
      <c r="H126" s="321"/>
      <c r="J126" s="321"/>
      <c r="K126" s="322"/>
      <c r="L126" s="323"/>
      <c r="M126" s="328"/>
      <c r="N126" s="324"/>
      <c r="O126" s="115"/>
      <c r="P126" s="325"/>
      <c r="Q126" s="115"/>
      <c r="R126" s="325"/>
      <c r="S126" s="115"/>
      <c r="T126" s="325"/>
      <c r="U126" s="443">
        <v>75675.392000000007</v>
      </c>
      <c r="V126" s="443">
        <v>69586.414999999994</v>
      </c>
      <c r="W126" s="443">
        <v>76275.892999999996</v>
      </c>
      <c r="X126" s="443">
        <v>68855.188999999998</v>
      </c>
    </row>
    <row r="127" spans="1:24">
      <c r="A127" s="101">
        <v>116</v>
      </c>
      <c r="B127" s="130" t="s">
        <v>174</v>
      </c>
      <c r="D127" s="321"/>
      <c r="F127" s="328"/>
      <c r="H127" s="321"/>
      <c r="J127" s="321"/>
      <c r="K127" s="322"/>
      <c r="L127" s="323"/>
      <c r="M127" s="328"/>
      <c r="N127" s="324"/>
      <c r="O127" s="115"/>
      <c r="P127" s="325"/>
      <c r="Q127" s="115"/>
      <c r="R127" s="325"/>
      <c r="S127" s="115"/>
      <c r="T127" s="325"/>
      <c r="U127" s="443">
        <v>-27000</v>
      </c>
      <c r="V127" s="443">
        <v>-27000</v>
      </c>
      <c r="W127" s="443">
        <v>-27000</v>
      </c>
      <c r="X127" s="443">
        <v>-27000</v>
      </c>
    </row>
    <row r="128" spans="1:24">
      <c r="A128" s="101">
        <v>117</v>
      </c>
      <c r="B128" s="111" t="s">
        <v>114</v>
      </c>
      <c r="D128" s="339">
        <v>0.94630499999999995</v>
      </c>
      <c r="F128" s="339">
        <v>0.96772369999999996</v>
      </c>
      <c r="H128" s="339">
        <f>188890268/195011082</f>
        <v>0.96861299400410483</v>
      </c>
      <c r="J128" s="339">
        <v>0.96685500000000002</v>
      </c>
      <c r="K128" s="340"/>
      <c r="L128" s="323"/>
      <c r="M128" s="339">
        <f>234774025/243990907</f>
        <v>0.96222448568544405</v>
      </c>
      <c r="N128" s="342"/>
      <c r="O128" s="119">
        <f>230552.665/238786.689</f>
        <v>0.96551724036845288</v>
      </c>
      <c r="P128" s="343"/>
      <c r="Q128" s="119">
        <f>229911.818/238226.137</f>
        <v>0.96509904788490952</v>
      </c>
      <c r="R128" s="343"/>
      <c r="S128" s="119">
        <f>246152315/261192469</f>
        <v>0.94241735201025267</v>
      </c>
      <c r="T128" s="343"/>
      <c r="U128" s="157">
        <f>SUM(S128)</f>
        <v>0.94241735201025267</v>
      </c>
      <c r="V128" s="157">
        <f t="shared" ref="V128:X129" si="67">SUM(U128)</f>
        <v>0.94241735201025267</v>
      </c>
      <c r="W128" s="157">
        <f t="shared" si="67"/>
        <v>0.94241735201025267</v>
      </c>
      <c r="X128" s="157">
        <f t="shared" si="67"/>
        <v>0.94241735201025267</v>
      </c>
    </row>
    <row r="129" spans="1:24">
      <c r="A129" s="101">
        <v>118</v>
      </c>
      <c r="B129" s="111" t="s">
        <v>115</v>
      </c>
      <c r="D129" s="346">
        <v>0.471997</v>
      </c>
      <c r="F129" s="346">
        <v>0.47163899999999997</v>
      </c>
      <c r="H129" s="346">
        <f>195011082/400000000</f>
        <v>0.48752770499999998</v>
      </c>
      <c r="J129" s="346">
        <v>0.47452299999999997</v>
      </c>
      <c r="K129" s="347"/>
      <c r="L129" s="334"/>
      <c r="M129" s="346">
        <f>243990907/515000000</f>
        <v>0.4737687514563107</v>
      </c>
      <c r="N129" s="350"/>
      <c r="O129" s="120">
        <f>238786.689/500000</f>
        <v>0.47757337800000005</v>
      </c>
      <c r="P129" s="351"/>
      <c r="Q129" s="120">
        <f>238226.137/500000</f>
        <v>0.47645227399999995</v>
      </c>
      <c r="R129" s="351"/>
      <c r="S129" s="120">
        <v>0.47489500000000001</v>
      </c>
      <c r="T129" s="351"/>
      <c r="U129" s="158">
        <f>SUM(S129)</f>
        <v>0.47489500000000001</v>
      </c>
      <c r="V129" s="158">
        <f t="shared" si="67"/>
        <v>0.47489500000000001</v>
      </c>
      <c r="W129" s="158">
        <f t="shared" si="67"/>
        <v>0.47489500000000001</v>
      </c>
      <c r="X129" s="158">
        <f t="shared" si="67"/>
        <v>0.47489500000000001</v>
      </c>
    </row>
    <row r="130" spans="1:24">
      <c r="A130" s="101">
        <v>119</v>
      </c>
      <c r="B130" s="130" t="s">
        <v>116</v>
      </c>
      <c r="D130" s="321">
        <f>SUM(D125+D126+D127)*D128*D129</f>
        <v>163028.38919602497</v>
      </c>
      <c r="F130" s="321">
        <f>SUM(F125+F126+F127)*F128*F129</f>
        <v>168874.00811339097</v>
      </c>
      <c r="H130" s="321">
        <f t="shared" ref="H130:J130" si="68">SUM(H125+H126+H127)*H128*H129</f>
        <v>188890.26799999998</v>
      </c>
      <c r="J130" s="321">
        <f t="shared" si="68"/>
        <v>199575.79679677499</v>
      </c>
      <c r="K130" s="322"/>
      <c r="L130" s="323"/>
      <c r="M130" s="321">
        <f t="shared" ref="M130:O130" si="69">SUM(M125+M126+M127)*M128*M129</f>
        <v>234774.02500000002</v>
      </c>
      <c r="N130" s="324"/>
      <c r="O130" s="115">
        <f t="shared" si="69"/>
        <v>230552.66500000001</v>
      </c>
      <c r="P130" s="325"/>
      <c r="Q130" s="115">
        <f t="shared" ref="Q130:X130" si="70">SUM(Q125+Q126+Q127)*Q128*Q129</f>
        <v>229911.818</v>
      </c>
      <c r="R130" s="325"/>
      <c r="S130" s="115">
        <f t="shared" si="70"/>
        <v>246152.10861059991</v>
      </c>
      <c r="T130" s="325"/>
      <c r="U130" s="122">
        <f t="shared" si="70"/>
        <v>267936.74566195905</v>
      </c>
      <c r="V130" s="122">
        <f t="shared" si="70"/>
        <v>286996.26538998832</v>
      </c>
      <c r="W130" s="122">
        <f t="shared" si="70"/>
        <v>309049.65623657068</v>
      </c>
      <c r="X130" s="122">
        <f t="shared" si="70"/>
        <v>327781.91628865286</v>
      </c>
    </row>
    <row r="131" spans="1:24">
      <c r="A131" s="101">
        <v>120</v>
      </c>
      <c r="B131" s="130" t="s">
        <v>146</v>
      </c>
      <c r="D131" s="321"/>
      <c r="F131" s="553"/>
      <c r="H131" s="321"/>
      <c r="J131" s="321"/>
      <c r="K131" s="322"/>
      <c r="L131" s="323"/>
      <c r="M131" s="321"/>
      <c r="N131" s="324"/>
      <c r="O131" s="115"/>
      <c r="P131" s="325"/>
      <c r="Q131" s="115"/>
      <c r="R131" s="325"/>
      <c r="S131" s="115"/>
      <c r="T131" s="325"/>
      <c r="U131" s="122"/>
      <c r="V131" s="122"/>
      <c r="W131" s="122"/>
      <c r="X131" s="122"/>
    </row>
    <row r="132" spans="1:24">
      <c r="A132" s="101">
        <v>121</v>
      </c>
      <c r="B132" s="130" t="s">
        <v>118</v>
      </c>
      <c r="D132" s="321">
        <f>SUM(D130)</f>
        <v>163028.38919602497</v>
      </c>
      <c r="F132" s="321">
        <f>SUM(F130)</f>
        <v>168874.00811339097</v>
      </c>
      <c r="H132" s="321">
        <f t="shared" ref="H132:J132" si="71">SUM(H130)</f>
        <v>188890.26799999998</v>
      </c>
      <c r="J132" s="321">
        <f t="shared" si="71"/>
        <v>199575.79679677499</v>
      </c>
      <c r="K132" s="322"/>
      <c r="L132" s="323"/>
      <c r="M132" s="321">
        <f t="shared" ref="M132:X132" si="72">SUM(M130)</f>
        <v>234774.02500000002</v>
      </c>
      <c r="N132" s="324"/>
      <c r="O132" s="115">
        <f t="shared" si="72"/>
        <v>230552.66500000001</v>
      </c>
      <c r="P132" s="325"/>
      <c r="Q132" s="115">
        <f t="shared" si="72"/>
        <v>229911.818</v>
      </c>
      <c r="R132" s="325"/>
      <c r="S132" s="115">
        <f t="shared" si="72"/>
        <v>246152.10861059991</v>
      </c>
      <c r="T132" s="325"/>
      <c r="U132" s="122">
        <f t="shared" si="72"/>
        <v>267936.74566195905</v>
      </c>
      <c r="V132" s="122">
        <f t="shared" si="72"/>
        <v>286996.26538998832</v>
      </c>
      <c r="W132" s="122">
        <f t="shared" si="72"/>
        <v>309049.65623657068</v>
      </c>
      <c r="X132" s="122">
        <f t="shared" si="72"/>
        <v>327781.91628865286</v>
      </c>
    </row>
    <row r="133" spans="1:24">
      <c r="A133" s="101">
        <v>122</v>
      </c>
      <c r="B133" s="111" t="s">
        <v>120</v>
      </c>
      <c r="D133" s="321"/>
      <c r="F133" s="321"/>
      <c r="H133" s="321"/>
      <c r="J133" s="321"/>
      <c r="K133" s="322"/>
      <c r="L133" s="323"/>
      <c r="M133" s="321"/>
      <c r="N133" s="324"/>
      <c r="O133" s="115"/>
      <c r="P133" s="325"/>
      <c r="Q133" s="115">
        <v>213560.91500000001</v>
      </c>
      <c r="R133" s="325"/>
      <c r="S133" s="115"/>
      <c r="T133" s="325"/>
      <c r="U133" s="122"/>
      <c r="V133" s="122"/>
      <c r="W133" s="122"/>
      <c r="X133" s="122"/>
    </row>
    <row r="134" spans="1:24">
      <c r="A134" s="101">
        <v>123</v>
      </c>
      <c r="B134" s="111" t="s">
        <v>121</v>
      </c>
      <c r="C134" s="554"/>
      <c r="D134" s="555">
        <f>148020.988/163028</f>
        <v>0.90794825428760706</v>
      </c>
      <c r="F134" s="555">
        <f>SUM(F135/F132)</f>
        <v>0.90322653973832534</v>
      </c>
      <c r="H134" s="555">
        <f>173803920/188890000</f>
        <v>0.92013298745301497</v>
      </c>
      <c r="J134" s="555">
        <f>189501.264/199576</f>
        <v>0.94951930091794601</v>
      </c>
      <c r="K134" s="556"/>
      <c r="L134" s="334"/>
      <c r="M134" s="555">
        <f>223370.065/M132</f>
        <v>0.95142580189609982</v>
      </c>
      <c r="N134" s="557"/>
      <c r="O134" s="558">
        <f>216345.522/O132</f>
        <v>0.93837788428947455</v>
      </c>
      <c r="P134" s="559"/>
      <c r="Q134" s="858">
        <f>Q133/Q132</f>
        <v>0.92888185069286</v>
      </c>
      <c r="R134" s="559"/>
      <c r="S134" s="858">
        <f>SUM(Q134)</f>
        <v>0.92888185069286</v>
      </c>
      <c r="T134" s="559"/>
      <c r="U134" s="562">
        <f>SUM(S134)</f>
        <v>0.92888185069286</v>
      </c>
      <c r="V134" s="562">
        <f t="shared" ref="V134:X134" si="73">SUM(U134)</f>
        <v>0.92888185069286</v>
      </c>
      <c r="W134" s="562">
        <f t="shared" si="73"/>
        <v>0.92888185069286</v>
      </c>
      <c r="X134" s="562">
        <f t="shared" si="73"/>
        <v>0.92888185069286</v>
      </c>
    </row>
    <row r="135" spans="1:24">
      <c r="A135" s="101">
        <v>124</v>
      </c>
      <c r="B135" s="111" t="s">
        <v>123</v>
      </c>
      <c r="D135" s="321">
        <f>SUM(D132*D134)</f>
        <v>148021.34136985146</v>
      </c>
      <c r="F135" s="321">
        <v>152531.486</v>
      </c>
      <c r="H135" s="321">
        <f t="shared" ref="H135:J135" si="74">SUM(H132*H134)</f>
        <v>173804.16659564062</v>
      </c>
      <c r="J135" s="321">
        <f t="shared" si="74"/>
        <v>189501.07105461584</v>
      </c>
      <c r="K135" s="322"/>
      <c r="L135" s="323"/>
      <c r="M135" s="321">
        <f t="shared" ref="M135:X135" si="75">SUM(M132*M134)</f>
        <v>223370.065</v>
      </c>
      <c r="N135" s="324"/>
      <c r="O135" s="115">
        <f t="shared" si="75"/>
        <v>216345.522</v>
      </c>
      <c r="P135" s="563"/>
      <c r="Q135" s="115">
        <f t="shared" si="75"/>
        <v>213560.91500000001</v>
      </c>
      <c r="R135" s="563"/>
      <c r="S135" s="115">
        <f t="shared" si="75"/>
        <v>228646.22619816393</v>
      </c>
      <c r="T135" s="563"/>
      <c r="U135" s="122">
        <f t="shared" si="75"/>
        <v>248881.58017910266</v>
      </c>
      <c r="V135" s="122">
        <f t="shared" si="75"/>
        <v>266585.62213739153</v>
      </c>
      <c r="W135" s="122">
        <f t="shared" si="75"/>
        <v>287070.61664101796</v>
      </c>
      <c r="X135" s="122">
        <f t="shared" si="75"/>
        <v>304470.67302585597</v>
      </c>
    </row>
    <row r="136" spans="1:24">
      <c r="A136" s="101">
        <v>125</v>
      </c>
      <c r="B136" s="111" t="s">
        <v>126</v>
      </c>
      <c r="C136" s="460" t="e">
        <f>SUM(D136-#REF!)/D136</f>
        <v>#REF!</v>
      </c>
      <c r="D136" s="372">
        <v>1.2448000000000001E-2</v>
      </c>
      <c r="E136" s="535">
        <f>SUM(F136-D136)/F136</f>
        <v>2.1152787607139924E-2</v>
      </c>
      <c r="F136" s="373">
        <v>1.2716999999999999E-2</v>
      </c>
      <c r="G136" s="535">
        <f>SUM(H136-F136)/H136</f>
        <v>1.2578616352201311E-2</v>
      </c>
      <c r="H136" s="566">
        <v>1.2879E-2</v>
      </c>
      <c r="I136" s="567">
        <f>SUM((J136-H136)/H136)</f>
        <v>1.5232524017182573E-3</v>
      </c>
      <c r="J136" s="373">
        <f>SUM(J138/J135)</f>
        <v>1.2898617967681729E-2</v>
      </c>
      <c r="K136" s="375"/>
      <c r="L136" s="421">
        <f>SUM(M136-J136)/J136</f>
        <v>2.0893237059376537E-2</v>
      </c>
      <c r="M136" s="377">
        <f>SUM(M138/M135)</f>
        <v>1.3168111850618837E-2</v>
      </c>
      <c r="N136" s="536">
        <f>SUM(O136-M136)/M136</f>
        <v>-2.4622895488339361E-2</v>
      </c>
      <c r="O136" s="377">
        <f>SUM(O138/O135)</f>
        <v>1.2843874808742287E-2</v>
      </c>
      <c r="P136" s="422">
        <f>SUM(Q136-O136)/O136</f>
        <v>-7.238054115254829E-3</v>
      </c>
      <c r="Q136" s="377">
        <f>2723096/213560912</f>
        <v>1.2750910147827052E-2</v>
      </c>
      <c r="R136" s="379">
        <f>SUM(R115)</f>
        <v>0</v>
      </c>
      <c r="S136" s="141">
        <f>SUM(Q136*(1+R136))</f>
        <v>1.2750910147827052E-2</v>
      </c>
      <c r="T136" s="379">
        <f>SUM(T115)</f>
        <v>0</v>
      </c>
      <c r="U136" s="141">
        <f>SUM(S136*(1+T136))</f>
        <v>1.2750910147827052E-2</v>
      </c>
      <c r="V136" s="141">
        <f>SUM(U136*(1+T136))</f>
        <v>1.2750910147827052E-2</v>
      </c>
      <c r="W136" s="141">
        <f>SUM(V136*(1+T136))</f>
        <v>1.2750910147827052E-2</v>
      </c>
      <c r="X136" s="141">
        <f>SUM(W136*(1+T136))</f>
        <v>1.2750910147827052E-2</v>
      </c>
    </row>
    <row r="137" spans="1:24">
      <c r="A137" s="101">
        <v>126</v>
      </c>
      <c r="B137" s="111"/>
      <c r="D137" s="381"/>
      <c r="F137" s="382"/>
      <c r="H137" s="381"/>
      <c r="J137" s="381"/>
      <c r="K137" s="383"/>
      <c r="L137" s="323"/>
      <c r="M137" s="568"/>
      <c r="N137" s="383"/>
      <c r="O137" s="382"/>
      <c r="P137" s="383"/>
      <c r="Q137" s="382"/>
      <c r="R137" s="383"/>
      <c r="S137" s="125"/>
      <c r="T137" s="383"/>
      <c r="U137" s="125"/>
      <c r="V137" s="125"/>
      <c r="W137" s="125"/>
      <c r="X137" s="125"/>
    </row>
    <row r="138" spans="1:24" ht="13.5" thickBot="1">
      <c r="A138" s="101">
        <v>127</v>
      </c>
      <c r="D138" s="386">
        <v>1843</v>
      </c>
      <c r="F138" s="386">
        <f>SUM(F135*F136)</f>
        <v>1939.7429074619999</v>
      </c>
      <c r="H138" s="386">
        <f t="shared" ref="H138" si="76">SUM(H135*H136)</f>
        <v>2238.4238615852555</v>
      </c>
      <c r="J138" s="386">
        <v>2444.3019199999999</v>
      </c>
      <c r="K138" s="387"/>
      <c r="L138" s="388"/>
      <c r="M138" s="569">
        <v>2941.3620000000001</v>
      </c>
      <c r="N138" s="387"/>
      <c r="O138" s="386">
        <v>2778.7148000000002</v>
      </c>
      <c r="P138" s="387"/>
      <c r="Q138" s="386">
        <f t="shared" ref="Q138:X138" si="77">SUM(Q135*Q136)</f>
        <v>2723.0960382527305</v>
      </c>
      <c r="R138" s="387"/>
      <c r="S138" s="126">
        <f t="shared" si="77"/>
        <v>2915.4474858925278</v>
      </c>
      <c r="T138" s="387"/>
      <c r="U138" s="126">
        <f t="shared" si="77"/>
        <v>3173.4666663129519</v>
      </c>
      <c r="V138" s="126">
        <f t="shared" si="77"/>
        <v>3399.2093145764534</v>
      </c>
      <c r="W138" s="126">
        <f t="shared" si="77"/>
        <v>3660.4116388709253</v>
      </c>
      <c r="X138" s="126">
        <f t="shared" si="77"/>
        <v>3882.278194401119</v>
      </c>
    </row>
    <row r="139" spans="1:24" ht="13.5" thickTop="1">
      <c r="A139" s="101">
        <v>128</v>
      </c>
      <c r="B139" s="128"/>
      <c r="D139" s="129"/>
      <c r="F139" s="431"/>
      <c r="H139" s="177"/>
      <c r="J139" s="177"/>
      <c r="K139" s="177"/>
      <c r="L139" s="396"/>
      <c r="M139" s="396"/>
      <c r="N139" s="177"/>
      <c r="O139" s="396"/>
      <c r="P139" s="177"/>
      <c r="Q139" s="177"/>
      <c r="R139" s="177"/>
      <c r="S139" s="177"/>
      <c r="T139" s="177"/>
      <c r="U139" s="177"/>
      <c r="V139" s="177"/>
      <c r="W139" s="177"/>
      <c r="X139" s="177"/>
    </row>
    <row r="140" spans="1:24">
      <c r="A140" s="101">
        <v>129</v>
      </c>
      <c r="B140" s="132" t="s">
        <v>176</v>
      </c>
      <c r="D140" s="131" t="s">
        <v>265</v>
      </c>
      <c r="F140" s="131" t="s">
        <v>253</v>
      </c>
      <c r="H140" s="131" t="s">
        <v>254</v>
      </c>
      <c r="J140" s="131" t="s">
        <v>266</v>
      </c>
      <c r="K140" s="399"/>
      <c r="L140" s="308"/>
      <c r="M140" s="131" t="s">
        <v>267</v>
      </c>
      <c r="N140" s="307"/>
      <c r="O140" s="131" t="s">
        <v>268</v>
      </c>
      <c r="P140" s="307"/>
      <c r="Q140" s="131" t="s">
        <v>269</v>
      </c>
      <c r="R140" s="307"/>
      <c r="S140" s="131" t="s">
        <v>104</v>
      </c>
      <c r="T140" s="307"/>
      <c r="U140" s="112" t="s">
        <v>259</v>
      </c>
      <c r="V140" s="112" t="s">
        <v>260</v>
      </c>
      <c r="W140" s="112" t="s">
        <v>261</v>
      </c>
      <c r="X140" s="112" t="s">
        <v>262</v>
      </c>
    </row>
    <row r="141" spans="1:24" ht="19.5">
      <c r="A141" s="101">
        <v>130</v>
      </c>
      <c r="B141" s="178"/>
      <c r="D141" s="550"/>
      <c r="F141" s="133"/>
      <c r="H141" s="312"/>
      <c r="J141" s="312"/>
      <c r="K141" s="313"/>
      <c r="L141" s="314"/>
      <c r="M141" s="133"/>
      <c r="N141" s="315"/>
      <c r="O141" s="133"/>
      <c r="P141" s="315"/>
      <c r="Q141" s="133"/>
      <c r="R141" s="315"/>
      <c r="S141" s="133"/>
      <c r="T141" s="315"/>
      <c r="U141" s="156"/>
      <c r="V141" s="156"/>
      <c r="W141" s="156"/>
      <c r="X141" s="156"/>
    </row>
    <row r="142" spans="1:24">
      <c r="A142" s="101">
        <v>131</v>
      </c>
      <c r="B142" s="130" t="s">
        <v>131</v>
      </c>
      <c r="D142" s="312"/>
      <c r="F142" s="133"/>
      <c r="H142" s="312"/>
      <c r="J142" s="312"/>
      <c r="K142" s="313"/>
      <c r="L142" s="314"/>
      <c r="M142" s="133"/>
      <c r="N142" s="315"/>
      <c r="O142" s="133"/>
      <c r="P142" s="315"/>
      <c r="Q142" s="133"/>
      <c r="R142" s="315"/>
      <c r="S142" s="133"/>
      <c r="T142" s="315"/>
      <c r="U142" s="156"/>
      <c r="V142" s="156"/>
      <c r="W142" s="156"/>
      <c r="X142" s="156"/>
    </row>
    <row r="143" spans="1:24">
      <c r="A143" s="101">
        <v>132</v>
      </c>
      <c r="B143" s="130" t="s">
        <v>108</v>
      </c>
      <c r="D143" s="321">
        <v>364953</v>
      </c>
      <c r="F143" s="321">
        <v>369405.65100000001</v>
      </c>
      <c r="H143" s="321">
        <v>424400.88699999999</v>
      </c>
      <c r="J143" s="321">
        <v>451330.43099999998</v>
      </c>
      <c r="K143" s="322"/>
      <c r="L143" s="323"/>
      <c r="M143" s="321">
        <v>489356.26899999997</v>
      </c>
      <c r="N143" s="324"/>
      <c r="O143" s="115">
        <v>510289.36700000003</v>
      </c>
      <c r="P143" s="325"/>
      <c r="Q143" s="115">
        <v>558892.69999999995</v>
      </c>
      <c r="R143" s="325"/>
      <c r="S143" s="115">
        <v>631442.69799999997</v>
      </c>
      <c r="T143" s="325"/>
      <c r="U143" s="122">
        <f>SUM(S143:S145)</f>
        <v>631442.69799999997</v>
      </c>
      <c r="V143" s="122">
        <f t="shared" ref="V143:X143" si="78">SUM(U143:U145)</f>
        <v>680118.09</v>
      </c>
      <c r="W143" s="122">
        <f t="shared" si="78"/>
        <v>722704.505</v>
      </c>
      <c r="X143" s="122">
        <f t="shared" si="78"/>
        <v>771980.39800000004</v>
      </c>
    </row>
    <row r="144" spans="1:24">
      <c r="A144" s="101">
        <v>133</v>
      </c>
      <c r="B144" s="130" t="s">
        <v>109</v>
      </c>
      <c r="D144" s="321"/>
      <c r="F144" s="328"/>
      <c r="H144" s="321"/>
      <c r="J144" s="321"/>
      <c r="K144" s="322"/>
      <c r="L144" s="323"/>
      <c r="M144" s="328"/>
      <c r="N144" s="324"/>
      <c r="O144" s="115"/>
      <c r="P144" s="325"/>
      <c r="Q144" s="115"/>
      <c r="R144" s="325"/>
      <c r="S144" s="115">
        <f>SUM(S126)</f>
        <v>0</v>
      </c>
      <c r="T144" s="325"/>
      <c r="U144" s="443">
        <f t="shared" ref="U144:X145" si="79">SUM(U126)</f>
        <v>75675.392000000007</v>
      </c>
      <c r="V144" s="443">
        <f t="shared" si="79"/>
        <v>69586.414999999994</v>
      </c>
      <c r="W144" s="443">
        <f t="shared" si="79"/>
        <v>76275.892999999996</v>
      </c>
      <c r="X144" s="443">
        <f t="shared" si="79"/>
        <v>68855.188999999998</v>
      </c>
    </row>
    <row r="145" spans="1:24">
      <c r="A145" s="101">
        <v>134</v>
      </c>
      <c r="B145" s="130" t="s">
        <v>132</v>
      </c>
      <c r="D145" s="321"/>
      <c r="F145" s="328"/>
      <c r="H145" s="321"/>
      <c r="J145" s="321"/>
      <c r="K145" s="322"/>
      <c r="L145" s="323"/>
      <c r="M145" s="328"/>
      <c r="N145" s="324"/>
      <c r="O145" s="115"/>
      <c r="P145" s="325"/>
      <c r="Q145" s="115"/>
      <c r="R145" s="325"/>
      <c r="S145" s="115">
        <f>SUM(S127)</f>
        <v>0</v>
      </c>
      <c r="T145" s="325"/>
      <c r="U145" s="443">
        <f t="shared" si="79"/>
        <v>-27000</v>
      </c>
      <c r="V145" s="443">
        <f t="shared" si="79"/>
        <v>-27000</v>
      </c>
      <c r="W145" s="443">
        <f t="shared" si="79"/>
        <v>-27000</v>
      </c>
      <c r="X145" s="443">
        <f t="shared" si="79"/>
        <v>-27000</v>
      </c>
    </row>
    <row r="146" spans="1:24">
      <c r="A146" s="101">
        <v>135</v>
      </c>
      <c r="B146" s="130" t="s">
        <v>134</v>
      </c>
      <c r="D146" s="339">
        <v>1</v>
      </c>
      <c r="F146" s="339">
        <v>1</v>
      </c>
      <c r="H146" s="339">
        <v>1</v>
      </c>
      <c r="J146" s="339">
        <v>1</v>
      </c>
      <c r="K146" s="340"/>
      <c r="L146" s="323"/>
      <c r="M146" s="339">
        <v>1</v>
      </c>
      <c r="N146" s="342"/>
      <c r="O146" s="119">
        <v>1</v>
      </c>
      <c r="P146" s="343"/>
      <c r="Q146" s="119">
        <v>1</v>
      </c>
      <c r="R146" s="343"/>
      <c r="S146" s="119">
        <v>1</v>
      </c>
      <c r="T146" s="343"/>
      <c r="U146" s="157">
        <v>1</v>
      </c>
      <c r="V146" s="157">
        <v>1</v>
      </c>
      <c r="W146" s="157">
        <v>1</v>
      </c>
      <c r="X146" s="157">
        <v>1</v>
      </c>
    </row>
    <row r="147" spans="1:24">
      <c r="A147" s="101">
        <v>136</v>
      </c>
      <c r="B147" s="130" t="s">
        <v>135</v>
      </c>
      <c r="D147" s="346">
        <v>0.19417899999999999</v>
      </c>
      <c r="F147" s="346">
        <v>0.18853565999999999</v>
      </c>
      <c r="H147" s="346">
        <f>79213073/424400887</f>
        <v>0.18664681301667496</v>
      </c>
      <c r="J147" s="346">
        <f>85831.54/451330.431</f>
        <v>0.1901745021044238</v>
      </c>
      <c r="K147" s="347"/>
      <c r="L147" s="334"/>
      <c r="M147" s="346">
        <v>0.18943473999999999</v>
      </c>
      <c r="N147" s="350"/>
      <c r="O147" s="120">
        <f>96666.593/510289.367</f>
        <v>0.18943485647820679</v>
      </c>
      <c r="P147" s="351"/>
      <c r="Q147" s="120">
        <f>103095.598/558892.7</f>
        <v>0.18446402681588078</v>
      </c>
      <c r="R147" s="351"/>
      <c r="S147" s="120">
        <v>0.18379474000000001</v>
      </c>
      <c r="T147" s="351"/>
      <c r="U147" s="158">
        <f>SUM(S147)</f>
        <v>0.18379474000000001</v>
      </c>
      <c r="V147" s="158">
        <f t="shared" ref="V147:X147" si="80">SUM(U147)</f>
        <v>0.18379474000000001</v>
      </c>
      <c r="W147" s="158">
        <f t="shared" si="80"/>
        <v>0.18379474000000001</v>
      </c>
      <c r="X147" s="158">
        <f t="shared" si="80"/>
        <v>0.18379474000000001</v>
      </c>
    </row>
    <row r="148" spans="1:24">
      <c r="A148" s="101">
        <v>137</v>
      </c>
      <c r="B148" s="130" t="s">
        <v>116</v>
      </c>
      <c r="D148" s="364">
        <f>SUM((D143+D144+D145)*D146*D147)</f>
        <v>70866.208587000001</v>
      </c>
      <c r="F148" s="364">
        <f>SUM((F143+F144+F145)*F146*F147)</f>
        <v>69646.138219014654</v>
      </c>
      <c r="H148" s="364">
        <f t="shared" ref="H148:J148" si="81">SUM((H143+H144+H145)*H146*H147)</f>
        <v>79213.073000000004</v>
      </c>
      <c r="J148" s="364">
        <f t="shared" si="81"/>
        <v>85831.54</v>
      </c>
      <c r="K148" s="365"/>
      <c r="L148" s="366"/>
      <c r="M148" s="364">
        <f t="shared" ref="M148:X148" si="82">SUM((M143+M144+M145)*M146*M147)</f>
        <v>92701.07758538505</v>
      </c>
      <c r="N148" s="367"/>
      <c r="O148" s="152">
        <f t="shared" si="82"/>
        <v>96666.592999999993</v>
      </c>
      <c r="P148" s="474"/>
      <c r="Q148" s="152">
        <f t="shared" si="82"/>
        <v>103095.598</v>
      </c>
      <c r="R148" s="474"/>
      <c r="S148" s="152">
        <f t="shared" si="82"/>
        <v>116055.84650380853</v>
      </c>
      <c r="T148" s="474"/>
      <c r="U148" s="123">
        <f t="shared" si="82"/>
        <v>125002.1275208466</v>
      </c>
      <c r="V148" s="123">
        <f t="shared" si="82"/>
        <v>132829.2865933037</v>
      </c>
      <c r="W148" s="123">
        <f t="shared" si="82"/>
        <v>141885.93653550654</v>
      </c>
      <c r="X148" s="123">
        <f t="shared" si="82"/>
        <v>149578.70011541239</v>
      </c>
    </row>
    <row r="149" spans="1:24">
      <c r="A149" s="101">
        <v>138</v>
      </c>
      <c r="B149" s="130" t="s">
        <v>146</v>
      </c>
      <c r="D149" s="331">
        <v>-902</v>
      </c>
      <c r="F149" s="331">
        <v>-925.8</v>
      </c>
      <c r="H149" s="331"/>
      <c r="J149" s="331"/>
      <c r="K149" s="409"/>
      <c r="L149" s="334"/>
      <c r="M149" s="331"/>
      <c r="N149" s="333"/>
      <c r="O149" s="179"/>
      <c r="P149" s="335"/>
      <c r="Q149" s="179"/>
      <c r="R149" s="335"/>
      <c r="S149" s="179">
        <v>-100</v>
      </c>
      <c r="T149" s="335"/>
      <c r="U149" s="407"/>
      <c r="V149" s="407"/>
      <c r="W149" s="407"/>
      <c r="X149" s="407"/>
    </row>
    <row r="150" spans="1:24">
      <c r="A150" s="101">
        <v>139</v>
      </c>
      <c r="B150" s="130" t="s">
        <v>118</v>
      </c>
      <c r="D150" s="321">
        <f>D148+D149</f>
        <v>69964.208587000001</v>
      </c>
      <c r="F150" s="321">
        <f>SUM(F148:F149)</f>
        <v>68720.338219014651</v>
      </c>
      <c r="H150" s="321">
        <f t="shared" ref="H150:J150" si="83">SUM(H148)</f>
        <v>79213.073000000004</v>
      </c>
      <c r="J150" s="321">
        <f t="shared" si="83"/>
        <v>85831.54</v>
      </c>
      <c r="K150" s="322"/>
      <c r="L150" s="323"/>
      <c r="M150" s="321">
        <f t="shared" ref="M150:X150" si="84">SUM(M148)</f>
        <v>92701.07758538505</v>
      </c>
      <c r="N150" s="324"/>
      <c r="O150" s="115">
        <f t="shared" si="84"/>
        <v>96666.592999999993</v>
      </c>
      <c r="P150" s="325"/>
      <c r="Q150" s="115">
        <f t="shared" si="84"/>
        <v>103095.598</v>
      </c>
      <c r="R150" s="325"/>
      <c r="S150" s="115">
        <f>S148+S149</f>
        <v>115955.84650380853</v>
      </c>
      <c r="T150" s="325"/>
      <c r="U150" s="122">
        <f t="shared" si="84"/>
        <v>125002.1275208466</v>
      </c>
      <c r="V150" s="122">
        <f t="shared" si="84"/>
        <v>132829.2865933037</v>
      </c>
      <c r="W150" s="122">
        <f t="shared" si="84"/>
        <v>141885.93653550654</v>
      </c>
      <c r="X150" s="122">
        <f t="shared" si="84"/>
        <v>149578.70011541239</v>
      </c>
    </row>
    <row r="151" spans="1:24">
      <c r="A151" s="101">
        <v>140</v>
      </c>
      <c r="B151" s="130" t="s">
        <v>136</v>
      </c>
      <c r="D151" s="410">
        <v>1</v>
      </c>
      <c r="F151" s="410">
        <v>1</v>
      </c>
      <c r="H151" s="410">
        <f>77458/79213</f>
        <v>0.97784454571850576</v>
      </c>
      <c r="J151" s="410">
        <v>1</v>
      </c>
      <c r="K151" s="411"/>
      <c r="L151" s="334"/>
      <c r="M151" s="410">
        <v>1</v>
      </c>
      <c r="N151" s="412"/>
      <c r="O151" s="140">
        <v>1</v>
      </c>
      <c r="P151" s="413"/>
      <c r="Q151" s="140">
        <v>1</v>
      </c>
      <c r="R151" s="413"/>
      <c r="S151" s="140">
        <v>1</v>
      </c>
      <c r="T151" s="413"/>
      <c r="U151" s="416">
        <v>1</v>
      </c>
      <c r="V151" s="416">
        <v>1</v>
      </c>
      <c r="W151" s="416">
        <v>1</v>
      </c>
      <c r="X151" s="416">
        <v>1</v>
      </c>
    </row>
    <row r="152" spans="1:24">
      <c r="A152" s="101">
        <v>141</v>
      </c>
      <c r="B152" s="130" t="s">
        <v>137</v>
      </c>
      <c r="D152" s="321">
        <f>SUM(D150*D151)</f>
        <v>69964.208587000001</v>
      </c>
      <c r="F152" s="321">
        <f>SUM(F150*F151)</f>
        <v>68720.338219014651</v>
      </c>
      <c r="H152" s="321">
        <f t="shared" ref="H152:J152" si="85">SUM(H150*H151)</f>
        <v>77458.071382651833</v>
      </c>
      <c r="J152" s="321">
        <f t="shared" si="85"/>
        <v>85831.54</v>
      </c>
      <c r="K152" s="322"/>
      <c r="L152" s="323"/>
      <c r="M152" s="321">
        <f t="shared" ref="M152:X152" si="86">SUM(M150*M151)</f>
        <v>92701.07758538505</v>
      </c>
      <c r="N152" s="324"/>
      <c r="O152" s="115">
        <f t="shared" si="86"/>
        <v>96666.592999999993</v>
      </c>
      <c r="P152" s="325"/>
      <c r="Q152" s="115">
        <f t="shared" si="86"/>
        <v>103095.598</v>
      </c>
      <c r="R152" s="325"/>
      <c r="S152" s="115">
        <f t="shared" si="86"/>
        <v>115955.84650380853</v>
      </c>
      <c r="T152" s="325"/>
      <c r="U152" s="122">
        <f t="shared" si="86"/>
        <v>125002.1275208466</v>
      </c>
      <c r="V152" s="122">
        <f t="shared" si="86"/>
        <v>132829.2865933037</v>
      </c>
      <c r="W152" s="122">
        <f t="shared" si="86"/>
        <v>141885.93653550654</v>
      </c>
      <c r="X152" s="122">
        <f t="shared" si="86"/>
        <v>149578.70011541239</v>
      </c>
    </row>
    <row r="153" spans="1:24">
      <c r="A153" s="101">
        <v>142</v>
      </c>
      <c r="B153" s="130" t="s">
        <v>138</v>
      </c>
      <c r="C153" s="460" t="e">
        <f>SUM(D153-#REF!)/D153</f>
        <v>#REF!</v>
      </c>
      <c r="D153" s="373">
        <f>802707.06/69964158</f>
        <v>1.1473118278647762E-2</v>
      </c>
      <c r="E153" s="418">
        <f>SUM(F153-D153)/F153</f>
        <v>7.9026924355978134E-2</v>
      </c>
      <c r="F153" s="373">
        <f>856090.19/68720290</f>
        <v>1.2457604442588935E-2</v>
      </c>
      <c r="G153" s="418">
        <f>SUM(H153-F153)/H153</f>
        <v>0.13269904482785214</v>
      </c>
      <c r="H153" s="373">
        <f>1112585/77458394</f>
        <v>1.4363646630731848E-2</v>
      </c>
      <c r="I153" s="419">
        <f>SUM(J153-H153)/H153</f>
        <v>1.8103872228034199E-2</v>
      </c>
      <c r="J153" s="373">
        <f>1255173.34/85831540</f>
        <v>1.4623684254063251E-2</v>
      </c>
      <c r="K153" s="420"/>
      <c r="L153" s="536">
        <f>SUM(M153-J153)/J153</f>
        <v>-1.3949345977307324E-2</v>
      </c>
      <c r="M153" s="373">
        <f>1336.72/92701</f>
        <v>1.4419693422940421E-2</v>
      </c>
      <c r="N153" s="376">
        <f>SUM((O153-M153)/M153)</f>
        <v>2.0801192302491757E-3</v>
      </c>
      <c r="O153" s="377">
        <f>1396.808/96667</f>
        <v>1.4449688104523777E-2</v>
      </c>
      <c r="P153" s="462">
        <f>SUM(Q155-O155)/O155</f>
        <v>5.2438044034974686E-2</v>
      </c>
      <c r="Q153" s="373">
        <f>1470.04769/103095.598</f>
        <v>1.4259073311743148E-2</v>
      </c>
      <c r="R153" s="379">
        <f>SUM(R136)</f>
        <v>0</v>
      </c>
      <c r="S153" s="141">
        <f>SUM(Q153*(1+R153))</f>
        <v>1.4259073311743148E-2</v>
      </c>
      <c r="T153" s="379">
        <f>SUM(T136)</f>
        <v>0</v>
      </c>
      <c r="U153" s="141">
        <f>SUM(S153*(1+T153))</f>
        <v>1.4259073311743148E-2</v>
      </c>
      <c r="V153" s="141">
        <f>SUM(U153*(1+T153))</f>
        <v>1.4259073311743148E-2</v>
      </c>
      <c r="W153" s="141">
        <f>SUM(V153*(1+T153))</f>
        <v>1.4259073311743148E-2</v>
      </c>
      <c r="X153" s="141">
        <f>SUM(W153*(1+T153))</f>
        <v>1.4259073311743148E-2</v>
      </c>
    </row>
    <row r="154" spans="1:24">
      <c r="A154" s="101">
        <v>143</v>
      </c>
      <c r="B154" s="130"/>
      <c r="D154" s="570"/>
      <c r="F154" s="364"/>
      <c r="H154" s="364"/>
      <c r="J154" s="364"/>
      <c r="K154" s="365"/>
      <c r="L154" s="366"/>
      <c r="M154" s="570"/>
      <c r="N154" s="367"/>
      <c r="O154" s="364"/>
      <c r="P154" s="367"/>
      <c r="Q154" s="364"/>
      <c r="R154" s="367"/>
      <c r="S154" s="123"/>
      <c r="T154" s="367"/>
      <c r="U154" s="123"/>
      <c r="V154" s="123"/>
      <c r="W154" s="123"/>
      <c r="X154" s="123"/>
    </row>
    <row r="155" spans="1:24">
      <c r="A155" s="101">
        <v>144</v>
      </c>
      <c r="B155" s="142" t="s">
        <v>128</v>
      </c>
      <c r="D155" s="477">
        <f>SUM(D152*D153)</f>
        <v>802.70764039063442</v>
      </c>
      <c r="F155" s="477">
        <f>SUM(F152*F153)</f>
        <v>856.09079069341112</v>
      </c>
      <c r="H155" s="477">
        <f t="shared" ref="H155:J155" si="87">SUM(H152*H153)</f>
        <v>1112.580366038414</v>
      </c>
      <c r="J155" s="477">
        <f t="shared" si="87"/>
        <v>1255.1733400000001</v>
      </c>
      <c r="K155" s="478"/>
      <c r="L155" s="479"/>
      <c r="M155" s="477">
        <f t="shared" ref="M155:X155" si="88">SUM(M152*M153)</f>
        <v>1336.7211187574665</v>
      </c>
      <c r="N155" s="480"/>
      <c r="O155" s="571">
        <f t="shared" si="88"/>
        <v>1396.8021189769413</v>
      </c>
      <c r="P155" s="480"/>
      <c r="Q155" s="571">
        <f t="shared" si="88"/>
        <v>1470.0476900000001</v>
      </c>
      <c r="R155" s="480"/>
      <c r="S155" s="180">
        <f t="shared" si="88"/>
        <v>1653.4229162230411</v>
      </c>
      <c r="T155" s="480"/>
      <c r="U155" s="180">
        <f t="shared" si="88"/>
        <v>1782.4145004436173</v>
      </c>
      <c r="V155" s="180">
        <f t="shared" si="88"/>
        <v>1894.0225354804586</v>
      </c>
      <c r="W155" s="180">
        <f t="shared" si="88"/>
        <v>2023.1619709651234</v>
      </c>
      <c r="X155" s="161">
        <f t="shared" si="88"/>
        <v>2132.8536508209086</v>
      </c>
    </row>
    <row r="156" spans="1:24">
      <c r="A156" s="101">
        <v>145</v>
      </c>
      <c r="B156" s="153"/>
      <c r="D156" s="426"/>
      <c r="J156" s="430"/>
      <c r="K156" s="430"/>
      <c r="L156" s="427"/>
      <c r="M156" s="427"/>
      <c r="N156" s="144"/>
      <c r="O156" s="144"/>
      <c r="P156" s="144"/>
      <c r="Q156" s="144"/>
      <c r="R156" s="144"/>
      <c r="S156" s="144"/>
      <c r="T156" s="144"/>
      <c r="U156" s="144"/>
      <c r="V156" s="144"/>
      <c r="W156" s="144"/>
      <c r="X156" s="144"/>
    </row>
    <row r="157" spans="1:24">
      <c r="A157" s="101">
        <v>146</v>
      </c>
      <c r="B157" s="162" t="s">
        <v>177</v>
      </c>
      <c r="D157" s="163" t="s">
        <v>272</v>
      </c>
      <c r="F157" s="163" t="s">
        <v>273</v>
      </c>
      <c r="H157" s="163" t="s">
        <v>274</v>
      </c>
      <c r="J157" s="163" t="s">
        <v>275</v>
      </c>
      <c r="K157" s="486"/>
      <c r="L157" s="487"/>
      <c r="M157" s="163" t="s">
        <v>276</v>
      </c>
      <c r="N157" s="488"/>
      <c r="O157" s="163" t="s">
        <v>277</v>
      </c>
      <c r="P157" s="486"/>
      <c r="Q157" s="163" t="s">
        <v>278</v>
      </c>
      <c r="R157" s="486"/>
      <c r="S157" s="163" t="s">
        <v>156</v>
      </c>
      <c r="T157" s="486"/>
      <c r="U157" s="489" t="s">
        <v>279</v>
      </c>
      <c r="V157" s="489" t="s">
        <v>280</v>
      </c>
      <c r="W157" s="489" t="s">
        <v>281</v>
      </c>
      <c r="X157" s="489" t="s">
        <v>282</v>
      </c>
    </row>
    <row r="158" spans="1:24">
      <c r="A158" s="101">
        <v>147</v>
      </c>
      <c r="B158" s="130"/>
      <c r="D158" s="312"/>
      <c r="F158" s="312"/>
      <c r="H158" s="312"/>
      <c r="J158" s="312"/>
      <c r="K158" s="313"/>
      <c r="L158" s="314"/>
      <c r="M158" s="312"/>
      <c r="N158" s="315"/>
      <c r="O158" s="133"/>
      <c r="P158" s="315"/>
      <c r="Q158" s="133"/>
      <c r="R158" s="315"/>
      <c r="S158" s="133"/>
      <c r="T158" s="315"/>
      <c r="U158" s="156"/>
      <c r="V158" s="156"/>
      <c r="W158" s="156"/>
      <c r="X158" s="156"/>
    </row>
    <row r="159" spans="1:24">
      <c r="A159" s="101">
        <v>148</v>
      </c>
      <c r="B159" s="130" t="s">
        <v>482</v>
      </c>
      <c r="D159" s="312"/>
      <c r="F159" s="312"/>
      <c r="H159" s="312"/>
      <c r="J159" s="312"/>
      <c r="K159" s="313"/>
      <c r="L159" s="314"/>
      <c r="M159" s="312"/>
      <c r="N159" s="315"/>
      <c r="O159" s="133"/>
      <c r="P159" s="315"/>
      <c r="Q159" s="133"/>
      <c r="R159" s="315"/>
      <c r="S159" s="133"/>
      <c r="T159" s="315"/>
      <c r="U159" s="156"/>
      <c r="V159" s="156"/>
      <c r="W159" s="156"/>
      <c r="X159" s="156"/>
    </row>
    <row r="160" spans="1:24">
      <c r="A160" s="101">
        <v>149</v>
      </c>
      <c r="B160" s="130" t="s">
        <v>178</v>
      </c>
      <c r="D160" s="321">
        <v>130466</v>
      </c>
      <c r="F160" s="321">
        <v>142400</v>
      </c>
      <c r="H160" s="321">
        <v>160600</v>
      </c>
      <c r="J160" s="321">
        <v>168937</v>
      </c>
      <c r="K160" s="322"/>
      <c r="L160" s="323"/>
      <c r="M160" s="321">
        <v>184700</v>
      </c>
      <c r="N160" s="324"/>
      <c r="O160" s="115">
        <v>209500</v>
      </c>
      <c r="P160" s="325"/>
      <c r="Q160" s="115">
        <v>243796.47</v>
      </c>
      <c r="R160" s="325"/>
      <c r="S160" s="115">
        <v>282100</v>
      </c>
      <c r="T160" s="325"/>
      <c r="U160" s="122">
        <f>SUM(S160:S162)</f>
        <v>282100</v>
      </c>
      <c r="V160" s="122">
        <f t="shared" ref="V160:X160" si="89">SUM(U160:U162)</f>
        <v>299248.386</v>
      </c>
      <c r="W160" s="122">
        <f t="shared" si="89"/>
        <v>312842.82500000001</v>
      </c>
      <c r="X160" s="122">
        <f t="shared" si="89"/>
        <v>326857.217</v>
      </c>
    </row>
    <row r="161" spans="1:24">
      <c r="A161" s="101">
        <v>150</v>
      </c>
      <c r="B161" s="130" t="s">
        <v>179</v>
      </c>
      <c r="D161" s="321"/>
      <c r="F161" s="321"/>
      <c r="H161" s="321"/>
      <c r="J161" s="321"/>
      <c r="K161" s="322"/>
      <c r="L161" s="323"/>
      <c r="M161" s="321"/>
      <c r="N161" s="324"/>
      <c r="O161" s="115"/>
      <c r="P161" s="325"/>
      <c r="Q161" s="115"/>
      <c r="R161" s="325"/>
      <c r="S161" s="115"/>
      <c r="T161" s="325"/>
      <c r="U161" s="575">
        <v>17148.385999999999</v>
      </c>
      <c r="V161" s="575">
        <v>13594.439</v>
      </c>
      <c r="W161" s="575">
        <v>14014.392</v>
      </c>
      <c r="X161" s="575">
        <v>20213.057000000001</v>
      </c>
    </row>
    <row r="162" spans="1:24">
      <c r="A162" s="101">
        <v>151</v>
      </c>
      <c r="B162" s="130" t="s">
        <v>132</v>
      </c>
      <c r="D162" s="321"/>
      <c r="F162" s="321"/>
      <c r="H162" s="321"/>
      <c r="J162" s="321"/>
      <c r="K162" s="322"/>
      <c r="L162" s="323"/>
      <c r="M162" s="321"/>
      <c r="N162" s="324"/>
      <c r="O162" s="115"/>
      <c r="P162" s="325"/>
      <c r="Q162" s="115"/>
      <c r="R162" s="325"/>
      <c r="S162" s="115">
        <v>0</v>
      </c>
      <c r="T162" s="325"/>
      <c r="U162" s="575">
        <v>0</v>
      </c>
      <c r="V162" s="575">
        <v>0</v>
      </c>
      <c r="W162" s="575">
        <v>0</v>
      </c>
      <c r="X162" s="575">
        <v>0</v>
      </c>
    </row>
    <row r="163" spans="1:24">
      <c r="A163" s="101">
        <v>152</v>
      </c>
      <c r="B163" s="130" t="s">
        <v>134</v>
      </c>
      <c r="D163" s="339">
        <v>1</v>
      </c>
      <c r="F163" s="339">
        <v>1</v>
      </c>
      <c r="H163" s="339">
        <v>1</v>
      </c>
      <c r="J163" s="339">
        <v>1</v>
      </c>
      <c r="K163" s="340"/>
      <c r="L163" s="323"/>
      <c r="M163" s="339">
        <v>1</v>
      </c>
      <c r="N163" s="342"/>
      <c r="O163" s="119">
        <v>1</v>
      </c>
      <c r="P163" s="343"/>
      <c r="Q163" s="119">
        <v>1</v>
      </c>
      <c r="R163" s="343"/>
      <c r="S163" s="119">
        <v>1</v>
      </c>
      <c r="T163" s="343"/>
      <c r="U163" s="157">
        <v>1</v>
      </c>
      <c r="V163" s="157">
        <v>1</v>
      </c>
      <c r="W163" s="157">
        <v>1</v>
      </c>
      <c r="X163" s="157">
        <v>1</v>
      </c>
    </row>
    <row r="164" spans="1:24">
      <c r="A164" s="101">
        <v>153</v>
      </c>
      <c r="B164" s="130" t="s">
        <v>135</v>
      </c>
      <c r="D164" s="346">
        <v>1</v>
      </c>
      <c r="F164" s="346">
        <v>1</v>
      </c>
      <c r="H164" s="346">
        <v>1</v>
      </c>
      <c r="J164" s="346">
        <v>1</v>
      </c>
      <c r="K164" s="347"/>
      <c r="L164" s="334"/>
      <c r="M164" s="346">
        <v>1</v>
      </c>
      <c r="N164" s="350"/>
      <c r="O164" s="120">
        <v>1</v>
      </c>
      <c r="P164" s="351"/>
      <c r="Q164" s="120">
        <v>1</v>
      </c>
      <c r="R164" s="351"/>
      <c r="S164" s="120">
        <v>1</v>
      </c>
      <c r="T164" s="351"/>
      <c r="U164" s="158">
        <v>1</v>
      </c>
      <c r="V164" s="158">
        <v>1</v>
      </c>
      <c r="W164" s="158">
        <v>1</v>
      </c>
      <c r="X164" s="158">
        <v>1</v>
      </c>
    </row>
    <row r="165" spans="1:24">
      <c r="A165" s="101">
        <v>154</v>
      </c>
      <c r="B165" s="130" t="s">
        <v>180</v>
      </c>
      <c r="D165" s="364">
        <f>SUM((D160+D161+D162)*D163*D164)</f>
        <v>130466</v>
      </c>
      <c r="F165" s="364">
        <f>SUM((F160+F161+F162)*F163*F164)</f>
        <v>142400</v>
      </c>
      <c r="H165" s="364">
        <f t="shared" ref="H165:J165" si="90">SUM((H160+H161+H162)*H163*H164)</f>
        <v>160600</v>
      </c>
      <c r="J165" s="364">
        <f t="shared" si="90"/>
        <v>168937</v>
      </c>
      <c r="K165" s="365"/>
      <c r="L165" s="366"/>
      <c r="M165" s="364">
        <f t="shared" ref="M165:X165" si="91">SUM((M160+M161+M162)*M163*M164)</f>
        <v>184700</v>
      </c>
      <c r="N165" s="367"/>
      <c r="O165" s="152">
        <f t="shared" si="91"/>
        <v>209500</v>
      </c>
      <c r="P165" s="474"/>
      <c r="Q165" s="152">
        <f t="shared" ref="Q165" si="92">SUM((Q160+Q161+Q162)*Q163*Q164)</f>
        <v>243796.47</v>
      </c>
      <c r="R165" s="474"/>
      <c r="S165" s="152">
        <f t="shared" si="91"/>
        <v>282100</v>
      </c>
      <c r="T165" s="474"/>
      <c r="U165" s="123">
        <f t="shared" si="91"/>
        <v>299248.386</v>
      </c>
      <c r="V165" s="123">
        <f t="shared" si="91"/>
        <v>312842.82500000001</v>
      </c>
      <c r="W165" s="123">
        <f t="shared" si="91"/>
        <v>326857.217</v>
      </c>
      <c r="X165" s="123">
        <f t="shared" si="91"/>
        <v>347070.27399999998</v>
      </c>
    </row>
    <row r="166" spans="1:24">
      <c r="A166" s="101">
        <v>155</v>
      </c>
      <c r="B166" s="130" t="s">
        <v>181</v>
      </c>
      <c r="D166" s="321"/>
      <c r="F166" s="321"/>
      <c r="H166" s="321"/>
      <c r="J166" s="321"/>
      <c r="K166" s="322"/>
      <c r="L166" s="323"/>
      <c r="M166" s="321"/>
      <c r="N166" s="324"/>
      <c r="O166" s="115"/>
      <c r="P166" s="325"/>
      <c r="Q166" s="115"/>
      <c r="R166" s="325"/>
      <c r="S166" s="115"/>
      <c r="T166" s="325"/>
      <c r="U166" s="122"/>
      <c r="V166" s="122"/>
      <c r="W166" s="122"/>
      <c r="X166" s="122"/>
    </row>
    <row r="167" spans="1:24">
      <c r="A167" s="101">
        <v>156</v>
      </c>
      <c r="B167" s="130"/>
      <c r="D167" s="576">
        <v>1</v>
      </c>
      <c r="F167" s="576">
        <v>1</v>
      </c>
      <c r="H167" s="576">
        <v>1</v>
      </c>
      <c r="J167" s="576">
        <v>1</v>
      </c>
      <c r="K167" s="577"/>
      <c r="L167" s="323"/>
      <c r="M167" s="576">
        <v>1</v>
      </c>
      <c r="N167" s="578"/>
      <c r="O167" s="181">
        <v>1</v>
      </c>
      <c r="P167" s="579"/>
      <c r="Q167" s="181">
        <v>1</v>
      </c>
      <c r="R167" s="579"/>
      <c r="S167" s="181">
        <v>1</v>
      </c>
      <c r="T167" s="579"/>
      <c r="U167" s="582">
        <v>1</v>
      </c>
      <c r="V167" s="582">
        <v>1</v>
      </c>
      <c r="W167" s="582">
        <v>1</v>
      </c>
      <c r="X167" s="582">
        <v>1</v>
      </c>
    </row>
    <row r="168" spans="1:24">
      <c r="A168" s="101">
        <v>157</v>
      </c>
      <c r="B168" s="130" t="s">
        <v>118</v>
      </c>
      <c r="D168" s="321">
        <f>SUM(D165*D167)</f>
        <v>130466</v>
      </c>
      <c r="F168" s="321">
        <f>SUM(F165*F167)</f>
        <v>142400</v>
      </c>
      <c r="H168" s="321">
        <f t="shared" ref="H168:J168" si="93">SUM(H165*H167)</f>
        <v>160600</v>
      </c>
      <c r="J168" s="321">
        <f t="shared" si="93"/>
        <v>168937</v>
      </c>
      <c r="K168" s="322"/>
      <c r="L168" s="323"/>
      <c r="M168" s="321">
        <f t="shared" ref="M168:X168" si="94">SUM(M165*M167)</f>
        <v>184700</v>
      </c>
      <c r="N168" s="324"/>
      <c r="O168" s="115">
        <f t="shared" si="94"/>
        <v>209500</v>
      </c>
      <c r="P168" s="325"/>
      <c r="Q168" s="115">
        <f t="shared" ref="Q168" si="95">SUM(Q165*Q167)</f>
        <v>243796.47</v>
      </c>
      <c r="R168" s="325"/>
      <c r="S168" s="115">
        <f t="shared" si="94"/>
        <v>282100</v>
      </c>
      <c r="T168" s="325"/>
      <c r="U168" s="122">
        <f t="shared" si="94"/>
        <v>299248.386</v>
      </c>
      <c r="V168" s="122">
        <f t="shared" si="94"/>
        <v>312842.82500000001</v>
      </c>
      <c r="W168" s="122">
        <f t="shared" si="94"/>
        <v>326857.217</v>
      </c>
      <c r="X168" s="122">
        <f t="shared" si="94"/>
        <v>347070.27399999998</v>
      </c>
    </row>
    <row r="169" spans="1:24">
      <c r="A169" s="101">
        <v>158</v>
      </c>
      <c r="B169" s="130" t="s">
        <v>136</v>
      </c>
      <c r="D169" s="354">
        <v>1</v>
      </c>
      <c r="F169" s="354">
        <v>1</v>
      </c>
      <c r="H169" s="354">
        <v>1</v>
      </c>
      <c r="J169" s="354">
        <v>1</v>
      </c>
      <c r="K169" s="583"/>
      <c r="L169" s="334"/>
      <c r="M169" s="354">
        <v>1</v>
      </c>
      <c r="N169" s="357"/>
      <c r="O169" s="182">
        <v>1</v>
      </c>
      <c r="P169" s="584"/>
      <c r="Q169" s="182">
        <v>1</v>
      </c>
      <c r="R169" s="584"/>
      <c r="S169" s="182">
        <v>1</v>
      </c>
      <c r="T169" s="584"/>
      <c r="U169" s="360">
        <v>1</v>
      </c>
      <c r="V169" s="360">
        <v>1</v>
      </c>
      <c r="W169" s="360">
        <v>1</v>
      </c>
      <c r="X169" s="360">
        <v>1</v>
      </c>
    </row>
    <row r="170" spans="1:24">
      <c r="A170" s="101">
        <v>159</v>
      </c>
      <c r="B170" s="130" t="s">
        <v>137</v>
      </c>
      <c r="D170" s="321">
        <f>SUM(D168*D169)</f>
        <v>130466</v>
      </c>
      <c r="F170" s="321">
        <f>SUM(F168*F169)</f>
        <v>142400</v>
      </c>
      <c r="H170" s="321">
        <f t="shared" ref="H170:J170" si="96">SUM(H168*H169)</f>
        <v>160600</v>
      </c>
      <c r="J170" s="321">
        <f t="shared" si="96"/>
        <v>168937</v>
      </c>
      <c r="K170" s="322"/>
      <c r="L170" s="323"/>
      <c r="M170" s="321">
        <f t="shared" ref="M170:X170" si="97">SUM(M168*M169)</f>
        <v>184700</v>
      </c>
      <c r="N170" s="324"/>
      <c r="O170" s="115">
        <f t="shared" si="97"/>
        <v>209500</v>
      </c>
      <c r="P170" s="325"/>
      <c r="Q170" s="115">
        <f t="shared" ref="Q170" si="98">SUM(Q168*Q169)</f>
        <v>243796.47</v>
      </c>
      <c r="R170" s="325"/>
      <c r="S170" s="115">
        <f t="shared" si="97"/>
        <v>282100</v>
      </c>
      <c r="T170" s="325"/>
      <c r="U170" s="122">
        <f t="shared" si="97"/>
        <v>299248.386</v>
      </c>
      <c r="V170" s="122">
        <f t="shared" si="97"/>
        <v>312842.82500000001</v>
      </c>
      <c r="W170" s="122">
        <f t="shared" si="97"/>
        <v>326857.217</v>
      </c>
      <c r="X170" s="122">
        <f t="shared" si="97"/>
        <v>347070.27399999998</v>
      </c>
    </row>
    <row r="171" spans="1:24">
      <c r="A171" s="101">
        <v>160</v>
      </c>
      <c r="B171" s="130" t="s">
        <v>138</v>
      </c>
      <c r="C171" s="475" t="e">
        <f>SUM(D171-#REF!)/D171</f>
        <v>#REF!</v>
      </c>
      <c r="D171" s="373">
        <f>1651218.73/130466761</f>
        <v>1.2656240695666537E-2</v>
      </c>
      <c r="E171" s="475">
        <f>SUM(F171-D171)/F171</f>
        <v>-6.262980404406311E-3</v>
      </c>
      <c r="F171" s="372">
        <f>1791.03148/142400</f>
        <v>1.2577468258426967E-2</v>
      </c>
      <c r="G171" s="475">
        <f>SUM(H171-F171)/H171</f>
        <v>5.2758046385714798E-3</v>
      </c>
      <c r="H171" s="373">
        <f>2030654.74/160600000</f>
        <v>1.2644176463262765E-2</v>
      </c>
      <c r="I171" s="419">
        <f>SUM(J171-H171)/H171</f>
        <v>5.1867792740404131E-4</v>
      </c>
      <c r="J171" s="373">
        <f>2137183.37/168937490</f>
        <v>1.2650734718504461E-2</v>
      </c>
      <c r="K171" s="420"/>
      <c r="L171" s="421">
        <f>SUM(M171-J171)/J171</f>
        <v>1.8090373058002526E-2</v>
      </c>
      <c r="M171" s="566">
        <f>2378.8605/184700</f>
        <v>1.2879591229020031E-2</v>
      </c>
      <c r="N171" s="378">
        <f>SUM((O171-M171)/M171)</f>
        <v>-1.7520220751848135E-2</v>
      </c>
      <c r="O171" s="373">
        <f>2651/209500</f>
        <v>1.2653937947494033E-2</v>
      </c>
      <c r="P171" s="378">
        <f>SUM((Q171-O171)/O171)</f>
        <v>3.2142361743143194E-2</v>
      </c>
      <c r="Q171" s="586">
        <f>3184144.12/243796470</f>
        <v>1.3060665398477674E-2</v>
      </c>
      <c r="R171" s="379">
        <f>SUM(R153)</f>
        <v>0</v>
      </c>
      <c r="S171" s="141">
        <f>SUM(Q171*(1+R171))</f>
        <v>1.3060665398477674E-2</v>
      </c>
      <c r="T171" s="379">
        <f>SUM(T153)</f>
        <v>0</v>
      </c>
      <c r="U171" s="141">
        <f>SUM(S171*(1+T171))</f>
        <v>1.3060665398477674E-2</v>
      </c>
      <c r="V171" s="141">
        <f>SUM(U171*(1+T171))</f>
        <v>1.3060665398477674E-2</v>
      </c>
      <c r="W171" s="141">
        <f>SUM(V171*(1+T171))</f>
        <v>1.3060665398477674E-2</v>
      </c>
      <c r="X171" s="141">
        <f>SUM(W171*(1+T171))</f>
        <v>1.3060665398477674E-2</v>
      </c>
    </row>
    <row r="172" spans="1:24">
      <c r="A172" s="101">
        <v>161</v>
      </c>
      <c r="B172" s="130"/>
      <c r="D172" s="381"/>
      <c r="F172" s="382"/>
      <c r="H172" s="382"/>
      <c r="J172" s="382"/>
      <c r="K172" s="423"/>
      <c r="L172" s="323"/>
      <c r="M172" s="381"/>
      <c r="N172" s="383"/>
      <c r="O172" s="382"/>
      <c r="P172" s="423"/>
      <c r="Q172" s="587"/>
      <c r="R172" s="423"/>
      <c r="S172" s="125"/>
      <c r="T172" s="423"/>
      <c r="U172" s="125"/>
      <c r="V172" s="125"/>
      <c r="W172" s="125"/>
      <c r="X172" s="125"/>
    </row>
    <row r="173" spans="1:24" ht="13.5" thickBot="1">
      <c r="A173" s="101">
        <v>162</v>
      </c>
      <c r="B173" s="142" t="s">
        <v>128</v>
      </c>
      <c r="D173" s="386">
        <f>SUM(D170*D171)</f>
        <v>1651.2090986008304</v>
      </c>
      <c r="F173" s="386">
        <f>SUM(F170*F171)</f>
        <v>1791.0314800000001</v>
      </c>
      <c r="H173" s="386">
        <f t="shared" ref="H173:J173" si="99">SUM(H170*H171)</f>
        <v>2030.6547399999999</v>
      </c>
      <c r="J173" s="386">
        <f t="shared" si="99"/>
        <v>2137.1771711399883</v>
      </c>
      <c r="K173" s="424"/>
      <c r="L173" s="388"/>
      <c r="M173" s="588">
        <f t="shared" ref="M173:X173" si="100">SUM(M170*M171)</f>
        <v>2378.8604999999998</v>
      </c>
      <c r="N173" s="387"/>
      <c r="O173" s="386">
        <f t="shared" si="100"/>
        <v>2651</v>
      </c>
      <c r="P173" s="424"/>
      <c r="Q173" s="569">
        <f t="shared" si="100"/>
        <v>3184.1441200000004</v>
      </c>
      <c r="R173" s="424"/>
      <c r="S173" s="126">
        <f t="shared" si="100"/>
        <v>3684.4137089105516</v>
      </c>
      <c r="T173" s="424"/>
      <c r="U173" s="126">
        <f t="shared" si="100"/>
        <v>3908.3830405804906</v>
      </c>
      <c r="V173" s="126">
        <f t="shared" si="100"/>
        <v>4085.9354596395065</v>
      </c>
      <c r="W173" s="126">
        <f t="shared" si="100"/>
        <v>4268.9727443146085</v>
      </c>
      <c r="X173" s="126">
        <f t="shared" si="100"/>
        <v>4532.9687184719651</v>
      </c>
    </row>
    <row r="174" spans="1:24" ht="13.5" thickTop="1">
      <c r="A174" s="101">
        <v>163</v>
      </c>
      <c r="B174" s="183"/>
      <c r="C174" s="590"/>
      <c r="D174" s="144"/>
      <c r="E174" s="246"/>
      <c r="F174" s="144"/>
      <c r="H174" s="144"/>
      <c r="J174" s="144"/>
      <c r="K174" s="144"/>
      <c r="L174" s="427"/>
      <c r="M174" s="427"/>
      <c r="N174" s="144"/>
      <c r="O174" s="144"/>
      <c r="P174" s="144"/>
      <c r="Q174" s="144"/>
      <c r="R174" s="144"/>
      <c r="S174" s="144"/>
      <c r="T174" s="144"/>
      <c r="U174" s="144"/>
      <c r="V174" s="144"/>
      <c r="W174" s="144"/>
      <c r="X174" s="144"/>
    </row>
    <row r="175" spans="1:24" ht="13.5" thickBot="1">
      <c r="A175" s="101">
        <v>164</v>
      </c>
      <c r="B175" s="183"/>
      <c r="C175" s="590"/>
      <c r="D175" s="144"/>
      <c r="E175" s="246"/>
      <c r="F175" s="127"/>
      <c r="G175" s="591"/>
      <c r="H175" s="127"/>
      <c r="I175" s="592"/>
      <c r="J175" s="144"/>
      <c r="K175" s="144"/>
      <c r="L175" s="427"/>
      <c r="M175" s="144"/>
      <c r="N175" s="144"/>
      <c r="O175" s="144"/>
      <c r="P175" s="144"/>
      <c r="Q175" s="144"/>
      <c r="R175" s="144"/>
      <c r="S175" s="144"/>
      <c r="T175" s="144"/>
      <c r="U175" s="144"/>
      <c r="V175" s="144"/>
      <c r="W175" s="144"/>
      <c r="X175" s="144"/>
    </row>
    <row r="176" spans="1:24" ht="18">
      <c r="A176" s="101">
        <v>165</v>
      </c>
      <c r="B176" s="184"/>
      <c r="C176" s="593"/>
      <c r="D176" s="594"/>
      <c r="E176" s="594"/>
      <c r="F176" s="594"/>
      <c r="G176" s="594"/>
      <c r="H176" s="594"/>
      <c r="I176" s="595"/>
      <c r="J176" s="596"/>
      <c r="K176" s="597"/>
      <c r="L176" s="598"/>
      <c r="M176" s="599"/>
      <c r="N176" s="600"/>
      <c r="O176" s="272" t="s">
        <v>184</v>
      </c>
      <c r="P176" s="202"/>
      <c r="Q176" s="185" t="s">
        <v>184</v>
      </c>
      <c r="S176" s="185" t="s">
        <v>184</v>
      </c>
      <c r="U176" s="185" t="s">
        <v>184</v>
      </c>
      <c r="V176" s="185" t="s">
        <v>184</v>
      </c>
      <c r="W176" s="185" t="s">
        <v>184</v>
      </c>
      <c r="X176" s="185" t="s">
        <v>184</v>
      </c>
    </row>
    <row r="177" spans="1:24" ht="18">
      <c r="A177" s="101">
        <v>166</v>
      </c>
      <c r="B177" s="186" t="s">
        <v>185</v>
      </c>
      <c r="C177" s="275"/>
      <c r="D177" s="280"/>
      <c r="E177" s="280"/>
      <c r="F177" s="280"/>
      <c r="G177" s="280"/>
      <c r="I177" s="85"/>
      <c r="K177" s="601"/>
      <c r="L177" s="285"/>
      <c r="M177" s="602">
        <v>2014</v>
      </c>
      <c r="N177" s="603"/>
      <c r="O177" s="277">
        <v>2015</v>
      </c>
      <c r="P177" s="208"/>
      <c r="Q177" s="187">
        <v>2016</v>
      </c>
      <c r="R177" s="276"/>
      <c r="S177" s="187" t="s">
        <v>186</v>
      </c>
      <c r="T177" s="276"/>
      <c r="U177" s="187" t="s">
        <v>186</v>
      </c>
      <c r="V177" s="187" t="s">
        <v>186</v>
      </c>
      <c r="W177" s="187" t="s">
        <v>186</v>
      </c>
      <c r="X177" s="187" t="s">
        <v>186</v>
      </c>
    </row>
    <row r="178" spans="1:24" ht="18.75" thickBot="1">
      <c r="A178" s="101">
        <v>167</v>
      </c>
      <c r="B178" s="188"/>
      <c r="C178" s="275"/>
      <c r="D178" s="280"/>
      <c r="E178" s="280"/>
      <c r="F178" s="604"/>
      <c r="G178" s="280"/>
      <c r="H178" s="604"/>
      <c r="I178" s="85"/>
      <c r="J178" s="605"/>
      <c r="K178" s="604"/>
      <c r="L178" s="606"/>
      <c r="M178" s="607" t="s">
        <v>291</v>
      </c>
      <c r="N178" s="605"/>
      <c r="O178" s="286" t="s">
        <v>235</v>
      </c>
      <c r="P178" s="208"/>
      <c r="Q178" s="189" t="s">
        <v>481</v>
      </c>
      <c r="R178" s="208"/>
      <c r="S178" s="189" t="s">
        <v>187</v>
      </c>
      <c r="T178" s="208"/>
      <c r="U178" s="189" t="s">
        <v>481</v>
      </c>
      <c r="V178" s="189" t="s">
        <v>481</v>
      </c>
      <c r="W178" s="189" t="s">
        <v>481</v>
      </c>
      <c r="X178" s="189" t="s">
        <v>481</v>
      </c>
    </row>
    <row r="179" spans="1:24">
      <c r="A179" s="101">
        <v>168</v>
      </c>
      <c r="B179" s="190"/>
      <c r="C179" s="275"/>
      <c r="D179" s="280"/>
      <c r="E179" s="280"/>
      <c r="F179" s="608"/>
      <c r="G179" s="280"/>
      <c r="H179" s="608"/>
      <c r="I179" s="85"/>
      <c r="J179" s="191"/>
      <c r="K179" s="191"/>
      <c r="L179" s="609"/>
      <c r="M179" s="191"/>
      <c r="N179" s="191"/>
      <c r="O179" s="191"/>
      <c r="P179" s="191"/>
      <c r="Q179" s="191"/>
      <c r="R179" s="191"/>
      <c r="S179" s="191"/>
      <c r="T179" s="191"/>
      <c r="U179" s="191"/>
      <c r="V179" s="191"/>
      <c r="W179" s="191"/>
      <c r="X179" s="191"/>
    </row>
    <row r="180" spans="1:24">
      <c r="A180" s="101">
        <v>169</v>
      </c>
      <c r="B180" s="192" t="s">
        <v>188</v>
      </c>
      <c r="C180" s="275"/>
      <c r="D180" s="490" t="s">
        <v>292</v>
      </c>
      <c r="E180" s="280"/>
      <c r="F180" s="317" t="s">
        <v>119</v>
      </c>
      <c r="G180" s="280"/>
      <c r="H180" s="317" t="s">
        <v>119</v>
      </c>
      <c r="I180" s="85"/>
      <c r="J180" s="490" t="s">
        <v>292</v>
      </c>
      <c r="K180" s="611"/>
      <c r="L180" s="612"/>
      <c r="M180" s="490" t="s">
        <v>292</v>
      </c>
      <c r="N180" s="611"/>
      <c r="O180" s="490" t="s">
        <v>119</v>
      </c>
      <c r="P180" s="611"/>
      <c r="Q180" s="490" t="s">
        <v>293</v>
      </c>
      <c r="R180" s="611"/>
      <c r="S180" s="193" t="s">
        <v>189</v>
      </c>
      <c r="T180" s="611"/>
      <c r="U180" s="193" t="s">
        <v>189</v>
      </c>
      <c r="V180" s="193" t="s">
        <v>189</v>
      </c>
      <c r="W180" s="193" t="s">
        <v>189</v>
      </c>
      <c r="X180" s="193" t="s">
        <v>189</v>
      </c>
    </row>
    <row r="181" spans="1:24">
      <c r="A181" s="101">
        <v>170</v>
      </c>
      <c r="B181" s="192"/>
      <c r="C181" s="275"/>
      <c r="D181" s="131">
        <v>2010</v>
      </c>
      <c r="E181" s="280"/>
      <c r="F181" s="131">
        <v>2011</v>
      </c>
      <c r="G181" s="280"/>
      <c r="H181" s="131">
        <v>2012</v>
      </c>
      <c r="I181" s="85"/>
      <c r="J181" s="131">
        <v>2013</v>
      </c>
      <c r="K181" s="307"/>
      <c r="L181" s="308"/>
      <c r="M181" s="131">
        <v>2014</v>
      </c>
      <c r="N181" s="307"/>
      <c r="O181" s="131">
        <v>2015</v>
      </c>
      <c r="P181" s="307"/>
      <c r="Q181" s="131">
        <v>2016</v>
      </c>
      <c r="R181" s="307"/>
      <c r="S181" s="112">
        <v>2017</v>
      </c>
      <c r="T181" s="307"/>
      <c r="U181" s="112">
        <v>2018</v>
      </c>
      <c r="V181" s="112">
        <v>2019</v>
      </c>
      <c r="W181" s="112">
        <v>2020</v>
      </c>
      <c r="X181" s="112">
        <v>2021</v>
      </c>
    </row>
    <row r="182" spans="1:24">
      <c r="A182" s="101">
        <v>171</v>
      </c>
      <c r="B182" s="192" t="s">
        <v>190</v>
      </c>
      <c r="C182" s="275"/>
      <c r="D182" s="615"/>
      <c r="E182" s="280"/>
      <c r="F182" s="174"/>
      <c r="G182" s="280"/>
      <c r="H182" s="615"/>
      <c r="I182" s="85"/>
      <c r="J182" s="174"/>
      <c r="K182" s="218"/>
      <c r="L182" s="616"/>
      <c r="M182" s="615"/>
      <c r="N182" s="218"/>
      <c r="O182" s="615"/>
      <c r="P182" s="218"/>
      <c r="Q182" s="615"/>
      <c r="R182" s="218"/>
      <c r="S182" s="194"/>
      <c r="T182" s="218"/>
      <c r="U182" s="194"/>
      <c r="V182" s="194"/>
      <c r="W182" s="194"/>
      <c r="X182" s="194"/>
    </row>
    <row r="183" spans="1:24">
      <c r="A183" s="101">
        <v>172</v>
      </c>
      <c r="B183" s="192"/>
      <c r="C183" s="275"/>
      <c r="D183" s="615"/>
      <c r="E183" s="280"/>
      <c r="F183" s="174"/>
      <c r="G183" s="280"/>
      <c r="H183" s="615"/>
      <c r="I183" s="85"/>
      <c r="J183" s="174"/>
      <c r="K183" s="218"/>
      <c r="L183" s="616"/>
      <c r="M183" s="615"/>
      <c r="N183" s="218"/>
      <c r="O183" s="615"/>
      <c r="P183" s="218"/>
      <c r="Q183" s="615"/>
      <c r="R183" s="218"/>
      <c r="S183" s="194"/>
      <c r="T183" s="218"/>
      <c r="U183" s="194"/>
      <c r="V183" s="194"/>
      <c r="W183" s="194"/>
      <c r="X183" s="194"/>
    </row>
    <row r="184" spans="1:24">
      <c r="A184" s="101">
        <v>173</v>
      </c>
      <c r="B184" s="195" t="s">
        <v>191</v>
      </c>
      <c r="C184" s="275"/>
      <c r="D184" s="617">
        <f>SUM(D34)</f>
        <v>6644.5774054519761</v>
      </c>
      <c r="E184" s="280"/>
      <c r="F184" s="617">
        <f>SUM(F34)</f>
        <v>7876.3008272199995</v>
      </c>
      <c r="G184" s="280"/>
      <c r="H184" s="617">
        <f t="shared" ref="H184:J184" si="101">SUM(H34)</f>
        <v>8630.5537097419092</v>
      </c>
      <c r="I184" s="85"/>
      <c r="J184" s="617">
        <f t="shared" si="101"/>
        <v>9501.7079599999997</v>
      </c>
      <c r="K184" s="618"/>
      <c r="L184" s="619"/>
      <c r="M184" s="617">
        <f t="shared" ref="M184:X184" si="102">SUM(M34)</f>
        <v>11286.939</v>
      </c>
      <c r="N184" s="618"/>
      <c r="O184" s="617">
        <f t="shared" ref="O184" si="103">SUM(O34)</f>
        <v>12999.765589175515</v>
      </c>
      <c r="P184" s="620"/>
      <c r="Q184" s="617">
        <f t="shared" si="102"/>
        <v>12677.752</v>
      </c>
      <c r="R184" s="620"/>
      <c r="S184" s="196">
        <f t="shared" si="102"/>
        <v>13169.877019950874</v>
      </c>
      <c r="T184" s="620"/>
      <c r="U184" s="196">
        <f t="shared" si="102"/>
        <v>13700.228237884852</v>
      </c>
      <c r="V184" s="196">
        <f t="shared" si="102"/>
        <v>14465.432733170137</v>
      </c>
      <c r="W184" s="196">
        <f t="shared" si="102"/>
        <v>15248.473775746979</v>
      </c>
      <c r="X184" s="196">
        <f t="shared" si="102"/>
        <v>16118.862776524375</v>
      </c>
    </row>
    <row r="185" spans="1:24">
      <c r="A185" s="101">
        <v>174</v>
      </c>
      <c r="B185" s="195" t="s">
        <v>192</v>
      </c>
      <c r="C185" s="275"/>
      <c r="D185" s="623"/>
      <c r="E185" s="280"/>
      <c r="F185" s="617"/>
      <c r="G185" s="280"/>
      <c r="H185" s="624"/>
      <c r="I185" s="85"/>
      <c r="J185" s="617"/>
      <c r="K185" s="238"/>
      <c r="L185" s="619"/>
      <c r="M185" s="617"/>
      <c r="N185" s="618"/>
      <c r="O185" s="624"/>
      <c r="P185" s="618"/>
      <c r="Q185" s="625"/>
      <c r="R185" s="618"/>
      <c r="S185" s="196"/>
      <c r="T185" s="618"/>
      <c r="U185" s="196"/>
      <c r="V185" s="196"/>
      <c r="W185" s="196"/>
      <c r="X185" s="196"/>
    </row>
    <row r="186" spans="1:24">
      <c r="A186" s="101">
        <v>175</v>
      </c>
      <c r="B186" s="195" t="s">
        <v>193</v>
      </c>
      <c r="C186" s="275"/>
      <c r="D186" s="617">
        <f>SUM(D57)</f>
        <v>3829.9382243772443</v>
      </c>
      <c r="E186" s="280"/>
      <c r="F186" s="617">
        <f>SUM(F57)</f>
        <v>4334.8598087510027</v>
      </c>
      <c r="G186" s="280"/>
      <c r="H186" s="617">
        <f t="shared" ref="H186:J186" si="104">SUM(H57)</f>
        <v>4690.254523070862</v>
      </c>
      <c r="I186" s="85"/>
      <c r="J186" s="617">
        <f t="shared" si="104"/>
        <v>5359.0285675337436</v>
      </c>
      <c r="K186" s="238"/>
      <c r="L186" s="619"/>
      <c r="M186" s="617">
        <f t="shared" ref="M186:X186" si="105">SUM(M57)</f>
        <v>5440.7422465869995</v>
      </c>
      <c r="N186" s="618"/>
      <c r="O186" s="617">
        <f t="shared" ref="O186" si="106">SUM(O57)</f>
        <v>5717.717903841688</v>
      </c>
      <c r="P186" s="620"/>
      <c r="Q186" s="617">
        <f t="shared" si="105"/>
        <v>5675.1669887565686</v>
      </c>
      <c r="R186" s="620"/>
      <c r="S186" s="196">
        <f t="shared" si="105"/>
        <v>6174.574278550891</v>
      </c>
      <c r="T186" s="620"/>
      <c r="U186" s="196">
        <f t="shared" si="105"/>
        <v>6433.9948791618763</v>
      </c>
      <c r="V186" s="196">
        <f t="shared" si="105"/>
        <v>6804.5459374999464</v>
      </c>
      <c r="W186" s="196">
        <f t="shared" si="105"/>
        <v>7183.7343620802512</v>
      </c>
      <c r="X186" s="196">
        <f t="shared" si="105"/>
        <v>7605.2211246268271</v>
      </c>
    </row>
    <row r="187" spans="1:24">
      <c r="A187" s="101">
        <v>176</v>
      </c>
      <c r="B187" s="195" t="s">
        <v>194</v>
      </c>
      <c r="C187" s="275"/>
      <c r="D187" s="617">
        <f>SUM(D81)</f>
        <v>6615.1312077205384</v>
      </c>
      <c r="E187" s="280"/>
      <c r="F187" s="617">
        <f>SUM(F81)</f>
        <v>6928.9801069931073</v>
      </c>
      <c r="G187" s="280"/>
      <c r="H187" s="617">
        <f t="shared" ref="H187:J187" si="107">SUM(H81)</f>
        <v>7219.74299186594</v>
      </c>
      <c r="I187" s="85"/>
      <c r="J187" s="617">
        <f t="shared" si="107"/>
        <v>8163.043288322272</v>
      </c>
      <c r="K187" s="238"/>
      <c r="L187" s="619"/>
      <c r="M187" s="617">
        <f t="shared" ref="M187:X187" si="108">SUM(M81)</f>
        <v>8456.9513856009962</v>
      </c>
      <c r="N187" s="618"/>
      <c r="O187" s="627">
        <f t="shared" ref="O187" si="109">SUM(O81)</f>
        <v>8062.4233890853202</v>
      </c>
      <c r="P187" s="620"/>
      <c r="Q187" s="617">
        <f t="shared" si="108"/>
        <v>9750.9988719237135</v>
      </c>
      <c r="R187" s="620"/>
      <c r="S187" s="196">
        <f t="shared" si="108"/>
        <v>10043.15582503802</v>
      </c>
      <c r="T187" s="620"/>
      <c r="U187" s="196">
        <f t="shared" si="108"/>
        <v>10709.362668648058</v>
      </c>
      <c r="V187" s="196">
        <f t="shared" si="108"/>
        <v>11320.458893827796</v>
      </c>
      <c r="W187" s="196">
        <f t="shared" si="108"/>
        <v>11934.339090284362</v>
      </c>
      <c r="X187" s="196">
        <f t="shared" si="108"/>
        <v>12626.766464338674</v>
      </c>
    </row>
    <row r="188" spans="1:24">
      <c r="A188" s="101">
        <v>177</v>
      </c>
      <c r="B188" s="197" t="s">
        <v>195</v>
      </c>
      <c r="C188" s="275"/>
      <c r="D188" s="617">
        <f>SUM(D102)</f>
        <v>8.1994721576394003</v>
      </c>
      <c r="E188" s="280"/>
      <c r="F188" s="617">
        <f>SUM(F102)</f>
        <v>8.6360178140432993</v>
      </c>
      <c r="G188" s="280"/>
      <c r="H188" s="617">
        <f t="shared" ref="H188:J188" si="110">SUM(H102)</f>
        <v>8.2702146414089999</v>
      </c>
      <c r="I188" s="85"/>
      <c r="J188" s="617">
        <f t="shared" si="110"/>
        <v>9.3172825078781703</v>
      </c>
      <c r="K188" s="238"/>
      <c r="L188" s="619"/>
      <c r="M188" s="617">
        <f t="shared" ref="M188:X188" si="111">SUM(M102)</f>
        <v>11.382350000000001</v>
      </c>
      <c r="N188" s="618"/>
      <c r="O188" s="628">
        <f t="shared" ref="O188" si="112">SUM(O102)</f>
        <v>10.468988399999999</v>
      </c>
      <c r="P188" s="229"/>
      <c r="Q188" s="628">
        <f t="shared" si="111"/>
        <v>10.51116</v>
      </c>
      <c r="R188" s="229"/>
      <c r="S188" s="196">
        <f t="shared" si="111"/>
        <v>10.51116</v>
      </c>
      <c r="T188" s="229"/>
      <c r="U188" s="196">
        <f t="shared" si="111"/>
        <v>10.51116</v>
      </c>
      <c r="V188" s="196">
        <f t="shared" si="111"/>
        <v>10.51116</v>
      </c>
      <c r="W188" s="196">
        <f t="shared" si="111"/>
        <v>10.51116</v>
      </c>
      <c r="X188" s="196">
        <f t="shared" si="111"/>
        <v>10.51116</v>
      </c>
    </row>
    <row r="189" spans="1:24">
      <c r="A189" s="101">
        <v>178</v>
      </c>
      <c r="B189" s="197" t="s">
        <v>196</v>
      </c>
      <c r="C189" s="275"/>
      <c r="D189" s="571">
        <f>SUM(D118)</f>
        <v>1842.8801699999999</v>
      </c>
      <c r="E189" s="280"/>
      <c r="F189" s="571">
        <f>SUM(F118)</f>
        <v>2029.5941279024175</v>
      </c>
      <c r="G189" s="280"/>
      <c r="H189" s="571">
        <f t="shared" ref="H189:J189" si="113">SUM(H118)</f>
        <v>1918.901132</v>
      </c>
      <c r="I189" s="85"/>
      <c r="J189" s="571">
        <f t="shared" si="113"/>
        <v>2189.4442599999998</v>
      </c>
      <c r="K189" s="630"/>
      <c r="L189" s="631"/>
      <c r="M189" s="571">
        <f t="shared" ref="M189:X189" si="114">SUM(M118)</f>
        <v>2525.8229999999999</v>
      </c>
      <c r="N189" s="632"/>
      <c r="O189" s="571">
        <f t="shared" ref="O189" si="115">SUM(O118)</f>
        <v>2707.3523175999999</v>
      </c>
      <c r="P189" s="230"/>
      <c r="Q189" s="571">
        <f t="shared" si="114"/>
        <v>2514.9974500000003</v>
      </c>
      <c r="R189" s="230"/>
      <c r="S189" s="180">
        <f t="shared" si="114"/>
        <v>2856.6411931587431</v>
      </c>
      <c r="T189" s="230"/>
      <c r="U189" s="180">
        <f t="shared" si="114"/>
        <v>2856.6411931587431</v>
      </c>
      <c r="V189" s="180">
        <f t="shared" si="114"/>
        <v>2856.6411931587431</v>
      </c>
      <c r="W189" s="180">
        <f t="shared" si="114"/>
        <v>2856.6411931587431</v>
      </c>
      <c r="X189" s="180">
        <f t="shared" si="114"/>
        <v>2856.6411931587431</v>
      </c>
    </row>
    <row r="190" spans="1:24">
      <c r="A190" s="101">
        <v>179</v>
      </c>
      <c r="B190" s="192"/>
      <c r="C190" s="275"/>
      <c r="D190" s="617"/>
      <c r="E190" s="280"/>
      <c r="F190" s="617"/>
      <c r="G190" s="280"/>
      <c r="H190" s="617"/>
      <c r="I190" s="85"/>
      <c r="J190" s="617"/>
      <c r="K190" s="618"/>
      <c r="L190" s="619"/>
      <c r="M190" s="617"/>
      <c r="N190" s="618"/>
      <c r="O190" s="624"/>
      <c r="P190" s="618"/>
      <c r="Q190" s="624"/>
      <c r="R190" s="618"/>
      <c r="S190" s="196"/>
      <c r="T190" s="618"/>
      <c r="U190" s="196"/>
      <c r="V190" s="196"/>
      <c r="W190" s="196"/>
      <c r="X190" s="196"/>
    </row>
    <row r="191" spans="1:24">
      <c r="A191" s="101">
        <v>180</v>
      </c>
      <c r="B191" s="195" t="s">
        <v>197</v>
      </c>
      <c r="C191" s="275"/>
      <c r="D191" s="571">
        <f>SUM(D184:D189)</f>
        <v>18940.726479707399</v>
      </c>
      <c r="E191" s="280"/>
      <c r="F191" s="571">
        <f>SUM(F184:F189)</f>
        <v>21178.370888680573</v>
      </c>
      <c r="G191" s="280"/>
      <c r="H191" s="571">
        <f t="shared" ref="H191:J191" si="116">SUM(H184:H189)</f>
        <v>22467.722571320119</v>
      </c>
      <c r="I191" s="85"/>
      <c r="J191" s="571">
        <f t="shared" si="116"/>
        <v>25222.541358363891</v>
      </c>
      <c r="K191" s="632"/>
      <c r="L191" s="631"/>
      <c r="M191" s="571">
        <f t="shared" ref="M191:X191" si="117">SUM(M184:M189)</f>
        <v>27721.837982187997</v>
      </c>
      <c r="N191" s="632"/>
      <c r="O191" s="571">
        <f t="shared" ref="O191" si="118">SUM(O184:O189)</f>
        <v>29497.728188102526</v>
      </c>
      <c r="P191" s="634"/>
      <c r="Q191" s="571">
        <f t="shared" si="117"/>
        <v>30629.426470680279</v>
      </c>
      <c r="R191" s="634"/>
      <c r="S191" s="180">
        <f t="shared" si="117"/>
        <v>32254.759476698524</v>
      </c>
      <c r="T191" s="634"/>
      <c r="U191" s="180">
        <f t="shared" si="117"/>
        <v>33710.738138853529</v>
      </c>
      <c r="V191" s="180">
        <f t="shared" si="117"/>
        <v>35457.589917656624</v>
      </c>
      <c r="W191" s="180">
        <f t="shared" si="117"/>
        <v>37233.699581270339</v>
      </c>
      <c r="X191" s="180">
        <f t="shared" si="117"/>
        <v>39218.002718648619</v>
      </c>
    </row>
    <row r="192" spans="1:24">
      <c r="A192" s="101">
        <v>181</v>
      </c>
      <c r="B192" s="192"/>
      <c r="C192" s="275"/>
      <c r="D192" s="623"/>
      <c r="E192" s="280"/>
      <c r="F192" s="617"/>
      <c r="G192" s="280"/>
      <c r="H192" s="617"/>
      <c r="I192" s="85"/>
      <c r="J192" s="617"/>
      <c r="K192" s="618"/>
      <c r="L192" s="619"/>
      <c r="M192" s="617"/>
      <c r="N192" s="618"/>
      <c r="O192" s="617"/>
      <c r="P192" s="618"/>
      <c r="Q192" s="617"/>
      <c r="R192" s="618"/>
      <c r="S192" s="196"/>
      <c r="T192" s="618"/>
      <c r="U192" s="196"/>
      <c r="V192" s="196"/>
      <c r="W192" s="196"/>
      <c r="X192" s="196"/>
    </row>
    <row r="193" spans="1:24">
      <c r="A193" s="101">
        <v>182</v>
      </c>
      <c r="B193" s="192" t="s">
        <v>198</v>
      </c>
      <c r="C193" s="275"/>
      <c r="D193" s="623"/>
      <c r="E193" s="280"/>
      <c r="F193" s="617"/>
      <c r="G193" s="280"/>
      <c r="H193" s="617"/>
      <c r="I193" s="85"/>
      <c r="J193" s="617"/>
      <c r="K193" s="618"/>
      <c r="L193" s="619"/>
      <c r="M193" s="617"/>
      <c r="N193" s="618"/>
      <c r="O193" s="617"/>
      <c r="P193" s="618"/>
      <c r="Q193" s="617"/>
      <c r="R193" s="618"/>
      <c r="S193" s="196"/>
      <c r="T193" s="618"/>
      <c r="U193" s="196"/>
      <c r="V193" s="196"/>
      <c r="W193" s="196"/>
      <c r="X193" s="196"/>
    </row>
    <row r="194" spans="1:24">
      <c r="A194" s="101">
        <v>183</v>
      </c>
      <c r="B194" s="192"/>
      <c r="C194" s="275"/>
      <c r="D194" s="623"/>
      <c r="E194" s="280"/>
      <c r="F194" s="617"/>
      <c r="G194" s="280"/>
      <c r="H194" s="617"/>
      <c r="I194" s="85"/>
      <c r="J194" s="617"/>
      <c r="K194" s="618"/>
      <c r="L194" s="619"/>
      <c r="M194" s="617"/>
      <c r="N194" s="618"/>
      <c r="O194" s="617"/>
      <c r="P194" s="618"/>
      <c r="Q194" s="617"/>
      <c r="R194" s="618"/>
      <c r="S194" s="196"/>
      <c r="T194" s="618"/>
      <c r="U194" s="196"/>
      <c r="V194" s="196"/>
      <c r="W194" s="196"/>
      <c r="X194" s="196"/>
    </row>
    <row r="195" spans="1:24">
      <c r="A195" s="101">
        <v>184</v>
      </c>
      <c r="B195" s="195" t="s">
        <v>199</v>
      </c>
      <c r="C195" s="275"/>
      <c r="D195" s="617">
        <f>SUM(D138)</f>
        <v>1843</v>
      </c>
      <c r="E195" s="280"/>
      <c r="F195" s="617">
        <f>SUM(F138)</f>
        <v>1939.7429074619999</v>
      </c>
      <c r="G195" s="280"/>
      <c r="H195" s="617">
        <f t="shared" ref="H195:J195" si="119">SUM(H138)</f>
        <v>2238.4238615852555</v>
      </c>
      <c r="I195" s="85"/>
      <c r="J195" s="617">
        <f t="shared" si="119"/>
        <v>2444.3019199999999</v>
      </c>
      <c r="K195" s="618"/>
      <c r="L195" s="619"/>
      <c r="M195" s="617">
        <f t="shared" ref="M195:X195" si="120">SUM(M138)</f>
        <v>2941.3620000000001</v>
      </c>
      <c r="N195" s="618"/>
      <c r="O195" s="617">
        <f t="shared" ref="O195" si="121">SUM(O138)</f>
        <v>2778.7148000000002</v>
      </c>
      <c r="P195" s="620"/>
      <c r="Q195" s="617">
        <f t="shared" si="120"/>
        <v>2723.0960382527305</v>
      </c>
      <c r="R195" s="620"/>
      <c r="S195" s="196">
        <f t="shared" si="120"/>
        <v>2915.4474858925278</v>
      </c>
      <c r="T195" s="620"/>
      <c r="U195" s="196">
        <f t="shared" si="120"/>
        <v>3173.4666663129519</v>
      </c>
      <c r="V195" s="196">
        <f t="shared" si="120"/>
        <v>3399.2093145764534</v>
      </c>
      <c r="W195" s="196">
        <f t="shared" si="120"/>
        <v>3660.4116388709253</v>
      </c>
      <c r="X195" s="196">
        <f t="shared" si="120"/>
        <v>3882.278194401119</v>
      </c>
    </row>
    <row r="196" spans="1:24">
      <c r="A196" s="101">
        <v>185</v>
      </c>
      <c r="B196" s="195" t="s">
        <v>193</v>
      </c>
      <c r="C196" s="275"/>
      <c r="D196" s="617">
        <f>SUM(D155)</f>
        <v>802.70764039063442</v>
      </c>
      <c r="E196" s="280"/>
      <c r="F196" s="617">
        <f>SUM(F155)</f>
        <v>856.09079069341112</v>
      </c>
      <c r="G196" s="280"/>
      <c r="H196" s="617">
        <f t="shared" ref="H196:J196" si="122">SUM(H155)</f>
        <v>1112.580366038414</v>
      </c>
      <c r="I196" s="85"/>
      <c r="J196" s="617">
        <f t="shared" si="122"/>
        <v>1255.1733400000001</v>
      </c>
      <c r="K196" s="238"/>
      <c r="L196" s="619"/>
      <c r="M196" s="617">
        <f t="shared" ref="M196:X196" si="123">SUM(M155)</f>
        <v>1336.7211187574665</v>
      </c>
      <c r="N196" s="618"/>
      <c r="O196" s="617">
        <f t="shared" ref="O196" si="124">SUM(O155)</f>
        <v>1396.8021189769413</v>
      </c>
      <c r="P196" s="620"/>
      <c r="Q196" s="617">
        <f t="shared" si="123"/>
        <v>1470.0476900000001</v>
      </c>
      <c r="R196" s="620"/>
      <c r="S196" s="196">
        <f t="shared" si="123"/>
        <v>1653.4229162230411</v>
      </c>
      <c r="T196" s="620"/>
      <c r="U196" s="196">
        <f t="shared" si="123"/>
        <v>1782.4145004436173</v>
      </c>
      <c r="V196" s="196">
        <f t="shared" si="123"/>
        <v>1894.0225354804586</v>
      </c>
      <c r="W196" s="196">
        <f t="shared" si="123"/>
        <v>2023.1619709651234</v>
      </c>
      <c r="X196" s="196">
        <f t="shared" si="123"/>
        <v>2132.8536508209086</v>
      </c>
    </row>
    <row r="197" spans="1:24">
      <c r="A197" s="101">
        <v>186</v>
      </c>
      <c r="B197" s="195" t="s">
        <v>200</v>
      </c>
      <c r="C197" s="275"/>
      <c r="D197" s="617">
        <f>SUM(D173)</f>
        <v>1651.2090986008304</v>
      </c>
      <c r="E197" s="280"/>
      <c r="F197" s="617">
        <f>SUM(F173)</f>
        <v>1791.0314800000001</v>
      </c>
      <c r="G197" s="280"/>
      <c r="H197" s="617">
        <f t="shared" ref="H197:J197" si="125">SUM(H173)</f>
        <v>2030.6547399999999</v>
      </c>
      <c r="I197" s="85"/>
      <c r="J197" s="617">
        <f t="shared" si="125"/>
        <v>2137.1771711399883</v>
      </c>
      <c r="K197" s="238"/>
      <c r="L197" s="619"/>
      <c r="M197" s="617">
        <f t="shared" ref="M197:X197" si="126">SUM(M173)</f>
        <v>2378.8604999999998</v>
      </c>
      <c r="N197" s="618"/>
      <c r="O197" s="617">
        <f t="shared" ref="O197" si="127">SUM(O173)</f>
        <v>2651</v>
      </c>
      <c r="P197" s="238"/>
      <c r="Q197" s="617">
        <f t="shared" si="126"/>
        <v>3184.1441200000004</v>
      </c>
      <c r="R197" s="238"/>
      <c r="S197" s="196">
        <f t="shared" si="126"/>
        <v>3684.4137089105516</v>
      </c>
      <c r="T197" s="238"/>
      <c r="U197" s="196">
        <f t="shared" si="126"/>
        <v>3908.3830405804906</v>
      </c>
      <c r="V197" s="196">
        <f t="shared" si="126"/>
        <v>4085.9354596395065</v>
      </c>
      <c r="W197" s="196">
        <f t="shared" si="126"/>
        <v>4268.9727443146085</v>
      </c>
      <c r="X197" s="196">
        <f t="shared" si="126"/>
        <v>4532.9687184719651</v>
      </c>
    </row>
    <row r="198" spans="1:24">
      <c r="A198" s="101">
        <v>187</v>
      </c>
      <c r="B198" s="192" t="s">
        <v>125</v>
      </c>
      <c r="C198" s="275"/>
      <c r="D198" s="571">
        <v>0</v>
      </c>
      <c r="E198" s="280"/>
      <c r="F198" s="571">
        <v>0</v>
      </c>
      <c r="G198" s="280"/>
      <c r="H198" s="571">
        <v>0</v>
      </c>
      <c r="I198" s="85"/>
      <c r="J198" s="571">
        <v>0</v>
      </c>
      <c r="K198" s="630"/>
      <c r="L198" s="631"/>
      <c r="M198" s="571">
        <v>0</v>
      </c>
      <c r="N198" s="632"/>
      <c r="O198" s="571">
        <v>0</v>
      </c>
      <c r="P198" s="632"/>
      <c r="Q198" s="571">
        <v>0</v>
      </c>
      <c r="R198" s="632"/>
      <c r="S198" s="180">
        <v>0</v>
      </c>
      <c r="T198" s="632"/>
      <c r="U198" s="180">
        <v>0</v>
      </c>
      <c r="V198" s="180">
        <v>0</v>
      </c>
      <c r="W198" s="180">
        <v>0</v>
      </c>
      <c r="X198" s="180">
        <v>0</v>
      </c>
    </row>
    <row r="199" spans="1:24">
      <c r="A199" s="101">
        <v>188</v>
      </c>
      <c r="B199" s="195" t="s">
        <v>197</v>
      </c>
      <c r="C199" s="275"/>
      <c r="D199" s="617"/>
      <c r="E199" s="280"/>
      <c r="F199" s="617"/>
      <c r="G199" s="280"/>
      <c r="H199" s="617"/>
      <c r="I199" s="85"/>
      <c r="J199" s="617"/>
      <c r="K199" s="618"/>
      <c r="L199" s="619"/>
      <c r="M199" s="617"/>
      <c r="N199" s="618"/>
      <c r="O199" s="617"/>
      <c r="P199" s="618"/>
      <c r="Q199" s="617"/>
      <c r="R199" s="618"/>
      <c r="S199" s="196"/>
      <c r="T199" s="618"/>
      <c r="U199" s="196"/>
      <c r="V199" s="196"/>
      <c r="W199" s="196"/>
      <c r="X199" s="196"/>
    </row>
    <row r="200" spans="1:24">
      <c r="A200" s="101">
        <v>189</v>
      </c>
      <c r="B200" s="192"/>
      <c r="C200" s="275"/>
      <c r="D200" s="571">
        <f>SUM(D195:D197)</f>
        <v>4296.9167389914646</v>
      </c>
      <c r="E200" s="280"/>
      <c r="F200" s="571">
        <f>SUM(F195:F197)</f>
        <v>4586.8651781554108</v>
      </c>
      <c r="G200" s="280"/>
      <c r="H200" s="571">
        <f t="shared" ref="H200:J200" si="128">SUM(H195:H197)</f>
        <v>5381.658967623669</v>
      </c>
      <c r="I200" s="85"/>
      <c r="J200" s="571">
        <f t="shared" si="128"/>
        <v>5836.652431139988</v>
      </c>
      <c r="K200" s="632"/>
      <c r="L200" s="631"/>
      <c r="M200" s="571">
        <f t="shared" ref="M200:X200" si="129">SUM(M195:M197)</f>
        <v>6656.9436187574665</v>
      </c>
      <c r="N200" s="632"/>
      <c r="O200" s="571">
        <f t="shared" ref="O200" si="130">SUM(O195:O197)</f>
        <v>6826.5169189769413</v>
      </c>
      <c r="P200" s="632"/>
      <c r="Q200" s="571">
        <f t="shared" si="129"/>
        <v>7377.2878482527303</v>
      </c>
      <c r="R200" s="632"/>
      <c r="S200" s="180">
        <f t="shared" si="129"/>
        <v>8253.2841110261215</v>
      </c>
      <c r="T200" s="632"/>
      <c r="U200" s="180">
        <f t="shared" si="129"/>
        <v>8864.2642073370607</v>
      </c>
      <c r="V200" s="180">
        <f t="shared" si="129"/>
        <v>9379.1673096964187</v>
      </c>
      <c r="W200" s="180">
        <f t="shared" si="129"/>
        <v>9952.5463541506579</v>
      </c>
      <c r="X200" s="180">
        <f t="shared" si="129"/>
        <v>10548.100563693992</v>
      </c>
    </row>
    <row r="201" spans="1:24">
      <c r="A201" s="101">
        <v>190</v>
      </c>
      <c r="B201" s="192" t="s">
        <v>201</v>
      </c>
      <c r="C201" s="275"/>
      <c r="D201" s="617"/>
      <c r="E201" s="280"/>
      <c r="F201" s="617"/>
      <c r="G201" s="280"/>
      <c r="H201" s="617"/>
      <c r="I201" s="85"/>
      <c r="J201" s="617"/>
      <c r="K201" s="618"/>
      <c r="L201" s="619"/>
      <c r="M201" s="624"/>
      <c r="N201" s="618"/>
      <c r="O201" s="627"/>
      <c r="P201" s="618"/>
      <c r="Q201" s="199"/>
      <c r="R201" s="618"/>
      <c r="S201" s="199"/>
      <c r="T201" s="618"/>
      <c r="U201" s="199"/>
      <c r="V201" s="199"/>
      <c r="W201" s="199"/>
      <c r="X201" s="199"/>
    </row>
    <row r="202" spans="1:24" ht="13.5" thickBot="1">
      <c r="A202" s="101">
        <v>191</v>
      </c>
      <c r="B202" s="192"/>
      <c r="C202" s="275"/>
      <c r="D202" s="425">
        <f>SUM(D191+D200)</f>
        <v>23237.643218698864</v>
      </c>
      <c r="E202" s="280"/>
      <c r="F202" s="425">
        <f>SUM(F191+F200)</f>
        <v>25765.236066835983</v>
      </c>
      <c r="G202" s="280"/>
      <c r="H202" s="425">
        <f t="shared" ref="H202:J202" si="131">SUM(H191+H200)</f>
        <v>27849.381538943788</v>
      </c>
      <c r="I202" s="85"/>
      <c r="J202" s="425">
        <f t="shared" si="131"/>
        <v>31059.193789503879</v>
      </c>
      <c r="K202" s="637"/>
      <c r="L202" s="638"/>
      <c r="M202" s="425">
        <f t="shared" ref="M202:X202" si="132">SUM(M191+M200)</f>
        <v>34378.781600945462</v>
      </c>
      <c r="N202" s="637"/>
      <c r="O202" s="639">
        <f t="shared" ref="O202" si="133">SUM(O191+O200)</f>
        <v>36324.24510707947</v>
      </c>
      <c r="P202" s="637"/>
      <c r="Q202" s="200">
        <f t="shared" si="132"/>
        <v>38006.714318933009</v>
      </c>
      <c r="R202" s="637"/>
      <c r="S202" s="200">
        <f t="shared" si="132"/>
        <v>40508.043587724649</v>
      </c>
      <c r="T202" s="637"/>
      <c r="U202" s="200">
        <f t="shared" si="132"/>
        <v>42575.002346190588</v>
      </c>
      <c r="V202" s="200">
        <f t="shared" si="132"/>
        <v>44836.757227353039</v>
      </c>
      <c r="W202" s="200">
        <f t="shared" si="132"/>
        <v>47186.245935421</v>
      </c>
      <c r="X202" s="200">
        <f t="shared" si="132"/>
        <v>49766.103282342607</v>
      </c>
    </row>
    <row r="203" spans="1:24" ht="13.5" thickTop="1">
      <c r="A203" s="101">
        <v>192</v>
      </c>
      <c r="B203" s="109"/>
      <c r="C203" s="641"/>
      <c r="D203" s="642"/>
      <c r="E203" s="591"/>
      <c r="F203" s="643"/>
      <c r="G203" s="591"/>
      <c r="H203" s="644"/>
      <c r="I203" s="85"/>
      <c r="J203" s="645"/>
      <c r="K203" s="645"/>
      <c r="L203" s="646"/>
      <c r="M203" s="647"/>
      <c r="N203" s="645"/>
      <c r="O203" s="645"/>
      <c r="P203" s="645"/>
      <c r="Q203" s="645"/>
      <c r="R203" s="645"/>
      <c r="S203" s="645"/>
      <c r="T203" s="645"/>
      <c r="U203" s="645"/>
      <c r="V203" s="645"/>
      <c r="W203" s="645"/>
      <c r="X203" s="645"/>
    </row>
    <row r="204" spans="1:24">
      <c r="A204" s="101">
        <v>193</v>
      </c>
      <c r="B204" s="111"/>
      <c r="C204" s="275"/>
      <c r="D204" s="650"/>
      <c r="E204" s="280"/>
      <c r="F204" s="650"/>
      <c r="G204" s="280"/>
      <c r="H204" s="651"/>
      <c r="I204" s="85"/>
      <c r="J204" s="651"/>
      <c r="K204" s="651"/>
      <c r="L204" s="652"/>
      <c r="M204" s="651"/>
      <c r="N204" s="651"/>
      <c r="O204" s="651"/>
      <c r="P204" s="651"/>
      <c r="Q204" s="651"/>
      <c r="R204" s="651"/>
      <c r="S204" s="651"/>
      <c r="T204" s="651"/>
      <c r="U204" s="651"/>
      <c r="V204" s="651"/>
      <c r="W204" s="651"/>
      <c r="X204" s="651"/>
    </row>
    <row r="205" spans="1:24">
      <c r="A205" s="101">
        <v>194</v>
      </c>
      <c r="B205" s="111"/>
      <c r="C205" s="275"/>
      <c r="D205" s="655"/>
      <c r="E205" s="280"/>
      <c r="F205" s="656"/>
      <c r="G205" s="280"/>
      <c r="H205" s="657"/>
      <c r="I205" s="85"/>
      <c r="J205" s="657"/>
      <c r="K205" s="657"/>
      <c r="L205" s="652"/>
      <c r="M205" s="657"/>
      <c r="N205" s="657"/>
      <c r="O205" s="657"/>
      <c r="P205" s="657"/>
      <c r="Q205" s="657" t="s">
        <v>294</v>
      </c>
      <c r="R205" s="657"/>
      <c r="S205" s="657" t="s">
        <v>294</v>
      </c>
      <c r="T205" s="657"/>
      <c r="U205" s="657" t="s">
        <v>294</v>
      </c>
      <c r="V205" s="657" t="s">
        <v>294</v>
      </c>
      <c r="W205" s="657" t="s">
        <v>294</v>
      </c>
      <c r="X205" s="657" t="s">
        <v>294</v>
      </c>
    </row>
    <row r="206" spans="1:24">
      <c r="A206" s="101">
        <v>195</v>
      </c>
      <c r="B206" s="660"/>
      <c r="C206" s="641"/>
      <c r="D206" s="661" t="e">
        <f>SUM(D202-#REF!)</f>
        <v>#REF!</v>
      </c>
      <c r="E206" s="591"/>
      <c r="F206" s="662">
        <f>SUM(F202-D202)</f>
        <v>2527.5928481371193</v>
      </c>
      <c r="G206" s="591"/>
      <c r="H206" s="662">
        <f>SUM(H202-F202)</f>
        <v>2084.1454721078044</v>
      </c>
      <c r="I206" s="592"/>
      <c r="J206" s="662">
        <f>SUM(J202-H202)</f>
        <v>3209.8122505600913</v>
      </c>
      <c r="K206" s="662"/>
      <c r="L206" s="663"/>
      <c r="M206" s="662">
        <f>SUM(M202-J202)</f>
        <v>3319.5878114415827</v>
      </c>
      <c r="N206" s="662"/>
      <c r="O206" s="662">
        <f>SUM(O202-M202)</f>
        <v>1945.4635061340086</v>
      </c>
      <c r="P206" s="662"/>
      <c r="Q206" s="662">
        <f>SUM(Q202-O202)</f>
        <v>1682.4692118535386</v>
      </c>
      <c r="R206" s="662"/>
      <c r="S206" s="662">
        <f>SUM(S202-Q202)</f>
        <v>2501.3292687916401</v>
      </c>
      <c r="T206" s="662"/>
      <c r="U206" s="662">
        <f>SUM(U202-S202)</f>
        <v>2066.9587584659384</v>
      </c>
      <c r="V206" s="662">
        <f t="shared" ref="V206:X206" si="134">SUM(V202-U202)</f>
        <v>2261.7548811624511</v>
      </c>
      <c r="W206" s="662">
        <f t="shared" si="134"/>
        <v>2349.4887080679619</v>
      </c>
      <c r="X206" s="662">
        <f t="shared" si="134"/>
        <v>2579.8573469216062</v>
      </c>
    </row>
    <row r="207" spans="1:24">
      <c r="H207" s="666"/>
      <c r="J207" s="666"/>
      <c r="K207" s="666"/>
      <c r="L207" s="667"/>
      <c r="M207" s="666"/>
      <c r="N207" s="666"/>
      <c r="O207" s="666"/>
      <c r="P207" s="666"/>
      <c r="Q207" s="666"/>
      <c r="R207" s="666"/>
      <c r="S207" s="666"/>
      <c r="T207" s="666"/>
    </row>
  </sheetData>
  <pageMargins left="0.26" right="0.17" top="0.59" bottom="0.25" header="0.3" footer="0.17"/>
  <pageSetup scale="49" fitToHeight="0" orientation="portrait" r:id="rId1"/>
  <headerFooter>
    <oddHeader>&amp;RExh AIW-2
Dockets UE-170485 / UG-170486
Page &amp;P of &amp;N</oddHeader>
  </headerFooter>
  <colBreaks count="1" manualBreakCount="1">
    <brk id="19" max="201" man="1"/>
  </colBreaks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56"/>
  <sheetViews>
    <sheetView zoomScaleNormal="100" workbookViewId="0">
      <selection activeCell="M4" sqref="M4"/>
    </sheetView>
  </sheetViews>
  <sheetFormatPr defaultRowHeight="12.75"/>
  <cols>
    <col min="1" max="1" width="6.7109375" customWidth="1"/>
    <col min="4" max="4" width="34.140625" customWidth="1"/>
    <col min="5" max="6" width="13.7109375" customWidth="1"/>
    <col min="7" max="7" width="10.7109375" customWidth="1"/>
    <col min="8" max="8" width="11.7109375" customWidth="1"/>
    <col min="9" max="9" width="10.28515625" bestFit="1" customWidth="1"/>
    <col min="10" max="10" width="12.5703125" customWidth="1"/>
    <col min="11" max="11" width="13.42578125" customWidth="1"/>
    <col min="12" max="12" width="10.7109375" customWidth="1"/>
    <col min="13" max="13" width="10" bestFit="1" customWidth="1"/>
    <col min="14" max="14" width="4.28515625" customWidth="1"/>
    <col min="15" max="15" width="12.7109375" customWidth="1"/>
    <col min="16" max="16" width="11.42578125" customWidth="1"/>
    <col min="17" max="17" width="10" bestFit="1" customWidth="1"/>
    <col min="18" max="18" width="3.7109375" bestFit="1" customWidth="1"/>
    <col min="19" max="19" width="12.5703125" customWidth="1"/>
  </cols>
  <sheetData>
    <row r="1" spans="1:19" ht="15.75">
      <c r="B1" t="s">
        <v>431</v>
      </c>
      <c r="C1" s="201"/>
      <c r="E1" s="203" t="s">
        <v>184</v>
      </c>
      <c r="F1" s="204"/>
      <c r="G1" s="203" t="s">
        <v>184</v>
      </c>
      <c r="H1" s="205"/>
      <c r="I1" s="205"/>
      <c r="J1" s="204"/>
      <c r="K1" s="203" t="s">
        <v>184</v>
      </c>
      <c r="L1" s="204"/>
      <c r="O1" s="203" t="s">
        <v>184</v>
      </c>
      <c r="R1" s="206"/>
    </row>
    <row r="2" spans="1:19" ht="18">
      <c r="B2" s="822" t="s">
        <v>439</v>
      </c>
      <c r="C2" s="207"/>
      <c r="D2" s="208"/>
      <c r="E2" s="209" t="s">
        <v>202</v>
      </c>
      <c r="F2" s="204"/>
      <c r="G2" s="209" t="s">
        <v>202</v>
      </c>
      <c r="H2" s="205"/>
      <c r="I2" s="205"/>
      <c r="J2" s="204"/>
      <c r="K2" s="209" t="s">
        <v>202</v>
      </c>
      <c r="L2" s="204"/>
      <c r="M2" s="856" t="s">
        <v>466</v>
      </c>
      <c r="O2" s="209" t="s">
        <v>202</v>
      </c>
      <c r="R2" s="206"/>
    </row>
    <row r="3" spans="1:19" ht="18.75" thickBot="1">
      <c r="B3" s="213" t="s">
        <v>469</v>
      </c>
      <c r="C3" s="207"/>
      <c r="D3" s="208"/>
      <c r="E3" s="210" t="s">
        <v>203</v>
      </c>
      <c r="F3" s="211"/>
      <c r="G3" s="210" t="s">
        <v>203</v>
      </c>
      <c r="H3" s="205"/>
      <c r="I3" s="205"/>
      <c r="J3" s="211"/>
      <c r="K3" s="210" t="s">
        <v>203</v>
      </c>
      <c r="L3" s="211"/>
      <c r="M3" s="856" t="s">
        <v>467</v>
      </c>
      <c r="O3" s="210" t="s">
        <v>203</v>
      </c>
      <c r="R3" s="206"/>
    </row>
    <row r="4" spans="1:19">
      <c r="B4" s="212"/>
      <c r="C4" s="207"/>
      <c r="D4" s="191"/>
      <c r="E4" s="252" t="s">
        <v>225</v>
      </c>
      <c r="F4" s="191"/>
      <c r="G4" s="191"/>
      <c r="H4" s="191"/>
      <c r="I4" s="191"/>
      <c r="J4" s="191"/>
      <c r="K4" s="191"/>
      <c r="L4" s="191"/>
      <c r="M4" s="857" t="s">
        <v>468</v>
      </c>
      <c r="O4" s="852" t="s">
        <v>228</v>
      </c>
      <c r="R4" s="206"/>
    </row>
    <row r="5" spans="1:19">
      <c r="B5" s="213" t="s">
        <v>188</v>
      </c>
      <c r="C5" s="207"/>
      <c r="D5" s="214"/>
      <c r="E5" s="215" t="s">
        <v>204</v>
      </c>
      <c r="F5" s="253" t="s">
        <v>226</v>
      </c>
      <c r="G5" s="214" t="s">
        <v>189</v>
      </c>
      <c r="H5" s="214" t="s">
        <v>205</v>
      </c>
      <c r="I5" s="215" t="s">
        <v>206</v>
      </c>
      <c r="J5" s="253" t="s">
        <v>226</v>
      </c>
      <c r="K5" s="214" t="s">
        <v>229</v>
      </c>
      <c r="L5" s="214" t="s">
        <v>205</v>
      </c>
      <c r="M5" s="215" t="s">
        <v>206</v>
      </c>
      <c r="N5" s="214"/>
      <c r="O5" s="214" t="s">
        <v>189</v>
      </c>
      <c r="P5" s="214" t="s">
        <v>205</v>
      </c>
      <c r="Q5" s="215" t="s">
        <v>206</v>
      </c>
      <c r="R5" s="214"/>
      <c r="S5" s="215" t="s">
        <v>206</v>
      </c>
    </row>
    <row r="6" spans="1:19">
      <c r="A6" s="101" t="s">
        <v>310</v>
      </c>
      <c r="B6" s="213"/>
      <c r="C6" s="207"/>
      <c r="D6" s="216"/>
      <c r="E6" s="217">
        <v>2016</v>
      </c>
      <c r="F6" s="254" t="s">
        <v>227</v>
      </c>
      <c r="G6" s="216">
        <v>2017</v>
      </c>
      <c r="H6" s="216" t="s">
        <v>207</v>
      </c>
      <c r="I6" s="217">
        <v>2017</v>
      </c>
      <c r="J6" s="254" t="s">
        <v>227</v>
      </c>
      <c r="K6" s="216" t="s">
        <v>230</v>
      </c>
      <c r="L6" s="216" t="s">
        <v>207</v>
      </c>
      <c r="M6" s="217">
        <v>2018</v>
      </c>
      <c r="N6" s="216"/>
      <c r="O6" s="216">
        <v>2019</v>
      </c>
      <c r="P6" s="216" t="s">
        <v>207</v>
      </c>
      <c r="Q6" s="217">
        <v>2019</v>
      </c>
      <c r="R6" s="216"/>
      <c r="S6" s="217">
        <v>2020</v>
      </c>
    </row>
    <row r="7" spans="1:19">
      <c r="A7" s="101" t="s">
        <v>464</v>
      </c>
      <c r="B7" s="213" t="s">
        <v>190</v>
      </c>
      <c r="C7" s="207"/>
      <c r="D7" s="218"/>
      <c r="E7" s="219"/>
      <c r="F7" s="218"/>
      <c r="G7" s="218"/>
      <c r="H7" s="218"/>
      <c r="I7" s="219"/>
      <c r="J7" s="218"/>
      <c r="K7" s="218"/>
      <c r="L7" s="218"/>
      <c r="M7" s="219"/>
      <c r="N7" s="218"/>
      <c r="O7" s="218"/>
      <c r="P7" s="218"/>
      <c r="Q7" s="219"/>
      <c r="R7" s="218"/>
      <c r="S7" s="219"/>
    </row>
    <row r="8" spans="1:19">
      <c r="A8" s="101">
        <v>1</v>
      </c>
      <c r="B8" s="213"/>
      <c r="C8" s="207"/>
      <c r="D8" s="255"/>
      <c r="E8" s="219"/>
      <c r="F8" s="218"/>
      <c r="G8" s="218"/>
      <c r="H8" s="256"/>
      <c r="I8" s="219"/>
      <c r="J8" s="218"/>
      <c r="K8" s="257"/>
      <c r="L8" s="218"/>
      <c r="M8" s="219"/>
      <c r="N8" s="218"/>
      <c r="O8" s="218"/>
      <c r="P8" s="218"/>
      <c r="Q8" s="219"/>
      <c r="R8" s="218"/>
      <c r="S8" s="219"/>
    </row>
    <row r="9" spans="1:19">
      <c r="A9" s="101">
        <v>2</v>
      </c>
      <c r="B9" s="220" t="s">
        <v>191</v>
      </c>
      <c r="C9" s="207"/>
      <c r="D9" s="258"/>
      <c r="E9" s="221">
        <v>13357.886699310237</v>
      </c>
      <c r="F9" s="259">
        <v>14720.140880469966</v>
      </c>
      <c r="G9" s="223">
        <v>14720.140880469966</v>
      </c>
      <c r="H9" s="223">
        <f t="shared" ref="H9:H14" si="0">I9-G9</f>
        <v>-288.14088046996585</v>
      </c>
      <c r="I9" s="221">
        <v>14432</v>
      </c>
      <c r="J9" s="259">
        <v>15605.480113394406</v>
      </c>
      <c r="K9" s="223">
        <v>15605.480113394406</v>
      </c>
      <c r="L9" s="223">
        <f>M9-K9</f>
        <v>-605.48011339440563</v>
      </c>
      <c r="M9" s="221">
        <v>15000</v>
      </c>
      <c r="N9" s="260"/>
      <c r="O9" s="223">
        <v>16778.552784368349</v>
      </c>
      <c r="P9" s="223">
        <f>Q9-O9</f>
        <v>-967.55278436834851</v>
      </c>
      <c r="Q9" s="221">
        <v>15811</v>
      </c>
      <c r="R9" s="224"/>
      <c r="S9" s="221">
        <f>Q9*(100%+R17)</f>
        <v>16759.66</v>
      </c>
    </row>
    <row r="10" spans="1:19">
      <c r="A10" s="101">
        <v>3</v>
      </c>
      <c r="B10" s="220" t="s">
        <v>192</v>
      </c>
      <c r="C10" s="207"/>
      <c r="D10" s="261"/>
      <c r="E10" s="226"/>
      <c r="F10" s="262"/>
      <c r="G10" s="223"/>
      <c r="H10" s="223">
        <f t="shared" si="0"/>
        <v>0</v>
      </c>
      <c r="I10" s="221"/>
      <c r="J10" s="262"/>
      <c r="K10" s="263"/>
      <c r="L10" s="223">
        <f t="shared" ref="L10:L14" si="1">M10-K10</f>
        <v>0</v>
      </c>
      <c r="M10" s="221"/>
      <c r="N10" s="260"/>
      <c r="O10" s="223"/>
      <c r="P10" s="223">
        <f t="shared" ref="P10:P14" si="2">Q10-O10</f>
        <v>0</v>
      </c>
      <c r="Q10" s="221"/>
      <c r="R10" s="223"/>
      <c r="S10" s="221"/>
    </row>
    <row r="11" spans="1:19">
      <c r="A11" s="101">
        <v>4</v>
      </c>
      <c r="B11" s="220" t="s">
        <v>193</v>
      </c>
      <c r="C11" s="207"/>
      <c r="D11" s="261"/>
      <c r="E11" s="227">
        <v>5675.1669887565686</v>
      </c>
      <c r="F11" s="259">
        <v>6289.4253156686991</v>
      </c>
      <c r="G11" s="223">
        <v>6289.4253156686991</v>
      </c>
      <c r="H11" s="223">
        <f t="shared" si="0"/>
        <v>-123.42531566869911</v>
      </c>
      <c r="I11" s="221">
        <v>6166</v>
      </c>
      <c r="J11" s="259">
        <v>6683.6507297143226</v>
      </c>
      <c r="K11" s="223">
        <v>6683.6507297143226</v>
      </c>
      <c r="L11" s="223">
        <f t="shared" si="1"/>
        <v>-259.65072971432255</v>
      </c>
      <c r="M11" s="221">
        <v>6424</v>
      </c>
      <c r="N11" s="260"/>
      <c r="O11" s="223">
        <v>7208.4221059012207</v>
      </c>
      <c r="P11" s="223">
        <f t="shared" si="2"/>
        <v>-415.42210590122068</v>
      </c>
      <c r="Q11" s="221">
        <v>6793</v>
      </c>
      <c r="R11" s="224"/>
      <c r="S11" s="221">
        <f>Q11*(100%+R17)</f>
        <v>7200.58</v>
      </c>
    </row>
    <row r="12" spans="1:19">
      <c r="A12" s="101">
        <v>5</v>
      </c>
      <c r="B12" s="220" t="s">
        <v>194</v>
      </c>
      <c r="C12" s="207"/>
      <c r="D12" s="261"/>
      <c r="E12" s="227">
        <v>9750.9988719237135</v>
      </c>
      <c r="F12" s="259">
        <v>10589.986561157782</v>
      </c>
      <c r="G12" s="223">
        <v>10589.986561157782</v>
      </c>
      <c r="H12" s="223">
        <f t="shared" si="0"/>
        <v>-207.98656115778249</v>
      </c>
      <c r="I12" s="221">
        <v>10382</v>
      </c>
      <c r="J12" s="259">
        <v>11525.782353936444</v>
      </c>
      <c r="K12" s="223">
        <v>11525.782353936444</v>
      </c>
      <c r="L12" s="223">
        <f t="shared" si="1"/>
        <v>-447.78235393644354</v>
      </c>
      <c r="M12" s="221">
        <v>11078</v>
      </c>
      <c r="N12" s="260"/>
      <c r="O12" s="223">
        <v>12446.550146197094</v>
      </c>
      <c r="P12" s="223">
        <f t="shared" si="2"/>
        <v>-717.55014619709436</v>
      </c>
      <c r="Q12" s="221">
        <v>11729</v>
      </c>
      <c r="R12" s="224"/>
      <c r="S12" s="221">
        <f>Q12*(100%+R17)</f>
        <v>12432.74</v>
      </c>
    </row>
    <row r="13" spans="1:19">
      <c r="A13" s="101">
        <v>6</v>
      </c>
      <c r="B13" s="228" t="s">
        <v>208</v>
      </c>
      <c r="C13" s="207"/>
      <c r="D13" s="261"/>
      <c r="E13" s="227">
        <v>10.51116</v>
      </c>
      <c r="F13" s="259">
        <v>10.721383199999998</v>
      </c>
      <c r="G13" s="223">
        <v>10.721383199999998</v>
      </c>
      <c r="H13" s="223">
        <f t="shared" si="0"/>
        <v>0.27861680000000177</v>
      </c>
      <c r="I13" s="221">
        <v>11</v>
      </c>
      <c r="J13" s="259">
        <v>10.935810864</v>
      </c>
      <c r="K13" s="223">
        <v>10.935810864</v>
      </c>
      <c r="L13" s="223">
        <f t="shared" si="1"/>
        <v>6.4189135999999536E-2</v>
      </c>
      <c r="M13" s="221">
        <v>11</v>
      </c>
      <c r="N13" s="260"/>
      <c r="O13" s="223">
        <v>11.154527081279999</v>
      </c>
      <c r="P13" s="223">
        <f t="shared" si="2"/>
        <v>-0.15452708127999948</v>
      </c>
      <c r="Q13" s="221">
        <v>11</v>
      </c>
      <c r="R13" s="223"/>
      <c r="S13" s="221">
        <v>11</v>
      </c>
    </row>
    <row r="14" spans="1:19">
      <c r="A14" s="101">
        <v>7</v>
      </c>
      <c r="B14" s="228" t="s">
        <v>209</v>
      </c>
      <c r="C14" s="207"/>
      <c r="D14" s="261"/>
      <c r="E14" s="231">
        <v>2514.9974500000003</v>
      </c>
      <c r="F14" s="264">
        <v>2624.1106000356217</v>
      </c>
      <c r="G14" s="232">
        <v>2624.1106000356217</v>
      </c>
      <c r="H14" s="232">
        <f t="shared" si="0"/>
        <v>-51.110600035621701</v>
      </c>
      <c r="I14" s="233">
        <v>2573</v>
      </c>
      <c r="J14" s="264">
        <v>2676.5928120363342</v>
      </c>
      <c r="K14" s="232">
        <v>2676.5928120363342</v>
      </c>
      <c r="L14" s="232">
        <f t="shared" si="1"/>
        <v>-103.59281203633418</v>
      </c>
      <c r="M14" s="233">
        <v>2573</v>
      </c>
      <c r="N14" s="260"/>
      <c r="O14" s="232">
        <v>2730.1246682770607</v>
      </c>
      <c r="P14" s="232">
        <f t="shared" si="2"/>
        <v>-157.12466827706066</v>
      </c>
      <c r="Q14" s="233">
        <v>2573</v>
      </c>
      <c r="R14" s="232"/>
      <c r="S14" s="233">
        <v>2573</v>
      </c>
    </row>
    <row r="15" spans="1:19">
      <c r="A15" s="101">
        <v>8</v>
      </c>
      <c r="B15" s="213"/>
      <c r="C15" s="207"/>
      <c r="D15" s="265"/>
      <c r="E15" s="221"/>
      <c r="F15" s="262"/>
      <c r="G15" s="223"/>
      <c r="H15" s="223"/>
      <c r="I15" s="221"/>
      <c r="J15" s="223"/>
      <c r="K15" s="223"/>
      <c r="L15" s="223"/>
      <c r="M15" s="221"/>
      <c r="N15" s="223"/>
      <c r="O15" s="223"/>
      <c r="P15" s="223"/>
      <c r="Q15" s="221"/>
      <c r="R15" s="223"/>
      <c r="S15" s="221"/>
    </row>
    <row r="16" spans="1:19">
      <c r="A16" s="101">
        <v>9</v>
      </c>
      <c r="B16" s="220" t="s">
        <v>197</v>
      </c>
      <c r="C16" s="207"/>
      <c r="D16" s="265"/>
      <c r="E16" s="233">
        <f>SUM(E9:E14)</f>
        <v>31309.561169990513</v>
      </c>
      <c r="F16" s="266">
        <v>34234.38474053207</v>
      </c>
      <c r="G16" s="232">
        <f t="shared" ref="G16:M16" si="3">SUM(G9:G14)</f>
        <v>34234.38474053207</v>
      </c>
      <c r="H16" s="232">
        <f t="shared" si="3"/>
        <v>-670.38474053206915</v>
      </c>
      <c r="I16" s="233">
        <f t="shared" si="3"/>
        <v>33564</v>
      </c>
      <c r="J16" s="266">
        <f t="shared" si="3"/>
        <v>36502.441819945503</v>
      </c>
      <c r="K16" s="232">
        <f t="shared" si="3"/>
        <v>36502.441819945503</v>
      </c>
      <c r="L16" s="232">
        <f t="shared" si="3"/>
        <v>-1416.4418199455058</v>
      </c>
      <c r="M16" s="233">
        <f t="shared" si="3"/>
        <v>35086</v>
      </c>
      <c r="N16" s="234"/>
      <c r="O16" s="232">
        <f t="shared" ref="O16:Q16" si="4">SUM(O9:O14)</f>
        <v>39174.804231825001</v>
      </c>
      <c r="P16" s="232">
        <f t="shared" si="4"/>
        <v>-2257.8042318250041</v>
      </c>
      <c r="Q16" s="233">
        <f t="shared" si="4"/>
        <v>36917</v>
      </c>
      <c r="R16" s="232"/>
      <c r="S16" s="233">
        <f t="shared" ref="S16" si="5">SUM(S9:S14)</f>
        <v>38976.979999999996</v>
      </c>
    </row>
    <row r="17" spans="1:19">
      <c r="A17" s="101">
        <v>10</v>
      </c>
      <c r="B17" s="213"/>
      <c r="C17" s="207"/>
      <c r="D17" s="225"/>
      <c r="E17" s="226"/>
      <c r="F17" s="262"/>
      <c r="G17" s="223"/>
      <c r="H17" s="223"/>
      <c r="I17" s="235"/>
      <c r="J17" s="223"/>
      <c r="K17" s="223"/>
      <c r="L17" s="223"/>
      <c r="M17" s="235"/>
      <c r="N17" s="223"/>
      <c r="O17" s="223"/>
      <c r="P17" s="223"/>
      <c r="Q17" s="236">
        <f>(Q16-M16)/M16</f>
        <v>5.2186057116798724E-2</v>
      </c>
      <c r="R17" s="237">
        <v>0.06</v>
      </c>
      <c r="S17" s="235">
        <f>(S16-Q16)/Q16</f>
        <v>5.5800308800823359E-2</v>
      </c>
    </row>
    <row r="18" spans="1:19">
      <c r="A18" s="101">
        <v>11</v>
      </c>
      <c r="B18" s="213" t="s">
        <v>198</v>
      </c>
      <c r="C18" s="207"/>
      <c r="D18" s="225"/>
      <c r="E18" s="226"/>
      <c r="F18" s="262"/>
      <c r="G18" s="223"/>
      <c r="H18" s="223"/>
      <c r="I18" s="221"/>
      <c r="J18" s="223"/>
      <c r="K18" s="223"/>
      <c r="L18" s="223"/>
      <c r="M18" s="221"/>
      <c r="N18" s="223"/>
      <c r="O18" s="223"/>
      <c r="P18" s="223"/>
      <c r="Q18" s="221"/>
      <c r="R18" s="223"/>
      <c r="S18" s="221"/>
    </row>
    <row r="19" spans="1:19">
      <c r="A19" s="101">
        <v>12</v>
      </c>
      <c r="B19" s="213"/>
      <c r="C19" s="207"/>
      <c r="D19" s="261"/>
      <c r="E19" s="221"/>
      <c r="F19" s="262"/>
      <c r="G19" s="223"/>
      <c r="H19" s="224"/>
      <c r="I19" s="221"/>
      <c r="J19" s="223"/>
      <c r="K19" s="223"/>
      <c r="L19" s="223"/>
      <c r="M19" s="221"/>
      <c r="N19" s="223"/>
      <c r="O19" s="223"/>
      <c r="P19" s="223"/>
      <c r="Q19" s="221"/>
      <c r="R19" s="223"/>
      <c r="S19" s="221"/>
    </row>
    <row r="20" spans="1:19">
      <c r="A20" s="101">
        <v>13</v>
      </c>
      <c r="B20" s="220" t="s">
        <v>199</v>
      </c>
      <c r="C20" s="207"/>
      <c r="D20" s="261"/>
      <c r="E20" s="221">
        <v>2826.4108714550603</v>
      </c>
      <c r="F20" s="259">
        <v>3109.190366923433</v>
      </c>
      <c r="G20" s="223">
        <v>3109.190366923433</v>
      </c>
      <c r="H20" s="223">
        <f>I20-G20</f>
        <v>-61.190366923432975</v>
      </c>
      <c r="I20" s="221">
        <v>3048</v>
      </c>
      <c r="J20" s="259">
        <v>3457.6436823995623</v>
      </c>
      <c r="K20" s="223">
        <v>3457.6436823995623</v>
      </c>
      <c r="L20" s="223">
        <f>M20-K20</f>
        <v>-134.64368239956229</v>
      </c>
      <c r="M20" s="221">
        <v>3323</v>
      </c>
      <c r="N20" s="222"/>
      <c r="O20" s="223">
        <v>3782.2647794345221</v>
      </c>
      <c r="P20" s="223">
        <f>Q20-O20</f>
        <v>-218.2647794345221</v>
      </c>
      <c r="Q20" s="221">
        <v>3564</v>
      </c>
      <c r="R20" s="224"/>
      <c r="S20" s="221">
        <f>Q20*(100%+R28)</f>
        <v>3777.84</v>
      </c>
    </row>
    <row r="21" spans="1:19">
      <c r="A21" s="101">
        <v>14</v>
      </c>
      <c r="B21" s="220" t="s">
        <v>193</v>
      </c>
      <c r="C21" s="207"/>
      <c r="D21" s="261"/>
      <c r="E21" s="227">
        <v>1470.0476900000001</v>
      </c>
      <c r="F21" s="259">
        <v>1604.7244891511405</v>
      </c>
      <c r="G21" s="223">
        <v>1604.7244891511405</v>
      </c>
      <c r="H21" s="223">
        <f>I21-G21</f>
        <v>-31.72448915114046</v>
      </c>
      <c r="I21" s="221">
        <v>1573</v>
      </c>
      <c r="J21" s="259">
        <v>1770.0216053618301</v>
      </c>
      <c r="K21" s="223">
        <v>1770.0216053618301</v>
      </c>
      <c r="L21" s="223">
        <f t="shared" ref="L21:L22" si="6">M21-K21</f>
        <v>-69.021605361830098</v>
      </c>
      <c r="M21" s="221">
        <v>1701</v>
      </c>
      <c r="N21" s="222"/>
      <c r="O21" s="223">
        <v>1924.2926728550406</v>
      </c>
      <c r="P21" s="223">
        <f t="shared" ref="P21:P22" si="7">Q21-O21</f>
        <v>-111.29267285504056</v>
      </c>
      <c r="Q21" s="221">
        <v>1813</v>
      </c>
      <c r="R21" s="224"/>
      <c r="S21" s="221">
        <f>Q21*(100%+R28)</f>
        <v>1921.7800000000002</v>
      </c>
    </row>
    <row r="22" spans="1:19">
      <c r="A22" s="101">
        <v>15</v>
      </c>
      <c r="B22" s="220" t="s">
        <v>200</v>
      </c>
      <c r="C22" s="207"/>
      <c r="D22" s="261"/>
      <c r="E22" s="227">
        <v>3184.1441200000004</v>
      </c>
      <c r="F22" s="259">
        <v>3429.0528845836297</v>
      </c>
      <c r="G22" s="223">
        <v>3429.0528845836297</v>
      </c>
      <c r="H22" s="223">
        <f>I22-G22</f>
        <v>-67.052884583629748</v>
      </c>
      <c r="I22" s="221">
        <v>3362</v>
      </c>
      <c r="J22" s="259">
        <v>3730.651634944707</v>
      </c>
      <c r="K22" s="223">
        <v>3730.651634944707</v>
      </c>
      <c r="L22" s="223">
        <f t="shared" si="6"/>
        <v>-144.65163494470698</v>
      </c>
      <c r="M22" s="221">
        <v>3586</v>
      </c>
      <c r="N22" s="222"/>
      <c r="O22" s="223">
        <v>3993.684715168381</v>
      </c>
      <c r="P22" s="223">
        <f t="shared" si="7"/>
        <v>-230.68471516838099</v>
      </c>
      <c r="Q22" s="221">
        <v>3763</v>
      </c>
      <c r="R22" s="224"/>
      <c r="S22" s="221">
        <f>Q22*(100%+R28)</f>
        <v>3988.78</v>
      </c>
    </row>
    <row r="23" spans="1:19">
      <c r="A23" s="101">
        <v>16</v>
      </c>
      <c r="B23" s="213" t="s">
        <v>125</v>
      </c>
      <c r="C23" s="207"/>
      <c r="D23" s="261"/>
      <c r="E23" s="240">
        <v>0</v>
      </c>
      <c r="F23" s="267"/>
      <c r="G23" s="232">
        <v>0</v>
      </c>
      <c r="H23" s="232"/>
      <c r="I23" s="233"/>
      <c r="J23" s="232"/>
      <c r="K23" s="232">
        <v>0</v>
      </c>
      <c r="L23" s="232"/>
      <c r="M23" s="233"/>
      <c r="N23" s="232"/>
      <c r="O23" s="232">
        <v>0</v>
      </c>
      <c r="P23" s="232"/>
      <c r="Q23" s="233"/>
      <c r="R23" s="232"/>
      <c r="S23" s="233"/>
    </row>
    <row r="24" spans="1:19">
      <c r="A24" s="101">
        <v>17</v>
      </c>
      <c r="B24" s="220" t="s">
        <v>197</v>
      </c>
      <c r="C24" s="207"/>
      <c r="D24" s="225"/>
      <c r="E24" s="221"/>
      <c r="F24" s="262"/>
      <c r="G24" s="223"/>
      <c r="H24" s="223"/>
      <c r="I24" s="221"/>
      <c r="J24" s="223"/>
      <c r="K24" s="223"/>
      <c r="L24" s="223"/>
      <c r="M24" s="221"/>
      <c r="N24" s="223"/>
      <c r="O24" s="223"/>
      <c r="P24" s="223"/>
      <c r="Q24" s="221"/>
      <c r="R24" s="223"/>
      <c r="S24" s="221"/>
    </row>
    <row r="25" spans="1:19">
      <c r="A25" s="101">
        <v>18</v>
      </c>
      <c r="B25" s="213"/>
      <c r="C25" s="207"/>
      <c r="D25" s="239"/>
      <c r="E25" s="233">
        <f>SUM(E20:E24)</f>
        <v>7480.6026814550605</v>
      </c>
      <c r="F25" s="266">
        <v>8142.9677406582032</v>
      </c>
      <c r="G25" s="232">
        <f t="shared" ref="G25:I25" si="8">SUM(G20:G24)</f>
        <v>8142.9677406582032</v>
      </c>
      <c r="H25" s="232">
        <f t="shared" si="8"/>
        <v>-159.96774065820318</v>
      </c>
      <c r="I25" s="233">
        <f t="shared" si="8"/>
        <v>7983</v>
      </c>
      <c r="J25" s="266">
        <f>SUM(J20:J23)</f>
        <v>8958.3169227060989</v>
      </c>
      <c r="K25" s="232">
        <f t="shared" ref="K25:M25" si="9">SUM(K20:K24)</f>
        <v>8958.3169227060989</v>
      </c>
      <c r="L25" s="232">
        <f t="shared" si="9"/>
        <v>-348.31692270609938</v>
      </c>
      <c r="M25" s="233">
        <f t="shared" si="9"/>
        <v>8610</v>
      </c>
      <c r="N25" s="232"/>
      <c r="O25" s="232">
        <f t="shared" ref="O25:Q25" si="10">SUM(O20:O24)</f>
        <v>9700.2421674579437</v>
      </c>
      <c r="P25" s="232">
        <f t="shared" si="10"/>
        <v>-560.24216745794365</v>
      </c>
      <c r="Q25" s="233">
        <f t="shared" si="10"/>
        <v>9140</v>
      </c>
      <c r="R25" s="232"/>
      <c r="S25" s="233">
        <f t="shared" ref="S25" si="11">SUM(S20:S24)</f>
        <v>9688.4000000000015</v>
      </c>
    </row>
    <row r="26" spans="1:19">
      <c r="A26" s="101">
        <v>19</v>
      </c>
      <c r="B26" s="213" t="s">
        <v>201</v>
      </c>
      <c r="C26" s="207"/>
      <c r="D26" s="225"/>
      <c r="E26" s="241"/>
      <c r="F26" s="262"/>
      <c r="G26" s="223"/>
      <c r="H26" s="223"/>
      <c r="I26" s="241"/>
      <c r="J26" s="223"/>
      <c r="K26" s="223"/>
      <c r="L26" s="223"/>
      <c r="M26" s="241"/>
      <c r="N26" s="223"/>
      <c r="O26" s="223"/>
      <c r="P26" s="223"/>
      <c r="Q26" s="241"/>
      <c r="R26" s="223"/>
      <c r="S26" s="241"/>
    </row>
    <row r="27" spans="1:19" ht="13.5" thickBot="1">
      <c r="A27" s="101">
        <v>20</v>
      </c>
      <c r="B27" s="213"/>
      <c r="C27" s="207"/>
      <c r="D27" s="242"/>
      <c r="E27" s="243">
        <f>SUM(E16,E25)</f>
        <v>38790.16385144557</v>
      </c>
      <c r="F27" s="268">
        <v>42377.352481190275</v>
      </c>
      <c r="G27" s="244">
        <f t="shared" ref="G27:I27" si="12">SUM(G16,G25)</f>
        <v>42377.352481190275</v>
      </c>
      <c r="H27" s="244">
        <f t="shared" si="12"/>
        <v>-830.35248119027233</v>
      </c>
      <c r="I27" s="243">
        <f t="shared" si="12"/>
        <v>41547</v>
      </c>
      <c r="J27" s="268">
        <f>+J25+J16</f>
        <v>45460.758742651604</v>
      </c>
      <c r="K27" s="244">
        <f t="shared" ref="K27:M27" si="13">SUM(K16,K25)</f>
        <v>45460.758742651604</v>
      </c>
      <c r="L27" s="244">
        <f t="shared" si="13"/>
        <v>-1764.7587426516052</v>
      </c>
      <c r="M27" s="243">
        <f t="shared" si="13"/>
        <v>43696</v>
      </c>
      <c r="N27" s="244"/>
      <c r="O27" s="244">
        <f t="shared" ref="O27:Q27" si="14">SUM(O16,O25)</f>
        <v>48875.046399282946</v>
      </c>
      <c r="P27" s="244">
        <f t="shared" si="14"/>
        <v>-2818.0463992829477</v>
      </c>
      <c r="Q27" s="243">
        <f t="shared" si="14"/>
        <v>46057</v>
      </c>
      <c r="R27" s="244"/>
      <c r="S27" s="243">
        <f t="shared" ref="S27" si="15">SUM(S16,S25)</f>
        <v>48665.38</v>
      </c>
    </row>
    <row r="28" spans="1:19" ht="13.5" thickTop="1">
      <c r="A28" s="101">
        <v>21</v>
      </c>
      <c r="I28" s="245"/>
      <c r="M28" s="245"/>
      <c r="O28" s="246"/>
      <c r="P28" s="246"/>
      <c r="Q28" s="245">
        <f>(Q27-M27)/M27</f>
        <v>5.4032405712193338E-2</v>
      </c>
      <c r="R28" s="247">
        <v>0.06</v>
      </c>
      <c r="S28" s="245">
        <f>(S27-Q27)/Q27</f>
        <v>5.663373645699888E-2</v>
      </c>
    </row>
    <row r="29" spans="1:19" s="248" customFormat="1" ht="30" customHeight="1">
      <c r="A29" s="101">
        <v>22</v>
      </c>
      <c r="E29" s="249" t="s">
        <v>210</v>
      </c>
      <c r="F29" s="249"/>
      <c r="G29" s="249" t="s">
        <v>211</v>
      </c>
      <c r="H29" s="249" t="s">
        <v>212</v>
      </c>
      <c r="I29" s="249" t="s">
        <v>213</v>
      </c>
      <c r="R29" s="1298"/>
      <c r="S29" s="1298"/>
    </row>
    <row r="30" spans="1:19">
      <c r="A30" s="101">
        <v>23</v>
      </c>
      <c r="B30" s="228" t="s">
        <v>195</v>
      </c>
      <c r="E30" s="49">
        <v>10.47</v>
      </c>
      <c r="F30" s="49"/>
      <c r="G30" s="49">
        <f>E30*0.5</f>
        <v>5.2350000000000003</v>
      </c>
      <c r="H30" s="49">
        <f>E13*0.5</f>
        <v>5.2555800000000001</v>
      </c>
      <c r="I30" s="49">
        <f>SUM(G30:H30)</f>
        <v>10.490580000000001</v>
      </c>
      <c r="R30" s="1298"/>
      <c r="S30" s="1298"/>
    </row>
    <row r="31" spans="1:19">
      <c r="A31" s="101">
        <v>24</v>
      </c>
      <c r="B31" s="228" t="s">
        <v>196</v>
      </c>
      <c r="E31" s="49">
        <v>2707.357</v>
      </c>
      <c r="F31" s="49"/>
      <c r="G31" s="49">
        <f>E31*0.5</f>
        <v>1353.6785</v>
      </c>
      <c r="H31" s="49">
        <f>E14*0.5</f>
        <v>1257.4987250000001</v>
      </c>
      <c r="I31" s="49">
        <f>SUM(G31:H31)</f>
        <v>2611.1772250000004</v>
      </c>
    </row>
    <row r="32" spans="1:19" ht="13.5" thickBot="1">
      <c r="A32" s="101">
        <v>25</v>
      </c>
      <c r="B32" t="s">
        <v>214</v>
      </c>
      <c r="E32" s="250">
        <f>SUM(E30:E31)</f>
        <v>2717.8269999999998</v>
      </c>
      <c r="F32" s="49"/>
      <c r="G32" s="250">
        <f>SUM(G30:G31)</f>
        <v>1358.9134999999999</v>
      </c>
      <c r="H32" s="250">
        <f>SUM(H30:H31)</f>
        <v>1262.7543050000002</v>
      </c>
      <c r="I32" s="54">
        <f>SUM(I30:I31)</f>
        <v>2621.6678050000005</v>
      </c>
    </row>
    <row r="33" spans="1:9">
      <c r="A33" s="101">
        <v>26</v>
      </c>
      <c r="B33" t="str">
        <f>B9</f>
        <v xml:space="preserve">     WASHINGTON</v>
      </c>
      <c r="I33" s="251">
        <f>E9</f>
        <v>13357.886699310237</v>
      </c>
    </row>
    <row r="34" spans="1:9">
      <c r="A34" s="101">
        <v>27</v>
      </c>
      <c r="B34" t="str">
        <f>B11</f>
        <v xml:space="preserve">     IDAHO</v>
      </c>
      <c r="I34" s="251">
        <f>E11</f>
        <v>5675.1669887565686</v>
      </c>
    </row>
    <row r="35" spans="1:9">
      <c r="A35" s="101">
        <v>28</v>
      </c>
      <c r="B35" t="str">
        <f>B12</f>
        <v xml:space="preserve">     MONTANA</v>
      </c>
      <c r="I35" s="251">
        <f>E12</f>
        <v>9750.9988719237135</v>
      </c>
    </row>
    <row r="36" spans="1:9" ht="13.5" thickBot="1">
      <c r="A36" s="101">
        <v>29</v>
      </c>
      <c r="C36" t="s">
        <v>465</v>
      </c>
      <c r="I36" s="250">
        <f>SUM(I32:I35)</f>
        <v>31405.72036499052</v>
      </c>
    </row>
    <row r="37" spans="1:9">
      <c r="A37" s="101">
        <v>30</v>
      </c>
    </row>
    <row r="38" spans="1:9">
      <c r="A38" s="101">
        <v>31</v>
      </c>
    </row>
    <row r="39" spans="1:9" ht="25.5">
      <c r="A39" s="101">
        <v>32</v>
      </c>
      <c r="B39" s="248"/>
      <c r="C39" s="248"/>
      <c r="D39" s="248"/>
      <c r="E39" s="249" t="s">
        <v>215</v>
      </c>
      <c r="F39" s="249"/>
      <c r="G39" s="249" t="s">
        <v>216</v>
      </c>
      <c r="H39" s="249" t="s">
        <v>217</v>
      </c>
      <c r="I39" s="249" t="s">
        <v>218</v>
      </c>
    </row>
    <row r="40" spans="1:9">
      <c r="A40" s="101">
        <v>33</v>
      </c>
      <c r="B40" s="228" t="s">
        <v>195</v>
      </c>
      <c r="E40" s="49">
        <f>I13</f>
        <v>11</v>
      </c>
      <c r="F40" s="49"/>
      <c r="G40" s="49">
        <f>E40*0.5</f>
        <v>5.5</v>
      </c>
      <c r="H40" s="49">
        <f>M13*0.5</f>
        <v>5.5</v>
      </c>
      <c r="I40" s="49">
        <f>SUM(G40:H40)</f>
        <v>11</v>
      </c>
    </row>
    <row r="41" spans="1:9">
      <c r="A41" s="101">
        <v>34</v>
      </c>
      <c r="B41" s="228" t="s">
        <v>196</v>
      </c>
      <c r="E41" s="49">
        <f>I14</f>
        <v>2573</v>
      </c>
      <c r="F41" s="49"/>
      <c r="G41" s="49">
        <f>E41*0.5</f>
        <v>1286.5</v>
      </c>
      <c r="H41" s="49">
        <f>M14*0.5</f>
        <v>1286.5</v>
      </c>
      <c r="I41" s="49">
        <f>SUM(G41:H41)</f>
        <v>2573</v>
      </c>
    </row>
    <row r="42" spans="1:9" ht="13.5" thickBot="1">
      <c r="A42" s="101">
        <v>35</v>
      </c>
      <c r="B42" t="s">
        <v>214</v>
      </c>
      <c r="E42" s="250">
        <f>SUM(E40:E41)</f>
        <v>2584</v>
      </c>
      <c r="F42" s="49"/>
      <c r="G42" s="250">
        <f>SUM(G40:G41)</f>
        <v>1292</v>
      </c>
      <c r="H42" s="250">
        <f>SUM(H40:H41)</f>
        <v>1292</v>
      </c>
      <c r="I42" s="54">
        <f>SUM(I40:I41)</f>
        <v>2584</v>
      </c>
    </row>
    <row r="43" spans="1:9">
      <c r="A43" s="101">
        <v>36</v>
      </c>
      <c r="B43" t="str">
        <f>B33</f>
        <v xml:space="preserve">     WASHINGTON</v>
      </c>
      <c r="I43" s="251">
        <f>M9</f>
        <v>15000</v>
      </c>
    </row>
    <row r="44" spans="1:9">
      <c r="A44" s="101">
        <v>37</v>
      </c>
      <c r="B44" t="str">
        <f t="shared" ref="B44:B45" si="16">B34</f>
        <v xml:space="preserve">     IDAHO</v>
      </c>
      <c r="I44" s="251">
        <f>M11</f>
        <v>6424</v>
      </c>
    </row>
    <row r="45" spans="1:9">
      <c r="A45" s="101">
        <v>38</v>
      </c>
      <c r="B45" t="str">
        <f t="shared" si="16"/>
        <v xml:space="preserve">     MONTANA</v>
      </c>
      <c r="I45" s="251">
        <f>M12</f>
        <v>11078</v>
      </c>
    </row>
    <row r="46" spans="1:9" ht="13.5" thickBot="1">
      <c r="A46" s="101">
        <v>39</v>
      </c>
      <c r="C46" t="s">
        <v>219</v>
      </c>
      <c r="I46" s="250">
        <f>SUM(I42:I45)</f>
        <v>35086</v>
      </c>
    </row>
    <row r="47" spans="1:9">
      <c r="A47" s="101">
        <v>40</v>
      </c>
    </row>
    <row r="48" spans="1:9">
      <c r="A48" s="101">
        <v>41</v>
      </c>
    </row>
    <row r="49" spans="1:9" ht="25.5">
      <c r="A49" s="101">
        <v>42</v>
      </c>
      <c r="B49" s="248"/>
      <c r="C49" s="248"/>
      <c r="D49" s="248"/>
      <c r="E49" s="249" t="s">
        <v>220</v>
      </c>
      <c r="F49" s="249"/>
      <c r="G49" s="249" t="s">
        <v>221</v>
      </c>
      <c r="H49" s="249" t="s">
        <v>222</v>
      </c>
      <c r="I49" s="249" t="s">
        <v>223</v>
      </c>
    </row>
    <row r="50" spans="1:9">
      <c r="A50" s="101">
        <v>43</v>
      </c>
      <c r="B50" s="228" t="s">
        <v>195</v>
      </c>
      <c r="E50" s="49">
        <f>M13</f>
        <v>11</v>
      </c>
      <c r="F50" s="49"/>
      <c r="G50" s="49">
        <f>E50*0.5</f>
        <v>5.5</v>
      </c>
      <c r="H50" s="49">
        <f>Q13*0.5</f>
        <v>5.5</v>
      </c>
      <c r="I50" s="49">
        <f>SUM(G50:H50)</f>
        <v>11</v>
      </c>
    </row>
    <row r="51" spans="1:9">
      <c r="A51" s="101">
        <v>44</v>
      </c>
      <c r="B51" s="228" t="s">
        <v>196</v>
      </c>
      <c r="E51" s="49">
        <f>M14</f>
        <v>2573</v>
      </c>
      <c r="F51" s="49"/>
      <c r="G51" s="49">
        <f>E51*0.5</f>
        <v>1286.5</v>
      </c>
      <c r="H51" s="49">
        <f>Q14*0.5</f>
        <v>1286.5</v>
      </c>
      <c r="I51" s="49">
        <f>SUM(G51:H51)</f>
        <v>2573</v>
      </c>
    </row>
    <row r="52" spans="1:9" ht="13.5" thickBot="1">
      <c r="A52" s="101">
        <v>45</v>
      </c>
      <c r="B52" t="s">
        <v>214</v>
      </c>
      <c r="E52" s="250">
        <f>SUM(E50:E51)</f>
        <v>2584</v>
      </c>
      <c r="F52" s="49"/>
      <c r="G52" s="250">
        <f>SUM(G50:G51)</f>
        <v>1292</v>
      </c>
      <c r="H52" s="250">
        <f>SUM(H50:H51)</f>
        <v>1292</v>
      </c>
      <c r="I52" s="54">
        <f>SUM(I50:I51)</f>
        <v>2584</v>
      </c>
    </row>
    <row r="53" spans="1:9">
      <c r="A53" s="101">
        <v>46</v>
      </c>
      <c r="B53" t="str">
        <f>B43</f>
        <v xml:space="preserve">     WASHINGTON</v>
      </c>
      <c r="I53" s="251">
        <f>Q9</f>
        <v>15811</v>
      </c>
    </row>
    <row r="54" spans="1:9">
      <c r="A54" s="101">
        <v>47</v>
      </c>
      <c r="B54" t="str">
        <f t="shared" ref="B54:B55" si="17">B44</f>
        <v xml:space="preserve">     IDAHO</v>
      </c>
      <c r="I54" s="251">
        <f>Q11</f>
        <v>6793</v>
      </c>
    </row>
    <row r="55" spans="1:9">
      <c r="A55" s="101">
        <v>48</v>
      </c>
      <c r="B55" t="str">
        <f t="shared" si="17"/>
        <v xml:space="preserve">     MONTANA</v>
      </c>
      <c r="I55" s="251">
        <f>Q12</f>
        <v>11729</v>
      </c>
    </row>
    <row r="56" spans="1:9" ht="13.5" thickBot="1">
      <c r="A56" s="101">
        <v>49</v>
      </c>
      <c r="C56" t="s">
        <v>224</v>
      </c>
      <c r="I56" s="250">
        <f>SUM(I52:I55)</f>
        <v>36917</v>
      </c>
    </row>
  </sheetData>
  <mergeCells count="1">
    <mergeCell ref="R29:S30"/>
  </mergeCells>
  <pageMargins left="0.37" right="0.4" top="0.68" bottom="0.35" header="0.26" footer="0.17"/>
  <pageSetup scale="60" orientation="landscape" r:id="rId1"/>
  <headerFooter>
    <oddHeader>&amp;RExh AIW-2
Dockets UE-170485 / UG-170486
Page &amp;P of &amp;N</oddHeader>
  </headerFooter>
  <colBreaks count="1" manualBreakCount="1">
    <brk id="19" max="55" man="1"/>
  </colBreaks>
  <drawing r:id="rId2"/>
  <legacyDrawing r:id="rId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7"/>
  <sheetViews>
    <sheetView workbookViewId="0"/>
  </sheetViews>
  <sheetFormatPr defaultRowHeight="12.75"/>
  <sheetData>
    <row r="1" spans="1:9">
      <c r="A1" t="s">
        <v>0</v>
      </c>
      <c r="B1" t="s">
        <v>10</v>
      </c>
      <c r="C1" t="s">
        <v>19</v>
      </c>
      <c r="D1" t="s">
        <v>28</v>
      </c>
      <c r="E1" t="s">
        <v>37</v>
      </c>
      <c r="F1" t="s">
        <v>46</v>
      </c>
      <c r="G1" t="s">
        <v>55</v>
      </c>
      <c r="H1" t="s">
        <v>64</v>
      </c>
      <c r="I1" t="s">
        <v>73</v>
      </c>
    </row>
    <row r="8" spans="1:9">
      <c r="A8" t="s">
        <v>1</v>
      </c>
      <c r="B8" t="s">
        <v>11</v>
      </c>
      <c r="C8" t="s">
        <v>20</v>
      </c>
      <c r="D8" t="s">
        <v>29</v>
      </c>
      <c r="E8" t="s">
        <v>38</v>
      </c>
      <c r="F8" t="s">
        <v>47</v>
      </c>
      <c r="G8" t="s">
        <v>56</v>
      </c>
      <c r="H8" t="s">
        <v>65</v>
      </c>
    </row>
    <row r="15" spans="1:9">
      <c r="A15" t="s">
        <v>2</v>
      </c>
      <c r="B15" t="s">
        <v>12</v>
      </c>
      <c r="C15" t="s">
        <v>21</v>
      </c>
      <c r="D15" t="s">
        <v>30</v>
      </c>
      <c r="E15" t="s">
        <v>39</v>
      </c>
      <c r="F15" t="s">
        <v>48</v>
      </c>
      <c r="G15" t="s">
        <v>57</v>
      </c>
      <c r="H15" t="s">
        <v>66</v>
      </c>
    </row>
    <row r="22" spans="1:8">
      <c r="A22" t="s">
        <v>3</v>
      </c>
      <c r="B22" t="s">
        <v>13</v>
      </c>
      <c r="C22" t="s">
        <v>22</v>
      </c>
      <c r="D22" t="s">
        <v>31</v>
      </c>
      <c r="E22" t="s">
        <v>40</v>
      </c>
      <c r="F22" t="s">
        <v>49</v>
      </c>
      <c r="G22" t="s">
        <v>58</v>
      </c>
      <c r="H22" t="s">
        <v>67</v>
      </c>
    </row>
    <row r="29" spans="1:8">
      <c r="A29" t="s">
        <v>4</v>
      </c>
      <c r="B29" t="s">
        <v>14</v>
      </c>
      <c r="C29" t="s">
        <v>23</v>
      </c>
      <c r="D29" t="s">
        <v>32</v>
      </c>
      <c r="E29" t="s">
        <v>41</v>
      </c>
      <c r="F29" t="s">
        <v>50</v>
      </c>
      <c r="G29" t="s">
        <v>59</v>
      </c>
      <c r="H29" t="s">
        <v>68</v>
      </c>
    </row>
    <row r="36" spans="1:8">
      <c r="A36" t="s">
        <v>5</v>
      </c>
      <c r="B36" t="s">
        <v>15</v>
      </c>
      <c r="C36" t="s">
        <v>24</v>
      </c>
      <c r="D36" t="s">
        <v>33</v>
      </c>
      <c r="E36" t="s">
        <v>42</v>
      </c>
      <c r="F36" t="s">
        <v>51</v>
      </c>
      <c r="G36" t="s">
        <v>60</v>
      </c>
      <c r="H36" t="s">
        <v>69</v>
      </c>
    </row>
    <row r="43" spans="1:8">
      <c r="A43" t="s">
        <v>6</v>
      </c>
      <c r="B43" t="s">
        <v>16</v>
      </c>
      <c r="C43" t="s">
        <v>25</v>
      </c>
      <c r="D43" t="s">
        <v>34</v>
      </c>
      <c r="E43" t="s">
        <v>43</v>
      </c>
      <c r="F43" t="s">
        <v>52</v>
      </c>
      <c r="G43" t="s">
        <v>61</v>
      </c>
      <c r="H43" t="s">
        <v>70</v>
      </c>
    </row>
    <row r="50" spans="1:8">
      <c r="A50" t="s">
        <v>7</v>
      </c>
      <c r="B50" t="s">
        <v>17</v>
      </c>
      <c r="C50" t="s">
        <v>26</v>
      </c>
      <c r="D50" t="s">
        <v>35</v>
      </c>
      <c r="E50" t="s">
        <v>44</v>
      </c>
      <c r="F50" t="s">
        <v>53</v>
      </c>
      <c r="G50" t="s">
        <v>62</v>
      </c>
      <c r="H50" t="s">
        <v>71</v>
      </c>
    </row>
    <row r="57" spans="1:8">
      <c r="A57" t="s">
        <v>8</v>
      </c>
      <c r="B57" t="s">
        <v>18</v>
      </c>
      <c r="C57" t="s">
        <v>27</v>
      </c>
      <c r="D57" t="s">
        <v>36</v>
      </c>
      <c r="E57" t="s">
        <v>45</v>
      </c>
      <c r="F57" t="s">
        <v>54</v>
      </c>
      <c r="G57" t="s">
        <v>63</v>
      </c>
      <c r="H57" t="s">
        <v>72</v>
      </c>
    </row>
    <row r="85" spans="3:8">
      <c r="D85" t="s">
        <v>9</v>
      </c>
    </row>
    <row r="87" spans="3:8">
      <c r="C87" t="s">
        <v>9</v>
      </c>
    </row>
    <row r="89" spans="3:8">
      <c r="E89" t="s">
        <v>9</v>
      </c>
      <c r="G89" t="s">
        <v>9</v>
      </c>
      <c r="H89" t="s">
        <v>9</v>
      </c>
    </row>
    <row r="95" spans="3:8">
      <c r="F95" t="s">
        <v>9</v>
      </c>
    </row>
    <row r="97" spans="1:2">
      <c r="A97" t="s">
        <v>9</v>
      </c>
      <c r="B97" t="s">
        <v>9</v>
      </c>
    </row>
  </sheetData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101"/>
  <sheetViews>
    <sheetView workbookViewId="0">
      <selection activeCell="F55" sqref="F55"/>
    </sheetView>
  </sheetViews>
  <sheetFormatPr defaultColWidth="10.7109375" defaultRowHeight="12.75"/>
  <cols>
    <col min="1" max="1" width="5.7109375" style="749" customWidth="1"/>
    <col min="2" max="3" width="1.7109375" style="750" customWidth="1"/>
    <col min="4" max="4" width="34.42578125" style="750" customWidth="1"/>
    <col min="5" max="5" width="10.5703125" style="751" hidden="1" customWidth="1"/>
    <col min="6" max="6" width="7.7109375" style="751" bestFit="1" customWidth="1"/>
    <col min="7" max="7" width="10.85546875" bestFit="1" customWidth="1"/>
    <col min="8" max="8" width="9.28515625" bestFit="1" customWidth="1"/>
    <col min="9" max="9" width="7.85546875" bestFit="1" customWidth="1"/>
    <col min="10" max="10" width="7.140625" bestFit="1" customWidth="1"/>
    <col min="11" max="11" width="10.5703125" bestFit="1" customWidth="1"/>
    <col min="12" max="12" width="7.42578125" customWidth="1"/>
    <col min="13" max="13" width="8.140625" bestFit="1" customWidth="1"/>
    <col min="14" max="14" width="13.42578125" customWidth="1"/>
    <col min="15" max="15" width="9.85546875" bestFit="1" customWidth="1"/>
    <col min="16" max="16" width="16.5703125" customWidth="1"/>
    <col min="17" max="17" width="9.140625" customWidth="1"/>
    <col min="18" max="18" width="8.5703125" bestFit="1" customWidth="1"/>
    <col min="19" max="19" width="8.140625" customWidth="1"/>
    <col min="20" max="20" width="8.5703125" bestFit="1" customWidth="1"/>
    <col min="21" max="21" width="16.7109375" customWidth="1"/>
    <col min="22" max="23" width="10" customWidth="1"/>
    <col min="24" max="24" width="12.5703125" customWidth="1"/>
    <col min="25" max="25" width="10" customWidth="1"/>
    <col min="26" max="26" width="12.140625" customWidth="1"/>
    <col min="27" max="27" width="11.28515625" customWidth="1"/>
    <col min="28" max="28" width="13.85546875" customWidth="1"/>
    <col min="29" max="29" width="14.7109375" customWidth="1"/>
    <col min="30" max="30" width="14.5703125" customWidth="1"/>
    <col min="31" max="31" width="8.85546875" bestFit="1" customWidth="1"/>
    <col min="32" max="32" width="11" bestFit="1" customWidth="1"/>
    <col min="33" max="33" width="11.42578125" bestFit="1" customWidth="1"/>
    <col min="34" max="34" width="12.7109375" customWidth="1"/>
    <col min="39" max="16384" width="10.7109375" style="750"/>
  </cols>
  <sheetData>
    <row r="1" spans="1:38">
      <c r="F1" s="676"/>
    </row>
    <row r="2" spans="1:38" ht="12.75" customHeight="1">
      <c r="A2" s="752" t="s">
        <v>473</v>
      </c>
      <c r="F2" s="750"/>
    </row>
    <row r="3" spans="1:38" ht="12.75" customHeight="1">
      <c r="A3" s="752" t="s">
        <v>440</v>
      </c>
      <c r="E3" s="754" t="s">
        <v>303</v>
      </c>
      <c r="F3" s="687"/>
    </row>
    <row r="4" spans="1:38" ht="12.75" customHeight="1">
      <c r="A4" s="752" t="s">
        <v>305</v>
      </c>
      <c r="E4" s="754" t="s">
        <v>304</v>
      </c>
      <c r="F4" s="755"/>
    </row>
    <row r="5" spans="1:38" s="757" customFormat="1" ht="12" customHeight="1">
      <c r="A5" s="752" t="s">
        <v>474</v>
      </c>
      <c r="B5" s="749"/>
      <c r="C5" s="749"/>
      <c r="D5" s="749"/>
      <c r="E5" s="756"/>
      <c r="F5" s="75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</row>
    <row r="6" spans="1:38" ht="12.75" customHeight="1">
      <c r="E6" s="686"/>
      <c r="F6" s="758"/>
    </row>
    <row r="7" spans="1:38" s="761" customFormat="1" ht="13.5" customHeight="1">
      <c r="A7" s="760"/>
      <c r="D7" s="762"/>
      <c r="E7" s="762"/>
      <c r="F7" s="763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</row>
    <row r="8" spans="1:38" s="761" customFormat="1" ht="12" customHeight="1">
      <c r="A8" s="765"/>
      <c r="B8" s="766"/>
      <c r="C8" s="767"/>
      <c r="D8" s="768"/>
      <c r="E8" s="769" t="s">
        <v>374</v>
      </c>
      <c r="F8" s="770" t="s">
        <v>307</v>
      </c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</row>
    <row r="9" spans="1:38" s="761" customFormat="1">
      <c r="A9" s="771" t="s">
        <v>310</v>
      </c>
      <c r="B9" s="772"/>
      <c r="C9" s="773"/>
      <c r="D9" s="774"/>
      <c r="E9" s="684" t="s">
        <v>375</v>
      </c>
      <c r="F9" s="775" t="s">
        <v>312</v>
      </c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</row>
    <row r="10" spans="1:38" s="761" customFormat="1">
      <c r="A10" s="776" t="s">
        <v>313</v>
      </c>
      <c r="B10" s="777"/>
      <c r="C10" s="778"/>
      <c r="D10" s="779" t="s">
        <v>314</v>
      </c>
      <c r="E10" s="780" t="s">
        <v>376</v>
      </c>
      <c r="F10" s="781" t="s">
        <v>317</v>
      </c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</row>
    <row r="11" spans="1:38" s="761" customFormat="1">
      <c r="A11" s="760"/>
      <c r="B11" s="782" t="s">
        <v>377</v>
      </c>
      <c r="E11" s="783">
        <v>1</v>
      </c>
      <c r="F11" s="783">
        <v>2.02</v>
      </c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</row>
    <row r="12" spans="1:38" s="761" customFormat="1" ht="13.5" customHeight="1">
      <c r="A12" s="760"/>
      <c r="B12" s="782" t="s">
        <v>319</v>
      </c>
      <c r="E12" s="686" t="s">
        <v>378</v>
      </c>
      <c r="F12" s="686" t="s">
        <v>379</v>
      </c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</row>
    <row r="13" spans="1:38" ht="6" customHeight="1"/>
    <row r="14" spans="1:38">
      <c r="B14" s="750" t="s">
        <v>381</v>
      </c>
    </row>
    <row r="15" spans="1:38" s="786" customFormat="1">
      <c r="A15" s="749">
        <v>1</v>
      </c>
      <c r="B15" s="786" t="s">
        <v>382</v>
      </c>
      <c r="E15" s="787">
        <v>146098</v>
      </c>
      <c r="F15" s="788">
        <v>0</v>
      </c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</row>
    <row r="16" spans="1:38">
      <c r="A16" s="749">
        <v>2</v>
      </c>
      <c r="B16" s="789" t="s">
        <v>383</v>
      </c>
      <c r="D16" s="789"/>
      <c r="E16" s="790">
        <v>4595</v>
      </c>
      <c r="F16" s="791">
        <v>0</v>
      </c>
    </row>
    <row r="17" spans="1:6">
      <c r="A17" s="749">
        <v>3</v>
      </c>
      <c r="B17" s="789" t="s">
        <v>384</v>
      </c>
      <c r="D17" s="789"/>
      <c r="E17" s="793">
        <v>69723</v>
      </c>
      <c r="F17" s="794">
        <v>0</v>
      </c>
    </row>
    <row r="18" spans="1:6">
      <c r="A18" s="749">
        <v>4</v>
      </c>
      <c r="B18" s="750" t="s">
        <v>385</v>
      </c>
      <c r="C18" s="789"/>
      <c r="D18" s="789"/>
      <c r="E18" s="790">
        <v>220416</v>
      </c>
      <c r="F18" s="790">
        <f>SUM(F15:F17)</f>
        <v>0</v>
      </c>
    </row>
    <row r="19" spans="1:6">
      <c r="C19" s="789"/>
      <c r="D19" s="789"/>
      <c r="E19" s="790"/>
      <c r="F19" s="791"/>
    </row>
    <row r="20" spans="1:6">
      <c r="B20" s="750" t="s">
        <v>386</v>
      </c>
      <c r="C20" s="789"/>
      <c r="D20" s="789"/>
      <c r="E20" s="790"/>
      <c r="F20" s="791"/>
    </row>
    <row r="21" spans="1:6">
      <c r="B21" s="789" t="s">
        <v>387</v>
      </c>
      <c r="D21" s="789"/>
      <c r="E21" s="790"/>
      <c r="F21" s="791"/>
    </row>
    <row r="22" spans="1:6">
      <c r="A22" s="749">
        <v>5</v>
      </c>
      <c r="C22" s="789" t="s">
        <v>388</v>
      </c>
      <c r="D22" s="789"/>
      <c r="E22" s="790">
        <v>112605</v>
      </c>
      <c r="F22" s="791">
        <v>0</v>
      </c>
    </row>
    <row r="23" spans="1:6">
      <c r="A23" s="749">
        <v>6</v>
      </c>
      <c r="C23" s="789" t="s">
        <v>389</v>
      </c>
      <c r="D23" s="789"/>
      <c r="E23" s="790">
        <v>988</v>
      </c>
      <c r="F23" s="791">
        <v>0</v>
      </c>
    </row>
    <row r="24" spans="1:6">
      <c r="A24" s="749">
        <v>7</v>
      </c>
      <c r="C24" s="789" t="s">
        <v>390</v>
      </c>
      <c r="D24" s="789"/>
      <c r="E24" s="793">
        <v>2932</v>
      </c>
      <c r="F24" s="794">
        <v>0</v>
      </c>
    </row>
    <row r="25" spans="1:6">
      <c r="A25" s="749">
        <v>8</v>
      </c>
      <c r="B25" s="789" t="s">
        <v>391</v>
      </c>
      <c r="C25" s="789"/>
      <c r="E25" s="795">
        <v>116525</v>
      </c>
      <c r="F25" s="795">
        <f>SUM(F22:F24)</f>
        <v>0</v>
      </c>
    </row>
    <row r="26" spans="1:6">
      <c r="B26" s="789"/>
      <c r="C26" s="789"/>
      <c r="E26" s="790"/>
      <c r="F26" s="790"/>
    </row>
    <row r="27" spans="1:6">
      <c r="B27" s="789" t="s">
        <v>392</v>
      </c>
      <c r="D27" s="789"/>
      <c r="E27" s="790"/>
      <c r="F27" s="791"/>
    </row>
    <row r="28" spans="1:6">
      <c r="A28" s="749">
        <v>9</v>
      </c>
      <c r="C28" s="789" t="s">
        <v>393</v>
      </c>
      <c r="D28" s="789"/>
      <c r="E28" s="790">
        <v>974</v>
      </c>
      <c r="F28" s="791">
        <v>0</v>
      </c>
    </row>
    <row r="29" spans="1:6">
      <c r="A29" s="749">
        <v>10</v>
      </c>
      <c r="C29" s="789" t="s">
        <v>339</v>
      </c>
      <c r="D29" s="789"/>
      <c r="E29" s="790">
        <v>492</v>
      </c>
      <c r="F29" s="791">
        <v>0</v>
      </c>
    </row>
    <row r="30" spans="1:6">
      <c r="A30" s="749">
        <v>11</v>
      </c>
      <c r="C30" s="789" t="s">
        <v>316</v>
      </c>
      <c r="D30" s="789"/>
      <c r="E30" s="793">
        <v>210</v>
      </c>
      <c r="F30" s="794">
        <v>0</v>
      </c>
    </row>
    <row r="31" spans="1:6">
      <c r="A31" s="749">
        <v>12</v>
      </c>
      <c r="B31" s="789" t="s">
        <v>394</v>
      </c>
      <c r="C31" s="789"/>
      <c r="E31" s="790">
        <v>1676</v>
      </c>
      <c r="F31" s="795">
        <f>SUM(F28:F30)</f>
        <v>0</v>
      </c>
    </row>
    <row r="32" spans="1:6">
      <c r="B32" s="789"/>
      <c r="C32" s="789"/>
      <c r="E32" s="790"/>
      <c r="F32" s="795"/>
    </row>
    <row r="33" spans="1:6">
      <c r="B33" s="789" t="s">
        <v>395</v>
      </c>
      <c r="D33" s="789"/>
      <c r="E33" s="790"/>
      <c r="F33" s="791"/>
    </row>
    <row r="34" spans="1:6">
      <c r="A34" s="749">
        <v>13</v>
      </c>
      <c r="C34" s="789" t="s">
        <v>393</v>
      </c>
      <c r="D34" s="789"/>
      <c r="E34" s="790">
        <v>12049</v>
      </c>
      <c r="F34" s="791">
        <v>0</v>
      </c>
    </row>
    <row r="35" spans="1:6" ht="15.75" customHeight="1">
      <c r="A35" s="749">
        <v>14</v>
      </c>
      <c r="C35" s="789" t="s">
        <v>339</v>
      </c>
      <c r="D35" s="789"/>
      <c r="E35" s="795">
        <v>9866</v>
      </c>
      <c r="F35" s="791">
        <v>0</v>
      </c>
    </row>
    <row r="36" spans="1:6">
      <c r="A36" s="749">
        <v>15</v>
      </c>
      <c r="C36" s="789" t="s">
        <v>316</v>
      </c>
      <c r="D36" s="789"/>
      <c r="E36" s="793">
        <v>12807</v>
      </c>
      <c r="F36" s="794">
        <f>+'Gas 2.02Restate 3.06Proforma'!I40/1000</f>
        <v>258.72645660439179</v>
      </c>
    </row>
    <row r="37" spans="1:6" ht="12.95" customHeight="1">
      <c r="A37" s="749">
        <v>16</v>
      </c>
      <c r="B37" s="789" t="s">
        <v>396</v>
      </c>
      <c r="C37" s="789"/>
      <c r="E37" s="790">
        <v>34722</v>
      </c>
      <c r="F37" s="795">
        <f>SUM(F34:F36)</f>
        <v>258.72645660439179</v>
      </c>
    </row>
    <row r="38" spans="1:6" ht="12.95" customHeight="1">
      <c r="C38" s="789"/>
      <c r="D38" s="789"/>
      <c r="E38" s="790"/>
      <c r="F38" s="795"/>
    </row>
    <row r="39" spans="1:6" ht="12.95" customHeight="1">
      <c r="A39" s="749">
        <v>17</v>
      </c>
      <c r="B39" s="750" t="s">
        <v>397</v>
      </c>
      <c r="C39" s="789"/>
      <c r="D39" s="789"/>
      <c r="E39" s="790">
        <v>7352</v>
      </c>
      <c r="F39" s="792"/>
    </row>
    <row r="40" spans="1:6">
      <c r="A40" s="749">
        <v>18</v>
      </c>
      <c r="B40" s="750" t="s">
        <v>398</v>
      </c>
      <c r="C40" s="789"/>
      <c r="D40" s="789"/>
      <c r="E40" s="790">
        <v>7595</v>
      </c>
      <c r="F40" s="791">
        <v>0</v>
      </c>
    </row>
    <row r="41" spans="1:6">
      <c r="A41" s="749">
        <v>19</v>
      </c>
      <c r="B41" s="750" t="s">
        <v>399</v>
      </c>
      <c r="C41" s="789"/>
      <c r="D41" s="789"/>
      <c r="E41" s="790">
        <v>0</v>
      </c>
      <c r="F41" s="791">
        <v>0</v>
      </c>
    </row>
    <row r="42" spans="1:6">
      <c r="C42" s="789"/>
      <c r="D42" s="789"/>
      <c r="E42" s="790"/>
      <c r="F42" s="791"/>
    </row>
    <row r="43" spans="1:6">
      <c r="B43" s="750" t="s">
        <v>400</v>
      </c>
      <c r="C43" s="789"/>
      <c r="D43" s="789"/>
      <c r="E43" s="790"/>
      <c r="F43" s="791"/>
    </row>
    <row r="44" spans="1:6">
      <c r="A44" s="749">
        <v>20</v>
      </c>
      <c r="C44" s="789" t="s">
        <v>393</v>
      </c>
      <c r="D44" s="789"/>
      <c r="E44" s="790">
        <v>13763</v>
      </c>
      <c r="F44" s="791">
        <v>0</v>
      </c>
    </row>
    <row r="45" spans="1:6">
      <c r="A45" s="749">
        <v>21</v>
      </c>
      <c r="C45" s="789" t="s">
        <v>339</v>
      </c>
      <c r="D45" s="789"/>
      <c r="E45" s="790">
        <v>6260</v>
      </c>
      <c r="F45" s="791">
        <v>0</v>
      </c>
    </row>
    <row r="46" spans="1:6">
      <c r="A46" s="749">
        <v>22</v>
      </c>
      <c r="C46" s="796" t="s">
        <v>401</v>
      </c>
      <c r="D46" s="789"/>
      <c r="E46" s="790">
        <v>0</v>
      </c>
      <c r="F46" s="791"/>
    </row>
    <row r="47" spans="1:6">
      <c r="A47" s="749">
        <v>23</v>
      </c>
      <c r="C47" s="789" t="s">
        <v>316</v>
      </c>
      <c r="D47" s="789"/>
      <c r="E47" s="793">
        <v>0</v>
      </c>
      <c r="F47" s="794">
        <v>0</v>
      </c>
    </row>
    <row r="48" spans="1:6">
      <c r="A48" s="749">
        <v>24</v>
      </c>
      <c r="B48" s="789" t="s">
        <v>402</v>
      </c>
      <c r="C48" s="789"/>
      <c r="E48" s="793">
        <v>20023</v>
      </c>
      <c r="F48" s="793">
        <f>SUM(F44:F47)</f>
        <v>0</v>
      </c>
    </row>
    <row r="49" spans="1:38" ht="19.5" customHeight="1">
      <c r="A49" s="749">
        <v>25</v>
      </c>
      <c r="B49" s="750" t="s">
        <v>403</v>
      </c>
      <c r="C49" s="789"/>
      <c r="D49" s="789"/>
      <c r="E49" s="793">
        <v>187893</v>
      </c>
      <c r="F49" s="793">
        <f>F21+F25+F31+F37+F39+F40+F41+F48</f>
        <v>258.72645660439179</v>
      </c>
    </row>
    <row r="50" spans="1:38" ht="9" customHeight="1">
      <c r="C50" s="789"/>
      <c r="D50" s="789"/>
      <c r="E50" s="790"/>
      <c r="F50" s="790"/>
    </row>
    <row r="51" spans="1:38" ht="12.95" customHeight="1">
      <c r="A51" s="749">
        <v>26</v>
      </c>
      <c r="B51" s="750" t="s">
        <v>404</v>
      </c>
      <c r="C51" s="789"/>
      <c r="D51" s="789"/>
      <c r="E51" s="790">
        <v>32523</v>
      </c>
      <c r="F51" s="790">
        <f>F18-F49</f>
        <v>-258.72645660439179</v>
      </c>
    </row>
    <row r="52" spans="1:38" ht="12.95" customHeight="1">
      <c r="C52" s="789"/>
      <c r="D52" s="789"/>
      <c r="E52" s="790"/>
      <c r="F52" s="790"/>
    </row>
    <row r="53" spans="1:38" ht="12.95" customHeight="1">
      <c r="B53" s="750" t="s">
        <v>405</v>
      </c>
      <c r="C53" s="789"/>
      <c r="D53" s="789"/>
      <c r="E53" s="790"/>
      <c r="F53" s="791"/>
    </row>
    <row r="54" spans="1:38">
      <c r="A54" s="749">
        <v>27</v>
      </c>
      <c r="B54" s="789" t="s">
        <v>406</v>
      </c>
      <c r="D54" s="789"/>
      <c r="E54" s="790">
        <v>-841</v>
      </c>
      <c r="F54" s="791">
        <f>F51*0.35</f>
        <v>-90.554259811537122</v>
      </c>
    </row>
    <row r="55" spans="1:38">
      <c r="A55" s="749">
        <v>28</v>
      </c>
      <c r="B55" s="789" t="s">
        <v>350</v>
      </c>
      <c r="D55" s="789"/>
      <c r="E55" s="790">
        <v>0</v>
      </c>
      <c r="F55" s="791">
        <v>0</v>
      </c>
    </row>
    <row r="56" spans="1:38">
      <c r="A56" s="749">
        <v>29</v>
      </c>
      <c r="B56" s="789" t="s">
        <v>407</v>
      </c>
      <c r="D56" s="789"/>
      <c r="E56" s="790">
        <v>9923</v>
      </c>
      <c r="F56" s="791">
        <v>0</v>
      </c>
    </row>
    <row r="57" spans="1:38">
      <c r="A57" s="749">
        <v>30</v>
      </c>
      <c r="B57" s="789" t="s">
        <v>408</v>
      </c>
      <c r="D57" s="789"/>
      <c r="E57" s="793">
        <v>-17</v>
      </c>
      <c r="F57" s="794">
        <v>0</v>
      </c>
    </row>
    <row r="58" spans="1:38">
      <c r="E58" s="790"/>
      <c r="F58" s="790"/>
    </row>
    <row r="59" spans="1:38" s="786" customFormat="1" ht="13.5" thickBot="1">
      <c r="A59" s="749">
        <v>31</v>
      </c>
      <c r="B59" s="786" t="s">
        <v>409</v>
      </c>
      <c r="E59" s="797">
        <v>23458</v>
      </c>
      <c r="F59" s="797">
        <f>F51-SUM(F54:F57)</f>
        <v>-168.17219679285466</v>
      </c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</row>
    <row r="60" spans="1:38" ht="6" customHeight="1" thickTop="1">
      <c r="E60" s="790"/>
      <c r="F60" s="790"/>
    </row>
    <row r="61" spans="1:38">
      <c r="B61" s="750" t="s">
        <v>410</v>
      </c>
      <c r="E61" s="790"/>
      <c r="F61" s="790"/>
    </row>
    <row r="62" spans="1:38">
      <c r="B62" s="750" t="s">
        <v>411</v>
      </c>
      <c r="E62" s="790"/>
      <c r="F62" s="791"/>
    </row>
    <row r="63" spans="1:38">
      <c r="A63" s="749">
        <v>32</v>
      </c>
      <c r="B63" s="789"/>
      <c r="C63" s="789" t="s">
        <v>392</v>
      </c>
      <c r="D63" s="789"/>
      <c r="E63" s="787">
        <v>26868</v>
      </c>
      <c r="F63" s="788">
        <v>0</v>
      </c>
    </row>
    <row r="64" spans="1:38">
      <c r="A64" s="749">
        <v>33</v>
      </c>
      <c r="B64" s="789"/>
      <c r="C64" s="789" t="s">
        <v>412</v>
      </c>
      <c r="D64" s="789"/>
      <c r="E64" s="790">
        <v>390508</v>
      </c>
      <c r="F64" s="791">
        <v>0</v>
      </c>
    </row>
    <row r="65" spans="1:38">
      <c r="A65" s="749">
        <v>34</v>
      </c>
      <c r="B65" s="789"/>
      <c r="C65" s="789" t="s">
        <v>413</v>
      </c>
      <c r="D65" s="789"/>
      <c r="E65" s="793">
        <v>82624</v>
      </c>
      <c r="F65" s="794">
        <v>0</v>
      </c>
    </row>
    <row r="66" spans="1:38" ht="18" customHeight="1">
      <c r="A66" s="749">
        <v>35</v>
      </c>
      <c r="B66" s="789" t="s">
        <v>414</v>
      </c>
      <c r="C66" s="789"/>
      <c r="E66" s="790">
        <v>500000</v>
      </c>
      <c r="F66" s="790">
        <f>SUM(F63:F65)</f>
        <v>0</v>
      </c>
    </row>
    <row r="67" spans="1:38" ht="3.75" customHeight="1">
      <c r="B67" s="789"/>
      <c r="C67" s="789"/>
      <c r="E67" s="790"/>
      <c r="F67" s="790"/>
    </row>
    <row r="68" spans="1:38">
      <c r="B68" s="789" t="s">
        <v>361</v>
      </c>
      <c r="C68" s="789"/>
      <c r="D68" s="789"/>
      <c r="E68" s="790"/>
      <c r="F68" s="791"/>
    </row>
    <row r="69" spans="1:38">
      <c r="A69" s="749">
        <v>36</v>
      </c>
      <c r="B69" s="789"/>
      <c r="C69" s="789" t="s">
        <v>392</v>
      </c>
      <c r="D69" s="789"/>
      <c r="E69" s="790">
        <v>-10317</v>
      </c>
      <c r="F69" s="791">
        <v>0</v>
      </c>
    </row>
    <row r="70" spans="1:38">
      <c r="A70" s="749">
        <v>37</v>
      </c>
      <c r="B70" s="789"/>
      <c r="C70" s="789" t="s">
        <v>412</v>
      </c>
      <c r="D70" s="789"/>
      <c r="E70" s="790">
        <v>-129098</v>
      </c>
      <c r="F70" s="791">
        <v>0</v>
      </c>
    </row>
    <row r="71" spans="1:38">
      <c r="A71" s="749">
        <v>38</v>
      </c>
      <c r="B71" s="789"/>
      <c r="C71" s="789" t="s">
        <v>413</v>
      </c>
      <c r="D71" s="789"/>
      <c r="E71" s="790">
        <v>-23473</v>
      </c>
      <c r="F71" s="791">
        <v>0</v>
      </c>
    </row>
    <row r="72" spans="1:38">
      <c r="A72" s="749">
        <v>39</v>
      </c>
      <c r="B72" s="789" t="s">
        <v>415</v>
      </c>
      <c r="C72" s="789"/>
      <c r="E72" s="799">
        <v>-162888</v>
      </c>
      <c r="F72" s="799">
        <f>SUM(F69:F71)</f>
        <v>0</v>
      </c>
    </row>
    <row r="73" spans="1:38">
      <c r="A73" s="749">
        <v>40</v>
      </c>
      <c r="B73" s="789" t="s">
        <v>416</v>
      </c>
      <c r="C73" s="789"/>
      <c r="D73" s="789"/>
      <c r="E73" s="800">
        <v>337112</v>
      </c>
      <c r="F73" s="800">
        <f t="shared" ref="F73" si="0">F66+F72</f>
        <v>0</v>
      </c>
    </row>
    <row r="74" spans="1:38" s="803" customFormat="1" ht="13.5" customHeight="1">
      <c r="A74" s="801">
        <v>41</v>
      </c>
      <c r="B74" s="802" t="s">
        <v>417</v>
      </c>
      <c r="C74" s="802"/>
      <c r="D74" s="802"/>
      <c r="E74" s="793">
        <v>-73856</v>
      </c>
      <c r="F74" s="794">
        <v>0</v>
      </c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</row>
    <row r="75" spans="1:38" s="803" customFormat="1" ht="18.95" customHeight="1">
      <c r="A75" s="801">
        <v>42</v>
      </c>
      <c r="B75" s="802" t="s">
        <v>365</v>
      </c>
      <c r="C75" s="802"/>
      <c r="D75" s="802"/>
      <c r="E75" s="800">
        <v>263256</v>
      </c>
      <c r="F75" s="800">
        <f>F73+F74</f>
        <v>0</v>
      </c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</row>
    <row r="76" spans="1:38">
      <c r="A76" s="749">
        <v>43</v>
      </c>
      <c r="B76" s="789" t="s">
        <v>418</v>
      </c>
      <c r="C76" s="789"/>
      <c r="D76" s="789"/>
      <c r="E76" s="790">
        <v>9116</v>
      </c>
      <c r="F76" s="791">
        <v>0</v>
      </c>
    </row>
    <row r="77" spans="1:38" s="803" customFormat="1">
      <c r="A77" s="801">
        <v>44</v>
      </c>
      <c r="B77" s="802" t="s">
        <v>419</v>
      </c>
      <c r="C77" s="802"/>
      <c r="D77" s="802"/>
      <c r="E77" s="790">
        <v>0</v>
      </c>
      <c r="F77" s="792">
        <v>0</v>
      </c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</row>
    <row r="78" spans="1:38" s="803" customFormat="1">
      <c r="A78" s="801">
        <v>45</v>
      </c>
      <c r="B78" s="802" t="s">
        <v>125</v>
      </c>
      <c r="C78" s="802"/>
      <c r="D78" s="802"/>
      <c r="E78" s="790">
        <v>-249</v>
      </c>
      <c r="F78" s="792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</row>
    <row r="79" spans="1:38">
      <c r="A79" s="749">
        <v>46</v>
      </c>
      <c r="B79" s="789" t="s">
        <v>367</v>
      </c>
      <c r="C79" s="789"/>
      <c r="D79" s="789"/>
      <c r="E79" s="793">
        <v>15664</v>
      </c>
      <c r="F79" s="794">
        <v>0</v>
      </c>
    </row>
    <row r="80" spans="1:38" ht="7.5" customHeight="1"/>
    <row r="81" spans="1:38" ht="6.75" customHeight="1">
      <c r="E81" s="790"/>
      <c r="F81" s="790"/>
    </row>
    <row r="82" spans="1:38" s="804" customFormat="1" ht="13.5" thickBot="1">
      <c r="A82" s="760">
        <v>47</v>
      </c>
      <c r="B82" s="804" t="s">
        <v>420</v>
      </c>
      <c r="E82" s="798">
        <v>287787</v>
      </c>
      <c r="F82" s="798">
        <f>F75+F76+F77+F79+F78</f>
        <v>0</v>
      </c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</row>
    <row r="83" spans="1:38" ht="13.5" thickTop="1">
      <c r="A83" s="749">
        <v>48</v>
      </c>
      <c r="B83" s="750" t="s">
        <v>421</v>
      </c>
      <c r="E83" s="805">
        <v>8.1500000000000003E-2</v>
      </c>
      <c r="F83" s="790"/>
    </row>
    <row r="84" spans="1:38">
      <c r="A84" s="749">
        <v>50</v>
      </c>
      <c r="B84" s="750" t="s">
        <v>422</v>
      </c>
      <c r="E84" s="751">
        <v>-2138.3878062338385</v>
      </c>
      <c r="F84" s="751">
        <f t="shared" ref="F84" si="1">F90</f>
        <v>270.96358915781917</v>
      </c>
    </row>
    <row r="85" spans="1:38" ht="8.25" customHeight="1">
      <c r="E85" s="790"/>
      <c r="F85" s="790"/>
    </row>
    <row r="86" spans="1:38" s="807" customFormat="1" ht="16.5" customHeight="1">
      <c r="A86" s="806"/>
      <c r="D86" s="740" t="s">
        <v>423</v>
      </c>
      <c r="E86" s="736">
        <v>7.6899999999999996E-2</v>
      </c>
      <c r="F86" s="736">
        <v>7.6899999999999996E-2</v>
      </c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</row>
    <row r="87" spans="1:38" s="807" customFormat="1" ht="17.25" customHeight="1">
      <c r="A87" s="808"/>
      <c r="D87" s="740" t="s">
        <v>371</v>
      </c>
      <c r="E87" s="809">
        <v>0.620645</v>
      </c>
      <c r="F87" s="736">
        <v>0.620645</v>
      </c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</row>
    <row r="88" spans="1:38" s="807" customFormat="1" ht="2.25" customHeight="1">
      <c r="A88" s="808"/>
      <c r="D88" s="740"/>
      <c r="E88" s="676"/>
      <c r="F88" s="795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</row>
    <row r="89" spans="1:38" s="807" customFormat="1" ht="29.25" customHeight="1">
      <c r="A89" s="808"/>
      <c r="D89" s="740" t="s">
        <v>372</v>
      </c>
      <c r="E89" s="676">
        <v>-1327.1797000000006</v>
      </c>
      <c r="F89" s="676">
        <f>F82*$F$86-F59</f>
        <v>168.17219679285466</v>
      </c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</row>
    <row r="90" spans="1:38" s="807" customFormat="1">
      <c r="A90" s="808"/>
      <c r="D90" s="740" t="s">
        <v>373</v>
      </c>
      <c r="E90" s="676">
        <v>-2138.3878062338385</v>
      </c>
      <c r="F90" s="676">
        <f>F89/$F$87</f>
        <v>270.96358915781917</v>
      </c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</row>
    <row r="91" spans="1:38" s="807" customFormat="1">
      <c r="A91" s="808"/>
      <c r="D91" s="740"/>
      <c r="E91" s="810"/>
      <c r="F91" s="810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</row>
    <row r="92" spans="1:38" s="807" customFormat="1">
      <c r="A92" s="806"/>
      <c r="D92" s="740"/>
      <c r="E92" s="736"/>
      <c r="F92" s="810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</row>
    <row r="93" spans="1:38" s="807" customFormat="1">
      <c r="A93" s="808"/>
      <c r="E93" s="810"/>
      <c r="F93" s="810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</row>
    <row r="94" spans="1:38" s="807" customFormat="1">
      <c r="A94" s="808"/>
      <c r="D94" s="740"/>
      <c r="E94" s="810"/>
      <c r="F94" s="810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</row>
    <row r="95" spans="1:38" s="812" customFormat="1">
      <c r="A95" s="811"/>
      <c r="D95" s="748"/>
      <c r="E95" s="813"/>
      <c r="F95" s="813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</row>
    <row r="96" spans="1:38" s="812" customFormat="1">
      <c r="A96" s="811"/>
      <c r="D96" s="814"/>
      <c r="E96" s="813"/>
      <c r="F96" s="813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</row>
    <row r="97" spans="1:38" s="812" customFormat="1">
      <c r="A97" s="811"/>
      <c r="E97" s="785"/>
      <c r="F97" s="785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</row>
    <row r="98" spans="1:38" s="812" customFormat="1">
      <c r="A98" s="811"/>
      <c r="E98" s="785"/>
      <c r="F98" s="785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</row>
    <row r="99" spans="1:38" s="803" customFormat="1">
      <c r="A99" s="801"/>
      <c r="E99" s="815"/>
      <c r="F99" s="815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</row>
    <row r="100" spans="1:38" s="803" customFormat="1">
      <c r="A100" s="801"/>
      <c r="E100" s="815"/>
      <c r="F100" s="815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</row>
    <row r="101" spans="1:38" s="803" customFormat="1">
      <c r="A101" s="801"/>
      <c r="E101" s="815"/>
      <c r="F101" s="815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</row>
  </sheetData>
  <pageMargins left="0.7" right="0.7" top="0.67" bottom="0.44" header="0.3" footer="0.3"/>
  <pageSetup scale="72" orientation="portrait" r:id="rId1"/>
  <headerFooter>
    <oddHeader>&amp;RExh AIW-2
Dockets UE-170485 / UG-170486
Page &amp;P of &amp;N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U97"/>
  <sheetViews>
    <sheetView tabSelected="1" zoomScaleNormal="100" workbookViewId="0"/>
  </sheetViews>
  <sheetFormatPr defaultColWidth="10.7109375" defaultRowHeight="12.75"/>
  <cols>
    <col min="1" max="1" width="6.5703125" style="674" customWidth="1"/>
    <col min="2" max="2" width="41.140625" style="675" customWidth="1"/>
    <col min="3" max="3" width="1.7109375" style="675" hidden="1" customWidth="1"/>
    <col min="4" max="4" width="21.28515625" style="675" hidden="1" customWidth="1"/>
    <col min="5" max="5" width="6.5703125" style="676" hidden="1" customWidth="1"/>
    <col min="6" max="6" width="13.85546875" style="677" customWidth="1"/>
    <col min="7" max="7" width="10.42578125" bestFit="1" customWidth="1"/>
    <col min="8" max="8" width="13.28515625" bestFit="1" customWidth="1"/>
    <col min="9" max="9" width="17.42578125" customWidth="1"/>
    <col min="10" max="10" width="14.5703125" customWidth="1"/>
    <col min="11" max="11" width="10.140625" customWidth="1"/>
    <col min="12" max="12" width="9.42578125" customWidth="1"/>
    <col min="13" max="13" width="12.140625" customWidth="1"/>
    <col min="14" max="14" width="13.5703125" customWidth="1"/>
    <col min="15" max="15" width="11.28515625" customWidth="1"/>
    <col min="16" max="16" width="13.140625" customWidth="1"/>
    <col min="17" max="17" width="13" customWidth="1"/>
    <col min="18" max="18" width="7.140625" customWidth="1"/>
    <col min="19" max="19" width="15.5703125" customWidth="1"/>
    <col min="20" max="20" width="18" customWidth="1"/>
    <col min="21" max="21" width="4.140625" customWidth="1"/>
    <col min="22" max="16384" width="10.7109375" style="675"/>
  </cols>
  <sheetData>
    <row r="1" spans="1:21">
      <c r="D1" s="1288"/>
      <c r="E1" s="1288"/>
    </row>
    <row r="2" spans="1:21" ht="12.75" customHeight="1">
      <c r="A2" s="679" t="s">
        <v>302</v>
      </c>
      <c r="D2" s="674"/>
      <c r="E2" s="680" t="s">
        <v>303</v>
      </c>
      <c r="F2" s="676"/>
    </row>
    <row r="3" spans="1:21" ht="14.25" customHeight="1">
      <c r="A3" s="679" t="s">
        <v>438</v>
      </c>
      <c r="D3" s="674"/>
      <c r="E3" s="680" t="s">
        <v>304</v>
      </c>
      <c r="F3" s="683"/>
    </row>
    <row r="4" spans="1:21" ht="14.25" customHeight="1">
      <c r="A4" s="679" t="s">
        <v>305</v>
      </c>
      <c r="D4" s="674"/>
      <c r="E4" s="684"/>
      <c r="F4" s="682"/>
    </row>
    <row r="5" spans="1:21" ht="12.75" customHeight="1">
      <c r="A5" s="679" t="s">
        <v>306</v>
      </c>
      <c r="D5" s="674"/>
      <c r="E5" s="685"/>
      <c r="F5" s="682"/>
    </row>
    <row r="6" spans="1:21" s="688" customFormat="1" ht="12" customHeight="1">
      <c r="A6" s="679"/>
      <c r="D6" s="689"/>
      <c r="E6" s="690"/>
      <c r="F6" s="692"/>
      <c r="G6"/>
      <c r="H6"/>
      <c r="I6"/>
      <c r="J6"/>
      <c r="K6"/>
      <c r="L6"/>
      <c r="M6"/>
      <c r="N6"/>
      <c r="O6"/>
      <c r="P6"/>
      <c r="Q6"/>
      <c r="R6"/>
      <c r="S6"/>
      <c r="T6"/>
      <c r="U6"/>
    </row>
    <row r="7" spans="1:21" s="688" customFormat="1" ht="12" customHeight="1">
      <c r="A7" s="693"/>
      <c r="B7" s="694"/>
      <c r="C7" s="695"/>
      <c r="D7" s="695"/>
      <c r="E7" s="696"/>
      <c r="F7" s="698" t="s">
        <v>308</v>
      </c>
      <c r="G7"/>
      <c r="H7"/>
      <c r="I7"/>
      <c r="J7"/>
      <c r="K7"/>
      <c r="L7"/>
      <c r="M7"/>
      <c r="N7"/>
      <c r="O7"/>
      <c r="P7"/>
      <c r="Q7"/>
      <c r="R7"/>
      <c r="S7"/>
      <c r="T7"/>
      <c r="U7"/>
    </row>
    <row r="8" spans="1:21" s="688" customFormat="1">
      <c r="A8" s="699" t="s">
        <v>310</v>
      </c>
      <c r="B8" s="700"/>
      <c r="C8" s="701"/>
      <c r="D8" s="701"/>
      <c r="E8" s="690" t="s">
        <v>311</v>
      </c>
      <c r="F8" s="690" t="s">
        <v>312</v>
      </c>
      <c r="G8"/>
      <c r="H8"/>
      <c r="I8"/>
      <c r="J8"/>
      <c r="K8"/>
      <c r="L8"/>
      <c r="M8"/>
      <c r="N8"/>
      <c r="O8"/>
      <c r="P8"/>
      <c r="Q8"/>
      <c r="R8"/>
      <c r="S8"/>
      <c r="T8"/>
      <c r="U8"/>
    </row>
    <row r="9" spans="1:21" s="688" customFormat="1">
      <c r="A9" s="703" t="s">
        <v>313</v>
      </c>
      <c r="B9" s="704"/>
      <c r="C9" s="705"/>
      <c r="D9" s="705" t="s">
        <v>314</v>
      </c>
      <c r="E9" s="706" t="s">
        <v>315</v>
      </c>
      <c r="F9" s="706" t="s">
        <v>317</v>
      </c>
      <c r="G9"/>
      <c r="H9"/>
      <c r="I9"/>
      <c r="J9"/>
      <c r="K9"/>
      <c r="L9"/>
      <c r="M9"/>
      <c r="N9"/>
      <c r="O9"/>
      <c r="P9"/>
      <c r="Q9"/>
      <c r="R9"/>
      <c r="S9"/>
      <c r="T9"/>
      <c r="U9"/>
    </row>
    <row r="10" spans="1:21" s="708" customFormat="1">
      <c r="B10" s="709" t="s">
        <v>318</v>
      </c>
      <c r="E10" s="710">
        <v>1</v>
      </c>
      <c r="F10" s="711">
        <v>3.06</v>
      </c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</row>
    <row r="11" spans="1:21" s="708" customFormat="1">
      <c r="B11" s="709" t="s">
        <v>319</v>
      </c>
      <c r="E11" s="710" t="s">
        <v>320</v>
      </c>
      <c r="F11" s="711" t="s">
        <v>322</v>
      </c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</row>
    <row r="12" spans="1:21" s="708" customFormat="1" ht="12.75" customHeight="1">
      <c r="B12" s="709"/>
      <c r="E12" s="710"/>
      <c r="F12" s="711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</row>
    <row r="13" spans="1:21">
      <c r="B13" s="675" t="s">
        <v>323</v>
      </c>
    </row>
    <row r="14" spans="1:21" s="714" customFormat="1">
      <c r="A14" s="713">
        <v>1</v>
      </c>
      <c r="B14" s="714" t="s">
        <v>324</v>
      </c>
      <c r="E14" s="715">
        <v>516333</v>
      </c>
      <c r="F14" s="716">
        <v>0</v>
      </c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</row>
    <row r="15" spans="1:21" s="717" customFormat="1">
      <c r="A15" s="713">
        <v>2</v>
      </c>
      <c r="B15" s="717" t="s">
        <v>325</v>
      </c>
      <c r="E15" s="718">
        <v>946</v>
      </c>
      <c r="F15" s="677">
        <v>0</v>
      </c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</row>
    <row r="16" spans="1:21" s="717" customFormat="1">
      <c r="A16" s="713">
        <v>3</v>
      </c>
      <c r="B16" s="717" t="s">
        <v>326</v>
      </c>
      <c r="E16" s="719">
        <v>78098</v>
      </c>
      <c r="F16" s="720">
        <v>0</v>
      </c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</row>
    <row r="17" spans="1:21" s="717" customFormat="1">
      <c r="A17" s="713">
        <v>4</v>
      </c>
      <c r="B17" s="717" t="s">
        <v>327</v>
      </c>
      <c r="E17" s="718">
        <v>595377</v>
      </c>
      <c r="F17" s="677">
        <f>SUM(F14:F16)</f>
        <v>0</v>
      </c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</row>
    <row r="18" spans="1:21" s="717" customFormat="1">
      <c r="A18" s="713">
        <v>5</v>
      </c>
      <c r="B18" s="717" t="s">
        <v>328</v>
      </c>
      <c r="E18" s="719">
        <v>81735</v>
      </c>
      <c r="F18" s="720">
        <v>0</v>
      </c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</row>
    <row r="19" spans="1:21" s="717" customFormat="1">
      <c r="A19" s="713">
        <v>6</v>
      </c>
      <c r="B19" s="717" t="s">
        <v>329</v>
      </c>
      <c r="E19" s="718">
        <v>677112</v>
      </c>
      <c r="F19" s="676">
        <f>SUM(F17:F18)</f>
        <v>0</v>
      </c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</row>
    <row r="20" spans="1:21" s="717" customFormat="1">
      <c r="A20" s="713"/>
      <c r="E20" s="718"/>
      <c r="F20" s="676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</row>
    <row r="21" spans="1:21" s="717" customFormat="1">
      <c r="A21" s="713"/>
      <c r="B21" s="717" t="s">
        <v>330</v>
      </c>
      <c r="E21" s="718"/>
      <c r="F21" s="676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</row>
    <row r="22" spans="1:21" s="717" customFormat="1">
      <c r="A22" s="713"/>
      <c r="B22" s="717" t="s">
        <v>331</v>
      </c>
      <c r="E22" s="718"/>
      <c r="F22" s="676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</row>
    <row r="23" spans="1:21" s="717" customFormat="1">
      <c r="A23" s="713">
        <v>7</v>
      </c>
      <c r="C23" s="717" t="s">
        <v>332</v>
      </c>
      <c r="E23" s="718">
        <v>184672</v>
      </c>
      <c r="F23" s="676">
        <v>0</v>
      </c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</row>
    <row r="24" spans="1:21" s="717" customFormat="1">
      <c r="A24" s="713">
        <v>8</v>
      </c>
      <c r="C24" s="717" t="s">
        <v>333</v>
      </c>
      <c r="E24" s="718">
        <v>96772</v>
      </c>
      <c r="F24" s="676">
        <v>0</v>
      </c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</row>
    <row r="25" spans="1:21" s="717" customFormat="1">
      <c r="A25" s="713">
        <v>9</v>
      </c>
      <c r="C25" s="717" t="s">
        <v>334</v>
      </c>
      <c r="E25" s="718">
        <v>26677</v>
      </c>
      <c r="F25" s="676">
        <v>0</v>
      </c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</row>
    <row r="26" spans="1:21" s="717" customFormat="1">
      <c r="A26" s="713">
        <v>10</v>
      </c>
      <c r="C26" s="718" t="s">
        <v>335</v>
      </c>
      <c r="D26" s="718"/>
      <c r="E26" s="718">
        <v>4310</v>
      </c>
      <c r="F26" s="676">
        <v>0</v>
      </c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</row>
    <row r="27" spans="1:21" s="717" customFormat="1">
      <c r="A27" s="713">
        <v>11</v>
      </c>
      <c r="C27" s="717" t="s">
        <v>336</v>
      </c>
      <c r="E27" s="719">
        <v>14904</v>
      </c>
      <c r="F27" s="721">
        <f>+'Elec 2.02Restate 3.06Proforma'!I80/1000</f>
        <v>1395.6886573494799</v>
      </c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</row>
    <row r="28" spans="1:21" s="717" customFormat="1">
      <c r="A28" s="713">
        <v>12</v>
      </c>
      <c r="B28" s="717" t="s">
        <v>337</v>
      </c>
      <c r="E28" s="718">
        <v>327335</v>
      </c>
      <c r="F28" s="676">
        <f>SUM(F23:F27)</f>
        <v>1395.6886573494799</v>
      </c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</row>
    <row r="29" spans="1:21" s="717" customFormat="1">
      <c r="A29" s="713"/>
      <c r="E29" s="718"/>
      <c r="F29" s="676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</row>
    <row r="30" spans="1:21" s="717" customFormat="1">
      <c r="A30" s="713"/>
      <c r="B30" s="717" t="s">
        <v>338</v>
      </c>
      <c r="E30" s="718"/>
      <c r="F30" s="676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</row>
    <row r="31" spans="1:21" s="717" customFormat="1">
      <c r="A31" s="713">
        <v>13</v>
      </c>
      <c r="C31" s="717" t="s">
        <v>332</v>
      </c>
      <c r="E31" s="723">
        <v>21420</v>
      </c>
      <c r="F31" s="676">
        <v>0</v>
      </c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</row>
    <row r="32" spans="1:21" s="717" customFormat="1">
      <c r="A32" s="713">
        <v>14</v>
      </c>
      <c r="C32" s="717" t="s">
        <v>339</v>
      </c>
      <c r="E32" s="723">
        <v>27913</v>
      </c>
      <c r="F32" s="676">
        <v>0</v>
      </c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</row>
    <row r="33" spans="1:21" s="717" customFormat="1">
      <c r="A33" s="713">
        <v>15</v>
      </c>
      <c r="C33" s="717" t="s">
        <v>335</v>
      </c>
      <c r="E33" s="723">
        <v>0</v>
      </c>
      <c r="F33" s="676">
        <v>0</v>
      </c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</row>
    <row r="34" spans="1:21" s="717" customFormat="1">
      <c r="A34" s="713">
        <v>16</v>
      </c>
      <c r="C34" s="717" t="s">
        <v>336</v>
      </c>
      <c r="E34" s="719">
        <v>45258</v>
      </c>
      <c r="F34" s="721">
        <f>+'Elec 2.02Restate 3.06Proforma'!I83/1000</f>
        <v>548.04725005338616</v>
      </c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</row>
    <row r="35" spans="1:21" s="717" customFormat="1">
      <c r="A35" s="713">
        <v>17</v>
      </c>
      <c r="B35" s="717" t="s">
        <v>340</v>
      </c>
      <c r="E35" s="718">
        <v>94591</v>
      </c>
      <c r="F35" s="676">
        <f>SUM(F31:F34)</f>
        <v>548.04725005338616</v>
      </c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</row>
    <row r="36" spans="1:21" s="717" customFormat="1">
      <c r="E36" s="718"/>
      <c r="F36" s="67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</row>
    <row r="37" spans="1:21" s="717" customFormat="1">
      <c r="A37" s="713">
        <v>18</v>
      </c>
      <c r="B37" s="717" t="s">
        <v>341</v>
      </c>
      <c r="E37" s="723">
        <v>11733</v>
      </c>
      <c r="F37" s="676">
        <v>0</v>
      </c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</row>
    <row r="38" spans="1:21" s="717" customFormat="1">
      <c r="A38" s="713">
        <v>19</v>
      </c>
      <c r="B38" s="717" t="s">
        <v>342</v>
      </c>
      <c r="E38" s="723">
        <v>18081</v>
      </c>
      <c r="F38" s="676">
        <v>0</v>
      </c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</row>
    <row r="39" spans="1:21" s="717" customFormat="1">
      <c r="A39" s="713">
        <v>20</v>
      </c>
      <c r="B39" s="717" t="s">
        <v>343</v>
      </c>
      <c r="E39" s="723">
        <v>0</v>
      </c>
      <c r="F39" s="676">
        <v>0</v>
      </c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</row>
    <row r="40" spans="1:21" s="717" customFormat="1">
      <c r="A40" s="713"/>
      <c r="E40" s="718"/>
      <c r="F40" s="676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</row>
    <row r="41" spans="1:21" s="717" customFormat="1">
      <c r="B41" s="717" t="s">
        <v>344</v>
      </c>
      <c r="E41" s="718"/>
      <c r="F41" s="676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</row>
    <row r="42" spans="1:21" s="717" customFormat="1">
      <c r="A42" s="713">
        <v>21</v>
      </c>
      <c r="C42" s="717" t="s">
        <v>332</v>
      </c>
      <c r="E42" s="723">
        <v>50568</v>
      </c>
      <c r="F42" s="676">
        <v>0</v>
      </c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</row>
    <row r="43" spans="1:21" s="717" customFormat="1">
      <c r="A43" s="713">
        <v>22</v>
      </c>
      <c r="C43" s="717" t="s">
        <v>339</v>
      </c>
      <c r="E43" s="723">
        <v>23877</v>
      </c>
      <c r="F43" s="676">
        <v>0</v>
      </c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</row>
    <row r="44" spans="1:21" s="717" customFormat="1">
      <c r="A44" s="724">
        <v>23</v>
      </c>
      <c r="C44" s="717" t="s">
        <v>336</v>
      </c>
      <c r="E44" s="719">
        <v>0</v>
      </c>
      <c r="F44" s="720">
        <v>0</v>
      </c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</row>
    <row r="45" spans="1:21" s="717" customFormat="1">
      <c r="A45" s="713">
        <v>24</v>
      </c>
      <c r="B45" s="717" t="s">
        <v>345</v>
      </c>
      <c r="E45" s="719">
        <v>74445</v>
      </c>
      <c r="F45" s="720">
        <f>SUM(F42:F44)</f>
        <v>0</v>
      </c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</row>
    <row r="46" spans="1:21" s="717" customFormat="1" ht="18" customHeight="1">
      <c r="A46" s="713">
        <v>25</v>
      </c>
      <c r="B46" s="717" t="s">
        <v>346</v>
      </c>
      <c r="E46" s="719">
        <v>526185</v>
      </c>
      <c r="F46" s="720">
        <f>F45+F39+F38+F37+F35+F28</f>
        <v>1943.7359074028659</v>
      </c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</row>
    <row r="47" spans="1:21" s="717" customFormat="1">
      <c r="E47" s="718"/>
      <c r="F47" s="67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</row>
    <row r="48" spans="1:21" s="717" customFormat="1">
      <c r="A48" s="713">
        <v>26</v>
      </c>
      <c r="B48" s="717" t="s">
        <v>347</v>
      </c>
      <c r="E48" s="718">
        <v>150927</v>
      </c>
      <c r="F48" s="677">
        <f>F19-F46</f>
        <v>-1943.7359074028659</v>
      </c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</row>
    <row r="49" spans="1:21" s="717" customFormat="1">
      <c r="A49" s="713"/>
      <c r="E49" s="718"/>
      <c r="F49" s="677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</row>
    <row r="50" spans="1:21" s="717" customFormat="1">
      <c r="A50" s="725"/>
      <c r="B50" s="717" t="s">
        <v>348</v>
      </c>
      <c r="E50" s="718"/>
      <c r="F50" s="677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</row>
    <row r="51" spans="1:21" s="717" customFormat="1">
      <c r="A51" s="724">
        <v>27</v>
      </c>
      <c r="B51" s="717" t="s">
        <v>349</v>
      </c>
      <c r="D51" s="726"/>
      <c r="E51" s="723">
        <v>-25741</v>
      </c>
      <c r="F51" s="676">
        <f>F48*0.35</f>
        <v>-680.30756759100302</v>
      </c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</row>
    <row r="52" spans="1:21" s="718" customFormat="1">
      <c r="A52" s="713">
        <v>28</v>
      </c>
      <c r="B52" s="718" t="s">
        <v>350</v>
      </c>
      <c r="E52" s="723">
        <v>0</v>
      </c>
      <c r="F52" s="676">
        <v>0</v>
      </c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</row>
    <row r="53" spans="1:21" s="717" customFormat="1">
      <c r="A53" s="713">
        <v>29</v>
      </c>
      <c r="B53" s="717" t="s">
        <v>351</v>
      </c>
      <c r="E53" s="723">
        <v>66436</v>
      </c>
      <c r="F53" s="676">
        <v>0</v>
      </c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</row>
    <row r="54" spans="1:21" s="717" customFormat="1">
      <c r="A54" s="725">
        <v>30</v>
      </c>
      <c r="B54" s="717" t="s">
        <v>352</v>
      </c>
      <c r="E54" s="719">
        <v>-325</v>
      </c>
      <c r="F54" s="720">
        <v>0</v>
      </c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</row>
    <row r="56" spans="1:21" s="714" customFormat="1" ht="13.5" thickBot="1">
      <c r="A56" s="728">
        <v>31</v>
      </c>
      <c r="B56" s="714" t="s">
        <v>353</v>
      </c>
      <c r="E56" s="729">
        <v>110557</v>
      </c>
      <c r="F56" s="730">
        <f>F48-SUM(F51:F54)</f>
        <v>-1263.4283398118628</v>
      </c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</row>
    <row r="57" spans="1:21" ht="6" customHeight="1" thickTop="1">
      <c r="A57" s="728"/>
    </row>
    <row r="58" spans="1:21">
      <c r="A58" s="728"/>
      <c r="B58" s="675" t="s">
        <v>354</v>
      </c>
    </row>
    <row r="59" spans="1:21">
      <c r="B59" s="675" t="s">
        <v>355</v>
      </c>
    </row>
    <row r="60" spans="1:21" s="714" customFormat="1">
      <c r="A60" s="732">
        <v>32</v>
      </c>
      <c r="C60" s="714" t="s">
        <v>356</v>
      </c>
      <c r="E60" s="733">
        <v>156057</v>
      </c>
      <c r="F60" s="714">
        <v>0</v>
      </c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</row>
    <row r="61" spans="1:21" s="717" customFormat="1">
      <c r="A61" s="728">
        <v>33</v>
      </c>
      <c r="C61" s="717" t="s">
        <v>357</v>
      </c>
      <c r="E61" s="723">
        <v>832833</v>
      </c>
      <c r="F61" s="677">
        <v>0</v>
      </c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</row>
    <row r="62" spans="1:21" s="717" customFormat="1" ht="12.75" customHeight="1">
      <c r="A62" s="728">
        <v>34</v>
      </c>
      <c r="C62" s="717" t="s">
        <v>358</v>
      </c>
      <c r="E62" s="723">
        <v>430613</v>
      </c>
      <c r="F62" s="677">
        <v>0</v>
      </c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</row>
    <row r="63" spans="1:21" s="717" customFormat="1" ht="12" customHeight="1">
      <c r="A63" s="728">
        <v>35</v>
      </c>
      <c r="C63" s="717" t="s">
        <v>338</v>
      </c>
      <c r="E63" s="723">
        <v>970455</v>
      </c>
      <c r="F63" s="677">
        <v>0</v>
      </c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</row>
    <row r="64" spans="1:21" s="717" customFormat="1">
      <c r="A64" s="728">
        <v>36</v>
      </c>
      <c r="C64" s="717" t="s">
        <v>359</v>
      </c>
      <c r="E64" s="719">
        <v>233266</v>
      </c>
      <c r="F64" s="720">
        <v>0</v>
      </c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</row>
    <row r="65" spans="1:21" s="717" customFormat="1">
      <c r="A65" s="728">
        <v>37</v>
      </c>
      <c r="B65" s="717" t="s">
        <v>360</v>
      </c>
      <c r="E65" s="676">
        <v>2623224</v>
      </c>
      <c r="F65" s="677">
        <f>SUM(F60:F64)</f>
        <v>0</v>
      </c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</row>
    <row r="66" spans="1:21" s="717" customFormat="1" ht="14.25" customHeight="1">
      <c r="A66" s="728"/>
      <c r="B66" s="717" t="s">
        <v>361</v>
      </c>
      <c r="E66" s="676"/>
      <c r="F66" s="677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</row>
    <row r="67" spans="1:21" s="717" customFormat="1">
      <c r="A67" s="728">
        <v>38</v>
      </c>
      <c r="C67" s="714" t="s">
        <v>356</v>
      </c>
      <c r="E67" s="723">
        <v>-30914</v>
      </c>
      <c r="F67" s="677">
        <v>0</v>
      </c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</row>
    <row r="68" spans="1:21" s="717" customFormat="1">
      <c r="A68" s="728">
        <v>39</v>
      </c>
      <c r="C68" s="717" t="s">
        <v>357</v>
      </c>
      <c r="E68" s="723">
        <v>-351625</v>
      </c>
      <c r="F68" s="677">
        <v>0</v>
      </c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</row>
    <row r="69" spans="1:21" s="717" customFormat="1">
      <c r="A69" s="728">
        <v>40</v>
      </c>
      <c r="C69" s="717" t="s">
        <v>358</v>
      </c>
      <c r="E69" s="723">
        <v>-135624</v>
      </c>
      <c r="F69" s="677">
        <v>0</v>
      </c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</row>
    <row r="70" spans="1:21" s="717" customFormat="1">
      <c r="A70" s="728">
        <v>41</v>
      </c>
      <c r="C70" s="717" t="s">
        <v>338</v>
      </c>
      <c r="E70" s="723">
        <v>-295383</v>
      </c>
      <c r="F70" s="677">
        <v>0</v>
      </c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</row>
    <row r="71" spans="1:21" s="717" customFormat="1">
      <c r="A71" s="728">
        <v>42</v>
      </c>
      <c r="C71" s="717" t="s">
        <v>359</v>
      </c>
      <c r="E71" s="723">
        <v>-80093</v>
      </c>
      <c r="F71" s="677">
        <v>0</v>
      </c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</row>
    <row r="72" spans="1:21" s="717" customFormat="1">
      <c r="A72" s="728">
        <v>43</v>
      </c>
      <c r="B72" s="717" t="s">
        <v>362</v>
      </c>
      <c r="E72" s="734">
        <v>-893639</v>
      </c>
      <c r="F72" s="734">
        <f>SUM(F67:F71)</f>
        <v>0</v>
      </c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</row>
    <row r="73" spans="1:21" s="717" customFormat="1">
      <c r="A73" s="728">
        <v>44</v>
      </c>
      <c r="B73" s="717" t="s">
        <v>363</v>
      </c>
      <c r="E73" s="734">
        <v>1729585</v>
      </c>
      <c r="F73" s="734">
        <f>F65+F72</f>
        <v>0</v>
      </c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</row>
    <row r="74" spans="1:21" s="717" customFormat="1" ht="12.75" customHeight="1">
      <c r="A74" s="728"/>
      <c r="E74" s="712"/>
      <c r="F74" s="712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</row>
    <row r="75" spans="1:21" s="717" customFormat="1">
      <c r="A75" s="725">
        <v>45</v>
      </c>
      <c r="B75" s="717" t="s">
        <v>364</v>
      </c>
      <c r="E75" s="721">
        <v>-354707</v>
      </c>
      <c r="F75" s="720">
        <v>0</v>
      </c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</row>
    <row r="76" spans="1:21" s="717" customFormat="1">
      <c r="A76" s="725">
        <v>46</v>
      </c>
      <c r="C76" s="717" t="s">
        <v>365</v>
      </c>
      <c r="E76" s="712">
        <v>1374878</v>
      </c>
      <c r="F76" s="712">
        <f>SUM(F73:F75)</f>
        <v>0</v>
      </c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</row>
    <row r="77" spans="1:21" s="717" customFormat="1">
      <c r="A77" s="728">
        <v>47</v>
      </c>
      <c r="B77" s="717" t="s">
        <v>366</v>
      </c>
      <c r="E77" s="712">
        <v>4568</v>
      </c>
      <c r="F77" s="677">
        <v>0</v>
      </c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</row>
    <row r="78" spans="1:21" s="717" customFormat="1">
      <c r="A78" s="728">
        <v>48</v>
      </c>
      <c r="B78" s="717" t="s">
        <v>367</v>
      </c>
      <c r="E78" s="721">
        <v>65480</v>
      </c>
      <c r="F78" s="720">
        <v>0</v>
      </c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</row>
    <row r="79" spans="1:21" s="717" customFormat="1">
      <c r="A79" s="725"/>
      <c r="E79" s="712"/>
      <c r="F79" s="677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</row>
    <row r="80" spans="1:21" s="714" customFormat="1" ht="13.5" customHeight="1" thickBot="1">
      <c r="A80" s="713">
        <v>49</v>
      </c>
      <c r="B80" s="714" t="s">
        <v>368</v>
      </c>
      <c r="E80" s="731">
        <v>1444926</v>
      </c>
      <c r="F80" s="729">
        <f>SUM(F76:F78)</f>
        <v>0</v>
      </c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</row>
    <row r="81" spans="1:21" ht="18" customHeight="1" thickTop="1">
      <c r="A81" s="713">
        <v>50</v>
      </c>
      <c r="B81" s="675" t="s">
        <v>369</v>
      </c>
      <c r="E81" s="736">
        <v>7.6499999999999999E-2</v>
      </c>
    </row>
    <row r="82" spans="1:21">
      <c r="A82" s="674">
        <v>51</v>
      </c>
      <c r="B82" s="675" t="s">
        <v>370</v>
      </c>
      <c r="E82" s="738">
        <v>900.54519359457788</v>
      </c>
      <c r="F82" s="738">
        <f>F90</f>
        <v>2039.7286769859427</v>
      </c>
    </row>
    <row r="83" spans="1:21" ht="26.25" customHeight="1">
      <c r="B83" s="739"/>
      <c r="E83" s="675"/>
    </row>
    <row r="84" spans="1:21" ht="20.45" customHeight="1">
      <c r="E84" s="736"/>
    </row>
    <row r="85" spans="1:21">
      <c r="E85" s="736">
        <v>7.6899999999999996E-2</v>
      </c>
      <c r="F85" s="805">
        <v>7.6899999999999996E-2</v>
      </c>
    </row>
    <row r="86" spans="1:21">
      <c r="E86" s="736"/>
    </row>
    <row r="87" spans="1:21">
      <c r="D87" s="675" t="s">
        <v>371</v>
      </c>
      <c r="E87" s="741">
        <v>0.61941299999999999</v>
      </c>
      <c r="F87" s="805">
        <v>0.61941000000000002</v>
      </c>
    </row>
    <row r="89" spans="1:21">
      <c r="D89" s="675" t="s">
        <v>372</v>
      </c>
      <c r="E89" s="735">
        <v>557.80939999999828</v>
      </c>
      <c r="F89" s="735">
        <f>F80*$F$85-F56</f>
        <v>1263.4283398118628</v>
      </c>
    </row>
    <row r="90" spans="1:21">
      <c r="C90" s="742"/>
      <c r="D90" s="742" t="s">
        <v>373</v>
      </c>
      <c r="E90" s="743">
        <v>900.54519359457788</v>
      </c>
      <c r="F90" s="743">
        <f>F89/$F$87</f>
        <v>2039.7286769859427</v>
      </c>
    </row>
    <row r="91" spans="1:21" s="745" customFormat="1" ht="11.25" customHeight="1">
      <c r="A91" s="744"/>
      <c r="E91" s="712"/>
      <c r="F91" s="727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</row>
    <row r="92" spans="1:21" s="745" customFormat="1">
      <c r="A92" s="744"/>
      <c r="E92" s="722"/>
      <c r="F92" s="727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</row>
    <row r="93" spans="1:21" s="745" customFormat="1">
      <c r="A93" s="744"/>
      <c r="E93" s="712"/>
      <c r="F93" s="712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</row>
    <row r="94" spans="1:21" s="748" customFormat="1">
      <c r="A94" s="747"/>
      <c r="E94" s="712"/>
      <c r="F94" s="746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</row>
    <row r="95" spans="1:21" s="745" customFormat="1">
      <c r="A95" s="744"/>
      <c r="E95" s="712"/>
      <c r="F95" s="712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</row>
    <row r="96" spans="1:21" s="745" customFormat="1">
      <c r="A96" s="744"/>
      <c r="E96" s="712"/>
      <c r="F96" s="727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</row>
    <row r="97" spans="1:21" s="745" customFormat="1">
      <c r="A97" s="744"/>
      <c r="E97" s="712"/>
      <c r="F97" s="72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</row>
  </sheetData>
  <mergeCells count="1">
    <mergeCell ref="D1:E1"/>
  </mergeCells>
  <pageMargins left="0.7" right="0.7" top="0.51" bottom="0.39" header="0.2" footer="0.3"/>
  <pageSetup scale="71" fitToWidth="0" orientation="portrait" r:id="rId1"/>
  <headerFooter scaleWithDoc="0">
    <oddHeader xml:space="preserve">&amp;R
Avista-Rebuttal Propert Tax
Electric
Exh AIW-2
Dockets UE-170485 / UG-170486
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A1:M89"/>
  <sheetViews>
    <sheetView tabSelected="1" zoomScale="70" zoomScaleNormal="70" zoomScaleSheetLayoutView="85" workbookViewId="0"/>
  </sheetViews>
  <sheetFormatPr defaultColWidth="9.140625" defaultRowHeight="12.75"/>
  <cols>
    <col min="1" max="1" width="20" customWidth="1"/>
    <col min="2" max="2" width="17.5703125" bestFit="1" customWidth="1"/>
    <col min="3" max="3" width="16.42578125" bestFit="1" customWidth="1"/>
    <col min="4" max="4" width="16.7109375" bestFit="1" customWidth="1"/>
    <col min="5" max="5" width="16.42578125" bestFit="1" customWidth="1"/>
    <col min="6" max="6" width="12.7109375" bestFit="1" customWidth="1"/>
    <col min="7" max="7" width="17.5703125" customWidth="1"/>
    <col min="8" max="8" width="3.140625" customWidth="1"/>
    <col min="9" max="9" width="15.5703125" customWidth="1"/>
    <col min="10" max="10" width="15.140625" bestFit="1" customWidth="1"/>
    <col min="11" max="11" width="13" bestFit="1" customWidth="1"/>
    <col min="12" max="12" width="7.42578125" customWidth="1"/>
    <col min="13" max="13" width="11.42578125" bestFit="1" customWidth="1"/>
  </cols>
  <sheetData>
    <row r="1" spans="1:12">
      <c r="A1" t="s">
        <v>431</v>
      </c>
      <c r="I1" t="s">
        <v>425</v>
      </c>
    </row>
    <row r="2" spans="1:12" ht="15">
      <c r="A2" s="46" t="s">
        <v>429</v>
      </c>
      <c r="I2" t="s">
        <v>426</v>
      </c>
    </row>
    <row r="3" spans="1:12">
      <c r="A3" t="s">
        <v>435</v>
      </c>
      <c r="I3" t="s">
        <v>427</v>
      </c>
    </row>
    <row r="5" spans="1:12" ht="15.75" thickBot="1">
      <c r="A5" s="1063" t="s">
        <v>436</v>
      </c>
      <c r="B5" s="246"/>
      <c r="C5" s="246"/>
      <c r="D5" s="246"/>
      <c r="E5" s="246"/>
      <c r="F5" s="246"/>
      <c r="G5" s="1064" t="s">
        <v>477</v>
      </c>
      <c r="H5" s="246"/>
      <c r="I5" s="246"/>
      <c r="J5" s="246"/>
      <c r="K5" s="246"/>
    </row>
    <row r="6" spans="1:12" ht="15.75" thickBot="1">
      <c r="A6" s="1063"/>
      <c r="B6" s="1289" t="s">
        <v>94</v>
      </c>
      <c r="C6" s="1290"/>
      <c r="D6" s="1290"/>
      <c r="E6" s="1290"/>
      <c r="F6" s="1290"/>
      <c r="G6" s="1291"/>
      <c r="H6" s="1065"/>
      <c r="I6" s="1289" t="s">
        <v>75</v>
      </c>
      <c r="J6" s="1290"/>
      <c r="K6" s="1291"/>
      <c r="L6" s="96"/>
    </row>
    <row r="7" spans="1:12" ht="15">
      <c r="A7" s="1063"/>
      <c r="B7" s="1066"/>
      <c r="C7" s="1066"/>
      <c r="D7" s="1066"/>
      <c r="E7" s="1066"/>
      <c r="F7" s="1066"/>
      <c r="G7" s="1066"/>
      <c r="H7" s="1065"/>
      <c r="I7" s="1067">
        <v>0.6573</v>
      </c>
      <c r="J7" s="1067">
        <f>1-I7</f>
        <v>0.3427</v>
      </c>
      <c r="K7" s="1068">
        <f>SUM(I7:J7)</f>
        <v>1</v>
      </c>
    </row>
    <row r="8" spans="1:12" ht="15">
      <c r="A8" s="1069"/>
      <c r="B8" s="1069" t="s">
        <v>76</v>
      </c>
      <c r="C8" s="1069" t="s">
        <v>77</v>
      </c>
      <c r="D8" s="1069" t="s">
        <v>78</v>
      </c>
      <c r="E8" s="1069" t="s">
        <v>79</v>
      </c>
      <c r="F8" s="1069" t="s">
        <v>80</v>
      </c>
      <c r="G8" s="1069" t="s">
        <v>81</v>
      </c>
      <c r="H8" s="1069"/>
      <c r="I8" s="1069" t="s">
        <v>76</v>
      </c>
      <c r="J8" s="1069" t="s">
        <v>77</v>
      </c>
      <c r="K8" s="1069" t="s">
        <v>81</v>
      </c>
    </row>
    <row r="9" spans="1:12" ht="15">
      <c r="A9" s="1069" t="s">
        <v>82</v>
      </c>
      <c r="B9" s="1069"/>
      <c r="C9" s="1069"/>
      <c r="D9" s="1069"/>
      <c r="E9" s="1069"/>
      <c r="F9" s="1069"/>
      <c r="G9" s="1069"/>
      <c r="H9" s="1069"/>
      <c r="I9" s="1069"/>
      <c r="J9" s="1069"/>
      <c r="K9" s="1069"/>
    </row>
    <row r="10" spans="1:12" ht="15">
      <c r="A10" s="1070" t="s">
        <v>86</v>
      </c>
      <c r="B10" s="1065"/>
      <c r="C10" s="1065"/>
      <c r="D10" s="1065"/>
      <c r="E10" s="1065"/>
      <c r="F10" s="1065"/>
      <c r="G10" s="1065"/>
      <c r="H10" s="1065"/>
      <c r="I10" s="1065"/>
      <c r="J10" s="1065"/>
      <c r="K10" s="1065"/>
    </row>
    <row r="11" spans="1:12" ht="15">
      <c r="A11" s="1063">
        <v>408150</v>
      </c>
      <c r="B11" s="50">
        <v>3342360</v>
      </c>
      <c r="C11" s="50">
        <v>1241751</v>
      </c>
      <c r="D11" s="50">
        <v>8081676</v>
      </c>
      <c r="E11" s="50">
        <v>2611176</v>
      </c>
      <c r="F11" s="50">
        <v>3686</v>
      </c>
      <c r="G11" s="1071">
        <f>SUM(B11:F11)</f>
        <v>15280649</v>
      </c>
      <c r="H11" s="1065"/>
      <c r="I11" s="1071">
        <f>ROUND($G$11*I7,0)</f>
        <v>10043971</v>
      </c>
      <c r="J11" s="1072">
        <f>ROUND($G$11*J7,0)</f>
        <v>5236678</v>
      </c>
      <c r="K11" s="1072">
        <f>SUM(I11:J11)</f>
        <v>15280649</v>
      </c>
      <c r="L11" s="98"/>
    </row>
    <row r="12" spans="1:12" ht="15">
      <c r="A12" s="1063">
        <v>408180</v>
      </c>
      <c r="B12" s="1073">
        <v>3146573</v>
      </c>
      <c r="C12" s="1073">
        <v>1367715</v>
      </c>
      <c r="D12" s="1073">
        <v>1239750</v>
      </c>
      <c r="E12" s="1073">
        <v>10490</v>
      </c>
      <c r="F12" s="1073">
        <v>0</v>
      </c>
      <c r="G12" s="1074">
        <f>SUM(B12:F12)</f>
        <v>5764528</v>
      </c>
      <c r="H12" s="1065"/>
      <c r="I12" s="1071">
        <f>ROUND($G$12*I7,0)</f>
        <v>3789024</v>
      </c>
      <c r="J12" s="1072">
        <f>ROUND($G$12*J7,0)</f>
        <v>1975504</v>
      </c>
      <c r="K12" s="1072">
        <f>SUM(I12:J12)</f>
        <v>5764528</v>
      </c>
    </row>
    <row r="13" spans="1:12" ht="15">
      <c r="A13" s="1063" t="s">
        <v>87</v>
      </c>
      <c r="B13" s="50">
        <f>SUM(B11:B12)</f>
        <v>6488933</v>
      </c>
      <c r="C13" s="50">
        <f t="shared" ref="C13:K13" si="0">SUM(C11:C12)</f>
        <v>2609466</v>
      </c>
      <c r="D13" s="50">
        <f t="shared" si="0"/>
        <v>9321426</v>
      </c>
      <c r="E13" s="50">
        <f t="shared" si="0"/>
        <v>2621666</v>
      </c>
      <c r="F13" s="50">
        <f t="shared" si="0"/>
        <v>3686</v>
      </c>
      <c r="G13" s="1075">
        <f t="shared" si="0"/>
        <v>21045177</v>
      </c>
      <c r="H13" s="1075">
        <f t="shared" si="0"/>
        <v>0</v>
      </c>
      <c r="I13" s="1075">
        <f t="shared" si="0"/>
        <v>13832995</v>
      </c>
      <c r="J13" s="1075">
        <f t="shared" si="0"/>
        <v>7212182</v>
      </c>
      <c r="K13" s="1075">
        <f t="shared" si="0"/>
        <v>21045177</v>
      </c>
    </row>
    <row r="14" spans="1:12" ht="15">
      <c r="A14" s="1063"/>
      <c r="B14" s="50"/>
      <c r="C14" s="246"/>
      <c r="D14" s="50"/>
      <c r="E14" s="50"/>
      <c r="F14" s="50"/>
      <c r="G14" s="1065"/>
      <c r="H14" s="1065"/>
      <c r="I14" s="1065"/>
      <c r="J14" s="1065"/>
      <c r="K14" s="1065"/>
    </row>
    <row r="15" spans="1:12" ht="15">
      <c r="A15" s="1070" t="s">
        <v>83</v>
      </c>
      <c r="B15" s="50"/>
      <c r="C15" s="50"/>
      <c r="D15" s="50"/>
      <c r="E15" s="50"/>
      <c r="F15" s="50"/>
      <c r="G15" s="1065"/>
      <c r="H15" s="1065"/>
      <c r="I15" s="1065"/>
      <c r="J15" s="1065"/>
      <c r="K15" s="1065"/>
    </row>
    <row r="16" spans="1:12" ht="15">
      <c r="A16" s="1063">
        <v>408170</v>
      </c>
      <c r="B16" s="1076">
        <v>7495836</v>
      </c>
      <c r="C16" s="1073">
        <v>3070265</v>
      </c>
      <c r="D16" s="1073">
        <v>0</v>
      </c>
      <c r="E16" s="1073">
        <v>0</v>
      </c>
      <c r="F16" s="1073">
        <v>0</v>
      </c>
      <c r="G16" s="1077">
        <f>SUM(B16:F16)</f>
        <v>10566101</v>
      </c>
      <c r="H16" s="1065"/>
      <c r="I16" s="1074">
        <f>B16</f>
        <v>7495836</v>
      </c>
      <c r="J16" s="1077">
        <f>C16</f>
        <v>3070265</v>
      </c>
      <c r="K16" s="1077">
        <f>SUM(I16:J16)</f>
        <v>10566101</v>
      </c>
    </row>
    <row r="17" spans="1:13" ht="15">
      <c r="A17" s="1063"/>
      <c r="B17" s="50"/>
      <c r="C17" s="50"/>
      <c r="D17" s="50"/>
      <c r="E17" s="50"/>
      <c r="F17" s="50"/>
      <c r="G17" s="1065"/>
      <c r="H17" s="1065"/>
      <c r="I17" s="1065"/>
      <c r="J17" s="1065"/>
      <c r="K17" s="1065"/>
    </row>
    <row r="18" spans="1:13" ht="15.75" thickBot="1">
      <c r="A18" s="1070" t="s">
        <v>82</v>
      </c>
      <c r="B18" s="1078">
        <f>SUM(B13:B16)</f>
        <v>13984769</v>
      </c>
      <c r="C18" s="1078">
        <f t="shared" ref="C18:K18" si="1">SUM(C13:C16)</f>
        <v>5679731</v>
      </c>
      <c r="D18" s="1078">
        <f t="shared" si="1"/>
        <v>9321426</v>
      </c>
      <c r="E18" s="1078">
        <f t="shared" si="1"/>
        <v>2621666</v>
      </c>
      <c r="F18" s="1078">
        <f t="shared" si="1"/>
        <v>3686</v>
      </c>
      <c r="G18" s="1078">
        <f t="shared" si="1"/>
        <v>31611278</v>
      </c>
      <c r="H18" s="1078">
        <f t="shared" si="1"/>
        <v>0</v>
      </c>
      <c r="I18" s="1078">
        <f t="shared" si="1"/>
        <v>21328831</v>
      </c>
      <c r="J18" s="1078">
        <f t="shared" si="1"/>
        <v>10282447</v>
      </c>
      <c r="K18" s="1078">
        <f t="shared" si="1"/>
        <v>31611278</v>
      </c>
    </row>
    <row r="19" spans="1:13" ht="15">
      <c r="A19" s="1063"/>
      <c r="B19" s="1065"/>
      <c r="C19" s="1065"/>
      <c r="D19" s="1065"/>
      <c r="E19" s="1065"/>
      <c r="F19" s="1065"/>
      <c r="G19" s="1065"/>
      <c r="H19" s="1065"/>
      <c r="I19" s="1065"/>
      <c r="J19" s="1065"/>
      <c r="K19" s="1065"/>
    </row>
    <row r="20" spans="1:13" ht="15.75" thickBot="1">
      <c r="A20" s="1079" t="s">
        <v>472</v>
      </c>
      <c r="B20" s="1080">
        <f>+'2.02Elec Restate as orig filed'!B19</f>
        <v>13357999</v>
      </c>
      <c r="C20" s="1080">
        <f>+'2.02Elec Restate as orig filed'!C19</f>
        <v>5679731</v>
      </c>
      <c r="D20" s="1080">
        <f>+'2.02Elec Restate as orig filed'!D19</f>
        <v>9743496</v>
      </c>
      <c r="E20" s="1080">
        <f>+'2.02Elec Restate as orig filed'!E19</f>
        <v>2621666</v>
      </c>
      <c r="F20" s="1080">
        <f>+'2.02Elec Restate as orig filed'!F19</f>
        <v>3686</v>
      </c>
      <c r="G20" s="1080">
        <f>SUM(B20:F20)</f>
        <v>31406578</v>
      </c>
      <c r="H20" s="1065"/>
      <c r="I20" s="1065"/>
      <c r="J20" s="1065"/>
      <c r="K20" s="1065"/>
    </row>
    <row r="21" spans="1:13" ht="30.75" thickBot="1">
      <c r="A21" s="1081" t="s">
        <v>300</v>
      </c>
      <c r="B21" s="1082">
        <f>+'Staff DR 160 as adapted '!Q35*1000</f>
        <v>12677752</v>
      </c>
      <c r="C21" s="1082">
        <f>+'Staff DR 160 as adapted '!Q58*1000</f>
        <v>5675166.9887565682</v>
      </c>
      <c r="D21" s="1082">
        <f>+'Staff DR 160 as adapted '!Q82*1000</f>
        <v>9750998.871923713</v>
      </c>
      <c r="E21" s="1082">
        <f>+('Staff DR 160 as adapted '!Q103+'Staff DR 160 as adapted '!Q119)*1000</f>
        <v>2525508.6100000003</v>
      </c>
      <c r="F21" s="1082">
        <f t="shared" ref="F21" si="2">F31</f>
        <v>3686</v>
      </c>
      <c r="G21" s="1082">
        <f>SUM(B21:F21)</f>
        <v>30633112.470680282</v>
      </c>
      <c r="H21" s="1083"/>
      <c r="I21" s="1083"/>
      <c r="J21" s="1083"/>
      <c r="K21" s="1084"/>
    </row>
    <row r="22" spans="1:13" ht="15">
      <c r="A22" s="1085" t="s">
        <v>471</v>
      </c>
      <c r="B22" s="1086">
        <f>+B21-B20</f>
        <v>-680247</v>
      </c>
      <c r="C22" s="1086">
        <f t="shared" ref="C22:F22" si="3">+C21-C20</f>
        <v>-4564.0112434318289</v>
      </c>
      <c r="D22" s="1086">
        <f t="shared" si="3"/>
        <v>7502.8719237130135</v>
      </c>
      <c r="E22" s="1086">
        <f t="shared" si="3"/>
        <v>-96157.389999999665</v>
      </c>
      <c r="F22" s="1086">
        <f t="shared" si="3"/>
        <v>0</v>
      </c>
      <c r="G22" s="1087">
        <f>SUM(B22:F22)</f>
        <v>-773465.52931971848</v>
      </c>
      <c r="H22" s="1088"/>
      <c r="I22" s="1088"/>
      <c r="J22" s="1088"/>
      <c r="K22" s="1089"/>
    </row>
    <row r="23" spans="1:13" ht="15">
      <c r="A23" s="1090" t="s">
        <v>86</v>
      </c>
      <c r="B23" s="1088"/>
      <c r="C23" s="1088"/>
      <c r="D23" s="1088"/>
      <c r="E23" s="1088"/>
      <c r="F23" s="1088"/>
      <c r="G23" s="1088"/>
      <c r="H23" s="1088"/>
      <c r="I23" s="1088"/>
      <c r="J23" s="1088"/>
      <c r="K23" s="1089"/>
    </row>
    <row r="24" spans="1:13" ht="15">
      <c r="A24" s="1090">
        <v>408150</v>
      </c>
      <c r="B24" s="1091">
        <f>+(B11/B18)*B21</f>
        <v>3029982.9174668528</v>
      </c>
      <c r="C24" s="1091">
        <f>+(C11/C18)*C21</f>
        <v>1240753.1771232577</v>
      </c>
      <c r="D24" s="1091">
        <f>+(D11/D18)*D21</f>
        <v>8454115.6641969737</v>
      </c>
      <c r="E24" s="1091">
        <f>+(E11/E18)*E21</f>
        <v>2515403.3619177123</v>
      </c>
      <c r="F24" s="1091">
        <v>3686</v>
      </c>
      <c r="G24" s="1091">
        <f>SUM(B24:F24)</f>
        <v>15243941.120704796</v>
      </c>
      <c r="H24" s="1088"/>
      <c r="I24" s="1092">
        <f>ROUND(G24*I7,0)</f>
        <v>10019842</v>
      </c>
      <c r="J24" s="1092">
        <f>+G24*J7</f>
        <v>5224098.6220655339</v>
      </c>
      <c r="K24" s="1093">
        <f>SUM(I24:J24)</f>
        <v>15243940.622065533</v>
      </c>
    </row>
    <row r="25" spans="1:13" ht="15">
      <c r="A25" s="1090">
        <v>408180</v>
      </c>
      <c r="B25" s="1094">
        <f>+(B12/B18)*B21</f>
        <v>2852494.177336501</v>
      </c>
      <c r="C25" s="1094">
        <f>+(C12/C18)*C21</f>
        <v>1366615.9573450203</v>
      </c>
      <c r="D25" s="1094">
        <f>+(D12/D18)*D21</f>
        <v>1296883.2077267386</v>
      </c>
      <c r="E25" s="1094">
        <f>+(E12/E18)*E21</f>
        <v>10105.248082288133</v>
      </c>
      <c r="F25" s="1094"/>
      <c r="G25" s="1094">
        <f>SUM(B25:F25)</f>
        <v>5526098.5904905479</v>
      </c>
      <c r="H25" s="1088"/>
      <c r="I25" s="1092">
        <f>ROUND(G25*I7,0)</f>
        <v>3632305</v>
      </c>
      <c r="J25" s="1092">
        <f>+G25*J7</f>
        <v>1893793.9869611107</v>
      </c>
      <c r="K25" s="1093">
        <f>SUM(I25:J25)</f>
        <v>5526098.9869611105</v>
      </c>
    </row>
    <row r="26" spans="1:13" ht="15">
      <c r="A26" s="1090" t="s">
        <v>88</v>
      </c>
      <c r="B26" s="1091">
        <f t="shared" ref="B26:G26" si="4">SUM(B24:B25)</f>
        <v>5882477.0948033538</v>
      </c>
      <c r="C26" s="1091">
        <f t="shared" si="4"/>
        <v>2607369.1344682779</v>
      </c>
      <c r="D26" s="1091">
        <f t="shared" si="4"/>
        <v>9750998.871923713</v>
      </c>
      <c r="E26" s="1091">
        <f t="shared" si="4"/>
        <v>2525508.6100000003</v>
      </c>
      <c r="F26" s="1091">
        <f t="shared" si="4"/>
        <v>3686</v>
      </c>
      <c r="G26" s="1091">
        <f t="shared" si="4"/>
        <v>20770039.711195342</v>
      </c>
      <c r="H26" s="1088"/>
      <c r="I26" s="1095">
        <f>SUM(I24:I25)</f>
        <v>13652147</v>
      </c>
      <c r="J26" s="1095">
        <f>SUM(J24:J25)</f>
        <v>7117892.6090266444</v>
      </c>
      <c r="K26" s="1096">
        <f>SUM(K24:K25)</f>
        <v>20770039.609026644</v>
      </c>
    </row>
    <row r="27" spans="1:13" ht="15">
      <c r="A27" s="1090"/>
      <c r="B27" s="1091"/>
      <c r="C27" s="1091"/>
      <c r="D27" s="1091"/>
      <c r="E27" s="1091"/>
      <c r="F27" s="1091"/>
      <c r="G27" s="1091"/>
      <c r="H27" s="1088"/>
      <c r="I27" s="1088"/>
      <c r="J27" s="1088"/>
      <c r="K27" s="1089"/>
    </row>
    <row r="28" spans="1:13" ht="15">
      <c r="A28" s="1090" t="s">
        <v>83</v>
      </c>
      <c r="B28" s="1091"/>
      <c r="C28" s="1091"/>
      <c r="D28" s="1091"/>
      <c r="E28" s="1091"/>
      <c r="F28" s="1091"/>
      <c r="G28" s="1091"/>
      <c r="H28" s="1088"/>
      <c r="I28" s="1088"/>
      <c r="J28" s="1088"/>
      <c r="K28" s="1089"/>
    </row>
    <row r="29" spans="1:13" ht="15">
      <c r="A29" s="1090">
        <v>408170</v>
      </c>
      <c r="B29" s="1094">
        <f>+(B16/B18)*B21</f>
        <v>6795274.9051966462</v>
      </c>
      <c r="C29" s="1094">
        <f>+(C16/C18)*C21</f>
        <v>3067797.8542882898</v>
      </c>
      <c r="D29" s="1094"/>
      <c r="E29" s="1094"/>
      <c r="F29" s="1094"/>
      <c r="G29" s="1094">
        <f>SUM(B29:F29)</f>
        <v>9863072.7594849356</v>
      </c>
      <c r="H29" s="1088"/>
      <c r="I29" s="1077">
        <f>B29</f>
        <v>6795274.9051966462</v>
      </c>
      <c r="J29" s="1077">
        <f>C29</f>
        <v>3067797.8542882898</v>
      </c>
      <c r="K29" s="1097">
        <f>SUM(I29:J29)</f>
        <v>9863072.7594849356</v>
      </c>
    </row>
    <row r="30" spans="1:13" ht="15">
      <c r="A30" s="1090"/>
      <c r="B30" s="1091"/>
      <c r="C30" s="1091"/>
      <c r="D30" s="1091"/>
      <c r="E30" s="1091"/>
      <c r="F30" s="1091"/>
      <c r="G30" s="1091"/>
      <c r="H30" s="1088"/>
      <c r="I30" s="1088"/>
      <c r="J30" s="1088"/>
      <c r="K30" s="1089"/>
    </row>
    <row r="31" spans="1:13" ht="15.75" thickBot="1">
      <c r="A31" s="1090"/>
      <c r="B31" s="1098">
        <f>SUM(B26:B29)</f>
        <v>12677752</v>
      </c>
      <c r="C31" s="1098">
        <f t="shared" ref="C31:E31" si="5">SUM(C26:C29)</f>
        <v>5675166.9887565672</v>
      </c>
      <c r="D31" s="1098">
        <f t="shared" si="5"/>
        <v>9750998.871923713</v>
      </c>
      <c r="E31" s="1098">
        <f t="shared" si="5"/>
        <v>2525508.6100000003</v>
      </c>
      <c r="F31" s="1098">
        <f t="shared" ref="F31:G31" si="6">SUM(F26:F29)</f>
        <v>3686</v>
      </c>
      <c r="G31" s="1098">
        <f t="shared" si="6"/>
        <v>30633112.470680278</v>
      </c>
      <c r="H31" s="1099"/>
      <c r="I31" s="1098">
        <f>SUM(I26:I29)</f>
        <v>20447421.905196644</v>
      </c>
      <c r="J31" s="1098">
        <f>SUM(J26:J29)</f>
        <v>10185690.463314934</v>
      </c>
      <c r="K31" s="1100">
        <f>SUM(K26:K29)</f>
        <v>30633112.36851158</v>
      </c>
      <c r="L31" s="96" t="s">
        <v>95</v>
      </c>
      <c r="M31" s="673"/>
    </row>
    <row r="32" spans="1:13" ht="15.75" thickBot="1">
      <c r="A32" s="1101"/>
      <c r="B32" s="1102"/>
      <c r="C32" s="1102"/>
      <c r="D32" s="1102"/>
      <c r="E32" s="1102"/>
      <c r="F32" s="1102"/>
      <c r="G32" s="1102"/>
      <c r="H32" s="1102"/>
      <c r="I32" s="1102"/>
      <c r="J32" s="1102"/>
      <c r="K32" s="1102"/>
    </row>
    <row r="33" spans="1:12" ht="15.75" thickBot="1">
      <c r="A33" s="1063"/>
      <c r="B33" s="1065"/>
      <c r="C33" s="1065"/>
      <c r="D33" s="1065"/>
      <c r="E33" s="1065"/>
      <c r="F33" s="1065"/>
      <c r="G33" s="1065"/>
      <c r="H33" s="1065"/>
      <c r="I33" s="1065"/>
      <c r="J33" s="1065"/>
      <c r="K33" s="1065"/>
    </row>
    <row r="34" spans="1:12" ht="15">
      <c r="A34" s="1103" t="s">
        <v>74</v>
      </c>
      <c r="B34" s="1083"/>
      <c r="C34" s="1083"/>
      <c r="D34" s="1083"/>
      <c r="E34" s="1083"/>
      <c r="F34" s="1083"/>
      <c r="G34" s="1083"/>
      <c r="H34" s="1083"/>
      <c r="I34" s="1083"/>
      <c r="J34" s="1083"/>
      <c r="K34" s="1084"/>
    </row>
    <row r="35" spans="1:12" ht="15">
      <c r="A35" s="1090" t="s">
        <v>86</v>
      </c>
      <c r="B35" s="1088"/>
      <c r="C35" s="1088"/>
      <c r="D35" s="1088"/>
      <c r="E35" s="1088"/>
      <c r="F35" s="1088"/>
      <c r="G35" s="1088"/>
      <c r="H35" s="1088"/>
      <c r="I35" s="1088"/>
      <c r="J35" s="1088"/>
      <c r="K35" s="1089"/>
    </row>
    <row r="36" spans="1:12" ht="15">
      <c r="A36" s="1090">
        <v>408150</v>
      </c>
      <c r="B36" s="1104">
        <f t="shared" ref="B36:F37" si="7">B24-B11</f>
        <v>-312377.08253314719</v>
      </c>
      <c r="C36" s="1104">
        <f t="shared" si="7"/>
        <v>-997.82287674234249</v>
      </c>
      <c r="D36" s="1104">
        <f t="shared" si="7"/>
        <v>372439.66419697367</v>
      </c>
      <c r="E36" s="1104">
        <f t="shared" si="7"/>
        <v>-95772.63808228774</v>
      </c>
      <c r="F36" s="1105">
        <f t="shared" si="7"/>
        <v>0</v>
      </c>
      <c r="G36" s="1104">
        <f>SUM(B36:F36)</f>
        <v>-36707.879295203602</v>
      </c>
      <c r="H36" s="1088"/>
      <c r="I36" s="1104">
        <f>I24-I11</f>
        <v>-24129</v>
      </c>
      <c r="J36" s="1104">
        <f>J24-J11</f>
        <v>-12579.377934466116</v>
      </c>
      <c r="K36" s="1093">
        <f>SUM(I36:J36)</f>
        <v>-36708.377934466116</v>
      </c>
    </row>
    <row r="37" spans="1:12" ht="15">
      <c r="A37" s="1090">
        <v>408180</v>
      </c>
      <c r="B37" s="1073">
        <f t="shared" si="7"/>
        <v>-294078.82266349904</v>
      </c>
      <c r="C37" s="1073">
        <f t="shared" si="7"/>
        <v>-1099.0426549797412</v>
      </c>
      <c r="D37" s="1073">
        <f t="shared" si="7"/>
        <v>57133.207726738648</v>
      </c>
      <c r="E37" s="1073">
        <f t="shared" si="7"/>
        <v>-384.75191771186655</v>
      </c>
      <c r="F37" s="1073">
        <f t="shared" si="7"/>
        <v>0</v>
      </c>
      <c r="G37" s="1073">
        <f>SUM(B37:F37)</f>
        <v>-238429.409509452</v>
      </c>
      <c r="H37" s="1088"/>
      <c r="I37" s="1104">
        <f>I25-I12</f>
        <v>-156719</v>
      </c>
      <c r="J37" s="1104">
        <f>J25-J12</f>
        <v>-81710.013038889272</v>
      </c>
      <c r="K37" s="1093">
        <f>SUM(I37:J37)</f>
        <v>-238429.01303888927</v>
      </c>
    </row>
    <row r="38" spans="1:12" ht="15">
      <c r="A38" s="1090" t="s">
        <v>88</v>
      </c>
      <c r="B38" s="1104">
        <f t="shared" ref="B38:G38" si="8">SUM(B36:B37)</f>
        <v>-606455.90519664623</v>
      </c>
      <c r="C38" s="1104">
        <f t="shared" si="8"/>
        <v>-2096.8655317220837</v>
      </c>
      <c r="D38" s="1104">
        <f t="shared" si="8"/>
        <v>429572.87192371232</v>
      </c>
      <c r="E38" s="1104">
        <f t="shared" si="8"/>
        <v>-96157.389999999607</v>
      </c>
      <c r="F38" s="1104">
        <f t="shared" si="8"/>
        <v>0</v>
      </c>
      <c r="G38" s="1104">
        <f t="shared" si="8"/>
        <v>-275137.2888046556</v>
      </c>
      <c r="H38" s="1088"/>
      <c r="I38" s="1075">
        <f>SUM(I36:I37)</f>
        <v>-180848</v>
      </c>
      <c r="J38" s="1075">
        <f>SUM(J36:J37)</f>
        <v>-94289.390973355388</v>
      </c>
      <c r="K38" s="1106">
        <f>SUM(K36:K37)</f>
        <v>-275137.39097335539</v>
      </c>
    </row>
    <row r="39" spans="1:12" ht="15">
      <c r="A39" s="1090"/>
      <c r="B39" s="1104"/>
      <c r="C39" s="1104"/>
      <c r="D39" s="1104"/>
      <c r="E39" s="1104"/>
      <c r="F39" s="1104"/>
      <c r="G39" s="1104"/>
      <c r="H39" s="1088"/>
      <c r="I39" s="1088"/>
      <c r="J39" s="1088"/>
      <c r="K39" s="1089"/>
    </row>
    <row r="40" spans="1:12" ht="15">
      <c r="A40" s="1090" t="s">
        <v>83</v>
      </c>
      <c r="B40" s="1104"/>
      <c r="C40" s="1104"/>
      <c r="D40" s="1104"/>
      <c r="E40" s="1104"/>
      <c r="F40" s="1104"/>
      <c r="G40" s="1104"/>
      <c r="H40" s="1088"/>
      <c r="I40" s="1088"/>
      <c r="J40" s="1088"/>
      <c r="K40" s="1089"/>
    </row>
    <row r="41" spans="1:12" ht="15">
      <c r="A41" s="1090">
        <v>408170</v>
      </c>
      <c r="B41" s="1073">
        <f>B29-B16</f>
        <v>-700561.09480335377</v>
      </c>
      <c r="C41" s="1073">
        <f>C29-C16</f>
        <v>-2467.1457117102109</v>
      </c>
      <c r="D41" s="1073">
        <f>D29-D16</f>
        <v>0</v>
      </c>
      <c r="E41" s="1073">
        <f>E29-E16</f>
        <v>0</v>
      </c>
      <c r="F41" s="1073">
        <f>F29-F16</f>
        <v>0</v>
      </c>
      <c r="G41" s="1073">
        <f>SUM(B41:F41)</f>
        <v>-703028.24051506398</v>
      </c>
      <c r="H41" s="1088"/>
      <c r="I41" s="1077">
        <f>B41</f>
        <v>-700561.09480335377</v>
      </c>
      <c r="J41" s="1077">
        <f>C41</f>
        <v>-2467.1457117102109</v>
      </c>
      <c r="K41" s="1097">
        <f>SUM(I41:J41)</f>
        <v>-703028.24051506398</v>
      </c>
    </row>
    <row r="42" spans="1:12" ht="15.75" thickBot="1">
      <c r="A42" s="1090"/>
      <c r="B42" s="1104"/>
      <c r="C42" s="1104"/>
      <c r="D42" s="1104"/>
      <c r="E42" s="1104"/>
      <c r="F42" s="1104"/>
      <c r="G42" s="1104"/>
      <c r="H42" s="1088"/>
      <c r="I42" s="1088"/>
      <c r="J42" s="1088"/>
      <c r="K42" s="1089"/>
    </row>
    <row r="43" spans="1:12" ht="16.5" thickTop="1" thickBot="1">
      <c r="A43" s="1090"/>
      <c r="B43" s="1078">
        <f t="shared" ref="B43:G43" si="9">SUM(B38:B41)</f>
        <v>-1307017</v>
      </c>
      <c r="C43" s="1078">
        <f t="shared" si="9"/>
        <v>-4564.0112434322946</v>
      </c>
      <c r="D43" s="1078">
        <f t="shared" si="9"/>
        <v>429572.87192371232</v>
      </c>
      <c r="E43" s="1078">
        <f t="shared" si="9"/>
        <v>-96157.389999999607</v>
      </c>
      <c r="F43" s="1078">
        <f t="shared" si="9"/>
        <v>0</v>
      </c>
      <c r="G43" s="1078">
        <f t="shared" si="9"/>
        <v>-978165.52931971964</v>
      </c>
      <c r="H43" s="285"/>
      <c r="I43" s="1107">
        <f>SUM(I38:I41)</f>
        <v>-881409.09480335377</v>
      </c>
      <c r="J43" s="1078">
        <f>SUM(J38:J41)</f>
        <v>-96756.536685065599</v>
      </c>
      <c r="K43" s="1108">
        <f>SUM(K38:K41)</f>
        <v>-978165.63148841937</v>
      </c>
    </row>
    <row r="44" spans="1:12" ht="15.75" thickBot="1">
      <c r="A44" s="1101"/>
      <c r="B44" s="1102"/>
      <c r="C44" s="1102"/>
      <c r="D44" s="1102"/>
      <c r="E44" s="1102"/>
      <c r="F44" s="1102"/>
      <c r="G44" s="1109" t="s">
        <v>264</v>
      </c>
      <c r="H44" s="1102"/>
      <c r="I44" s="1110">
        <v>-249680</v>
      </c>
      <c r="J44" s="1102"/>
      <c r="K44" s="1111"/>
    </row>
    <row r="45" spans="1:12">
      <c r="I45" s="673"/>
    </row>
    <row r="47" spans="1:12" ht="15.75" thickBot="1">
      <c r="A47" s="246" t="s">
        <v>434</v>
      </c>
      <c r="B47" s="1069"/>
      <c r="C47" s="246"/>
      <c r="D47" s="246"/>
      <c r="E47" s="246"/>
      <c r="F47" s="246"/>
      <c r="G47" s="246"/>
      <c r="H47" s="1112" t="s">
        <v>476</v>
      </c>
      <c r="I47" s="246"/>
      <c r="J47" s="246"/>
      <c r="K47" s="246"/>
    </row>
    <row r="48" spans="1:12" ht="30.75" thickBot="1">
      <c r="A48" s="1069" t="s">
        <v>93</v>
      </c>
      <c r="B48" s="1289" t="s">
        <v>89</v>
      </c>
      <c r="C48" s="1290"/>
      <c r="D48" s="1290"/>
      <c r="E48" s="1290"/>
      <c r="F48" s="1290"/>
      <c r="G48" s="1291"/>
      <c r="H48" s="1065"/>
      <c r="I48" s="1289" t="s">
        <v>75</v>
      </c>
      <c r="J48" s="1290"/>
      <c r="K48" s="1291"/>
      <c r="L48" s="96"/>
    </row>
    <row r="49" spans="1:13" ht="15">
      <c r="A49" s="1063"/>
      <c r="B49" s="1066"/>
      <c r="C49" s="1066"/>
      <c r="D49" s="1066"/>
      <c r="E49" s="1066"/>
      <c r="F49" s="1066"/>
      <c r="G49" s="1066"/>
      <c r="H49" s="1065"/>
      <c r="I49" s="1067">
        <v>0.6573</v>
      </c>
      <c r="J49" s="1067">
        <f>1-I49</f>
        <v>0.3427</v>
      </c>
      <c r="K49" s="1065"/>
    </row>
    <row r="50" spans="1:13" ht="15">
      <c r="A50" s="1069"/>
      <c r="B50" s="1069" t="s">
        <v>76</v>
      </c>
      <c r="C50" s="1069" t="s">
        <v>77</v>
      </c>
      <c r="D50" s="1069" t="s">
        <v>78</v>
      </c>
      <c r="E50" s="1069" t="s">
        <v>79</v>
      </c>
      <c r="F50" s="1069" t="s">
        <v>80</v>
      </c>
      <c r="G50" s="1069" t="s">
        <v>81</v>
      </c>
      <c r="H50" s="1069"/>
      <c r="I50" s="1069" t="s">
        <v>76</v>
      </c>
      <c r="J50" s="1069" t="s">
        <v>77</v>
      </c>
      <c r="K50" s="1069" t="s">
        <v>81</v>
      </c>
    </row>
    <row r="51" spans="1:13" ht="15">
      <c r="A51" s="1069"/>
      <c r="B51" s="1069"/>
      <c r="C51" s="1069"/>
      <c r="D51" s="1069"/>
      <c r="E51" s="1069"/>
      <c r="F51" s="1069"/>
      <c r="G51" s="1069"/>
      <c r="H51" s="1069"/>
      <c r="I51" s="1069"/>
      <c r="J51" s="1069"/>
      <c r="K51" s="1069"/>
    </row>
    <row r="52" spans="1:13" ht="15">
      <c r="A52" s="1070" t="s">
        <v>86</v>
      </c>
      <c r="B52" s="1065"/>
      <c r="C52" s="1065"/>
      <c r="D52" s="1065"/>
      <c r="E52" s="1065"/>
      <c r="F52" s="1065"/>
      <c r="G52" s="1065"/>
      <c r="H52" s="1065"/>
      <c r="I52" s="1065"/>
      <c r="J52" s="1065"/>
      <c r="K52" s="1065"/>
    </row>
    <row r="53" spans="1:13" ht="15">
      <c r="A53" s="1063">
        <v>408150</v>
      </c>
      <c r="B53" s="50">
        <f>+B24</f>
        <v>3029982.9174668528</v>
      </c>
      <c r="C53" s="50">
        <f t="shared" ref="C53:F53" si="10">+C24</f>
        <v>1240753.1771232577</v>
      </c>
      <c r="D53" s="50">
        <f t="shared" si="10"/>
        <v>8454115.6641969737</v>
      </c>
      <c r="E53" s="50">
        <f t="shared" si="10"/>
        <v>2515403.3619177123</v>
      </c>
      <c r="F53" s="50">
        <f t="shared" si="10"/>
        <v>3686</v>
      </c>
      <c r="G53" s="50">
        <f>SUM(B53:F53)</f>
        <v>15243941.120704796</v>
      </c>
      <c r="H53" s="1065"/>
      <c r="I53" s="1072">
        <f>+G53*I49</f>
        <v>10019842.498639263</v>
      </c>
      <c r="J53" s="1072">
        <f>+J49*G53</f>
        <v>5224098.6220655339</v>
      </c>
      <c r="K53" s="1072">
        <f>SUM(I53:J53)</f>
        <v>15243941.120704796</v>
      </c>
    </row>
    <row r="54" spans="1:13" ht="15">
      <c r="A54" s="1063">
        <v>408180</v>
      </c>
      <c r="B54" s="1073">
        <f>+B25</f>
        <v>2852494.177336501</v>
      </c>
      <c r="C54" s="1073">
        <f t="shared" ref="C54:F54" si="11">+C25</f>
        <v>1366615.9573450203</v>
      </c>
      <c r="D54" s="1073">
        <f t="shared" si="11"/>
        <v>1296883.2077267386</v>
      </c>
      <c r="E54" s="1073">
        <f t="shared" si="11"/>
        <v>10105.248082288133</v>
      </c>
      <c r="F54" s="1073">
        <f t="shared" si="11"/>
        <v>0</v>
      </c>
      <c r="G54" s="50">
        <f>SUM(B54:F54)</f>
        <v>5526098.5904905479</v>
      </c>
      <c r="H54" s="1065"/>
      <c r="I54" s="1072">
        <f>+$I$49*G54</f>
        <v>3632304.603529437</v>
      </c>
      <c r="J54" s="1072">
        <f>+$J$49*G54</f>
        <v>1893793.9869611107</v>
      </c>
      <c r="K54" s="1072">
        <f>SUM(I54:J54)</f>
        <v>5526098.5904905479</v>
      </c>
    </row>
    <row r="55" spans="1:13" ht="15">
      <c r="A55" s="1063" t="s">
        <v>87</v>
      </c>
      <c r="B55" s="50">
        <f>SUM(B53:B54)</f>
        <v>5882477.0948033538</v>
      </c>
      <c r="C55" s="50">
        <f t="shared" ref="C55:K55" si="12">SUM(C53:C54)</f>
        <v>2607369.1344682779</v>
      </c>
      <c r="D55" s="50">
        <f t="shared" si="12"/>
        <v>9750998.871923713</v>
      </c>
      <c r="E55" s="50">
        <f t="shared" si="12"/>
        <v>2525508.6100000003</v>
      </c>
      <c r="F55" s="50">
        <f t="shared" si="12"/>
        <v>3686</v>
      </c>
      <c r="G55" s="1075">
        <f t="shared" si="12"/>
        <v>20770039.711195342</v>
      </c>
      <c r="H55" s="1075"/>
      <c r="I55" s="1075">
        <f t="shared" si="12"/>
        <v>13652147.1021687</v>
      </c>
      <c r="J55" s="1075">
        <f t="shared" si="12"/>
        <v>7117892.6090266444</v>
      </c>
      <c r="K55" s="1075">
        <f t="shared" si="12"/>
        <v>20770039.711195342</v>
      </c>
    </row>
    <row r="56" spans="1:13" ht="15">
      <c r="A56" s="1063"/>
      <c r="B56" s="1113"/>
      <c r="C56" s="50"/>
      <c r="D56" s="50"/>
      <c r="E56" s="50"/>
      <c r="F56" s="50"/>
      <c r="G56" s="1065"/>
      <c r="H56" s="1065"/>
      <c r="I56" s="1065"/>
      <c r="J56" s="1065"/>
      <c r="K56" s="1065"/>
    </row>
    <row r="57" spans="1:13" ht="15">
      <c r="A57" s="1070" t="s">
        <v>83</v>
      </c>
      <c r="B57" s="50"/>
      <c r="C57" s="50"/>
      <c r="D57" s="50"/>
      <c r="E57" s="50"/>
      <c r="F57" s="50"/>
      <c r="G57" s="1065"/>
      <c r="H57" s="1065"/>
      <c r="I57" s="1065"/>
      <c r="J57" s="1065"/>
      <c r="K57" s="1065"/>
    </row>
    <row r="58" spans="1:13" ht="15">
      <c r="A58" s="1063">
        <v>408170</v>
      </c>
      <c r="B58" s="1073">
        <f>+B29</f>
        <v>6795274.9051966462</v>
      </c>
      <c r="C58" s="1073">
        <f t="shared" ref="C58:F58" si="13">+C29</f>
        <v>3067797.8542882898</v>
      </c>
      <c r="D58" s="1073">
        <f t="shared" si="13"/>
        <v>0</v>
      </c>
      <c r="E58" s="1073">
        <f t="shared" si="13"/>
        <v>0</v>
      </c>
      <c r="F58" s="1073">
        <f t="shared" si="13"/>
        <v>0</v>
      </c>
      <c r="G58" s="1077">
        <f>SUM(B58:F58)</f>
        <v>9863072.7594849356</v>
      </c>
      <c r="H58" s="1065"/>
      <c r="I58" s="1077">
        <f>+B58</f>
        <v>6795274.9051966462</v>
      </c>
      <c r="J58" s="1077">
        <f>+C58</f>
        <v>3067797.8542882898</v>
      </c>
      <c r="K58" s="1077">
        <f>SUM(I58:J58)</f>
        <v>9863072.7594849356</v>
      </c>
    </row>
    <row r="59" spans="1:13" ht="15">
      <c r="A59" s="1063"/>
      <c r="B59" s="50"/>
      <c r="C59" s="50"/>
      <c r="D59" s="50"/>
      <c r="E59" s="50"/>
      <c r="F59" s="50"/>
      <c r="G59" s="1065"/>
      <c r="H59" s="1065"/>
      <c r="I59" s="1065"/>
      <c r="J59" s="1065"/>
      <c r="K59" s="1065"/>
    </row>
    <row r="60" spans="1:13" ht="15.75" thickBot="1">
      <c r="A60" s="1070" t="s">
        <v>82</v>
      </c>
      <c r="B60" s="1078">
        <f>SUM(B55:B58)</f>
        <v>12677752</v>
      </c>
      <c r="C60" s="1078">
        <f>SUM(C55:C58)</f>
        <v>5675166.9887565672</v>
      </c>
      <c r="D60" s="1078">
        <f t="shared" ref="D60:F60" si="14">SUM(D55:D58)</f>
        <v>9750998.871923713</v>
      </c>
      <c r="E60" s="1078">
        <f t="shared" si="14"/>
        <v>2525508.6100000003</v>
      </c>
      <c r="F60" s="1078">
        <f t="shared" si="14"/>
        <v>3686</v>
      </c>
      <c r="G60" s="1078">
        <f t="shared" ref="G60" si="15">SUM(G55:G58)</f>
        <v>30633112.470680278</v>
      </c>
      <c r="H60" s="1078"/>
      <c r="I60" s="1078">
        <f>SUM(I55:I58)</f>
        <v>20447422.007365346</v>
      </c>
      <c r="J60" s="1078">
        <f t="shared" ref="J60" si="16">SUM(J55:J58)</f>
        <v>10185690.463314934</v>
      </c>
      <c r="K60" s="1078">
        <f>SUM(I60:J60)</f>
        <v>30633112.470680282</v>
      </c>
      <c r="L60" s="96" t="s">
        <v>96</v>
      </c>
      <c r="M60" s="96"/>
    </row>
    <row r="61" spans="1:13" ht="15">
      <c r="A61" s="1081"/>
      <c r="B61" s="1065"/>
      <c r="C61" s="1065"/>
      <c r="D61" s="1065"/>
      <c r="E61" s="1065"/>
      <c r="F61" s="1065"/>
      <c r="G61" s="1065"/>
      <c r="H61" s="1065"/>
      <c r="I61" s="1065"/>
      <c r="J61" s="1065"/>
      <c r="K61" s="1065"/>
    </row>
    <row r="62" spans="1:13" ht="15.75" thickBot="1">
      <c r="A62" s="1114" t="s">
        <v>264</v>
      </c>
      <c r="B62" s="1080">
        <f>+ForecastAsFiled!M9*1000</f>
        <v>15000000</v>
      </c>
      <c r="C62" s="1080">
        <f>+ForecastAsFiled!M11*1000</f>
        <v>6424000</v>
      </c>
      <c r="D62" s="1080">
        <f>+ForecastAsFiled!M12*1000</f>
        <v>11078000</v>
      </c>
      <c r="E62" s="1080">
        <f>+(ForecastAsFiled!M13+ForecastAsFiled!M14)*1000</f>
        <v>2584000</v>
      </c>
      <c r="F62" s="1080">
        <v>3686</v>
      </c>
      <c r="G62" s="1080">
        <f>SUM(B62:F62)</f>
        <v>35089686</v>
      </c>
      <c r="H62" s="1065"/>
      <c r="I62" s="1065"/>
      <c r="J62" s="1065"/>
      <c r="K62" s="1065"/>
      <c r="M62" s="97"/>
    </row>
    <row r="63" spans="1:13" ht="33" customHeight="1" thickBot="1">
      <c r="A63" s="1081" t="s">
        <v>90</v>
      </c>
      <c r="B63" s="1082">
        <f>+'Staff DR 160 as adapted '!Y35*1000</f>
        <v>13700228.237884853</v>
      </c>
      <c r="C63" s="1082">
        <f>+'Staff DR 160 as adapted '!Y58*1000</f>
        <v>6433994.8791618766</v>
      </c>
      <c r="D63" s="99">
        <f>+'Staff DR 160 as adapted '!Y82*1000</f>
        <v>10709659.74013502</v>
      </c>
      <c r="E63" s="1082">
        <f>+('Staff DR 160 as adapted '!Y103+'Staff DR 160 as adapted '!Y119)*1000</f>
        <v>2867152.3531587431</v>
      </c>
      <c r="F63" s="1082">
        <v>3686</v>
      </c>
      <c r="G63" s="1082">
        <f>SUM(B63:F63)</f>
        <v>33714721.210340492</v>
      </c>
      <c r="H63" s="1083"/>
      <c r="I63" s="1083"/>
      <c r="J63" s="1083"/>
      <c r="K63" s="1084"/>
    </row>
    <row r="64" spans="1:13" ht="18.75">
      <c r="A64" s="1114" t="s">
        <v>471</v>
      </c>
      <c r="B64" s="1115">
        <f>+B63-B62</f>
        <v>-1299771.762115147</v>
      </c>
      <c r="C64" s="1115">
        <f t="shared" ref="C64:F64" si="17">+C63-C62</f>
        <v>9994.8791618766263</v>
      </c>
      <c r="D64" s="1115">
        <f t="shared" si="17"/>
        <v>-368340.25986498035</v>
      </c>
      <c r="E64" s="1115">
        <f t="shared" si="17"/>
        <v>283152.35315874312</v>
      </c>
      <c r="F64" s="1115">
        <f t="shared" si="17"/>
        <v>0</v>
      </c>
      <c r="G64" s="1115">
        <f>SUM(B64:F64)</f>
        <v>-1374964.7896595076</v>
      </c>
      <c r="H64" s="1088"/>
      <c r="I64" s="1088"/>
      <c r="J64" s="1088"/>
      <c r="K64" s="1089"/>
    </row>
    <row r="65" spans="1:11" ht="15">
      <c r="A65" s="1090" t="s">
        <v>86</v>
      </c>
      <c r="B65" s="1088"/>
      <c r="C65" s="1088"/>
      <c r="D65" s="1088"/>
      <c r="E65" s="1088"/>
      <c r="F65" s="1088"/>
      <c r="G65" s="1088"/>
      <c r="H65" s="1088"/>
      <c r="I65" s="1088"/>
      <c r="J65" s="1088"/>
      <c r="K65" s="1089"/>
    </row>
    <row r="66" spans="1:11" ht="15">
      <c r="A66" s="1090">
        <v>408150</v>
      </c>
      <c r="B66" s="1091">
        <f>+(B53/B60)*B63</f>
        <v>3274354.7536020665</v>
      </c>
      <c r="C66" s="1091">
        <f t="shared" ref="C66:F66" si="18">C53/C60*C63</f>
        <v>1406654.5713510271</v>
      </c>
      <c r="D66" s="1091">
        <f t="shared" si="18"/>
        <v>9285274.6017632298</v>
      </c>
      <c r="E66" s="1091">
        <f t="shared" si="18"/>
        <v>2855680.0953712771</v>
      </c>
      <c r="F66" s="1091">
        <f t="shared" si="18"/>
        <v>3686</v>
      </c>
      <c r="G66" s="1091">
        <f>SUM(B66:F66)</f>
        <v>16825650.0220876</v>
      </c>
      <c r="H66" s="1088"/>
      <c r="I66" s="1092">
        <f>+I49*G66</f>
        <v>11059499.75951818</v>
      </c>
      <c r="J66" s="1092">
        <f>ROUND(G66*J49,0)</f>
        <v>5766150</v>
      </c>
      <c r="K66" s="1093">
        <f>SUM(I66:J66)</f>
        <v>16825649.75951818</v>
      </c>
    </row>
    <row r="67" spans="1:11" ht="15">
      <c r="A67" s="1090">
        <v>408180</v>
      </c>
      <c r="B67" s="1094">
        <f>+(B54/B60)*B63</f>
        <v>3082551.3290327541</v>
      </c>
      <c r="C67" s="1094">
        <f t="shared" ref="C67:F67" si="19">C54/C60*C63</f>
        <v>1549346.4930210405</v>
      </c>
      <c r="D67" s="1094">
        <f t="shared" si="19"/>
        <v>1424385.1383717889</v>
      </c>
      <c r="E67" s="1094">
        <f t="shared" si="19"/>
        <v>11472.257787466144</v>
      </c>
      <c r="F67" s="1094">
        <f t="shared" si="19"/>
        <v>0</v>
      </c>
      <c r="G67" s="1094">
        <f>SUM(B67:F67)</f>
        <v>6067755.2182130497</v>
      </c>
      <c r="H67" s="1088"/>
      <c r="I67" s="1092">
        <f>ROUND(G67*I49,0)</f>
        <v>3988336</v>
      </c>
      <c r="J67" s="1092">
        <f>ROUND(G67*J49,0)</f>
        <v>2079420</v>
      </c>
      <c r="K67" s="1093">
        <f>SUM(I67:J67)</f>
        <v>6067756</v>
      </c>
    </row>
    <row r="68" spans="1:11" ht="15">
      <c r="A68" s="1090" t="s">
        <v>88</v>
      </c>
      <c r="B68" s="1091">
        <f>SUM(B66:B67)</f>
        <v>6356906.0826348206</v>
      </c>
      <c r="C68" s="1091">
        <f t="shared" ref="C68:G68" si="20">SUM(C66:C67)</f>
        <v>2956001.0643720673</v>
      </c>
      <c r="D68" s="1091">
        <f t="shared" si="20"/>
        <v>10709659.740135018</v>
      </c>
      <c r="E68" s="1091">
        <f t="shared" si="20"/>
        <v>2867152.3531587431</v>
      </c>
      <c r="F68" s="1091">
        <f t="shared" si="20"/>
        <v>3686</v>
      </c>
      <c r="G68" s="1091">
        <f t="shared" si="20"/>
        <v>22893405.240300648</v>
      </c>
      <c r="H68" s="1088"/>
      <c r="I68" s="1095">
        <f>SUM(I66:I67)</f>
        <v>15047835.75951818</v>
      </c>
      <c r="J68" s="1095">
        <f>SUM(J66:J67)</f>
        <v>7845570</v>
      </c>
      <c r="K68" s="1096">
        <f>SUM(K66:K67)</f>
        <v>22893405.75951818</v>
      </c>
    </row>
    <row r="69" spans="1:11" ht="15">
      <c r="A69" s="1090"/>
      <c r="B69" s="1116"/>
      <c r="C69" s="1091"/>
      <c r="D69" s="1091"/>
      <c r="E69" s="1091"/>
      <c r="F69" s="1091"/>
      <c r="G69" s="1091"/>
      <c r="H69" s="1088"/>
      <c r="I69" s="1088"/>
      <c r="J69" s="1088"/>
      <c r="K69" s="1089"/>
    </row>
    <row r="70" spans="1:11" ht="15">
      <c r="A70" s="1090" t="s">
        <v>83</v>
      </c>
      <c r="B70" s="1091"/>
      <c r="C70" s="1091"/>
      <c r="D70" s="1091"/>
      <c r="E70" s="1091"/>
      <c r="F70" s="1091"/>
      <c r="G70" s="1091"/>
      <c r="H70" s="1088"/>
      <c r="I70" s="1088"/>
      <c r="J70" s="1088"/>
      <c r="K70" s="1089"/>
    </row>
    <row r="71" spans="1:11" ht="15">
      <c r="A71" s="1090">
        <v>408170</v>
      </c>
      <c r="B71" s="1094">
        <f>+(B58/B60)*B63</f>
        <v>7343322.1552500324</v>
      </c>
      <c r="C71" s="1094">
        <f t="shared" ref="C71:F71" si="21">C58/C60*C63</f>
        <v>3477993.8147898098</v>
      </c>
      <c r="D71" s="1094">
        <f t="shared" si="21"/>
        <v>0</v>
      </c>
      <c r="E71" s="1094">
        <f t="shared" si="21"/>
        <v>0</v>
      </c>
      <c r="F71" s="1094">
        <f t="shared" si="21"/>
        <v>0</v>
      </c>
      <c r="G71" s="1094">
        <f>SUM(B71:F71)</f>
        <v>10821315.970039843</v>
      </c>
      <c r="H71" s="1088"/>
      <c r="I71" s="1077">
        <f>B71</f>
        <v>7343322.1552500324</v>
      </c>
      <c r="J71" s="1077">
        <f>C71</f>
        <v>3477993.8147898098</v>
      </c>
      <c r="K71" s="1097">
        <f>SUM(I71:J71)</f>
        <v>10821315.970039843</v>
      </c>
    </row>
    <row r="72" spans="1:11" ht="15">
      <c r="A72" s="1090"/>
      <c r="B72" s="1117"/>
      <c r="C72" s="1091"/>
      <c r="D72" s="1091"/>
      <c r="E72" s="1091"/>
      <c r="F72" s="1091"/>
      <c r="G72" s="1091"/>
      <c r="H72" s="1088"/>
      <c r="I72" s="1088"/>
      <c r="J72" s="1088"/>
      <c r="K72" s="1089"/>
    </row>
    <row r="73" spans="1:11" ht="15.75" thickBot="1">
      <c r="A73" s="1090"/>
      <c r="B73" s="1098">
        <f>SUM(B68:B71)</f>
        <v>13700228.237884853</v>
      </c>
      <c r="C73" s="1098">
        <f t="shared" ref="C73:G73" si="22">SUM(C68:C71)</f>
        <v>6433994.8791618776</v>
      </c>
      <c r="D73" s="1098">
        <f t="shared" si="22"/>
        <v>10709659.740135018</v>
      </c>
      <c r="E73" s="1098">
        <f t="shared" si="22"/>
        <v>2867152.3531587431</v>
      </c>
      <c r="F73" s="1098">
        <f t="shared" si="22"/>
        <v>3686</v>
      </c>
      <c r="G73" s="1098">
        <f t="shared" si="22"/>
        <v>33714721.210340492</v>
      </c>
      <c r="H73" s="1099"/>
      <c r="I73" s="1098">
        <f>SUM(I68:I71)</f>
        <v>22391157.914768212</v>
      </c>
      <c r="J73" s="1098">
        <f>SUM(J68:J71)</f>
        <v>11323563.814789809</v>
      </c>
      <c r="K73" s="1100">
        <f>SUM(K68:K71)</f>
        <v>33714721.729558021</v>
      </c>
    </row>
    <row r="74" spans="1:11" ht="15.75" thickBot="1">
      <c r="A74" s="1118"/>
      <c r="B74" s="1102"/>
      <c r="C74" s="1102"/>
      <c r="D74" s="1102"/>
      <c r="E74" s="1102"/>
      <c r="F74" s="1102"/>
      <c r="G74" s="1102"/>
      <c r="H74" s="1102"/>
      <c r="I74" s="1102"/>
      <c r="J74" s="1102"/>
      <c r="K74" s="1102"/>
    </row>
    <row r="75" spans="1:11" ht="15.75" thickBot="1">
      <c r="A75" s="1063"/>
      <c r="B75" s="1065"/>
      <c r="C75" s="1065"/>
      <c r="D75" s="1065"/>
      <c r="E75" s="1065"/>
      <c r="F75" s="1065"/>
      <c r="G75" s="1065"/>
      <c r="H75" s="1065"/>
      <c r="I75" s="1065"/>
      <c r="J75" s="1065"/>
      <c r="K75" s="1065"/>
    </row>
    <row r="76" spans="1:11" ht="15">
      <c r="A76" s="1103" t="s">
        <v>74</v>
      </c>
      <c r="B76" s="1083"/>
      <c r="C76" s="1083"/>
      <c r="D76" s="1083"/>
      <c r="E76" s="1083"/>
      <c r="F76" s="1083"/>
      <c r="G76" s="1083"/>
      <c r="H76" s="1083"/>
      <c r="I76" s="1083"/>
      <c r="J76" s="1083"/>
      <c r="K76" s="1084"/>
    </row>
    <row r="77" spans="1:11" ht="15">
      <c r="A77" s="1090" t="s">
        <v>86</v>
      </c>
      <c r="B77" s="1088"/>
      <c r="C77" s="1088"/>
      <c r="D77" s="1088"/>
      <c r="E77" s="1088"/>
      <c r="F77" s="1088"/>
      <c r="G77" s="1088"/>
      <c r="H77" s="1088"/>
      <c r="I77" s="1088"/>
      <c r="J77" s="1088"/>
      <c r="K77" s="1089"/>
    </row>
    <row r="78" spans="1:11" ht="15">
      <c r="A78" s="1090">
        <v>408150</v>
      </c>
      <c r="B78" s="1104">
        <f t="shared" ref="B78:F79" si="23">B66-B53</f>
        <v>244371.83613521373</v>
      </c>
      <c r="C78" s="1104">
        <f t="shared" si="23"/>
        <v>165901.39422776946</v>
      </c>
      <c r="D78" s="1104">
        <f t="shared" si="23"/>
        <v>831158.93756625615</v>
      </c>
      <c r="E78" s="1104">
        <f t="shared" si="23"/>
        <v>340276.73345356481</v>
      </c>
      <c r="F78" s="1105">
        <f t="shared" si="23"/>
        <v>0</v>
      </c>
      <c r="G78" s="1104">
        <f>SUM(B78:F78)</f>
        <v>1581708.9013828041</v>
      </c>
      <c r="H78" s="1088"/>
      <c r="I78" s="1104">
        <f>I66-I53</f>
        <v>1039657.2608789168</v>
      </c>
      <c r="J78" s="1104">
        <f>J66-J53</f>
        <v>542051.37793446612</v>
      </c>
      <c r="K78" s="1093">
        <f>SUM(I78:J78)</f>
        <v>1581708.6388133829</v>
      </c>
    </row>
    <row r="79" spans="1:11" ht="15">
      <c r="A79" s="1090">
        <v>408180</v>
      </c>
      <c r="B79" s="1073">
        <f t="shared" si="23"/>
        <v>230057.1516962531</v>
      </c>
      <c r="C79" s="1073">
        <f t="shared" si="23"/>
        <v>182730.5356760202</v>
      </c>
      <c r="D79" s="1073">
        <f t="shared" si="23"/>
        <v>127501.93064505025</v>
      </c>
      <c r="E79" s="1073">
        <f t="shared" si="23"/>
        <v>1367.0097051780103</v>
      </c>
      <c r="F79" s="1073">
        <f t="shared" si="23"/>
        <v>0</v>
      </c>
      <c r="G79" s="1073">
        <f>SUM(B79:F79)</f>
        <v>541656.62772250152</v>
      </c>
      <c r="H79" s="1088"/>
      <c r="I79" s="1104">
        <f>I67-I54</f>
        <v>356031.39647056302</v>
      </c>
      <c r="J79" s="1104">
        <f>J67-J54</f>
        <v>185626.01303888927</v>
      </c>
      <c r="K79" s="1093">
        <f>SUM(I79:J79)</f>
        <v>541657.40950945229</v>
      </c>
    </row>
    <row r="80" spans="1:11" ht="15">
      <c r="A80" s="1090" t="s">
        <v>88</v>
      </c>
      <c r="B80" s="1104">
        <f t="shared" ref="B80:G80" si="24">SUM(B78:B79)</f>
        <v>474428.98783146683</v>
      </c>
      <c r="C80" s="1104">
        <f t="shared" si="24"/>
        <v>348631.92990378966</v>
      </c>
      <c r="D80" s="1104">
        <f t="shared" si="24"/>
        <v>958660.8682113064</v>
      </c>
      <c r="E80" s="1104">
        <f t="shared" si="24"/>
        <v>341643.74315874284</v>
      </c>
      <c r="F80" s="1104">
        <f t="shared" si="24"/>
        <v>0</v>
      </c>
      <c r="G80" s="1104">
        <f t="shared" si="24"/>
        <v>2123365.5291053057</v>
      </c>
      <c r="H80" s="1088"/>
      <c r="I80" s="1075">
        <f>SUM(I78:I79)</f>
        <v>1395688.6573494799</v>
      </c>
      <c r="J80" s="1075">
        <f>SUM(J78:J79)</f>
        <v>727677.39097335539</v>
      </c>
      <c r="K80" s="1106">
        <f>SUM(K78:K79)</f>
        <v>2123366.048322835</v>
      </c>
    </row>
    <row r="81" spans="1:11" ht="15">
      <c r="A81" s="1090"/>
      <c r="B81" s="1104"/>
      <c r="C81" s="1104"/>
      <c r="D81" s="1104"/>
      <c r="E81" s="1104"/>
      <c r="F81" s="1104"/>
      <c r="G81" s="1104"/>
      <c r="H81" s="1088"/>
      <c r="I81" s="1088"/>
      <c r="J81" s="1088"/>
      <c r="K81" s="1089"/>
    </row>
    <row r="82" spans="1:11" ht="15">
      <c r="A82" s="1090" t="s">
        <v>83</v>
      </c>
      <c r="B82" s="1104"/>
      <c r="C82" s="1104"/>
      <c r="D82" s="1104"/>
      <c r="E82" s="1104"/>
      <c r="F82" s="1104"/>
      <c r="G82" s="1104"/>
      <c r="H82" s="1088"/>
      <c r="I82" s="1088"/>
      <c r="J82" s="1088"/>
      <c r="K82" s="1089"/>
    </row>
    <row r="83" spans="1:11" ht="15">
      <c r="A83" s="1090">
        <v>408170</v>
      </c>
      <c r="B83" s="1073">
        <f>B71-B58</f>
        <v>548047.2500533862</v>
      </c>
      <c r="C83" s="1073">
        <f>C71-C58</f>
        <v>410195.96050151996</v>
      </c>
      <c r="D83" s="1073">
        <f>D71-D58</f>
        <v>0</v>
      </c>
      <c r="E83" s="1073">
        <f>E71-E58</f>
        <v>0</v>
      </c>
      <c r="F83" s="1073">
        <f>F71-F58</f>
        <v>0</v>
      </c>
      <c r="G83" s="1073">
        <f>SUM(B83:F83)</f>
        <v>958243.21055490617</v>
      </c>
      <c r="H83" s="1088"/>
      <c r="I83" s="1077">
        <f>B83</f>
        <v>548047.2500533862</v>
      </c>
      <c r="J83" s="1077">
        <f>C83</f>
        <v>410195.96050151996</v>
      </c>
      <c r="K83" s="1097">
        <f>SUM(I83:J83)</f>
        <v>958243.21055490617</v>
      </c>
    </row>
    <row r="84" spans="1:11" ht="15.75" thickBot="1">
      <c r="A84" s="1090"/>
      <c r="B84" s="1104"/>
      <c r="C84" s="1104"/>
      <c r="D84" s="1104"/>
      <c r="E84" s="1104"/>
      <c r="F84" s="1104"/>
      <c r="G84" s="1104"/>
      <c r="H84" s="1088"/>
      <c r="I84" s="1088"/>
      <c r="J84" s="1088"/>
      <c r="K84" s="1089"/>
    </row>
    <row r="85" spans="1:11" ht="16.5" thickTop="1" thickBot="1">
      <c r="A85" s="1090"/>
      <c r="B85" s="1078">
        <f t="shared" ref="B85:G85" si="25">SUM(B80:B83)</f>
        <v>1022476.237884853</v>
      </c>
      <c r="C85" s="1078">
        <f t="shared" si="25"/>
        <v>758827.89040530962</v>
      </c>
      <c r="D85" s="1078">
        <f t="shared" si="25"/>
        <v>958660.8682113064</v>
      </c>
      <c r="E85" s="1078">
        <f t="shared" si="25"/>
        <v>341643.74315874284</v>
      </c>
      <c r="F85" s="1078">
        <f t="shared" si="25"/>
        <v>0</v>
      </c>
      <c r="G85" s="1078">
        <f t="shared" si="25"/>
        <v>3081608.7396602118</v>
      </c>
      <c r="H85" s="285"/>
      <c r="I85" s="1107">
        <f>SUM(I80:I83)</f>
        <v>1943735.9074028661</v>
      </c>
      <c r="J85" s="1078">
        <f>SUM(J80:J83)</f>
        <v>1137873.3514748754</v>
      </c>
      <c r="K85" s="1108">
        <f>SUM(K80:K83)</f>
        <v>3081609.2588777412</v>
      </c>
    </row>
    <row r="86" spans="1:11" ht="15.75" thickBot="1">
      <c r="A86" s="1101"/>
      <c r="B86" s="1102"/>
      <c r="C86" s="1102"/>
      <c r="D86" s="1102"/>
      <c r="E86" s="1102"/>
      <c r="F86" s="1102"/>
      <c r="G86" s="1109" t="s">
        <v>264</v>
      </c>
      <c r="H86" s="1109"/>
      <c r="I86" s="1110">
        <v>2458073</v>
      </c>
      <c r="J86" s="1102"/>
      <c r="K86" s="1111"/>
    </row>
    <row r="87" spans="1:11">
      <c r="I87" s="96"/>
    </row>
    <row r="89" spans="1:11">
      <c r="I89" s="673"/>
    </row>
  </sheetData>
  <mergeCells count="4">
    <mergeCell ref="B48:G48"/>
    <mergeCell ref="I48:K48"/>
    <mergeCell ref="B6:G6"/>
    <mergeCell ref="I6:K6"/>
  </mergeCells>
  <pageMargins left="0.55000000000000004" right="0.47" top="0.59" bottom="0.37" header="0.3" footer="0.3"/>
  <pageSetup scale="55" orientation="portrait" r:id="rId1"/>
  <headerFooter>
    <oddHeader xml:space="preserve">&amp;R
Avista Rebuttal Property Tax
Exh AIW-2
Dockets UE-170485 / UG-170486
</oddHead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AB208"/>
  <sheetViews>
    <sheetView tabSelected="1" view="pageBreakPreview" topLeftCell="A52" zoomScaleNormal="100" zoomScaleSheetLayoutView="100" workbookViewId="0"/>
  </sheetViews>
  <sheetFormatPr defaultRowHeight="15"/>
  <cols>
    <col min="2" max="2" width="41.42578125" customWidth="1"/>
    <col min="3" max="3" width="6.5703125" style="269" hidden="1" customWidth="1"/>
    <col min="4" max="4" width="28.28515625" hidden="1" customWidth="1"/>
    <col min="5" max="5" width="6.85546875" hidden="1" customWidth="1"/>
    <col min="6" max="6" width="26.42578125" hidden="1" customWidth="1"/>
    <col min="7" max="7" width="8" hidden="1" customWidth="1"/>
    <col min="8" max="8" width="24.140625" hidden="1" customWidth="1"/>
    <col min="9" max="9" width="6.28515625" style="270" hidden="1" customWidth="1"/>
    <col min="10" max="10" width="21.7109375" hidden="1" customWidth="1"/>
    <col min="11" max="11" width="4.7109375" hidden="1" customWidth="1"/>
    <col min="12" max="12" width="8.7109375" style="271" hidden="1" customWidth="1"/>
    <col min="13" max="13" width="19.85546875" hidden="1" customWidth="1"/>
    <col min="14" max="14" width="8" style="246" hidden="1" customWidth="1"/>
    <col min="15" max="15" width="19.85546875" hidden="1" customWidth="1"/>
    <col min="16" max="16" width="8" style="246" hidden="1" customWidth="1"/>
    <col min="17" max="17" width="21.42578125" customWidth="1"/>
    <col min="18" max="18" width="23.42578125" style="670" customWidth="1"/>
    <col min="19" max="19" width="5.85546875" style="246" customWidth="1"/>
    <col min="20" max="20" width="16" style="273" customWidth="1"/>
    <col min="21" max="21" width="25.42578125" customWidth="1"/>
    <col min="22" max="22" width="18.42578125" style="274" customWidth="1"/>
    <col min="23" max="23" width="35.7109375" style="816" customWidth="1"/>
    <col min="24" max="24" width="9.7109375" style="273" customWidth="1"/>
    <col min="25" max="25" width="18.7109375" customWidth="1"/>
    <col min="26" max="26" width="15.28515625" customWidth="1"/>
    <col min="27" max="28" width="18.7109375" customWidth="1"/>
  </cols>
  <sheetData>
    <row r="1" spans="1:28">
      <c r="B1" t="s">
        <v>431</v>
      </c>
    </row>
    <row r="2" spans="1:28">
      <c r="B2" t="s">
        <v>462</v>
      </c>
    </row>
    <row r="3" spans="1:28" ht="15.75" thickBot="1">
      <c r="B3" t="s">
        <v>463</v>
      </c>
      <c r="R3"/>
    </row>
    <row r="4" spans="1:28" ht="18.75" thickBot="1">
      <c r="O4" s="272" t="s">
        <v>184</v>
      </c>
      <c r="Q4" s="846" t="s">
        <v>184</v>
      </c>
      <c r="R4" s="853" t="s">
        <v>455</v>
      </c>
      <c r="T4" s="922" t="s">
        <v>231</v>
      </c>
      <c r="U4" s="919" t="s">
        <v>490</v>
      </c>
      <c r="Y4" s="272" t="s">
        <v>184</v>
      </c>
      <c r="Z4" s="272" t="s">
        <v>184</v>
      </c>
      <c r="AA4" s="272" t="s">
        <v>184</v>
      </c>
      <c r="AB4" s="272" t="s">
        <v>184</v>
      </c>
    </row>
    <row r="5" spans="1:28" ht="18">
      <c r="C5" s="275"/>
      <c r="D5" s="275"/>
      <c r="E5" s="275"/>
      <c r="F5" s="275"/>
      <c r="G5" s="275"/>
      <c r="K5" s="276"/>
      <c r="L5"/>
      <c r="O5" s="277">
        <v>2015</v>
      </c>
      <c r="P5" s="276"/>
      <c r="Q5" s="847" t="s">
        <v>232</v>
      </c>
      <c r="R5" s="849" t="s">
        <v>236</v>
      </c>
      <c r="S5" s="276"/>
      <c r="T5" s="923" t="s">
        <v>232</v>
      </c>
      <c r="U5" s="920">
        <v>2017</v>
      </c>
      <c r="V5" s="854" t="s">
        <v>233</v>
      </c>
      <c r="W5" s="987" t="s">
        <v>233</v>
      </c>
      <c r="Y5" s="277" t="s">
        <v>232</v>
      </c>
      <c r="Z5" s="277" t="s">
        <v>232</v>
      </c>
      <c r="AA5" s="277" t="s">
        <v>232</v>
      </c>
      <c r="AB5" s="277" t="s">
        <v>232</v>
      </c>
    </row>
    <row r="6" spans="1:28" ht="18.75" thickBot="1">
      <c r="C6" s="275"/>
      <c r="D6" s="275"/>
      <c r="E6" s="275"/>
      <c r="F6" s="275"/>
      <c r="G6" s="275"/>
      <c r="H6" s="280"/>
      <c r="I6" s="281" t="s">
        <v>234</v>
      </c>
      <c r="J6" s="282"/>
      <c r="K6" s="283"/>
      <c r="L6" s="284"/>
      <c r="M6" s="85"/>
      <c r="N6" s="285"/>
      <c r="O6" s="286" t="s">
        <v>235</v>
      </c>
      <c r="P6" s="208"/>
      <c r="Q6" s="848" t="s">
        <v>203</v>
      </c>
      <c r="R6" s="850" t="s">
        <v>238</v>
      </c>
      <c r="S6" s="208"/>
      <c r="T6" s="924" t="s">
        <v>203</v>
      </c>
      <c r="U6" s="921"/>
      <c r="V6" s="855" t="s">
        <v>237</v>
      </c>
      <c r="W6" s="988" t="s">
        <v>237</v>
      </c>
      <c r="Y6" s="189" t="s">
        <v>203</v>
      </c>
      <c r="Z6" s="189" t="s">
        <v>203</v>
      </c>
      <c r="AA6" s="189" t="s">
        <v>203</v>
      </c>
      <c r="AB6" s="189" t="s">
        <v>203</v>
      </c>
    </row>
    <row r="7" spans="1:28" s="246" customFormat="1" ht="15.75" thickBot="1">
      <c r="C7" s="1155"/>
      <c r="D7" s="288" t="s">
        <v>98</v>
      </c>
      <c r="F7" s="288" t="s">
        <v>98</v>
      </c>
      <c r="H7" s="288" t="s">
        <v>98</v>
      </c>
      <c r="I7" s="271"/>
      <c r="J7" s="288" t="s">
        <v>98</v>
      </c>
      <c r="K7" s="288"/>
      <c r="L7" s="289"/>
      <c r="M7" s="288" t="s">
        <v>98</v>
      </c>
      <c r="N7" s="288"/>
      <c r="O7" s="288" t="s">
        <v>98</v>
      </c>
      <c r="P7" s="288"/>
      <c r="Q7" s="288" t="s">
        <v>98</v>
      </c>
      <c r="R7" s="670"/>
      <c r="S7" s="288"/>
      <c r="T7" s="923" t="s">
        <v>98</v>
      </c>
      <c r="U7" s="288" t="s">
        <v>98</v>
      </c>
      <c r="V7" s="824"/>
      <c r="W7" s="989" t="s">
        <v>239</v>
      </c>
      <c r="X7" s="273"/>
      <c r="Y7" s="288" t="s">
        <v>98</v>
      </c>
      <c r="Z7" s="288" t="s">
        <v>98</v>
      </c>
      <c r="AA7" s="288" t="s">
        <v>98</v>
      </c>
      <c r="AB7" s="288" t="s">
        <v>98</v>
      </c>
    </row>
    <row r="8" spans="1:28" s="246" customFormat="1">
      <c r="B8" s="1156" t="s">
        <v>99</v>
      </c>
      <c r="C8" s="1155"/>
      <c r="D8" s="291">
        <v>2009</v>
      </c>
      <c r="F8" s="291">
        <v>2010</v>
      </c>
      <c r="H8" s="291">
        <v>2011</v>
      </c>
      <c r="I8" s="271"/>
      <c r="J8" s="291">
        <v>2012</v>
      </c>
      <c r="K8" s="291"/>
      <c r="L8" s="292"/>
      <c r="M8" s="291">
        <v>2013</v>
      </c>
      <c r="N8" s="291"/>
      <c r="O8" s="291">
        <v>2014</v>
      </c>
      <c r="P8" s="291"/>
      <c r="Q8" s="291">
        <v>2015</v>
      </c>
      <c r="R8" s="295"/>
      <c r="S8" s="864"/>
      <c r="T8" s="925">
        <v>2016</v>
      </c>
      <c r="U8" s="1157">
        <v>2016</v>
      </c>
      <c r="V8" s="1014"/>
      <c r="W8" s="1033"/>
      <c r="X8" s="273"/>
      <c r="Y8" s="291">
        <v>2017</v>
      </c>
      <c r="Z8" s="291">
        <v>2018</v>
      </c>
      <c r="AA8" s="291">
        <v>2019</v>
      </c>
      <c r="AB8" s="291">
        <v>2020</v>
      </c>
    </row>
    <row r="9" spans="1:28" s="246" customFormat="1">
      <c r="B9" s="1156" t="s">
        <v>100</v>
      </c>
      <c r="C9" s="1155"/>
      <c r="D9" s="293">
        <v>2010</v>
      </c>
      <c r="F9" s="293">
        <v>2011</v>
      </c>
      <c r="H9" s="293">
        <v>2012</v>
      </c>
      <c r="I9" s="271"/>
      <c r="J9" s="293">
        <v>2013</v>
      </c>
      <c r="K9" s="293"/>
      <c r="L9" s="294"/>
      <c r="M9" s="293">
        <v>2014</v>
      </c>
      <c r="N9" s="293"/>
      <c r="O9" s="293">
        <v>2015</v>
      </c>
      <c r="P9" s="293"/>
      <c r="Q9" s="293">
        <v>2016</v>
      </c>
      <c r="R9" s="295"/>
      <c r="S9" s="865"/>
      <c r="T9" s="926">
        <v>2017</v>
      </c>
      <c r="U9" s="1158">
        <v>2017</v>
      </c>
      <c r="V9" s="1014"/>
      <c r="W9" s="1034"/>
      <c r="X9" s="273"/>
      <c r="Y9" s="293">
        <v>2018</v>
      </c>
      <c r="Z9" s="293">
        <v>2019</v>
      </c>
      <c r="AA9" s="293">
        <v>2020</v>
      </c>
      <c r="AB9" s="293">
        <v>2021</v>
      </c>
    </row>
    <row r="10" spans="1:28" s="246" customFormat="1">
      <c r="B10" s="1159" t="s">
        <v>101</v>
      </c>
      <c r="C10" s="1155"/>
      <c r="D10" s="297">
        <v>2010</v>
      </c>
      <c r="F10" s="297">
        <v>2011</v>
      </c>
      <c r="H10" s="297">
        <v>2012</v>
      </c>
      <c r="I10" s="271"/>
      <c r="J10" s="297">
        <v>2013</v>
      </c>
      <c r="K10" s="297"/>
      <c r="L10" s="298"/>
      <c r="M10" s="297">
        <v>2014</v>
      </c>
      <c r="N10" s="297"/>
      <c r="O10" s="297">
        <v>2015</v>
      </c>
      <c r="P10" s="297"/>
      <c r="Q10" s="297">
        <v>2016</v>
      </c>
      <c r="R10" s="299"/>
      <c r="S10" s="866"/>
      <c r="T10" s="927">
        <v>2017</v>
      </c>
      <c r="U10" s="1160">
        <v>2017</v>
      </c>
      <c r="V10" s="1014"/>
      <c r="W10" s="1035"/>
      <c r="X10" s="273"/>
      <c r="Y10" s="297">
        <v>2018</v>
      </c>
      <c r="Z10" s="297">
        <v>2019</v>
      </c>
      <c r="AA10" s="297">
        <v>2020</v>
      </c>
      <c r="AB10" s="297">
        <v>2021</v>
      </c>
    </row>
    <row r="11" spans="1:28" s="246" customFormat="1">
      <c r="A11" s="288" t="s">
        <v>460</v>
      </c>
      <c r="B11" s="864" t="s">
        <v>102</v>
      </c>
      <c r="C11" s="1155"/>
      <c r="D11" s="291" t="s">
        <v>240</v>
      </c>
      <c r="F11" s="291" t="s">
        <v>241</v>
      </c>
      <c r="H11" s="291" t="s">
        <v>242</v>
      </c>
      <c r="I11" s="271"/>
      <c r="J11" s="291" t="s">
        <v>243</v>
      </c>
      <c r="K11" s="291"/>
      <c r="L11" s="292"/>
      <c r="M11" s="291" t="s">
        <v>244</v>
      </c>
      <c r="N11" s="291"/>
      <c r="O11" s="300" t="s">
        <v>245</v>
      </c>
      <c r="P11" s="300"/>
      <c r="Q11" s="300" t="s">
        <v>246</v>
      </c>
      <c r="R11" s="302"/>
      <c r="S11" s="867"/>
      <c r="T11" s="928" t="s">
        <v>103</v>
      </c>
      <c r="U11" s="1161" t="s">
        <v>103</v>
      </c>
      <c r="V11" s="1015"/>
      <c r="W11" s="1036"/>
      <c r="X11" s="273"/>
      <c r="Y11" s="300" t="s">
        <v>247</v>
      </c>
      <c r="Z11" s="300" t="s">
        <v>248</v>
      </c>
      <c r="AA11" s="300" t="s">
        <v>249</v>
      </c>
      <c r="AB11" s="300" t="s">
        <v>250</v>
      </c>
    </row>
    <row r="12" spans="1:28" s="246" customFormat="1">
      <c r="A12" s="288" t="s">
        <v>464</v>
      </c>
      <c r="B12" s="868"/>
      <c r="C12" s="1155"/>
      <c r="D12" s="303"/>
      <c r="F12" s="303"/>
      <c r="H12" s="303"/>
      <c r="I12" s="271"/>
      <c r="J12" s="303"/>
      <c r="K12" s="303"/>
      <c r="L12" s="304"/>
      <c r="M12" s="303"/>
      <c r="N12" s="303"/>
      <c r="O12" s="303"/>
      <c r="P12" s="303"/>
      <c r="Q12" s="303"/>
      <c r="R12" s="306"/>
      <c r="S12" s="868"/>
      <c r="T12" s="929"/>
      <c r="U12" s="1162"/>
      <c r="V12" s="1016" t="s">
        <v>251</v>
      </c>
      <c r="W12" s="1035"/>
      <c r="X12" s="273"/>
      <c r="Y12" s="303"/>
      <c r="Z12" s="303"/>
      <c r="AA12" s="303"/>
      <c r="AB12" s="303"/>
    </row>
    <row r="13" spans="1:28" s="246" customFormat="1">
      <c r="A13" s="288">
        <v>1</v>
      </c>
      <c r="B13" s="117"/>
      <c r="C13" s="1155"/>
      <c r="D13" s="399" t="s">
        <v>252</v>
      </c>
      <c r="F13" s="399" t="s">
        <v>253</v>
      </c>
      <c r="H13" s="399" t="s">
        <v>254</v>
      </c>
      <c r="I13" s="271"/>
      <c r="J13" s="399" t="s">
        <v>255</v>
      </c>
      <c r="K13" s="307"/>
      <c r="L13" s="308"/>
      <c r="M13" s="399" t="s">
        <v>256</v>
      </c>
      <c r="N13" s="307"/>
      <c r="O13" s="399" t="s">
        <v>257</v>
      </c>
      <c r="P13" s="307"/>
      <c r="Q13" s="307" t="s">
        <v>258</v>
      </c>
      <c r="R13" s="309"/>
      <c r="S13" s="869"/>
      <c r="T13" s="930" t="s">
        <v>104</v>
      </c>
      <c r="U13" s="1163" t="s">
        <v>104</v>
      </c>
      <c r="V13" s="1016" t="s">
        <v>445</v>
      </c>
      <c r="W13" s="1035"/>
      <c r="X13" s="273"/>
      <c r="Y13" s="307" t="s">
        <v>259</v>
      </c>
      <c r="Z13" s="307" t="s">
        <v>260</v>
      </c>
      <c r="AA13" s="307" t="s">
        <v>261</v>
      </c>
      <c r="AB13" s="307" t="s">
        <v>262</v>
      </c>
    </row>
    <row r="14" spans="1:28" s="246" customFormat="1" ht="19.5">
      <c r="A14" s="288">
        <v>2</v>
      </c>
      <c r="B14" s="1164" t="s">
        <v>105</v>
      </c>
      <c r="C14" s="1155"/>
      <c r="D14" s="1165"/>
      <c r="F14" s="315"/>
      <c r="H14" s="313"/>
      <c r="I14" s="271"/>
      <c r="J14" s="313"/>
      <c r="K14" s="313"/>
      <c r="L14" s="314"/>
      <c r="M14" s="315"/>
      <c r="N14" s="315"/>
      <c r="O14" s="293"/>
      <c r="P14" s="293"/>
      <c r="Q14" s="293"/>
      <c r="R14" s="295"/>
      <c r="S14" s="865"/>
      <c r="T14" s="926"/>
      <c r="U14" s="1158"/>
      <c r="V14" s="1014"/>
      <c r="W14" s="1034"/>
      <c r="X14" s="273"/>
      <c r="Y14" s="293"/>
      <c r="Z14" s="293"/>
      <c r="AA14" s="293"/>
      <c r="AB14" s="293"/>
    </row>
    <row r="15" spans="1:28" s="246" customFormat="1">
      <c r="A15" s="288">
        <v>3</v>
      </c>
      <c r="B15" s="117"/>
      <c r="C15" s="1155"/>
      <c r="D15" s="320"/>
      <c r="F15" s="320"/>
      <c r="H15" s="318"/>
      <c r="I15" s="271"/>
      <c r="J15" s="318"/>
      <c r="K15" s="318"/>
      <c r="L15" s="319"/>
      <c r="M15" s="320"/>
      <c r="N15" s="320"/>
      <c r="O15" s="297"/>
      <c r="P15" s="297"/>
      <c r="Q15" s="320"/>
      <c r="R15" s="295"/>
      <c r="S15" s="866"/>
      <c r="T15" s="927"/>
      <c r="U15" s="1166"/>
      <c r="V15" s="1014"/>
      <c r="W15" s="1035"/>
      <c r="X15" s="273"/>
      <c r="Y15" s="320"/>
      <c r="Z15" s="320"/>
      <c r="AA15" s="320"/>
      <c r="AB15" s="320"/>
    </row>
    <row r="16" spans="1:28" s="246" customFormat="1">
      <c r="A16" s="288">
        <v>4</v>
      </c>
      <c r="B16" s="117" t="s">
        <v>131</v>
      </c>
      <c r="C16" s="1155"/>
      <c r="D16" s="322">
        <v>1400000</v>
      </c>
      <c r="F16" s="322">
        <v>1600000</v>
      </c>
      <c r="H16" s="322">
        <v>1700000</v>
      </c>
      <c r="I16" s="271"/>
      <c r="J16" s="322">
        <v>1800000</v>
      </c>
      <c r="K16" s="322"/>
      <c r="L16" s="323"/>
      <c r="M16" s="322">
        <v>2000000</v>
      </c>
      <c r="N16" s="324"/>
      <c r="O16" s="325">
        <v>2275000</v>
      </c>
      <c r="P16" s="325"/>
      <c r="Q16" s="325">
        <v>2200000</v>
      </c>
      <c r="R16" s="326"/>
      <c r="S16" s="870"/>
      <c r="T16" s="931">
        <v>2200000</v>
      </c>
      <c r="U16" s="1167">
        <f>+V16</f>
        <v>2300000</v>
      </c>
      <c r="V16" s="931">
        <f>+'Resp Stf DR40 suppl att A elec'!$D$13</f>
        <v>2300000</v>
      </c>
      <c r="W16" s="1037" t="str">
        <f>+'Resp Stf DR40 suppl att A elec'!E13</f>
        <v>Actual per State DOR</v>
      </c>
      <c r="X16" s="273"/>
      <c r="Y16" s="324">
        <f>SUM(U16:U22)</f>
        <v>2300000</v>
      </c>
      <c r="Z16" s="324">
        <f t="shared" ref="Z16:AB16" si="0">SUM(Y16:Y22)</f>
        <v>2393595.9270000001</v>
      </c>
      <c r="AA16" s="324">
        <f t="shared" si="0"/>
        <v>2527286.4270000001</v>
      </c>
      <c r="AB16" s="324">
        <f t="shared" si="0"/>
        <v>2664093.1880000001</v>
      </c>
    </row>
    <row r="17" spans="1:28" s="246" customFormat="1">
      <c r="A17" s="288">
        <v>5</v>
      </c>
      <c r="B17" s="117" t="s">
        <v>108</v>
      </c>
      <c r="C17" s="1155"/>
      <c r="D17" s="442"/>
      <c r="F17" s="324"/>
      <c r="H17" s="322"/>
      <c r="I17" s="271"/>
      <c r="J17" s="322"/>
      <c r="K17" s="322"/>
      <c r="L17" s="323"/>
      <c r="M17" s="442"/>
      <c r="N17" s="324"/>
      <c r="O17" s="325"/>
      <c r="P17" s="325"/>
      <c r="Q17" s="442"/>
      <c r="R17" s="326"/>
      <c r="S17" s="870"/>
      <c r="T17" s="931"/>
      <c r="U17" s="1167"/>
      <c r="V17" s="931"/>
      <c r="W17" s="1037"/>
      <c r="X17" s="273"/>
      <c r="Y17" s="324"/>
      <c r="Z17" s="324"/>
      <c r="AA17" s="324"/>
      <c r="AB17" s="324"/>
    </row>
    <row r="18" spans="1:28" s="246" customFormat="1">
      <c r="A18" s="288">
        <v>6</v>
      </c>
      <c r="B18" s="117" t="s">
        <v>109</v>
      </c>
      <c r="C18" s="1155"/>
      <c r="D18" s="322"/>
      <c r="F18" s="324"/>
      <c r="H18" s="322"/>
      <c r="I18" s="271"/>
      <c r="J18" s="324"/>
      <c r="K18" s="324"/>
      <c r="L18" s="323"/>
      <c r="M18" s="442"/>
      <c r="N18" s="324"/>
      <c r="O18" s="325"/>
      <c r="P18" s="325"/>
      <c r="Q18" s="442"/>
      <c r="R18" s="326"/>
      <c r="S18" s="871">
        <f>+U18+U43+U65+U110+U127+U145</f>
        <v>0</v>
      </c>
      <c r="T18" s="932">
        <v>310837.11200000002</v>
      </c>
      <c r="U18" s="1167">
        <f>+V18</f>
        <v>0</v>
      </c>
      <c r="V18" s="931"/>
      <c r="W18" s="1037"/>
      <c r="X18" s="273"/>
      <c r="Y18" s="324">
        <v>291856.06300000002</v>
      </c>
      <c r="Z18" s="324">
        <v>281976.68699999998</v>
      </c>
      <c r="AA18" s="324">
        <v>276328.47399999999</v>
      </c>
      <c r="AB18" s="324">
        <v>313127.50799999997</v>
      </c>
    </row>
    <row r="19" spans="1:28" s="246" customFormat="1">
      <c r="A19" s="288">
        <v>7</v>
      </c>
      <c r="B19" s="117" t="s">
        <v>110</v>
      </c>
      <c r="C19" s="1155"/>
      <c r="D19" s="322"/>
      <c r="F19" s="324"/>
      <c r="H19" s="322"/>
      <c r="I19" s="271"/>
      <c r="J19" s="324"/>
      <c r="K19" s="324"/>
      <c r="L19" s="323"/>
      <c r="M19" s="442"/>
      <c r="N19" s="324"/>
      <c r="O19" s="325"/>
      <c r="P19" s="325"/>
      <c r="Q19" s="442"/>
      <c r="R19" s="326"/>
      <c r="S19" s="870"/>
      <c r="T19" s="931">
        <v>-31087.348000000002</v>
      </c>
      <c r="U19" s="1167">
        <f t="shared" ref="U19:U24" si="1">+V19</f>
        <v>0</v>
      </c>
      <c r="V19" s="931"/>
      <c r="W19" s="1037"/>
      <c r="X19" s="273"/>
      <c r="Y19" s="324">
        <v>-94410.135999999999</v>
      </c>
      <c r="Z19" s="324">
        <v>-41436.186999999998</v>
      </c>
      <c r="AA19" s="324">
        <v>-35671.713000000003</v>
      </c>
      <c r="AB19" s="324">
        <v>-57210</v>
      </c>
    </row>
    <row r="20" spans="1:28" s="246" customFormat="1">
      <c r="A20" s="288">
        <v>8</v>
      </c>
      <c r="B20" s="117" t="s">
        <v>111</v>
      </c>
      <c r="C20" s="1155"/>
      <c r="D20" s="322"/>
      <c r="F20" s="324"/>
      <c r="H20" s="322"/>
      <c r="I20" s="271"/>
      <c r="J20" s="324"/>
      <c r="K20" s="324"/>
      <c r="L20" s="323"/>
      <c r="M20" s="442"/>
      <c r="N20" s="324"/>
      <c r="O20" s="325"/>
      <c r="P20" s="325"/>
      <c r="Q20" s="442"/>
      <c r="R20" s="326"/>
      <c r="S20" s="870"/>
      <c r="T20" s="931"/>
      <c r="U20" s="1167">
        <f t="shared" si="1"/>
        <v>0</v>
      </c>
      <c r="V20" s="931"/>
      <c r="W20" s="1037"/>
      <c r="X20" s="273"/>
      <c r="Y20" s="324"/>
      <c r="Z20" s="324"/>
      <c r="AA20" s="324"/>
      <c r="AB20" s="324"/>
    </row>
    <row r="21" spans="1:28" s="246" customFormat="1">
      <c r="A21" s="288">
        <v>9</v>
      </c>
      <c r="B21" s="117" t="s">
        <v>112</v>
      </c>
      <c r="C21" s="1155"/>
      <c r="D21" s="322"/>
      <c r="F21" s="324"/>
      <c r="H21" s="322"/>
      <c r="I21" s="271"/>
      <c r="J21" s="324"/>
      <c r="K21" s="324"/>
      <c r="L21" s="323"/>
      <c r="M21" s="442"/>
      <c r="N21" s="324"/>
      <c r="O21" s="325"/>
      <c r="P21" s="325"/>
      <c r="Q21" s="442"/>
      <c r="R21" s="326"/>
      <c r="S21" s="870"/>
      <c r="T21" s="931">
        <v>-5659.5</v>
      </c>
      <c r="U21" s="1167">
        <f t="shared" si="1"/>
        <v>0</v>
      </c>
      <c r="V21" s="931"/>
      <c r="W21" s="1037"/>
      <c r="X21" s="273"/>
      <c r="Y21" s="324">
        <v>-7850</v>
      </c>
      <c r="Z21" s="324">
        <v>-10850</v>
      </c>
      <c r="AA21" s="324">
        <v>-7850</v>
      </c>
      <c r="AB21" s="324">
        <v>-7850</v>
      </c>
    </row>
    <row r="22" spans="1:28" s="246" customFormat="1">
      <c r="A22" s="288">
        <v>10</v>
      </c>
      <c r="B22" s="117" t="s">
        <v>113</v>
      </c>
      <c r="C22" s="1155"/>
      <c r="D22" s="409"/>
      <c r="F22" s="333"/>
      <c r="H22" s="409"/>
      <c r="I22" s="271"/>
      <c r="J22" s="333"/>
      <c r="K22" s="333"/>
      <c r="L22" s="334"/>
      <c r="M22" s="444"/>
      <c r="N22" s="333"/>
      <c r="O22" s="335"/>
      <c r="P22" s="335"/>
      <c r="Q22" s="444"/>
      <c r="R22" s="336"/>
      <c r="S22" s="872"/>
      <c r="T22" s="933">
        <v>-96000</v>
      </c>
      <c r="U22" s="1167">
        <f t="shared" si="1"/>
        <v>0</v>
      </c>
      <c r="V22" s="933"/>
      <c r="W22" s="1037"/>
      <c r="X22" s="273"/>
      <c r="Y22" s="333">
        <v>-96000</v>
      </c>
      <c r="Z22" s="333">
        <v>-96000</v>
      </c>
      <c r="AA22" s="333">
        <v>-96000</v>
      </c>
      <c r="AB22" s="333">
        <v>-96000</v>
      </c>
    </row>
    <row r="23" spans="1:28" s="246" customFormat="1">
      <c r="A23" s="288">
        <v>11</v>
      </c>
      <c r="B23" s="117" t="s">
        <v>134</v>
      </c>
      <c r="C23" s="1155"/>
      <c r="D23" s="340">
        <v>0.96753500000000003</v>
      </c>
      <c r="F23" s="340">
        <v>0.96154600000000001</v>
      </c>
      <c r="H23" s="340">
        <v>0.95345100000000005</v>
      </c>
      <c r="I23" s="271"/>
      <c r="J23" s="340">
        <v>0.95927200000000001</v>
      </c>
      <c r="K23" s="340"/>
      <c r="L23" s="323"/>
      <c r="M23" s="1168">
        <f>962461349/997330000</f>
        <v>0.96503800046123145</v>
      </c>
      <c r="N23" s="342"/>
      <c r="O23" s="343">
        <f>1154211.157/1180295.025</f>
        <v>0.97790055244874052</v>
      </c>
      <c r="P23" s="343"/>
      <c r="Q23" s="343">
        <f>1162234.576/1188424.6</f>
        <v>0.97796240165341564</v>
      </c>
      <c r="R23" s="344"/>
      <c r="S23" s="873"/>
      <c r="T23" s="934">
        <v>0.97796240165341564</v>
      </c>
      <c r="U23" s="1169">
        <f t="shared" si="1"/>
        <v>0.97431702631604855</v>
      </c>
      <c r="V23" s="934">
        <f>+'Resp Stf DR40 suppl att A elec'!$D$20</f>
        <v>0.97431702631604855</v>
      </c>
      <c r="W23" s="1038" t="str">
        <f>+'Resp Stf DR40 suppl att A elec'!$E$20</f>
        <v>Actual per State DOR</v>
      </c>
      <c r="X23" s="273"/>
      <c r="Y23" s="342">
        <f>SUM(U23)</f>
        <v>0.97431702631604855</v>
      </c>
      <c r="Z23" s="342">
        <f t="shared" ref="Z23:AB24" si="2">SUM(Y23)</f>
        <v>0.97431702631604855</v>
      </c>
      <c r="AA23" s="342">
        <f t="shared" si="2"/>
        <v>0.97431702631604855</v>
      </c>
      <c r="AB23" s="342">
        <f t="shared" si="2"/>
        <v>0.97431702631604855</v>
      </c>
    </row>
    <row r="24" spans="1:28" s="246" customFormat="1">
      <c r="A24" s="288">
        <v>12</v>
      </c>
      <c r="B24" s="117" t="s">
        <v>135</v>
      </c>
      <c r="C24" s="1155"/>
      <c r="D24" s="347">
        <v>0.45469100000000001</v>
      </c>
      <c r="F24" s="347">
        <v>0.464889</v>
      </c>
      <c r="H24" s="347">
        <v>0.46240399999999998</v>
      </c>
      <c r="I24" s="271"/>
      <c r="J24" s="347">
        <v>0.47619</v>
      </c>
      <c r="K24" s="347"/>
      <c r="L24" s="348"/>
      <c r="M24" s="1170">
        <f>997330000/2000000000</f>
        <v>0.49866500000000002</v>
      </c>
      <c r="N24" s="350"/>
      <c r="O24" s="351">
        <f>1180295.025/2275000</f>
        <v>0.51881099999999991</v>
      </c>
      <c r="P24" s="351"/>
      <c r="Q24" s="351">
        <f>1188424.6/2200000</f>
        <v>0.54019300000000003</v>
      </c>
      <c r="R24" s="352"/>
      <c r="S24" s="874"/>
      <c r="T24" s="935">
        <v>0.54019300000000003</v>
      </c>
      <c r="U24" s="1169">
        <f t="shared" si="1"/>
        <v>0.53883999999999999</v>
      </c>
      <c r="V24" s="935">
        <f>+'Resp Stf DR40 suppl att A elec'!$D$21</f>
        <v>0.53883999999999999</v>
      </c>
      <c r="W24" s="1039" t="str">
        <f>+'Resp Stf DR40 suppl att A elec'!$E21</f>
        <v>Actual per State DOR</v>
      </c>
      <c r="X24" s="273"/>
      <c r="Y24" s="350">
        <f>SUM(U24)</f>
        <v>0.53883999999999999</v>
      </c>
      <c r="Z24" s="350">
        <f t="shared" si="2"/>
        <v>0.53883999999999999</v>
      </c>
      <c r="AA24" s="350">
        <f t="shared" si="2"/>
        <v>0.53883999999999999</v>
      </c>
      <c r="AB24" s="350">
        <f t="shared" si="2"/>
        <v>0.53883999999999999</v>
      </c>
    </row>
    <row r="25" spans="1:28" s="246" customFormat="1">
      <c r="A25" s="288">
        <v>13</v>
      </c>
      <c r="B25" s="117" t="s">
        <v>116</v>
      </c>
      <c r="C25" s="1155"/>
      <c r="D25" s="322">
        <f>SUM(D16:D22)*D23*D24</f>
        <v>615901.239359</v>
      </c>
      <c r="F25" s="322">
        <f>SUM(F16:F22)*F23*F24</f>
        <v>715219.4534304</v>
      </c>
      <c r="H25" s="322">
        <f t="shared" ref="H25:J25" si="3">SUM(H16:H22)*H23*H24</f>
        <v>749495.24554680008</v>
      </c>
      <c r="I25" s="271"/>
      <c r="J25" s="322">
        <f t="shared" si="3"/>
        <v>822232.32062400004</v>
      </c>
      <c r="K25" s="322"/>
      <c r="L25" s="329">
        <f>+M25/J25</f>
        <v>1.1705467236675626</v>
      </c>
      <c r="M25" s="322">
        <f t="shared" ref="M25:O25" si="4">SUM(M16:M22)*M23*M24</f>
        <v>962461.34900000005</v>
      </c>
      <c r="N25" s="329">
        <f>+O25/M25</f>
        <v>1.1992285801390654</v>
      </c>
      <c r="O25" s="325">
        <f t="shared" si="4"/>
        <v>1154211.1569999997</v>
      </c>
      <c r="P25" s="329">
        <f>+Q25/O25</f>
        <v>1.0069514308117196</v>
      </c>
      <c r="Q25" s="325">
        <f t="shared" ref="Q25:AB25" si="5">SUM(Q16:Q22)*Q23*Q24</f>
        <v>1162234.5759999999</v>
      </c>
      <c r="R25" s="326"/>
      <c r="S25" s="871">
        <f>+U25/Q25</f>
        <v>1.0389488437128729</v>
      </c>
      <c r="T25" s="931">
        <v>1256317.6043953488</v>
      </c>
      <c r="U25" s="1167">
        <f t="shared" si="5"/>
        <v>1207502.268858321</v>
      </c>
      <c r="V25" s="931">
        <f>+V24*V23*V16</f>
        <v>1207502.268858321</v>
      </c>
      <c r="W25" s="1037"/>
      <c r="X25" s="273"/>
      <c r="Y25" s="324">
        <f t="shared" si="5"/>
        <v>1256640.2228619724</v>
      </c>
      <c r="Z25" s="324">
        <f t="shared" si="5"/>
        <v>1326827.8672423216</v>
      </c>
      <c r="AA25" s="324">
        <f t="shared" si="5"/>
        <v>1398651.5517217382</v>
      </c>
      <c r="AB25" s="324">
        <f t="shared" si="5"/>
        <v>1478487.1434302733</v>
      </c>
    </row>
    <row r="26" spans="1:28" s="246" customFormat="1">
      <c r="A26" s="288">
        <v>14</v>
      </c>
      <c r="B26" s="117" t="s">
        <v>117</v>
      </c>
      <c r="C26" s="1155"/>
      <c r="D26" s="409">
        <v>284</v>
      </c>
      <c r="F26" s="409">
        <v>284</v>
      </c>
      <c r="H26" s="409">
        <v>442</v>
      </c>
      <c r="I26" s="271"/>
      <c r="J26" s="322"/>
      <c r="K26" s="322"/>
      <c r="L26" s="323"/>
      <c r="M26" s="322"/>
      <c r="N26" s="324"/>
      <c r="O26" s="325">
        <v>101.197</v>
      </c>
      <c r="P26" s="325"/>
      <c r="Q26" s="325">
        <v>620</v>
      </c>
      <c r="R26" s="326"/>
      <c r="S26" s="870"/>
      <c r="T26" s="931"/>
      <c r="U26" s="1167">
        <f>+V26</f>
        <v>492</v>
      </c>
      <c r="V26" s="931">
        <f>+'Resp Stf DR40 suppl att A elec'!$D$23</f>
        <v>492</v>
      </c>
      <c r="W26" s="1037" t="str">
        <f>+'Resp Stf DR40 suppl att A elec'!$E$23</f>
        <v>Actual per State DOR</v>
      </c>
      <c r="X26" s="273"/>
      <c r="Y26" s="324"/>
      <c r="Z26" s="324"/>
      <c r="AA26" s="324"/>
      <c r="AB26" s="324"/>
    </row>
    <row r="27" spans="1:28" s="246" customFormat="1">
      <c r="A27" s="288">
        <v>15</v>
      </c>
      <c r="B27" s="117" t="s">
        <v>118</v>
      </c>
      <c r="C27" s="1155"/>
      <c r="D27" s="322">
        <f>SUM(D25:D26)</f>
        <v>616185.239359</v>
      </c>
      <c r="F27" s="322">
        <f>SUM(F25:F26)</f>
        <v>715503.4534304</v>
      </c>
      <c r="H27" s="322">
        <f>SUM(H25:H26)</f>
        <v>749937.24554680008</v>
      </c>
      <c r="I27" s="271"/>
      <c r="J27" s="322">
        <f t="shared" ref="J27" si="6">SUM(J25)</f>
        <v>822232.32062400004</v>
      </c>
      <c r="K27" s="322"/>
      <c r="L27" s="323"/>
      <c r="M27" s="322">
        <f t="shared" ref="M27" si="7">SUM(M25)</f>
        <v>962461.34900000005</v>
      </c>
      <c r="N27" s="324"/>
      <c r="O27" s="325">
        <f>SUM(O25:O26)</f>
        <v>1154312.3539999996</v>
      </c>
      <c r="P27" s="325"/>
      <c r="Q27" s="325">
        <f>SUM(Q25:Q26)</f>
        <v>1162854.5759999999</v>
      </c>
      <c r="R27" s="326"/>
      <c r="S27" s="870"/>
      <c r="T27" s="931">
        <v>1256317.6043953488</v>
      </c>
      <c r="U27" s="1167">
        <f>+V27</f>
        <v>1207994.268858321</v>
      </c>
      <c r="V27" s="931">
        <f>+V26+V25</f>
        <v>1207994.268858321</v>
      </c>
      <c r="W27" s="1037" t="str">
        <f>+'Resp Stf DR40 suppl att A elec'!$E$24</f>
        <v>Actual</v>
      </c>
      <c r="X27" s="273"/>
      <c r="Y27" s="324">
        <f t="shared" ref="Y27:AB27" si="8">SUM(Y25)</f>
        <v>1256640.2228619724</v>
      </c>
      <c r="Z27" s="324">
        <f t="shared" si="8"/>
        <v>1326827.8672423216</v>
      </c>
      <c r="AA27" s="324">
        <f t="shared" si="8"/>
        <v>1398651.5517217382</v>
      </c>
      <c r="AB27" s="324">
        <f t="shared" si="8"/>
        <v>1478487.1434302733</v>
      </c>
    </row>
    <row r="28" spans="1:28" s="246" customFormat="1">
      <c r="A28" s="288">
        <v>16</v>
      </c>
      <c r="B28" s="117" t="s">
        <v>120</v>
      </c>
      <c r="C28" s="1155"/>
      <c r="D28" s="322"/>
      <c r="F28" s="322"/>
      <c r="H28" s="322"/>
      <c r="I28" s="271"/>
      <c r="J28" s="322"/>
      <c r="K28" s="322"/>
      <c r="L28" s="323"/>
      <c r="M28" s="322"/>
      <c r="N28" s="324"/>
      <c r="O28" s="325"/>
      <c r="P28" s="325"/>
      <c r="Q28" s="325">
        <v>1064023.335</v>
      </c>
      <c r="R28" s="326"/>
      <c r="S28" s="870"/>
      <c r="T28" s="931"/>
      <c r="U28" s="1167"/>
      <c r="V28" s="931"/>
      <c r="W28" s="1037"/>
      <c r="X28" s="273"/>
      <c r="Y28" s="324"/>
      <c r="Z28" s="324"/>
      <c r="AA28" s="324"/>
      <c r="AB28" s="324"/>
    </row>
    <row r="29" spans="1:28" s="246" customFormat="1">
      <c r="A29" s="288">
        <v>17</v>
      </c>
      <c r="B29" s="117" t="s">
        <v>263</v>
      </c>
      <c r="C29" s="1155"/>
      <c r="D29" s="583">
        <f>553299.594/616185</f>
        <v>0.89794395189756326</v>
      </c>
      <c r="F29" s="583">
        <f>SUM(F30/F27)</f>
        <v>0.9021516344963243</v>
      </c>
      <c r="H29" s="583">
        <f>681556573/749937000</f>
        <v>0.90881843808213225</v>
      </c>
      <c r="I29" s="271"/>
      <c r="J29" s="472">
        <f>765508.488/822232</f>
        <v>0.93101276525360244</v>
      </c>
      <c r="K29" s="356"/>
      <c r="L29" s="334"/>
      <c r="M29" s="583">
        <f>898630/M27</f>
        <v>0.93367905208212154</v>
      </c>
      <c r="N29" s="357"/>
      <c r="O29" s="583">
        <f>1070854.593/O27</f>
        <v>0.92769915291056526</v>
      </c>
      <c r="P29" s="357"/>
      <c r="Q29" s="1171">
        <v>0.91500980170713975</v>
      </c>
      <c r="R29" s="359"/>
      <c r="S29" s="875"/>
      <c r="T29" s="936">
        <v>0.92769915291056526</v>
      </c>
      <c r="U29" s="1172">
        <f>+V29</f>
        <v>0.91500980170713975</v>
      </c>
      <c r="V29" s="954">
        <f>+'Resp Stf DR40 suppl att A elec'!$D$26</f>
        <v>0.91500980170713975</v>
      </c>
      <c r="W29" s="1040" t="str">
        <f>+'Resp Stf DR40 suppl att A elec'!$E$26</f>
        <v>2016 ratio</v>
      </c>
      <c r="X29" s="273"/>
      <c r="Y29" s="357">
        <f>SUM(U29)</f>
        <v>0.91500980170713975</v>
      </c>
      <c r="Z29" s="357">
        <f t="shared" ref="Z29:AB29" si="9">SUM(Y29)</f>
        <v>0.91500980170713975</v>
      </c>
      <c r="AA29" s="357">
        <f t="shared" si="9"/>
        <v>0.91500980170713975</v>
      </c>
      <c r="AB29" s="357">
        <f t="shared" si="9"/>
        <v>0.91500980170713975</v>
      </c>
    </row>
    <row r="30" spans="1:28" s="246" customFormat="1">
      <c r="A30" s="288">
        <v>18</v>
      </c>
      <c r="B30" s="117" t="s">
        <v>137</v>
      </c>
      <c r="C30" s="1155"/>
      <c r="D30" s="322">
        <f>SUM(D27*D29)</f>
        <v>553299.80893096642</v>
      </c>
      <c r="F30" s="322">
        <v>645492.61</v>
      </c>
      <c r="H30" s="322">
        <f t="shared" ref="H30:J30" si="10">SUM(H27*H29)</f>
        <v>681556.79615745938</v>
      </c>
      <c r="I30" s="271"/>
      <c r="J30" s="322">
        <f t="shared" si="10"/>
        <v>765508.78650503687</v>
      </c>
      <c r="K30" s="322"/>
      <c r="L30" s="323"/>
      <c r="M30" s="322">
        <f t="shared" ref="M30:AB30" si="11">SUM(M27*M29)</f>
        <v>898630</v>
      </c>
      <c r="N30" s="324"/>
      <c r="O30" s="322">
        <f t="shared" si="11"/>
        <v>1070854.5930000001</v>
      </c>
      <c r="P30" s="324"/>
      <c r="Q30" s="1173">
        <f t="shared" si="11"/>
        <v>1064023.335</v>
      </c>
      <c r="R30" s="326"/>
      <c r="S30" s="876"/>
      <c r="T30" s="937">
        <v>1165484.7773841957</v>
      </c>
      <c r="U30" s="1167">
        <f t="shared" si="11"/>
        <v>1105326.5964114135</v>
      </c>
      <c r="V30" s="931">
        <f>+V29*V27</f>
        <v>1105326.5964114135</v>
      </c>
      <c r="W30" s="1041" t="str">
        <f>+'Resp Stf DR40 suppl att A elec'!E27</f>
        <v>Calculation</v>
      </c>
      <c r="X30" s="273"/>
      <c r="Y30" s="324">
        <f t="shared" si="11"/>
        <v>1149838.1211381492</v>
      </c>
      <c r="Z30" s="324">
        <f t="shared" si="11"/>
        <v>1214060.5037049039</v>
      </c>
      <c r="AA30" s="324">
        <f t="shared" si="11"/>
        <v>1279779.878998291</v>
      </c>
      <c r="AB30" s="324">
        <f t="shared" si="11"/>
        <v>1352830.2279366897</v>
      </c>
    </row>
    <row r="31" spans="1:28" s="246" customFormat="1">
      <c r="A31" s="288">
        <v>19</v>
      </c>
      <c r="B31" s="117" t="s">
        <v>125</v>
      </c>
      <c r="C31" s="1155"/>
      <c r="D31" s="322">
        <v>0</v>
      </c>
      <c r="F31" s="322">
        <v>0</v>
      </c>
      <c r="H31" s="322">
        <v>0</v>
      </c>
      <c r="I31" s="271"/>
      <c r="J31" s="322">
        <v>0</v>
      </c>
      <c r="K31" s="322"/>
      <c r="L31" s="323"/>
      <c r="M31" s="442">
        <v>0</v>
      </c>
      <c r="N31" s="324"/>
      <c r="O31" s="322">
        <v>0</v>
      </c>
      <c r="P31" s="324"/>
      <c r="Q31" s="324">
        <v>0</v>
      </c>
      <c r="R31" s="326"/>
      <c r="S31" s="876"/>
      <c r="T31" s="937">
        <v>0</v>
      </c>
      <c r="U31" s="1167">
        <v>0</v>
      </c>
      <c r="V31" s="931">
        <v>0</v>
      </c>
      <c r="W31" s="1041"/>
      <c r="X31" s="273"/>
      <c r="Y31" s="324">
        <v>0</v>
      </c>
      <c r="Z31" s="324">
        <v>0</v>
      </c>
      <c r="AA31" s="324">
        <v>0</v>
      </c>
      <c r="AB31" s="324">
        <v>0</v>
      </c>
    </row>
    <row r="32" spans="1:28" s="246" customFormat="1" ht="12.75">
      <c r="A32" s="288">
        <v>20</v>
      </c>
      <c r="B32" s="117"/>
      <c r="C32" s="1155"/>
      <c r="D32" s="365">
        <f>SUM(D30:D31)</f>
        <v>553299.80893096642</v>
      </c>
      <c r="F32" s="365">
        <f>SUM(F30:F31)</f>
        <v>645492.61</v>
      </c>
      <c r="H32" s="365">
        <f t="shared" ref="H32:J32" si="12">SUM(H30:H31)</f>
        <v>681556.79615745938</v>
      </c>
      <c r="I32" s="271"/>
      <c r="J32" s="365">
        <f t="shared" si="12"/>
        <v>765508.78650503687</v>
      </c>
      <c r="K32" s="365"/>
      <c r="L32" s="366"/>
      <c r="M32" s="365">
        <f t="shared" ref="M32:AB32" si="13">SUM(M30:M31)</f>
        <v>898630</v>
      </c>
      <c r="N32" s="367"/>
      <c r="O32" s="365">
        <f t="shared" si="13"/>
        <v>1070854.5930000001</v>
      </c>
      <c r="P32" s="367"/>
      <c r="Q32" s="367">
        <f t="shared" si="13"/>
        <v>1064023.335</v>
      </c>
      <c r="R32" s="368"/>
      <c r="S32" s="877"/>
      <c r="T32" s="938">
        <v>1165484.7773841957</v>
      </c>
      <c r="U32" s="1174">
        <f t="shared" si="13"/>
        <v>1105326.5964114135</v>
      </c>
      <c r="V32" s="955">
        <f>SUM(V30:V31)</f>
        <v>1105326.5964114135</v>
      </c>
      <c r="W32" s="1042"/>
      <c r="X32" s="369"/>
      <c r="Y32" s="367">
        <f t="shared" si="13"/>
        <v>1149838.1211381492</v>
      </c>
      <c r="Z32" s="367">
        <f t="shared" si="13"/>
        <v>1214060.5037049039</v>
      </c>
      <c r="AA32" s="367">
        <f t="shared" si="13"/>
        <v>1279779.878998291</v>
      </c>
      <c r="AB32" s="367">
        <f t="shared" si="13"/>
        <v>1352830.2279366897</v>
      </c>
    </row>
    <row r="33" spans="1:28" s="246" customFormat="1" ht="12.75">
      <c r="A33" s="288">
        <v>21</v>
      </c>
      <c r="B33" s="117" t="s">
        <v>138</v>
      </c>
      <c r="C33" s="1175"/>
      <c r="D33" s="1176">
        <v>1.2009000000000001E-2</v>
      </c>
      <c r="F33" s="1176">
        <v>1.2201999999999999E-2</v>
      </c>
      <c r="H33" s="1177">
        <v>1.2663000000000001E-2</v>
      </c>
      <c r="I33" s="1178">
        <f>SUM(J33-H33)/H33</f>
        <v>-1.9799564229200275E-2</v>
      </c>
      <c r="J33" s="1177">
        <f>+J35/J32</f>
        <v>1.2412278118165638E-2</v>
      </c>
      <c r="K33" s="375"/>
      <c r="L33" s="1179">
        <f>SUM(M33-J33)/J33</f>
        <v>1.1914378047644822E-2</v>
      </c>
      <c r="M33" s="1180">
        <f>SUM(M35/M32)</f>
        <v>1.2560162692097972E-2</v>
      </c>
      <c r="N33" s="1181">
        <f>SUM((O33-M33)/M33)</f>
        <v>-3.3482431633753494E-2</v>
      </c>
      <c r="O33" s="1177">
        <f>12999.77053/1070855</f>
        <v>1.2139617903450981E-2</v>
      </c>
      <c r="P33" s="563">
        <v>0.02</v>
      </c>
      <c r="Q33" s="1182">
        <f>+Q35/Q30</f>
        <v>1.1914919140377688E-2</v>
      </c>
      <c r="R33" s="380"/>
      <c r="S33" s="563"/>
      <c r="T33" s="1183">
        <v>1.1986982117106144E-2</v>
      </c>
      <c r="U33" s="1184">
        <f>+V33</f>
        <v>1.1914919140377688E-2</v>
      </c>
      <c r="V33" s="1017">
        <f>+'Resp Stf DR40 suppl att A elec'!$D$30</f>
        <v>1.1914919140377688E-2</v>
      </c>
      <c r="W33" s="1043" t="str">
        <f>+'Resp Stf DR40 suppl att A elec'!E30</f>
        <v>2016 weighted average rate</v>
      </c>
      <c r="X33" s="565">
        <v>0</v>
      </c>
      <c r="Y33" s="1185">
        <f>SUM(U33*(1+X33))</f>
        <v>1.1914919140377688E-2</v>
      </c>
      <c r="Z33" s="1185">
        <f>SUM(Y33*(1+X33))</f>
        <v>1.1914919140377688E-2</v>
      </c>
      <c r="AA33" s="1185">
        <f>SUM(Z33*(1+X33))</f>
        <v>1.1914919140377688E-2</v>
      </c>
      <c r="AB33" s="1185">
        <f>SUM(AA33*(1+X33))</f>
        <v>1.1914919140377688E-2</v>
      </c>
    </row>
    <row r="34" spans="1:28" s="246" customFormat="1" ht="12.75">
      <c r="A34" s="288">
        <v>22</v>
      </c>
      <c r="B34" s="117"/>
      <c r="C34" s="1155"/>
      <c r="D34" s="1186"/>
      <c r="F34" s="423"/>
      <c r="H34" s="423"/>
      <c r="I34" s="271"/>
      <c r="J34" s="423"/>
      <c r="K34" s="383"/>
      <c r="L34" s="323"/>
      <c r="M34" s="1186"/>
      <c r="N34" s="383"/>
      <c r="O34" s="423"/>
      <c r="P34" s="383"/>
      <c r="Q34" s="383"/>
      <c r="R34" s="384"/>
      <c r="S34" s="878"/>
      <c r="T34" s="939"/>
      <c r="U34" s="1187"/>
      <c r="V34" s="1014"/>
      <c r="W34" s="1034"/>
      <c r="X34" s="385"/>
      <c r="Y34" s="383"/>
      <c r="Z34" s="383"/>
      <c r="AA34" s="383"/>
      <c r="AB34" s="383"/>
    </row>
    <row r="35" spans="1:28" s="246" customFormat="1" ht="20.25" thickBot="1">
      <c r="A35" s="288">
        <v>23</v>
      </c>
      <c r="B35" s="117" t="s">
        <v>128</v>
      </c>
      <c r="C35" s="1155"/>
      <c r="D35" s="424">
        <f>SUM(D32*D33)</f>
        <v>6644.5774054519761</v>
      </c>
      <c r="F35" s="424">
        <f>SUM(F32*F33)</f>
        <v>7876.3008272199995</v>
      </c>
      <c r="H35" s="424">
        <f t="shared" ref="H35" si="14">SUM(H32*H33)</f>
        <v>8630.5537097419092</v>
      </c>
      <c r="I35" s="271"/>
      <c r="J35" s="424">
        <v>9501.7079599999997</v>
      </c>
      <c r="K35" s="387"/>
      <c r="L35" s="388"/>
      <c r="M35" s="424">
        <v>11286.939</v>
      </c>
      <c r="N35" s="387"/>
      <c r="O35" s="424">
        <f t="shared" ref="O35:AB35" si="15">SUM(O32*O33)</f>
        <v>12999.765589175515</v>
      </c>
      <c r="P35" s="387"/>
      <c r="Q35" s="390">
        <f>+R35</f>
        <v>12677.752</v>
      </c>
      <c r="R35" s="389">
        <f>+'Resp to Staff DR 41 supp A'!K15</f>
        <v>12677.752</v>
      </c>
      <c r="S35" s="879"/>
      <c r="T35" s="940">
        <v>13970.645184263789</v>
      </c>
      <c r="U35" s="1188">
        <f t="shared" si="15"/>
        <v>13169.877019950874</v>
      </c>
      <c r="V35" s="1018">
        <f>+V33*V32</f>
        <v>13169.877019950874</v>
      </c>
      <c r="W35" s="994" t="str">
        <f>+'Resp Stf DR40 suppl att A elec'!E32</f>
        <v>2017 WA estimated property tax</v>
      </c>
      <c r="X35" s="390"/>
      <c r="Y35" s="1189">
        <f t="shared" si="15"/>
        <v>13700.228237884852</v>
      </c>
      <c r="Z35" s="387">
        <f t="shared" si="15"/>
        <v>14465.432733170137</v>
      </c>
      <c r="AA35" s="387">
        <f t="shared" si="15"/>
        <v>15248.473775746979</v>
      </c>
      <c r="AB35" s="387">
        <f t="shared" si="15"/>
        <v>16118.862776524375</v>
      </c>
    </row>
    <row r="36" spans="1:28" s="246" customFormat="1" ht="15" customHeight="1" thickTop="1">
      <c r="A36" s="288">
        <v>24</v>
      </c>
      <c r="B36" s="117"/>
      <c r="C36" s="1155"/>
      <c r="D36" s="127"/>
      <c r="F36" s="127"/>
      <c r="G36" s="127"/>
      <c r="H36" s="127"/>
      <c r="I36" s="271"/>
      <c r="J36" s="127"/>
      <c r="K36" s="127"/>
      <c r="L36" s="392"/>
      <c r="M36" s="393"/>
      <c r="N36" s="127"/>
      <c r="O36" s="127"/>
      <c r="P36" s="127"/>
      <c r="Q36" s="394">
        <v>13358</v>
      </c>
      <c r="R36" s="395" t="s">
        <v>264</v>
      </c>
      <c r="S36" s="127"/>
      <c r="T36" s="941">
        <v>14720</v>
      </c>
      <c r="U36" s="394">
        <v>14720</v>
      </c>
      <c r="V36" s="1016"/>
      <c r="W36" s="1292" t="s">
        <v>264</v>
      </c>
      <c r="X36" s="1292"/>
      <c r="Y36" s="394">
        <v>15605</v>
      </c>
      <c r="Z36" s="394">
        <v>16779</v>
      </c>
      <c r="AA36" s="394">
        <v>18103</v>
      </c>
      <c r="AB36" s="394">
        <v>19392</v>
      </c>
    </row>
    <row r="37" spans="1:28" s="246" customFormat="1" ht="12.75">
      <c r="A37" s="288">
        <v>25</v>
      </c>
      <c r="B37" s="432"/>
      <c r="C37" s="1155"/>
      <c r="D37" s="177"/>
      <c r="F37" s="177"/>
      <c r="H37" s="177"/>
      <c r="I37" s="271"/>
      <c r="J37" s="177"/>
      <c r="K37" s="177"/>
      <c r="L37" s="396"/>
      <c r="M37" s="177"/>
      <c r="N37" s="177"/>
      <c r="O37" s="177"/>
      <c r="P37" s="177"/>
      <c r="Q37" s="177"/>
      <c r="R37" s="397"/>
      <c r="S37" s="880"/>
      <c r="T37" s="942"/>
      <c r="U37" s="1190"/>
      <c r="V37" s="1019"/>
      <c r="W37" s="995"/>
      <c r="X37" s="398"/>
      <c r="Y37" s="177"/>
      <c r="Z37" s="177"/>
      <c r="AA37" s="177"/>
      <c r="AB37" s="177"/>
    </row>
    <row r="38" spans="1:28" s="246" customFormat="1" ht="12.75">
      <c r="A38" s="288">
        <v>26</v>
      </c>
      <c r="B38" s="313"/>
      <c r="C38" s="1155"/>
      <c r="D38" s="399" t="s">
        <v>265</v>
      </c>
      <c r="F38" s="399" t="s">
        <v>253</v>
      </c>
      <c r="H38" s="399" t="s">
        <v>254</v>
      </c>
      <c r="I38" s="271"/>
      <c r="J38" s="399" t="s">
        <v>266</v>
      </c>
      <c r="K38" s="399"/>
      <c r="L38" s="308"/>
      <c r="M38" s="399" t="s">
        <v>267</v>
      </c>
      <c r="N38" s="307"/>
      <c r="O38" s="399" t="s">
        <v>268</v>
      </c>
      <c r="P38" s="307"/>
      <c r="Q38" s="399" t="s">
        <v>269</v>
      </c>
      <c r="R38" s="309"/>
      <c r="S38" s="869"/>
      <c r="T38" s="930" t="s">
        <v>104</v>
      </c>
      <c r="U38" s="1163" t="s">
        <v>104</v>
      </c>
      <c r="V38" s="1016"/>
      <c r="W38" s="996"/>
      <c r="X38" s="310"/>
      <c r="Y38" s="307" t="s">
        <v>259</v>
      </c>
      <c r="Z38" s="307" t="s">
        <v>260</v>
      </c>
      <c r="AA38" s="307" t="s">
        <v>261</v>
      </c>
      <c r="AB38" s="307" t="s">
        <v>262</v>
      </c>
    </row>
    <row r="39" spans="1:28" s="246" customFormat="1" ht="19.5">
      <c r="A39" s="288">
        <v>27</v>
      </c>
      <c r="B39" s="1191" t="s">
        <v>130</v>
      </c>
      <c r="C39" s="1155"/>
      <c r="D39" s="1165"/>
      <c r="F39" s="315"/>
      <c r="H39" s="315"/>
      <c r="I39" s="271"/>
      <c r="J39" s="313"/>
      <c r="K39" s="313"/>
      <c r="L39" s="314"/>
      <c r="M39" s="315"/>
      <c r="N39" s="315"/>
      <c r="O39" s="315"/>
      <c r="P39" s="315"/>
      <c r="Q39" s="315"/>
      <c r="R39" s="255"/>
      <c r="S39" s="881"/>
      <c r="T39" s="943"/>
      <c r="U39" s="144"/>
      <c r="V39" s="1014"/>
      <c r="W39" s="819"/>
      <c r="X39" s="400"/>
      <c r="Y39" s="315"/>
      <c r="Z39" s="315"/>
      <c r="AA39" s="315"/>
      <c r="AB39" s="315"/>
    </row>
    <row r="40" spans="1:28" s="246" customFormat="1" ht="12.75">
      <c r="A40" s="288">
        <v>28</v>
      </c>
      <c r="B40" s="313"/>
      <c r="C40" s="1155"/>
      <c r="D40" s="315"/>
      <c r="F40" s="315"/>
      <c r="H40" s="315"/>
      <c r="I40" s="271"/>
      <c r="J40" s="313"/>
      <c r="K40" s="313"/>
      <c r="L40" s="314"/>
      <c r="M40" s="315"/>
      <c r="N40" s="315"/>
      <c r="O40" s="315"/>
      <c r="P40" s="315"/>
      <c r="Q40" s="315"/>
      <c r="R40" s="255"/>
      <c r="S40" s="881"/>
      <c r="T40" s="943"/>
      <c r="U40" s="144"/>
      <c r="V40" s="1014"/>
      <c r="W40" s="819"/>
      <c r="X40" s="400"/>
      <c r="Y40" s="315"/>
      <c r="Z40" s="315"/>
      <c r="AA40" s="315"/>
      <c r="AB40" s="315"/>
    </row>
    <row r="41" spans="1:28" s="246" customFormat="1" ht="12.75">
      <c r="A41" s="288">
        <v>29</v>
      </c>
      <c r="B41" s="313" t="s">
        <v>131</v>
      </c>
      <c r="C41" s="1155"/>
      <c r="D41" s="322">
        <v>1578492</v>
      </c>
      <c r="F41" s="322">
        <v>1699083.2690000001</v>
      </c>
      <c r="H41" s="322">
        <v>1795440.777</v>
      </c>
      <c r="I41" s="271"/>
      <c r="J41" s="322">
        <v>1871167</v>
      </c>
      <c r="K41" s="322"/>
      <c r="L41" s="323"/>
      <c r="M41" s="322">
        <v>1892078.206</v>
      </c>
      <c r="N41" s="324"/>
      <c r="O41" s="325">
        <v>2018725.2420000001</v>
      </c>
      <c r="P41" s="325"/>
      <c r="Q41" s="325">
        <v>2098023.2439999999</v>
      </c>
      <c r="R41" s="326"/>
      <c r="S41" s="870"/>
      <c r="T41" s="931">
        <v>2098023.2439999999</v>
      </c>
      <c r="U41" s="1167">
        <f>+V41</f>
        <v>2268109</v>
      </c>
      <c r="V41" s="931">
        <f>+'Resp Stf DR40 suppl att A elec'!$D$38</f>
        <v>2268109</v>
      </c>
      <c r="W41" s="818" t="str">
        <f>+'Resp Stf DR40 suppl att A elec'!E38</f>
        <v>Actual per State DOR</v>
      </c>
      <c r="X41" s="327"/>
      <c r="Y41" s="324">
        <f>SUM(U41:U47)</f>
        <v>2268109</v>
      </c>
      <c r="Z41" s="324">
        <f t="shared" ref="Z41:AB41" si="16">SUM(Y41:Y47)</f>
        <v>2361704.9270000001</v>
      </c>
      <c r="AA41" s="324">
        <f t="shared" si="16"/>
        <v>2495395.4270000001</v>
      </c>
      <c r="AB41" s="324">
        <f t="shared" si="16"/>
        <v>2632202.1880000001</v>
      </c>
    </row>
    <row r="42" spans="1:28" s="246" customFormat="1" ht="12.75">
      <c r="A42" s="288">
        <v>30</v>
      </c>
      <c r="B42" s="313" t="s">
        <v>108</v>
      </c>
      <c r="C42" s="1155"/>
      <c r="D42" s="322"/>
      <c r="F42" s="322"/>
      <c r="H42" s="322"/>
      <c r="I42" s="271"/>
      <c r="J42" s="322"/>
      <c r="K42" s="322"/>
      <c r="L42" s="401"/>
      <c r="M42" s="402"/>
      <c r="N42" s="402"/>
      <c r="O42" s="325"/>
      <c r="P42" s="325"/>
      <c r="Q42" s="402"/>
      <c r="R42" s="327"/>
      <c r="S42" s="870"/>
      <c r="T42" s="931"/>
      <c r="U42" s="1192"/>
      <c r="V42" s="931"/>
      <c r="W42" s="991"/>
      <c r="X42" s="327"/>
      <c r="Y42" s="402"/>
      <c r="Z42" s="402"/>
      <c r="AA42" s="402"/>
      <c r="AB42" s="402"/>
    </row>
    <row r="43" spans="1:28" s="246" customFormat="1" ht="12.75">
      <c r="A43" s="288">
        <v>31</v>
      </c>
      <c r="B43" s="117" t="s">
        <v>109</v>
      </c>
      <c r="C43" s="1155"/>
      <c r="D43" s="322"/>
      <c r="F43" s="404"/>
      <c r="H43" s="442"/>
      <c r="I43" s="271"/>
      <c r="J43" s="404"/>
      <c r="K43" s="404"/>
      <c r="L43" s="405"/>
      <c r="M43" s="404"/>
      <c r="N43" s="404"/>
      <c r="O43" s="325"/>
      <c r="P43" s="325"/>
      <c r="Q43" s="442"/>
      <c r="R43" s="326"/>
      <c r="S43" s="870"/>
      <c r="T43" s="931">
        <v>310837.11200000002</v>
      </c>
      <c r="U43" s="1193">
        <f>SUM(U18)</f>
        <v>0</v>
      </c>
      <c r="V43" s="931"/>
      <c r="W43" s="818"/>
      <c r="X43" s="327"/>
      <c r="Y43" s="404">
        <f t="shared" ref="Y43:AB47" si="17">SUM(Y18)</f>
        <v>291856.06300000002</v>
      </c>
      <c r="Z43" s="404">
        <f t="shared" si="17"/>
        <v>281976.68699999998</v>
      </c>
      <c r="AA43" s="404">
        <f t="shared" si="17"/>
        <v>276328.47399999999</v>
      </c>
      <c r="AB43" s="404">
        <f t="shared" si="17"/>
        <v>313127.50799999997</v>
      </c>
    </row>
    <row r="44" spans="1:28" s="246" customFormat="1" ht="12.75">
      <c r="A44" s="288">
        <v>32</v>
      </c>
      <c r="B44" s="117" t="s">
        <v>110</v>
      </c>
      <c r="C44" s="1155"/>
      <c r="D44" s="322"/>
      <c r="F44" s="404"/>
      <c r="H44" s="442"/>
      <c r="I44" s="271"/>
      <c r="J44" s="404"/>
      <c r="K44" s="404"/>
      <c r="L44" s="405"/>
      <c r="M44" s="404"/>
      <c r="N44" s="404"/>
      <c r="O44" s="325"/>
      <c r="P44" s="325"/>
      <c r="Q44" s="404"/>
      <c r="R44" s="326"/>
      <c r="S44" s="870"/>
      <c r="T44" s="931">
        <v>-31087.348000000002</v>
      </c>
      <c r="U44" s="1193">
        <f>SUM(U19)</f>
        <v>0</v>
      </c>
      <c r="V44" s="931"/>
      <c r="W44" s="818"/>
      <c r="X44" s="327"/>
      <c r="Y44" s="404">
        <f t="shared" si="17"/>
        <v>-94410.135999999999</v>
      </c>
      <c r="Z44" s="404">
        <f t="shared" si="17"/>
        <v>-41436.186999999998</v>
      </c>
      <c r="AA44" s="404">
        <f t="shared" si="17"/>
        <v>-35671.713000000003</v>
      </c>
      <c r="AB44" s="404">
        <f t="shared" si="17"/>
        <v>-57210</v>
      </c>
    </row>
    <row r="45" spans="1:28" s="246" customFormat="1" ht="12.75">
      <c r="A45" s="288">
        <v>33</v>
      </c>
      <c r="B45" s="117" t="s">
        <v>111</v>
      </c>
      <c r="C45" s="1155"/>
      <c r="D45" s="322"/>
      <c r="F45" s="404"/>
      <c r="H45" s="442"/>
      <c r="I45" s="271"/>
      <c r="J45" s="404"/>
      <c r="K45" s="404"/>
      <c r="L45" s="405"/>
      <c r="M45" s="404"/>
      <c r="N45" s="404"/>
      <c r="O45" s="325"/>
      <c r="P45" s="325"/>
      <c r="Q45" s="404"/>
      <c r="R45" s="326"/>
      <c r="S45" s="870"/>
      <c r="T45" s="931">
        <v>0</v>
      </c>
      <c r="U45" s="1193">
        <f>SUM(U20)</f>
        <v>0</v>
      </c>
      <c r="V45" s="931"/>
      <c r="W45" s="818"/>
      <c r="X45" s="327"/>
      <c r="Y45" s="404">
        <f t="shared" si="17"/>
        <v>0</v>
      </c>
      <c r="Z45" s="404">
        <f t="shared" si="17"/>
        <v>0</v>
      </c>
      <c r="AA45" s="404">
        <f t="shared" si="17"/>
        <v>0</v>
      </c>
      <c r="AB45" s="404">
        <f t="shared" si="17"/>
        <v>0</v>
      </c>
    </row>
    <row r="46" spans="1:28" s="246" customFormat="1" ht="12.75">
      <c r="A46" s="288">
        <v>34</v>
      </c>
      <c r="B46" s="117" t="s">
        <v>112</v>
      </c>
      <c r="C46" s="1155"/>
      <c r="D46" s="322"/>
      <c r="F46" s="404"/>
      <c r="H46" s="442"/>
      <c r="I46" s="271"/>
      <c r="J46" s="404"/>
      <c r="K46" s="404"/>
      <c r="L46" s="405"/>
      <c r="M46" s="404"/>
      <c r="N46" s="404"/>
      <c r="O46" s="325"/>
      <c r="P46" s="325"/>
      <c r="Q46" s="404"/>
      <c r="R46" s="326"/>
      <c r="S46" s="870"/>
      <c r="T46" s="931">
        <v>-5659.5</v>
      </c>
      <c r="U46" s="1193">
        <f>SUM(U21)</f>
        <v>0</v>
      </c>
      <c r="V46" s="931"/>
      <c r="W46" s="818"/>
      <c r="X46" s="327"/>
      <c r="Y46" s="404">
        <f t="shared" si="17"/>
        <v>-7850</v>
      </c>
      <c r="Z46" s="404">
        <f t="shared" si="17"/>
        <v>-10850</v>
      </c>
      <c r="AA46" s="404">
        <f t="shared" si="17"/>
        <v>-7850</v>
      </c>
      <c r="AB46" s="404">
        <f t="shared" si="17"/>
        <v>-7850</v>
      </c>
    </row>
    <row r="47" spans="1:28" s="246" customFormat="1" ht="12.75">
      <c r="A47" s="288">
        <v>35</v>
      </c>
      <c r="B47" s="117" t="s">
        <v>132</v>
      </c>
      <c r="C47" s="1155"/>
      <c r="D47" s="322"/>
      <c r="F47" s="404"/>
      <c r="H47" s="442"/>
      <c r="I47" s="271"/>
      <c r="J47" s="404"/>
      <c r="K47" s="404"/>
      <c r="L47" s="405"/>
      <c r="M47" s="404"/>
      <c r="N47" s="404"/>
      <c r="O47" s="325"/>
      <c r="P47" s="325"/>
      <c r="Q47" s="404"/>
      <c r="R47" s="326"/>
      <c r="S47" s="870"/>
      <c r="T47" s="931">
        <v>-96000</v>
      </c>
      <c r="U47" s="1193">
        <f>SUM(U22)</f>
        <v>0</v>
      </c>
      <c r="V47" s="931"/>
      <c r="W47" s="818"/>
      <c r="X47" s="327"/>
      <c r="Y47" s="404">
        <f t="shared" si="17"/>
        <v>-96000</v>
      </c>
      <c r="Z47" s="404">
        <f t="shared" si="17"/>
        <v>-96000</v>
      </c>
      <c r="AA47" s="404">
        <f t="shared" si="17"/>
        <v>-96000</v>
      </c>
      <c r="AB47" s="404">
        <f t="shared" si="17"/>
        <v>-96000</v>
      </c>
    </row>
    <row r="48" spans="1:28" s="246" customFormat="1" ht="12.75">
      <c r="A48" s="288">
        <v>36</v>
      </c>
      <c r="B48" s="313" t="s">
        <v>133</v>
      </c>
      <c r="C48" s="1155"/>
      <c r="D48" s="409"/>
      <c r="F48" s="333"/>
      <c r="H48" s="444"/>
      <c r="I48" s="271"/>
      <c r="J48" s="333"/>
      <c r="K48" s="333"/>
      <c r="L48" s="334"/>
      <c r="M48" s="333"/>
      <c r="N48" s="333"/>
      <c r="O48" s="335"/>
      <c r="P48" s="335"/>
      <c r="Q48" s="1194" t="s">
        <v>270</v>
      </c>
      <c r="R48" s="336"/>
      <c r="S48" s="872"/>
      <c r="T48" s="933"/>
      <c r="U48" s="1195"/>
      <c r="V48" s="933"/>
      <c r="W48" s="997"/>
      <c r="X48" s="337"/>
      <c r="Y48" s="333"/>
      <c r="Z48" s="333"/>
      <c r="AA48" s="333"/>
      <c r="AB48" s="333"/>
    </row>
    <row r="49" spans="1:28" s="246" customFormat="1" ht="12.75">
      <c r="A49" s="288">
        <v>37</v>
      </c>
      <c r="B49" s="313" t="s">
        <v>134</v>
      </c>
      <c r="C49" s="1155"/>
      <c r="D49" s="340">
        <v>1</v>
      </c>
      <c r="F49" s="340">
        <v>1</v>
      </c>
      <c r="H49" s="340">
        <v>1</v>
      </c>
      <c r="I49" s="271"/>
      <c r="J49" s="340">
        <v>1</v>
      </c>
      <c r="K49" s="340"/>
      <c r="L49" s="323"/>
      <c r="M49" s="340">
        <v>1</v>
      </c>
      <c r="N49" s="342"/>
      <c r="O49" s="343">
        <v>1</v>
      </c>
      <c r="P49" s="343"/>
      <c r="Q49" s="343">
        <v>1</v>
      </c>
      <c r="R49" s="344"/>
      <c r="S49" s="873"/>
      <c r="T49" s="934">
        <v>1</v>
      </c>
      <c r="U49" s="1196">
        <f>+V49</f>
        <v>1</v>
      </c>
      <c r="V49" s="934">
        <f>+'Resp Stf DR40 suppl att A elec'!$D$46</f>
        <v>1</v>
      </c>
      <c r="W49" s="990" t="str">
        <f>+'Resp Stf DR40 suppl att A elec'!$E$46</f>
        <v>Actual per State DOR</v>
      </c>
      <c r="X49" s="345"/>
      <c r="Y49" s="342">
        <v>1</v>
      </c>
      <c r="Z49" s="342">
        <v>1</v>
      </c>
      <c r="AA49" s="342">
        <v>1</v>
      </c>
      <c r="AB49" s="342">
        <v>1</v>
      </c>
    </row>
    <row r="50" spans="1:28" s="246" customFormat="1" ht="12.75">
      <c r="A50" s="288">
        <v>38</v>
      </c>
      <c r="B50" s="313" t="s">
        <v>135</v>
      </c>
      <c r="C50" s="1155"/>
      <c r="D50" s="347">
        <v>0.25974900000000001</v>
      </c>
      <c r="F50" s="1197">
        <v>0.24714743</v>
      </c>
      <c r="H50" s="1170">
        <v>0.24893693</v>
      </c>
      <c r="I50" s="271"/>
      <c r="J50" s="347">
        <f>478010267/1871166525</f>
        <v>0.2554611044038424</v>
      </c>
      <c r="K50" s="347"/>
      <c r="L50" s="348"/>
      <c r="M50" s="347">
        <f>479016601/1892078206</f>
        <v>0.25316955688247061</v>
      </c>
      <c r="N50" s="350"/>
      <c r="O50" s="351">
        <f>515171.974/2018725.242</f>
        <v>0.25519667723063028</v>
      </c>
      <c r="P50" s="351"/>
      <c r="Q50" s="351">
        <f>514394.545/2098023.244</f>
        <v>0.24518057484400302</v>
      </c>
      <c r="R50" s="352"/>
      <c r="S50" s="874"/>
      <c r="T50" s="935">
        <v>0.24518057484400302</v>
      </c>
      <c r="U50" s="1198">
        <f>+V50</f>
        <v>0.24651799999999999</v>
      </c>
      <c r="V50" s="935">
        <f>+'Resp Stf DR40 suppl att A elec'!$D$47</f>
        <v>0.24651799999999999</v>
      </c>
      <c r="W50" s="998" t="str">
        <f>+'Resp Stf DR40 suppl att A elec'!E47</f>
        <v>Actual per State DOR</v>
      </c>
      <c r="X50" s="353"/>
      <c r="Y50" s="350">
        <f>SUM(U50)</f>
        <v>0.24651799999999999</v>
      </c>
      <c r="Z50" s="350">
        <f t="shared" ref="Z50:AB50" si="18">SUM(Y50)</f>
        <v>0.24651799999999999</v>
      </c>
      <c r="AA50" s="350">
        <f t="shared" si="18"/>
        <v>0.24651799999999999</v>
      </c>
      <c r="AB50" s="350">
        <f t="shared" si="18"/>
        <v>0.24651799999999999</v>
      </c>
    </row>
    <row r="51" spans="1:28" s="246" customFormat="1" ht="12.75">
      <c r="A51" s="288">
        <v>39</v>
      </c>
      <c r="B51" s="313" t="s">
        <v>116</v>
      </c>
      <c r="C51" s="1155"/>
      <c r="D51" s="322">
        <f>SUM(D41:D47)*D49*D50</f>
        <v>410011.71850800002</v>
      </c>
      <c r="F51" s="322">
        <f>SUM(F41:F48)*F49*F50</f>
        <v>419924.06328934868</v>
      </c>
      <c r="H51" s="322">
        <f t="shared" ref="H51:J51" si="19">SUM(H41:H48)*H49*H50</f>
        <v>446951.5150231946</v>
      </c>
      <c r="I51" s="271"/>
      <c r="J51" s="322">
        <f t="shared" si="19"/>
        <v>478010.38834402454</v>
      </c>
      <c r="K51" s="322"/>
      <c r="L51" s="323"/>
      <c r="M51" s="322">
        <f t="shared" ref="M51:O51" si="20">SUM(M41:M48)*M49*M50</f>
        <v>479016.60099999997</v>
      </c>
      <c r="N51" s="324"/>
      <c r="O51" s="325">
        <f t="shared" si="20"/>
        <v>515171.97399999999</v>
      </c>
      <c r="P51" s="325"/>
      <c r="Q51" s="325">
        <f t="shared" ref="Q51:AB51" si="21">SUM(Q41:Q48)*Q49*Q50</f>
        <v>514394.54499999998</v>
      </c>
      <c r="R51" s="326"/>
      <c r="S51" s="870"/>
      <c r="T51" s="931">
        <v>558058.81830164022</v>
      </c>
      <c r="U51" s="1167">
        <f t="shared" si="21"/>
        <v>559129.69446199993</v>
      </c>
      <c r="V51" s="931">
        <f>+V50*V49*V41</f>
        <v>559129.69446199993</v>
      </c>
      <c r="W51" s="818"/>
      <c r="X51" s="327"/>
      <c r="Y51" s="324">
        <f t="shared" si="21"/>
        <v>582202.77519418602</v>
      </c>
      <c r="Z51" s="324">
        <f t="shared" si="21"/>
        <v>615159.88987318601</v>
      </c>
      <c r="AA51" s="324">
        <f t="shared" si="21"/>
        <v>648885.21898138395</v>
      </c>
      <c r="AB51" s="324">
        <f t="shared" si="21"/>
        <v>686372.59691852797</v>
      </c>
    </row>
    <row r="52" spans="1:28" s="246" customFormat="1" ht="12.75">
      <c r="A52" s="288">
        <v>40</v>
      </c>
      <c r="B52" s="313" t="s">
        <v>117</v>
      </c>
      <c r="C52" s="1155"/>
      <c r="D52" s="409">
        <f>(5887+8589+229+382)*-1</f>
        <v>-15087</v>
      </c>
      <c r="F52" s="409">
        <f>-3975.631-8936.384-222.924-283</f>
        <v>-13417.939</v>
      </c>
      <c r="H52" s="409">
        <f>-10488.681-9022.891-264.554-322.957</f>
        <v>-20099.082999999999</v>
      </c>
      <c r="I52" s="271"/>
      <c r="J52" s="409">
        <f>-8904.767-211.228-231.129</f>
        <v>-9347.1239999999998</v>
      </c>
      <c r="K52" s="409"/>
      <c r="L52" s="334"/>
      <c r="M52" s="409">
        <f>-8573.011-238.474-810.181</f>
        <v>-9621.6660000000011</v>
      </c>
      <c r="N52" s="333"/>
      <c r="O52" s="335">
        <f>-8697.667-262.431-1000-301.639</f>
        <v>-10261.736999999999</v>
      </c>
      <c r="P52" s="335"/>
      <c r="Q52" s="335">
        <f>-7890.157-307.219-1000-443.168</f>
        <v>-9640.5439999999999</v>
      </c>
      <c r="R52" s="336"/>
      <c r="S52" s="872"/>
      <c r="T52" s="933">
        <v>-9640.5439999999999</v>
      </c>
      <c r="U52" s="1195">
        <f>+V52</f>
        <v>-9958</v>
      </c>
      <c r="V52" s="933">
        <f>+'Resp Stf DR40 suppl att A elec'!$D$49</f>
        <v>-9958</v>
      </c>
      <c r="W52" s="997" t="str">
        <f>+'Resp Stf DR40 suppl att A elec'!E49</f>
        <v>Actual per State DOR</v>
      </c>
      <c r="X52" s="337"/>
      <c r="Y52" s="333">
        <f>SUM(U52)</f>
        <v>-9958</v>
      </c>
      <c r="Z52" s="333">
        <f t="shared" ref="Z52:AB52" si="22">SUM(Y52)</f>
        <v>-9958</v>
      </c>
      <c r="AA52" s="333">
        <f t="shared" si="22"/>
        <v>-9958</v>
      </c>
      <c r="AB52" s="333">
        <f t="shared" si="22"/>
        <v>-9958</v>
      </c>
    </row>
    <row r="53" spans="1:28" s="246" customFormat="1" ht="12.75">
      <c r="A53" s="288">
        <v>41</v>
      </c>
      <c r="B53" s="313" t="s">
        <v>118</v>
      </c>
      <c r="C53" s="1155"/>
      <c r="D53" s="322">
        <f>SUM(D51:D52)</f>
        <v>394924.71850800002</v>
      </c>
      <c r="F53" s="322">
        <f>SUM(F51:F52)</f>
        <v>406506.12428934866</v>
      </c>
      <c r="H53" s="322">
        <f>SUM(H51:H52)</f>
        <v>426852.43202319462</v>
      </c>
      <c r="I53" s="271"/>
      <c r="J53" s="322">
        <f>SUM(J51:J52)</f>
        <v>468663.26434402453</v>
      </c>
      <c r="K53" s="322"/>
      <c r="L53" s="323"/>
      <c r="M53" s="322">
        <f t="shared" ref="M53:AB53" si="23">SUM(M51:M52)</f>
        <v>469394.93499999994</v>
      </c>
      <c r="N53" s="324"/>
      <c r="O53" s="325">
        <f t="shared" si="23"/>
        <v>504910.23699999996</v>
      </c>
      <c r="P53" s="325"/>
      <c r="Q53" s="325">
        <f t="shared" si="23"/>
        <v>504754.00099999999</v>
      </c>
      <c r="R53" s="326"/>
      <c r="S53" s="870"/>
      <c r="T53" s="931">
        <v>548418.27430164022</v>
      </c>
      <c r="U53" s="1167">
        <f t="shared" si="23"/>
        <v>549171.69446199993</v>
      </c>
      <c r="V53" s="931">
        <f>SUM(V51:V52)</f>
        <v>549171.69446199993</v>
      </c>
      <c r="W53" s="818"/>
      <c r="X53" s="327"/>
      <c r="Y53" s="324">
        <f t="shared" si="23"/>
        <v>572244.77519418602</v>
      </c>
      <c r="Z53" s="324">
        <f t="shared" si="23"/>
        <v>605201.88987318601</v>
      </c>
      <c r="AA53" s="324">
        <f t="shared" si="23"/>
        <v>638927.21898138395</v>
      </c>
      <c r="AB53" s="324">
        <f t="shared" si="23"/>
        <v>676414.59691852797</v>
      </c>
    </row>
    <row r="54" spans="1:28" s="246" customFormat="1" ht="12.75">
      <c r="A54" s="288">
        <v>42</v>
      </c>
      <c r="B54" s="313" t="s">
        <v>136</v>
      </c>
      <c r="C54" s="1155"/>
      <c r="D54" s="411">
        <v>1</v>
      </c>
      <c r="F54" s="411">
        <v>1</v>
      </c>
      <c r="H54" s="411">
        <v>1</v>
      </c>
      <c r="I54" s="271"/>
      <c r="J54" s="411">
        <v>1</v>
      </c>
      <c r="K54" s="411"/>
      <c r="L54" s="334"/>
      <c r="M54" s="411">
        <v>1</v>
      </c>
      <c r="N54" s="412"/>
      <c r="O54" s="413">
        <v>1</v>
      </c>
      <c r="P54" s="413"/>
      <c r="Q54" s="413">
        <v>1</v>
      </c>
      <c r="R54" s="414"/>
      <c r="S54" s="882"/>
      <c r="T54" s="944">
        <v>1</v>
      </c>
      <c r="U54" s="1199">
        <v>1</v>
      </c>
      <c r="V54" s="944">
        <f>+'Resp Stf DR40 suppl att A elec'!$D$51</f>
        <v>1</v>
      </c>
      <c r="W54" s="999"/>
      <c r="X54" s="415"/>
      <c r="Y54" s="412">
        <v>1</v>
      </c>
      <c r="Z54" s="412">
        <v>1</v>
      </c>
      <c r="AA54" s="412">
        <v>1</v>
      </c>
      <c r="AB54" s="412">
        <v>1</v>
      </c>
    </row>
    <row r="55" spans="1:28" s="246" customFormat="1" ht="12.75">
      <c r="A55" s="288">
        <v>43</v>
      </c>
      <c r="B55" s="313" t="s">
        <v>137</v>
      </c>
      <c r="C55" s="1155"/>
      <c r="D55" s="322">
        <f>SUM(D53*D54)</f>
        <v>394924.71850800002</v>
      </c>
      <c r="F55" s="322">
        <f>SUM(F53*F54)</f>
        <v>406506.12428934866</v>
      </c>
      <c r="H55" s="322">
        <f t="shared" ref="H55:J55" si="24">SUM(H53*H54)</f>
        <v>426852.43202319462</v>
      </c>
      <c r="I55" s="271"/>
      <c r="J55" s="322">
        <f t="shared" si="24"/>
        <v>468663.26434402453</v>
      </c>
      <c r="K55" s="322"/>
      <c r="L55" s="323"/>
      <c r="M55" s="322">
        <f t="shared" ref="M55:AB55" si="25">SUM(M53*M54)</f>
        <v>469394.93499999994</v>
      </c>
      <c r="N55" s="324"/>
      <c r="O55" s="325">
        <f t="shared" si="25"/>
        <v>504910.23699999996</v>
      </c>
      <c r="P55" s="325"/>
      <c r="Q55" s="325">
        <f t="shared" si="25"/>
        <v>504754.00099999999</v>
      </c>
      <c r="R55" s="326"/>
      <c r="S55" s="870"/>
      <c r="T55" s="931">
        <v>548418.27430164022</v>
      </c>
      <c r="U55" s="1167">
        <f t="shared" si="25"/>
        <v>549171.69446199993</v>
      </c>
      <c r="V55" s="931">
        <f>+V54*V53</f>
        <v>549171.69446199993</v>
      </c>
      <c r="W55" s="818" t="str">
        <f>+'Resp Stf DR40 suppl att A elec'!E52</f>
        <v>Actual</v>
      </c>
      <c r="X55" s="327"/>
      <c r="Y55" s="324">
        <f t="shared" si="25"/>
        <v>572244.77519418602</v>
      </c>
      <c r="Z55" s="324">
        <f t="shared" si="25"/>
        <v>605201.88987318601</v>
      </c>
      <c r="AA55" s="324">
        <f t="shared" si="25"/>
        <v>638927.21898138395</v>
      </c>
      <c r="AB55" s="324">
        <f t="shared" si="25"/>
        <v>676414.59691852797</v>
      </c>
    </row>
    <row r="56" spans="1:28" s="246" customFormat="1" ht="12.75">
      <c r="A56" s="288">
        <v>44</v>
      </c>
      <c r="B56" s="313" t="s">
        <v>138</v>
      </c>
      <c r="C56" s="1200" t="e">
        <f>SUM(D56-#REF!)/D56</f>
        <v>#REF!</v>
      </c>
      <c r="D56" s="1177">
        <f>3829943.98/394925312</f>
        <v>9.697894421110187E-3</v>
      </c>
      <c r="E56" s="1201">
        <f>SUM(F56-D56)/F56</f>
        <v>9.0569557305089754E-2</v>
      </c>
      <c r="F56" s="1177">
        <f>4334861/406506236</f>
        <v>1.06637011098644E-2</v>
      </c>
      <c r="G56" s="1201">
        <f>SUM(H56-F56)/H56</f>
        <v>2.9513914282453545E-2</v>
      </c>
      <c r="H56" s="1177">
        <v>1.0988E-2</v>
      </c>
      <c r="I56" s="1202">
        <f>SUM(J56-H56)/H56</f>
        <v>4.0654360318626757E-2</v>
      </c>
      <c r="J56" s="1177">
        <f>5359027.18/468663143</f>
        <v>1.143471011118107E-2</v>
      </c>
      <c r="K56" s="420"/>
      <c r="L56" s="1203">
        <f>SUM(M56-J56)/J56</f>
        <v>1.3665332452170083E-2</v>
      </c>
      <c r="M56" s="1177">
        <f>5440.743/469395</f>
        <v>1.159096922634455E-2</v>
      </c>
      <c r="N56" s="1181">
        <f>SUM((O56-M56)/M56)</f>
        <v>-2.3012975508219759E-2</v>
      </c>
      <c r="O56" s="1177">
        <f>5717.71522/504910</f>
        <v>1.1324226535422154E-2</v>
      </c>
      <c r="P56" s="1204">
        <f>SUM(Q58-O58)/O58</f>
        <v>-7.4419402637072741E-3</v>
      </c>
      <c r="Q56" s="1177">
        <f>5675.167/504754.002</f>
        <v>1.1243431409187718E-2</v>
      </c>
      <c r="R56" s="380"/>
      <c r="S56" s="563"/>
      <c r="T56" s="1183">
        <v>1.1468300037371473E-2</v>
      </c>
      <c r="U56" s="1184">
        <f>+V56</f>
        <v>1.1243431409187718E-2</v>
      </c>
      <c r="V56" s="1017">
        <f>+'Resp Stf DR40 suppl att A elec'!$D$53</f>
        <v>1.1243431409187718E-2</v>
      </c>
      <c r="W56" s="1043" t="str">
        <f>+'Resp Stf DR40 suppl att A elec'!E53</f>
        <v>2016 weighted average rate</v>
      </c>
      <c r="X56" s="565">
        <v>0</v>
      </c>
      <c r="Y56" s="1185">
        <f>SUM(U56*(1+X56))</f>
        <v>1.1243431409187718E-2</v>
      </c>
      <c r="Z56" s="1185">
        <f>SUM(Y56*(1+X56))</f>
        <v>1.1243431409187718E-2</v>
      </c>
      <c r="AA56" s="1185">
        <f>SUM(Z56*(1+X56))</f>
        <v>1.1243431409187718E-2</v>
      </c>
      <c r="AB56" s="1185">
        <f>SUM(AA56*(1+X56))</f>
        <v>1.1243431409187718E-2</v>
      </c>
    </row>
    <row r="57" spans="1:28" s="246" customFormat="1" ht="12.75">
      <c r="A57" s="288">
        <v>45</v>
      </c>
      <c r="B57" s="313"/>
      <c r="C57" s="1155"/>
      <c r="D57" s="1186"/>
      <c r="F57" s="423"/>
      <c r="H57" s="423"/>
      <c r="I57" s="271"/>
      <c r="J57" s="423"/>
      <c r="K57" s="423"/>
      <c r="L57" s="323"/>
      <c r="M57" s="423"/>
      <c r="N57" s="383"/>
      <c r="O57" s="423"/>
      <c r="P57" s="383"/>
      <c r="Q57" s="423"/>
      <c r="R57" s="384"/>
      <c r="S57" s="878"/>
      <c r="T57" s="939"/>
      <c r="U57" s="1187"/>
      <c r="V57" s="1014"/>
      <c r="W57" s="819"/>
      <c r="X57" s="385"/>
      <c r="Y57" s="383"/>
      <c r="Z57" s="383"/>
      <c r="AA57" s="383"/>
      <c r="AB57" s="383"/>
    </row>
    <row r="58" spans="1:28" s="246" customFormat="1" ht="20.25" thickBot="1">
      <c r="A58" s="288">
        <v>46</v>
      </c>
      <c r="B58" s="303" t="s">
        <v>128</v>
      </c>
      <c r="C58" s="1155"/>
      <c r="D58" s="424">
        <f>SUM(D55*D56)</f>
        <v>3829.9382243772443</v>
      </c>
      <c r="F58" s="424">
        <f>SUM(F55*F56)</f>
        <v>4334.8598087510027</v>
      </c>
      <c r="H58" s="424">
        <f t="shared" ref="H58:J58" si="26">SUM(H55*H56)</f>
        <v>4690.254523070862</v>
      </c>
      <c r="I58" s="271"/>
      <c r="J58" s="424">
        <f t="shared" si="26"/>
        <v>5359.0285675337436</v>
      </c>
      <c r="K58" s="424"/>
      <c r="L58" s="388"/>
      <c r="M58" s="424">
        <f t="shared" ref="M58:AB58" si="27">SUM(M55*M56)</f>
        <v>5440.7422465869995</v>
      </c>
      <c r="N58" s="387"/>
      <c r="O58" s="1205">
        <f t="shared" si="27"/>
        <v>5717.717903841688</v>
      </c>
      <c r="P58" s="387"/>
      <c r="Q58" s="424">
        <f t="shared" si="27"/>
        <v>5675.1669887565686</v>
      </c>
      <c r="R58" s="389">
        <f>+'Resp to Staff DR 41 supp A'!K17</f>
        <v>5675.1669887565686</v>
      </c>
      <c r="S58" s="879"/>
      <c r="T58" s="940">
        <v>6289.4253156686991</v>
      </c>
      <c r="U58" s="1188">
        <f t="shared" si="27"/>
        <v>6174.574278550891</v>
      </c>
      <c r="V58" s="1018">
        <f>+V56*V55</f>
        <v>6174.574278550891</v>
      </c>
      <c r="W58" s="994" t="str">
        <f>+'Resp Stf DR40 suppl att A elec'!E55</f>
        <v>2017 ID estimated property tax</v>
      </c>
      <c r="X58" s="390"/>
      <c r="Y58" s="1189">
        <f t="shared" si="27"/>
        <v>6433.9948791618763</v>
      </c>
      <c r="Z58" s="387">
        <f t="shared" si="27"/>
        <v>6804.5459374999464</v>
      </c>
      <c r="AA58" s="387">
        <f t="shared" si="27"/>
        <v>7183.7343620802512</v>
      </c>
      <c r="AB58" s="387">
        <f t="shared" si="27"/>
        <v>7605.2211246268271</v>
      </c>
    </row>
    <row r="59" spans="1:28" s="246" customFormat="1" ht="13.5" thickTop="1">
      <c r="A59" s="288">
        <v>47</v>
      </c>
      <c r="B59" s="183"/>
      <c r="C59" s="1155"/>
      <c r="D59" s="144"/>
      <c r="F59" s="144"/>
      <c r="G59" s="144"/>
      <c r="H59" s="144"/>
      <c r="I59" s="271"/>
      <c r="J59" s="144"/>
      <c r="K59" s="144"/>
      <c r="L59" s="427"/>
      <c r="M59" s="428"/>
      <c r="N59" s="144"/>
      <c r="O59" s="144"/>
      <c r="P59" s="144"/>
      <c r="Q59" s="144"/>
      <c r="R59" s="429"/>
      <c r="S59" s="144"/>
      <c r="T59" s="943"/>
      <c r="U59" s="144"/>
      <c r="V59" s="1014"/>
      <c r="W59" s="1044"/>
      <c r="X59" s="430" t="s">
        <v>264</v>
      </c>
      <c r="Y59" s="430">
        <v>6684</v>
      </c>
      <c r="Z59" s="430">
        <v>7208</v>
      </c>
      <c r="AA59" s="430">
        <v>7761</v>
      </c>
      <c r="AB59" s="430">
        <v>8379</v>
      </c>
    </row>
    <row r="60" spans="1:28" s="246" customFormat="1" ht="12.75">
      <c r="A60" s="288">
        <v>48</v>
      </c>
      <c r="B60" s="887"/>
      <c r="C60" s="1155"/>
      <c r="D60" s="432"/>
      <c r="F60" s="177"/>
      <c r="H60" s="432"/>
      <c r="I60" s="271"/>
      <c r="J60" s="432"/>
      <c r="K60" s="432"/>
      <c r="L60" s="396"/>
      <c r="M60" s="177"/>
      <c r="N60" s="177"/>
      <c r="O60" s="177"/>
      <c r="P60" s="177"/>
      <c r="Q60" s="177"/>
      <c r="R60" s="397"/>
      <c r="S60" s="880"/>
      <c r="T60" s="942"/>
      <c r="U60" s="1190"/>
      <c r="V60" s="1019"/>
      <c r="W60" s="995"/>
      <c r="X60" s="398"/>
      <c r="Y60" s="177"/>
      <c r="Z60" s="177"/>
      <c r="AA60" s="177"/>
      <c r="AB60" s="177"/>
    </row>
    <row r="61" spans="1:28" s="246" customFormat="1" ht="12.75">
      <c r="A61" s="288">
        <v>49</v>
      </c>
      <c r="B61" s="117"/>
      <c r="C61" s="1155"/>
      <c r="D61" s="399" t="s">
        <v>265</v>
      </c>
      <c r="F61" s="399" t="s">
        <v>253</v>
      </c>
      <c r="H61" s="399" t="s">
        <v>254</v>
      </c>
      <c r="I61" s="271"/>
      <c r="J61" s="399" t="s">
        <v>266</v>
      </c>
      <c r="K61" s="399"/>
      <c r="L61" s="308"/>
      <c r="M61" s="399" t="s">
        <v>267</v>
      </c>
      <c r="N61" s="307"/>
      <c r="O61" s="399" t="s">
        <v>268</v>
      </c>
      <c r="P61" s="307"/>
      <c r="Q61" s="399" t="s">
        <v>269</v>
      </c>
      <c r="R61" s="309"/>
      <c r="S61" s="869"/>
      <c r="T61" s="930" t="s">
        <v>104</v>
      </c>
      <c r="U61" s="1163" t="s">
        <v>104</v>
      </c>
      <c r="V61" s="1016"/>
      <c r="W61" s="996"/>
      <c r="X61" s="310"/>
      <c r="Y61" s="307" t="s">
        <v>259</v>
      </c>
      <c r="Z61" s="307" t="s">
        <v>260</v>
      </c>
      <c r="AA61" s="307" t="s">
        <v>261</v>
      </c>
      <c r="AB61" s="307" t="s">
        <v>262</v>
      </c>
    </row>
    <row r="62" spans="1:28" s="246" customFormat="1" ht="12.75">
      <c r="A62" s="288">
        <v>50</v>
      </c>
      <c r="B62" s="1164" t="s">
        <v>140</v>
      </c>
      <c r="C62" s="1155"/>
      <c r="D62" s="318" t="s">
        <v>141</v>
      </c>
      <c r="F62" s="318" t="s">
        <v>141</v>
      </c>
      <c r="H62" s="318" t="s">
        <v>141</v>
      </c>
      <c r="I62" s="271"/>
      <c r="J62" s="293" t="s">
        <v>141</v>
      </c>
      <c r="K62" s="293"/>
      <c r="L62" s="319"/>
      <c r="M62" s="293" t="s">
        <v>141</v>
      </c>
      <c r="N62" s="320"/>
      <c r="O62" s="293" t="s">
        <v>141</v>
      </c>
      <c r="P62" s="293"/>
      <c r="Q62" s="293" t="s">
        <v>141</v>
      </c>
      <c r="R62" s="295"/>
      <c r="S62" s="865"/>
      <c r="T62" s="926" t="s">
        <v>141</v>
      </c>
      <c r="U62" s="1166" t="s">
        <v>141</v>
      </c>
      <c r="V62" s="931">
        <f>+'Resp Stf DR40 suppl att A elec'!$D$60</f>
        <v>3761000</v>
      </c>
      <c r="W62" s="819" t="str">
        <f>+'Resp Stf DR40 suppl att A elec'!E60</f>
        <v>Actual per State DOR</v>
      </c>
      <c r="X62" s="296"/>
      <c r="Y62" s="320" t="s">
        <v>141</v>
      </c>
      <c r="Z62" s="320" t="s">
        <v>141</v>
      </c>
      <c r="AA62" s="320" t="s">
        <v>141</v>
      </c>
      <c r="AB62" s="320" t="s">
        <v>141</v>
      </c>
    </row>
    <row r="63" spans="1:28" s="246" customFormat="1" ht="12.75">
      <c r="A63" s="288">
        <v>51</v>
      </c>
      <c r="B63" s="1206"/>
      <c r="C63" s="1155"/>
      <c r="D63" s="435">
        <v>2200000</v>
      </c>
      <c r="E63" s="1207"/>
      <c r="F63" s="435">
        <v>2320000</v>
      </c>
      <c r="H63" s="435">
        <v>2600000</v>
      </c>
      <c r="I63" s="271"/>
      <c r="J63" s="435">
        <v>2700000</v>
      </c>
      <c r="K63" s="435"/>
      <c r="L63" s="436"/>
      <c r="M63" s="435">
        <v>2973000</v>
      </c>
      <c r="N63" s="437"/>
      <c r="O63" s="438">
        <v>3318000</v>
      </c>
      <c r="P63" s="438"/>
      <c r="Q63" s="438">
        <v>3431000</v>
      </c>
      <c r="R63" s="439"/>
      <c r="S63" s="883"/>
      <c r="T63" s="945">
        <v>3431000</v>
      </c>
      <c r="U63" s="1208">
        <f>+V63</f>
        <v>3385000</v>
      </c>
      <c r="V63" s="1020">
        <f>+'Resp Stf DR40 suppl att A elec'!$D$61</f>
        <v>3385000</v>
      </c>
      <c r="W63" s="1000" t="str">
        <f>+'Resp Stf DR40 suppl att A elec'!E61</f>
        <v>Actual per State DOR</v>
      </c>
      <c r="X63" s="439"/>
      <c r="Y63" s="437">
        <f>SUM(U63:U67)</f>
        <v>3385000</v>
      </c>
      <c r="Z63" s="437">
        <f t="shared" ref="Z63:AB63" si="28">SUM(Y63:Y67)</f>
        <v>3629531.4550000001</v>
      </c>
      <c r="AA63" s="437">
        <f t="shared" si="28"/>
        <v>3858094.557</v>
      </c>
      <c r="AB63" s="437">
        <f t="shared" si="28"/>
        <v>4087698.9239999996</v>
      </c>
    </row>
    <row r="64" spans="1:28" s="246" customFormat="1" ht="12.75">
      <c r="A64" s="288">
        <v>52</v>
      </c>
      <c r="B64" s="117" t="s">
        <v>271</v>
      </c>
      <c r="C64" s="1155"/>
      <c r="D64" s="322">
        <v>1980000</v>
      </c>
      <c r="F64" s="322">
        <v>2088000</v>
      </c>
      <c r="H64" s="322">
        <v>2340000</v>
      </c>
      <c r="I64" s="271"/>
      <c r="J64" s="322">
        <v>2430000</v>
      </c>
      <c r="K64" s="322"/>
      <c r="L64" s="323"/>
      <c r="M64" s="322">
        <v>2676000</v>
      </c>
      <c r="N64" s="324"/>
      <c r="O64" s="325">
        <v>2987000</v>
      </c>
      <c r="P64" s="325"/>
      <c r="Q64" s="325">
        <v>3088000</v>
      </c>
      <c r="R64" s="326"/>
      <c r="S64" s="870"/>
      <c r="T64" s="931"/>
      <c r="U64" s="1167"/>
      <c r="V64" s="931"/>
      <c r="W64" s="818"/>
      <c r="X64" s="327"/>
      <c r="Y64" s="324"/>
      <c r="Z64" s="324"/>
      <c r="AA64" s="324"/>
      <c r="AB64" s="324"/>
    </row>
    <row r="65" spans="1:28" s="246" customFormat="1" ht="12.75">
      <c r="A65" s="288">
        <v>53</v>
      </c>
      <c r="B65" s="117" t="s">
        <v>144</v>
      </c>
      <c r="C65" s="1155"/>
      <c r="D65" s="322"/>
      <c r="F65" s="402"/>
      <c r="H65" s="442"/>
      <c r="I65" s="271"/>
      <c r="J65" s="322"/>
      <c r="K65" s="322"/>
      <c r="L65" s="401"/>
      <c r="M65" s="322"/>
      <c r="N65" s="402"/>
      <c r="O65" s="325"/>
      <c r="P65" s="325"/>
      <c r="Q65" s="325"/>
      <c r="R65" s="327"/>
      <c r="S65" s="870"/>
      <c r="T65" s="931">
        <v>340329.95500000002</v>
      </c>
      <c r="U65" s="1192">
        <f>+V65</f>
        <v>0</v>
      </c>
      <c r="V65" s="931"/>
      <c r="W65" s="991"/>
      <c r="X65" s="327"/>
      <c r="Y65" s="402">
        <f>SUM(Y18+Y127)</f>
        <v>367531.45500000002</v>
      </c>
      <c r="Z65" s="402">
        <f t="shared" ref="Z65:AB65" si="29">SUM(Z18+Z127)</f>
        <v>351563.10199999996</v>
      </c>
      <c r="AA65" s="402">
        <f t="shared" si="29"/>
        <v>352604.36699999997</v>
      </c>
      <c r="AB65" s="402">
        <f t="shared" si="29"/>
        <v>381982.69699999999</v>
      </c>
    </row>
    <row r="66" spans="1:28" s="246" customFormat="1" ht="12.75">
      <c r="A66" s="288">
        <v>54</v>
      </c>
      <c r="B66" s="117" t="s">
        <v>111</v>
      </c>
      <c r="C66" s="1155"/>
      <c r="D66" s="322"/>
      <c r="F66" s="402"/>
      <c r="H66" s="442"/>
      <c r="I66" s="271"/>
      <c r="J66" s="322"/>
      <c r="K66" s="322"/>
      <c r="L66" s="401"/>
      <c r="M66" s="322"/>
      <c r="N66" s="402"/>
      <c r="O66" s="325"/>
      <c r="P66" s="325"/>
      <c r="Q66" s="325"/>
      <c r="R66" s="327"/>
      <c r="S66" s="870"/>
      <c r="T66" s="931"/>
      <c r="U66" s="1192">
        <f t="shared" ref="U66:U68" si="30">+V66</f>
        <v>0</v>
      </c>
      <c r="V66" s="931"/>
      <c r="W66" s="991"/>
      <c r="X66" s="327"/>
      <c r="Y66" s="402"/>
      <c r="Z66" s="402"/>
      <c r="AA66" s="402"/>
      <c r="AB66" s="402"/>
    </row>
    <row r="67" spans="1:28" s="246" customFormat="1" ht="12.75">
      <c r="A67" s="288">
        <v>55</v>
      </c>
      <c r="B67" s="117" t="s">
        <v>132</v>
      </c>
      <c r="C67" s="1155"/>
      <c r="D67" s="322"/>
      <c r="F67" s="324"/>
      <c r="H67" s="442"/>
      <c r="I67" s="271"/>
      <c r="J67" s="442"/>
      <c r="K67" s="442"/>
      <c r="L67" s="323"/>
      <c r="M67" s="322"/>
      <c r="N67" s="324"/>
      <c r="O67" s="325"/>
      <c r="P67" s="325"/>
      <c r="Q67" s="325"/>
      <c r="R67" s="326"/>
      <c r="S67" s="870"/>
      <c r="T67" s="931">
        <v>-123000</v>
      </c>
      <c r="U67" s="1192">
        <f t="shared" si="30"/>
        <v>0</v>
      </c>
      <c r="V67" s="931"/>
      <c r="W67" s="818"/>
      <c r="X67" s="327"/>
      <c r="Y67" s="324">
        <f t="shared" ref="Y67:AB67" si="31">SUM(Y22+Y128)</f>
        <v>-123000</v>
      </c>
      <c r="Z67" s="324">
        <f t="shared" si="31"/>
        <v>-123000</v>
      </c>
      <c r="AA67" s="324">
        <f t="shared" si="31"/>
        <v>-123000</v>
      </c>
      <c r="AB67" s="324">
        <f t="shared" si="31"/>
        <v>-123000</v>
      </c>
    </row>
    <row r="68" spans="1:28" s="246" customFormat="1" ht="12.75">
      <c r="A68" s="288">
        <v>56</v>
      </c>
      <c r="B68" s="117" t="s">
        <v>145</v>
      </c>
      <c r="C68" s="1155"/>
      <c r="D68" s="409"/>
      <c r="F68" s="333"/>
      <c r="H68" s="444"/>
      <c r="I68" s="271"/>
      <c r="J68" s="444"/>
      <c r="K68" s="444"/>
      <c r="L68" s="334"/>
      <c r="M68" s="409"/>
      <c r="N68" s="333"/>
      <c r="O68" s="335"/>
      <c r="P68" s="335"/>
      <c r="Q68" s="1194" t="s">
        <v>270</v>
      </c>
      <c r="R68" s="336"/>
      <c r="S68" s="872"/>
      <c r="T68" s="933">
        <v>-364832.99550000002</v>
      </c>
      <c r="U68" s="1192">
        <f t="shared" si="30"/>
        <v>0</v>
      </c>
      <c r="V68" s="1283"/>
      <c r="W68" s="1284"/>
      <c r="X68" s="1285" t="s">
        <v>491</v>
      </c>
      <c r="Y68" s="1286">
        <f>SUM(Y64:Y67)*0.1*-1</f>
        <v>-24453.145500000002</v>
      </c>
      <c r="Z68" s="333">
        <f t="shared" ref="Z68:AA68" si="32">SUM(Z63:Z67)*0.1*-1</f>
        <v>-385809.45570000005</v>
      </c>
      <c r="AA68" s="333">
        <f t="shared" si="32"/>
        <v>-408769.89240000001</v>
      </c>
      <c r="AB68" s="333">
        <f t="shared" ref="AB68" si="33">SUM(AB63:AB67)*0.1*-1</f>
        <v>-434668.16209999996</v>
      </c>
    </row>
    <row r="69" spans="1:28" s="246" customFormat="1" ht="12.75">
      <c r="A69" s="288">
        <v>57</v>
      </c>
      <c r="B69" s="117"/>
      <c r="C69" s="1155"/>
      <c r="D69" s="322">
        <f>SUM(D64:D68)</f>
        <v>1980000</v>
      </c>
      <c r="F69" s="322">
        <f>SUM(F64)</f>
        <v>2088000</v>
      </c>
      <c r="H69" s="322">
        <f>SUM(H64)</f>
        <v>2340000</v>
      </c>
      <c r="I69" s="271"/>
      <c r="J69" s="322">
        <f>SUM(J64)</f>
        <v>2430000</v>
      </c>
      <c r="K69" s="322"/>
      <c r="L69" s="323"/>
      <c r="M69" s="322">
        <f>SUM(M64)</f>
        <v>2676000</v>
      </c>
      <c r="N69" s="324"/>
      <c r="O69" s="325">
        <f>SUM(O64)</f>
        <v>2987000</v>
      </c>
      <c r="P69" s="325"/>
      <c r="Q69" s="325">
        <f>SUM(Q64)</f>
        <v>3088000</v>
      </c>
      <c r="R69" s="326"/>
      <c r="S69" s="870"/>
      <c r="T69" s="931">
        <v>3283496.9594999999</v>
      </c>
      <c r="U69" s="1167">
        <f>SUM(U63:U68)</f>
        <v>3385000</v>
      </c>
      <c r="V69" s="931">
        <f>+'Resp Stf DR40 suppl att A elec'!$D$66</f>
        <v>3385000</v>
      </c>
      <c r="W69" s="818" t="str">
        <f>+'Resp Stf DR40 suppl att A elec'!E66</f>
        <v>Actual per State DOR</v>
      </c>
      <c r="X69" s="327"/>
      <c r="Y69" s="324">
        <f t="shared" ref="Y69:AB69" si="34">SUM(Y63:Y68)</f>
        <v>3605078.3095</v>
      </c>
      <c r="Z69" s="324">
        <f t="shared" si="34"/>
        <v>3472285.1013000002</v>
      </c>
      <c r="AA69" s="324">
        <f t="shared" si="34"/>
        <v>3678929.0315999994</v>
      </c>
      <c r="AB69" s="324">
        <f t="shared" si="34"/>
        <v>3912013.4588999995</v>
      </c>
    </row>
    <row r="70" spans="1:28" s="246" customFormat="1" ht="12.75">
      <c r="A70" s="288">
        <v>58</v>
      </c>
      <c r="B70" s="117" t="s">
        <v>134</v>
      </c>
      <c r="C70" s="1155"/>
      <c r="D70" s="340">
        <v>1</v>
      </c>
      <c r="F70" s="340">
        <v>1</v>
      </c>
      <c r="H70" s="340">
        <v>1</v>
      </c>
      <c r="I70" s="271"/>
      <c r="J70" s="340">
        <v>1</v>
      </c>
      <c r="K70" s="340"/>
      <c r="L70" s="323"/>
      <c r="M70" s="340">
        <v>1</v>
      </c>
      <c r="N70" s="342"/>
      <c r="O70" s="343">
        <v>1</v>
      </c>
      <c r="P70" s="343"/>
      <c r="Q70" s="343">
        <v>1</v>
      </c>
      <c r="R70" s="344"/>
      <c r="S70" s="873"/>
      <c r="T70" s="934">
        <v>1</v>
      </c>
      <c r="U70" s="1196">
        <v>1</v>
      </c>
      <c r="V70" s="934">
        <f>+'Resp Stf DR40 suppl att A elec'!$D$67</f>
        <v>1</v>
      </c>
      <c r="W70" s="1001" t="str">
        <f>+'Resp Stf DR40 suppl att A elec'!E67</f>
        <v>Actual per State DOR</v>
      </c>
      <c r="X70" s="345"/>
      <c r="Y70" s="342">
        <v>1</v>
      </c>
      <c r="Z70" s="342">
        <v>1</v>
      </c>
      <c r="AA70" s="342">
        <v>1</v>
      </c>
      <c r="AB70" s="342">
        <v>1</v>
      </c>
    </row>
    <row r="71" spans="1:28" s="246" customFormat="1" ht="12.75">
      <c r="A71" s="288">
        <v>59</v>
      </c>
      <c r="B71" s="117" t="s">
        <v>135</v>
      </c>
      <c r="C71" s="1155"/>
      <c r="D71" s="347">
        <v>0.15857099999999999</v>
      </c>
      <c r="F71" s="347">
        <v>0.1574547</v>
      </c>
      <c r="H71" s="347">
        <f>350240377/2340000000%*0.01</f>
        <v>0.14967537478632481</v>
      </c>
      <c r="I71" s="271"/>
      <c r="J71" s="347">
        <f>370904020/2430000000</f>
        <v>0.15263539917695473</v>
      </c>
      <c r="K71" s="347"/>
      <c r="L71" s="348"/>
      <c r="M71" s="347">
        <v>0.141817</v>
      </c>
      <c r="N71" s="350"/>
      <c r="O71" s="351">
        <f>345023.428/2987000</f>
        <v>0.11550834549715434</v>
      </c>
      <c r="P71" s="351"/>
      <c r="Q71" s="351">
        <f>422107.916/3088000</f>
        <v>0.13669297797927463</v>
      </c>
      <c r="R71" s="352"/>
      <c r="S71" s="874"/>
      <c r="T71" s="935">
        <v>0.13669297797927463</v>
      </c>
      <c r="U71" s="1198">
        <f>+V71</f>
        <v>0.13084782156573116</v>
      </c>
      <c r="V71" s="935">
        <f>+'Resp Stf DR40 suppl att A elec'!$D$68</f>
        <v>0.13084782156573116</v>
      </c>
      <c r="W71" s="998" t="s">
        <v>107</v>
      </c>
      <c r="X71" s="353"/>
      <c r="Y71" s="350">
        <f>SUM(U71)</f>
        <v>0.13084782156573116</v>
      </c>
      <c r="Z71" s="350">
        <f t="shared" ref="Z71:AB71" si="35">SUM(Y71)</f>
        <v>0.13084782156573116</v>
      </c>
      <c r="AA71" s="350">
        <f t="shared" si="35"/>
        <v>0.13084782156573116</v>
      </c>
      <c r="AB71" s="350">
        <f t="shared" si="35"/>
        <v>0.13084782156573116</v>
      </c>
    </row>
    <row r="72" spans="1:28" s="246" customFormat="1" ht="12.75">
      <c r="A72" s="288">
        <v>60</v>
      </c>
      <c r="B72" s="117" t="s">
        <v>116</v>
      </c>
      <c r="C72" s="1155"/>
      <c r="D72" s="322">
        <f>SUM(D69*D71)</f>
        <v>313970.57999999996</v>
      </c>
      <c r="F72" s="322">
        <f>SUM(F69*F71)</f>
        <v>328765.41360000003</v>
      </c>
      <c r="H72" s="322">
        <f t="shared" ref="H72:J72" si="36">SUM(H69*H71)</f>
        <v>350240.37700000004</v>
      </c>
      <c r="I72" s="271"/>
      <c r="J72" s="322">
        <f t="shared" si="36"/>
        <v>370904.02</v>
      </c>
      <c r="K72" s="322"/>
      <c r="L72" s="323"/>
      <c r="M72" s="322">
        <f t="shared" ref="M72:AB72" si="37">SUM(M69*M71)</f>
        <v>379502.29200000002</v>
      </c>
      <c r="N72" s="324"/>
      <c r="O72" s="325">
        <f t="shared" si="37"/>
        <v>345023.42800000001</v>
      </c>
      <c r="P72" s="325"/>
      <c r="Q72" s="325">
        <f t="shared" si="37"/>
        <v>422107.91600000003</v>
      </c>
      <c r="R72" s="326"/>
      <c r="S72" s="870"/>
      <c r="T72" s="931">
        <v>448830.97757994867</v>
      </c>
      <c r="U72" s="1167">
        <f>+U71*U69</f>
        <v>442919.87599999999</v>
      </c>
      <c r="V72" s="931">
        <f>+V71*V69</f>
        <v>442919.87599999999</v>
      </c>
      <c r="W72" s="818"/>
      <c r="X72" s="327"/>
      <c r="Y72" s="324">
        <f t="shared" si="37"/>
        <v>471716.64337194373</v>
      </c>
      <c r="Z72" s="324">
        <f t="shared" si="37"/>
        <v>454340.94136024918</v>
      </c>
      <c r="AA72" s="324">
        <f t="shared" si="37"/>
        <v>481379.84947978484</v>
      </c>
      <c r="AB72" s="324">
        <f t="shared" si="37"/>
        <v>511878.43903288589</v>
      </c>
    </row>
    <row r="73" spans="1:28" s="246" customFormat="1" ht="12.75">
      <c r="A73" s="288">
        <v>61</v>
      </c>
      <c r="B73" s="117" t="s">
        <v>146</v>
      </c>
      <c r="C73" s="1155"/>
      <c r="D73" s="322">
        <f>6237-14-53-14-267</f>
        <v>5889</v>
      </c>
      <c r="F73" s="322">
        <f>-198.728-15-50.618056</f>
        <v>-264.34605600000003</v>
      </c>
      <c r="H73" s="322">
        <f>-217.58-15-69.194-0.062</f>
        <v>-301.83600000000001</v>
      </c>
      <c r="I73" s="271"/>
      <c r="J73" s="322">
        <f>-215.103-15-50.168-0.061</f>
        <v>-280.33199999999999</v>
      </c>
      <c r="K73" s="322"/>
      <c r="L73" s="323"/>
      <c r="M73" s="322">
        <f>-49.245-0.521-15-223.702</f>
        <v>-288.46799999999996</v>
      </c>
      <c r="N73" s="324"/>
      <c r="O73" s="325">
        <v>-276.91899999999998</v>
      </c>
      <c r="P73" s="325"/>
      <c r="Q73" s="325">
        <v>-569.95299999999997</v>
      </c>
      <c r="R73" s="326"/>
      <c r="S73" s="870"/>
      <c r="T73" s="931">
        <v>0</v>
      </c>
      <c r="U73" s="1167">
        <f>+V73</f>
        <v>-560</v>
      </c>
      <c r="V73" s="931">
        <f>+'Resp Stf DR40 suppl att A elec'!$D$70</f>
        <v>-560</v>
      </c>
      <c r="W73" s="818" t="str">
        <f>+'Resp Stf DR40 suppl att A elec'!E70</f>
        <v>Actual per State DOR</v>
      </c>
      <c r="X73" s="327"/>
      <c r="Y73" s="324">
        <v>0</v>
      </c>
      <c r="Z73" s="324">
        <v>0</v>
      </c>
      <c r="AA73" s="324">
        <v>0</v>
      </c>
      <c r="AB73" s="324">
        <v>0</v>
      </c>
    </row>
    <row r="74" spans="1:28" s="246" customFormat="1" ht="12.75">
      <c r="A74" s="288">
        <v>62</v>
      </c>
      <c r="B74" s="117" t="s">
        <v>147</v>
      </c>
      <c r="C74" s="1155"/>
      <c r="D74" s="446">
        <v>1</v>
      </c>
      <c r="F74" s="446">
        <v>1</v>
      </c>
      <c r="H74" s="446">
        <v>1</v>
      </c>
      <c r="I74" s="271"/>
      <c r="J74" s="446">
        <v>1</v>
      </c>
      <c r="K74" s="446"/>
      <c r="L74" s="323"/>
      <c r="M74" s="446">
        <v>1</v>
      </c>
      <c r="N74" s="447"/>
      <c r="O74" s="448">
        <v>1</v>
      </c>
      <c r="P74" s="448"/>
      <c r="Q74" s="448">
        <v>1</v>
      </c>
      <c r="R74" s="449"/>
      <c r="S74" s="884"/>
      <c r="T74" s="946">
        <v>1</v>
      </c>
      <c r="U74" s="1209">
        <f>+V74</f>
        <v>1</v>
      </c>
      <c r="V74" s="946">
        <f>+'Resp Stf DR40 suppl att A elec'!$D$71</f>
        <v>1</v>
      </c>
      <c r="W74" s="1002" t="str">
        <f>+'Resp Stf DR40 suppl att A elec'!E71</f>
        <v>Actual per State DOR</v>
      </c>
      <c r="X74" s="450"/>
      <c r="Y74" s="447">
        <v>1</v>
      </c>
      <c r="Z74" s="447">
        <v>1</v>
      </c>
      <c r="AA74" s="447">
        <v>1</v>
      </c>
      <c r="AB74" s="447">
        <v>1</v>
      </c>
    </row>
    <row r="75" spans="1:28" s="246" customFormat="1" ht="12.75">
      <c r="A75" s="288">
        <v>63</v>
      </c>
      <c r="B75" s="1210" t="s">
        <v>148</v>
      </c>
      <c r="C75" s="1155"/>
      <c r="D75" s="322">
        <f>SUM(D72:D73)*D74</f>
        <v>319859.57999999996</v>
      </c>
      <c r="F75" s="322">
        <f>SUM(F72:F73)*F74</f>
        <v>328501.06754400005</v>
      </c>
      <c r="H75" s="322">
        <f t="shared" ref="H75:J75" si="38">SUM(H72:H73)*H74</f>
        <v>349938.54100000003</v>
      </c>
      <c r="I75" s="271"/>
      <c r="J75" s="322">
        <f t="shared" si="38"/>
        <v>370623.68800000002</v>
      </c>
      <c r="K75" s="322"/>
      <c r="L75" s="323"/>
      <c r="M75" s="322">
        <f t="shared" ref="M75:O75" si="39">SUM(M72:M73)*M74</f>
        <v>379213.82400000002</v>
      </c>
      <c r="N75" s="324"/>
      <c r="O75" s="325">
        <f t="shared" si="39"/>
        <v>344746.50900000002</v>
      </c>
      <c r="P75" s="325"/>
      <c r="Q75" s="325">
        <f t="shared" ref="Q75:AB75" si="40">SUM(Q72:Q73)*Q74</f>
        <v>421537.96300000005</v>
      </c>
      <c r="R75" s="326"/>
      <c r="S75" s="870"/>
      <c r="T75" s="931">
        <v>448830.97757994867</v>
      </c>
      <c r="U75" s="1167">
        <f t="shared" si="40"/>
        <v>442359.87599999999</v>
      </c>
      <c r="V75" s="931">
        <f>SUM(V72:V73)*U74</f>
        <v>442359.87599999999</v>
      </c>
      <c r="W75" s="818"/>
      <c r="X75" s="327"/>
      <c r="Y75" s="324">
        <f t="shared" si="40"/>
        <v>471716.64337194373</v>
      </c>
      <c r="Z75" s="324">
        <f t="shared" si="40"/>
        <v>454340.94136024918</v>
      </c>
      <c r="AA75" s="324">
        <f t="shared" si="40"/>
        <v>481379.84947978484</v>
      </c>
      <c r="AB75" s="324">
        <f t="shared" si="40"/>
        <v>511878.43903288589</v>
      </c>
    </row>
    <row r="76" spans="1:28" s="246" customFormat="1" ht="12.75">
      <c r="A76" s="288">
        <v>64</v>
      </c>
      <c r="B76" s="117" t="s">
        <v>149</v>
      </c>
      <c r="C76" s="1155"/>
      <c r="D76" s="472">
        <f>20889221/319841522</f>
        <v>6.5311160569077084E-2</v>
      </c>
      <c r="F76" s="1176">
        <v>6.5777000000000002E-2</v>
      </c>
      <c r="H76" s="1177">
        <f>22904266/349938542</f>
        <v>6.5452253041621236E-2</v>
      </c>
      <c r="I76" s="271"/>
      <c r="J76" s="472">
        <f>24674/370624</f>
        <v>6.6574209981005009E-2</v>
      </c>
      <c r="K76" s="451"/>
      <c r="L76" s="334"/>
      <c r="M76" s="472">
        <f>24737.466/379214</f>
        <v>6.5233525133565742E-2</v>
      </c>
      <c r="N76" s="452"/>
      <c r="O76" s="473">
        <f>22376.23/344747</f>
        <v>6.4906235587256736E-2</v>
      </c>
      <c r="P76" s="454"/>
      <c r="Q76" s="473">
        <f>27999.644/421537.956</f>
        <v>6.6422592797313842E-2</v>
      </c>
      <c r="R76" s="455"/>
      <c r="S76" s="885"/>
      <c r="T76" s="947">
        <v>6.6422592797313842E-2</v>
      </c>
      <c r="U76" s="1211">
        <f>+V76</f>
        <v>6.5192537275454737E-2</v>
      </c>
      <c r="V76" s="954">
        <f>+'Resp Stf DR40 suppl att A elec'!$D$73</f>
        <v>6.5192537275454737E-2</v>
      </c>
      <c r="W76" s="992" t="str">
        <f>+'Resp Stf DR40 suppl att A elec'!$E$73</f>
        <v>weighted average ratio</v>
      </c>
      <c r="X76" s="456"/>
      <c r="Y76" s="452">
        <f>SUM(U76)</f>
        <v>6.5192537275454737E-2</v>
      </c>
      <c r="Z76" s="452">
        <f t="shared" ref="Z76:AB76" si="41">SUM(Y76)</f>
        <v>6.5192537275454737E-2</v>
      </c>
      <c r="AA76" s="452">
        <f t="shared" si="41"/>
        <v>6.5192537275454737E-2</v>
      </c>
      <c r="AB76" s="452">
        <f t="shared" si="41"/>
        <v>6.5192537275454737E-2</v>
      </c>
    </row>
    <row r="77" spans="1:28" s="246" customFormat="1" ht="12.75">
      <c r="A77" s="288">
        <v>65</v>
      </c>
      <c r="B77" s="117" t="s">
        <v>151</v>
      </c>
      <c r="C77" s="1155"/>
      <c r="D77" s="322">
        <f>SUM(D75*D76)</f>
        <v>20890.400388937553</v>
      </c>
      <c r="F77" s="322">
        <f>SUM(F75*F76)</f>
        <v>21607.814719841692</v>
      </c>
      <c r="H77" s="322">
        <f t="shared" ref="H77:J77" si="42">SUM(H75*H76)</f>
        <v>22904.265934547748</v>
      </c>
      <c r="I77" s="271"/>
      <c r="J77" s="322">
        <f t="shared" si="42"/>
        <v>24673.979228846489</v>
      </c>
      <c r="K77" s="442"/>
      <c r="L77" s="323"/>
      <c r="M77" s="322">
        <f t="shared" ref="M77:AB77" si="43">SUM(M75*M76)</f>
        <v>24737.454518899576</v>
      </c>
      <c r="N77" s="324"/>
      <c r="O77" s="325">
        <f t="shared" si="43"/>
        <v>22376.198131038327</v>
      </c>
      <c r="P77" s="457"/>
      <c r="Q77" s="325">
        <f t="shared" si="43"/>
        <v>27999.644464958154</v>
      </c>
      <c r="R77" s="326"/>
      <c r="S77" s="886"/>
      <c r="T77" s="948">
        <v>29812.517258613228</v>
      </c>
      <c r="U77" s="1167">
        <f t="shared" si="43"/>
        <v>28838.562705295535</v>
      </c>
      <c r="V77" s="931">
        <f>+V76*V75</f>
        <v>28838.562705295535</v>
      </c>
      <c r="W77" s="818"/>
      <c r="X77" s="458"/>
      <c r="Y77" s="324">
        <f t="shared" si="43"/>
        <v>30752.404856477831</v>
      </c>
      <c r="Z77" s="324">
        <f t="shared" si="43"/>
        <v>29619.63875539324</v>
      </c>
      <c r="AA77" s="324">
        <f t="shared" si="43"/>
        <v>31382.373780863665</v>
      </c>
      <c r="AB77" s="324">
        <f t="shared" si="43"/>
        <v>33370.654217153002</v>
      </c>
    </row>
    <row r="78" spans="1:28" s="246" customFormat="1" ht="12.75">
      <c r="A78" s="288">
        <v>66</v>
      </c>
      <c r="B78" s="117" t="s">
        <v>152</v>
      </c>
      <c r="C78" s="1155"/>
      <c r="D78" s="322">
        <v>0</v>
      </c>
      <c r="F78" s="322">
        <v>0</v>
      </c>
      <c r="H78" s="322">
        <v>0</v>
      </c>
      <c r="I78" s="271"/>
      <c r="J78" s="322">
        <v>0</v>
      </c>
      <c r="K78" s="442"/>
      <c r="L78" s="323"/>
      <c r="M78" s="322">
        <v>0</v>
      </c>
      <c r="N78" s="324"/>
      <c r="O78" s="442">
        <v>0</v>
      </c>
      <c r="P78" s="324"/>
      <c r="Q78" s="325">
        <v>0</v>
      </c>
      <c r="R78" s="326"/>
      <c r="S78" s="876"/>
      <c r="T78" s="937">
        <v>0</v>
      </c>
      <c r="U78" s="1167">
        <v>0</v>
      </c>
      <c r="V78" s="931">
        <f>+'Resp Stf DR40 suppl att A elec'!$F$75</f>
        <v>0</v>
      </c>
      <c r="W78" s="818"/>
      <c r="X78" s="363"/>
      <c r="Y78" s="324">
        <v>0</v>
      </c>
      <c r="Z78" s="324">
        <v>0</v>
      </c>
      <c r="AA78" s="324">
        <v>0</v>
      </c>
      <c r="AB78" s="324">
        <v>0</v>
      </c>
    </row>
    <row r="79" spans="1:28" s="246" customFormat="1" ht="12.75">
      <c r="A79" s="288">
        <v>67</v>
      </c>
      <c r="B79" s="117" t="s">
        <v>153</v>
      </c>
      <c r="C79" s="1155"/>
      <c r="D79" s="365">
        <f>SUM(D77:D78)</f>
        <v>20890.400388937553</v>
      </c>
      <c r="F79" s="365">
        <f>SUM(F77:F78)</f>
        <v>21607.814719841692</v>
      </c>
      <c r="H79" s="365">
        <f t="shared" ref="H79:J79" si="44">SUM(H77:H78)</f>
        <v>22904.265934547748</v>
      </c>
      <c r="I79" s="271"/>
      <c r="J79" s="365">
        <f t="shared" si="44"/>
        <v>24673.979228846489</v>
      </c>
      <c r="K79" s="459"/>
      <c r="L79" s="366"/>
      <c r="M79" s="365">
        <f t="shared" ref="M79:AB79" si="45">SUM(M77:M78)</f>
        <v>24737.454518899576</v>
      </c>
      <c r="N79" s="367"/>
      <c r="O79" s="474">
        <f t="shared" si="45"/>
        <v>22376.198131038327</v>
      </c>
      <c r="P79" s="367"/>
      <c r="Q79" s="474">
        <f t="shared" si="45"/>
        <v>27999.644464958154</v>
      </c>
      <c r="R79" s="368"/>
      <c r="S79" s="877"/>
      <c r="T79" s="938">
        <v>29812.517258613228</v>
      </c>
      <c r="U79" s="1174">
        <f t="shared" si="45"/>
        <v>28838.562705295535</v>
      </c>
      <c r="V79" s="955">
        <f>SUM(V77:V78)</f>
        <v>28838.562705295535</v>
      </c>
      <c r="W79" s="993" t="str">
        <f>+'Resp Stf DR40 suppl att A elec'!$E$76</f>
        <v>Actual</v>
      </c>
      <c r="X79" s="369"/>
      <c r="Y79" s="367">
        <f t="shared" si="45"/>
        <v>30752.404856477831</v>
      </c>
      <c r="Z79" s="367">
        <f t="shared" si="45"/>
        <v>29619.63875539324</v>
      </c>
      <c r="AA79" s="367">
        <f t="shared" si="45"/>
        <v>31382.373780863665</v>
      </c>
      <c r="AB79" s="367">
        <f t="shared" si="45"/>
        <v>33370.654217153002</v>
      </c>
    </row>
    <row r="80" spans="1:28" s="246" customFormat="1" ht="12.75">
      <c r="A80" s="288">
        <v>68</v>
      </c>
      <c r="B80" s="117" t="s">
        <v>138</v>
      </c>
      <c r="C80" s="1212" t="e">
        <f>SUM(D80-#REF!)/D80</f>
        <v>#REF!</v>
      </c>
      <c r="D80" s="1177">
        <v>0.31665890000000002</v>
      </c>
      <c r="E80" s="1201">
        <f>SUM(F80-D80)/F80</f>
        <v>1.2508805778898601E-2</v>
      </c>
      <c r="F80" s="1177">
        <v>0.32067010000000001</v>
      </c>
      <c r="G80" s="1213">
        <f>SUM(H80-F80)/H80</f>
        <v>-1.7309515855741205E-2</v>
      </c>
      <c r="H80" s="1177">
        <v>0.31521389999999999</v>
      </c>
      <c r="I80" s="1202">
        <f>SUM(J80-H80)/H80</f>
        <v>4.9560661099330737E-2</v>
      </c>
      <c r="J80" s="1177">
        <f>8163129.23/24674239</f>
        <v>0.33083610927169832</v>
      </c>
      <c r="K80" s="420"/>
      <c r="L80" s="1203">
        <f>SUM(M80-J80)/J80</f>
        <v>3.3346375673087368E-2</v>
      </c>
      <c r="M80" s="1177">
        <f>8456.796/24737</f>
        <v>0.34186829445769495</v>
      </c>
      <c r="N80" s="1179">
        <f>SUM((O80-M80)/M80)</f>
        <v>5.3951137019573575E-2</v>
      </c>
      <c r="O80" s="1176">
        <f>8062.352/22376</f>
        <v>0.36031247765462998</v>
      </c>
      <c r="P80" s="563">
        <f>SUM(Q82-O82)/O82</f>
        <v>0.20943770890577873</v>
      </c>
      <c r="Q80" s="1214">
        <f>9750.99871/27999.644</f>
        <v>0.34825438173428203</v>
      </c>
      <c r="R80" s="380"/>
      <c r="S80" s="563"/>
      <c r="T80" s="1183">
        <v>0.3552194693689677</v>
      </c>
      <c r="U80" s="1184">
        <f>+V80</f>
        <v>0.34825438173428203</v>
      </c>
      <c r="V80" s="1017">
        <f>+'Resp Stf DR40 suppl att A elec'!$D$77</f>
        <v>0.34825438173428203</v>
      </c>
      <c r="W80" s="1045" t="str">
        <f>+'Resp Stf DR40 suppl att A elec'!$E$77</f>
        <v>2016 weighted average rate</v>
      </c>
      <c r="X80" s="565">
        <v>0</v>
      </c>
      <c r="Y80" s="1185">
        <f>SUM(U80*(1+X80))</f>
        <v>0.34825438173428203</v>
      </c>
      <c r="Z80" s="1185">
        <f>SUM(Y80*(1+X80))</f>
        <v>0.34825438173428203</v>
      </c>
      <c r="AA80" s="1185">
        <f>SUM(Z80*(1+X80))</f>
        <v>0.34825438173428203</v>
      </c>
      <c r="AB80" s="1185">
        <f>SUM(AA80*(1+X80))</f>
        <v>0.34825438173428203</v>
      </c>
    </row>
    <row r="81" spans="1:28" s="246" customFormat="1" ht="12.75">
      <c r="A81" s="288">
        <v>69</v>
      </c>
      <c r="B81" s="117"/>
      <c r="C81" s="1155"/>
      <c r="D81" s="423"/>
      <c r="F81" s="423"/>
      <c r="H81" s="423"/>
      <c r="I81" s="271"/>
      <c r="J81" s="423"/>
      <c r="K81" s="423"/>
      <c r="L81" s="323"/>
      <c r="M81" s="423"/>
      <c r="N81" s="383"/>
      <c r="O81" s="423"/>
      <c r="P81" s="383"/>
      <c r="Q81" s="1215"/>
      <c r="R81" s="384"/>
      <c r="S81" s="878"/>
      <c r="T81" s="939"/>
      <c r="U81" s="1187"/>
      <c r="V81" s="1014"/>
      <c r="W81" s="1034"/>
      <c r="X81" s="385"/>
      <c r="Y81" s="383"/>
      <c r="Z81" s="383"/>
      <c r="AA81" s="383"/>
      <c r="AB81" s="383"/>
    </row>
    <row r="82" spans="1:28" s="246" customFormat="1" ht="20.25" thickBot="1">
      <c r="A82" s="288">
        <v>70</v>
      </c>
      <c r="B82" s="868" t="s">
        <v>128</v>
      </c>
      <c r="C82" s="1155"/>
      <c r="D82" s="424">
        <f>SUM(D79*D80)</f>
        <v>6615.1312077205384</v>
      </c>
      <c r="F82" s="424">
        <f>SUM(F79*F80)</f>
        <v>6928.9801069931073</v>
      </c>
      <c r="H82" s="424">
        <f t="shared" ref="H82:J82" si="46">SUM(H79*H80)</f>
        <v>7219.74299186594</v>
      </c>
      <c r="I82" s="271"/>
      <c r="J82" s="424">
        <f t="shared" si="46"/>
        <v>8163.043288322272</v>
      </c>
      <c r="K82" s="424"/>
      <c r="L82" s="388"/>
      <c r="M82" s="424">
        <f t="shared" ref="M82:AB82" si="47">SUM(M79*M80)</f>
        <v>8456.9513856009962</v>
      </c>
      <c r="N82" s="387"/>
      <c r="O82" s="1205">
        <f t="shared" si="47"/>
        <v>8062.4233890853202</v>
      </c>
      <c r="P82" s="387"/>
      <c r="Q82" s="1205">
        <f>SUM(Q79*Q80)</f>
        <v>9750.9988719237135</v>
      </c>
      <c r="R82" s="389">
        <f>+'Resp to Staff DR 41 supp A'!K18</f>
        <v>9750.9988719237135</v>
      </c>
      <c r="S82" s="879"/>
      <c r="T82" s="940">
        <v>10589.986561157782</v>
      </c>
      <c r="U82" s="1188">
        <f t="shared" si="47"/>
        <v>10043.15582503802</v>
      </c>
      <c r="V82" s="1018">
        <f>+V80*V79</f>
        <v>10043.15582503802</v>
      </c>
      <c r="W82" s="1046" t="str">
        <f>+'Resp Stf DR40 suppl att A elec'!E79</f>
        <v>2017 MT estimated property tax</v>
      </c>
      <c r="X82" s="390"/>
      <c r="Y82" s="1287">
        <f t="shared" si="47"/>
        <v>10709.659740135019</v>
      </c>
      <c r="Z82" s="387">
        <f t="shared" si="47"/>
        <v>10315.168981952251</v>
      </c>
      <c r="AA82" s="387">
        <f t="shared" si="47"/>
        <v>10929.049178408819</v>
      </c>
      <c r="AB82" s="387">
        <f t="shared" si="47"/>
        <v>11621.476552463129</v>
      </c>
    </row>
    <row r="83" spans="1:28" s="246" customFormat="1" ht="13.5" thickTop="1">
      <c r="A83" s="288">
        <v>71</v>
      </c>
      <c r="B83" s="529"/>
      <c r="C83" s="1155"/>
      <c r="D83" s="154"/>
      <c r="F83" s="154"/>
      <c r="G83" s="154"/>
      <c r="H83" s="154"/>
      <c r="I83" s="271"/>
      <c r="J83" s="154"/>
      <c r="K83" s="154"/>
      <c r="L83" s="465"/>
      <c r="M83" s="466"/>
      <c r="N83" s="154"/>
      <c r="O83" s="154"/>
      <c r="P83" s="154"/>
      <c r="Q83" s="154"/>
      <c r="R83" s="467"/>
      <c r="S83" s="154"/>
      <c r="T83" s="949"/>
      <c r="U83" s="154"/>
      <c r="V83" s="931"/>
      <c r="W83" s="1041"/>
      <c r="X83" s="1062" t="s">
        <v>264</v>
      </c>
      <c r="Y83" s="468">
        <v>11526</v>
      </c>
      <c r="Z83" s="468">
        <v>12447</v>
      </c>
      <c r="AA83" s="468">
        <v>13403</v>
      </c>
      <c r="AB83" s="468">
        <v>14485</v>
      </c>
    </row>
    <row r="84" spans="1:28" s="246" customFormat="1" ht="12.75">
      <c r="A84" s="288">
        <v>72</v>
      </c>
      <c r="B84" s="887"/>
      <c r="C84" s="1155"/>
      <c r="D84" s="177"/>
      <c r="F84" s="432"/>
      <c r="H84" s="432"/>
      <c r="I84" s="271"/>
      <c r="J84" s="432"/>
      <c r="K84" s="432"/>
      <c r="L84" s="396"/>
      <c r="M84" s="177"/>
      <c r="N84" s="177"/>
      <c r="O84" s="432"/>
      <c r="P84" s="432"/>
      <c r="Q84" s="177"/>
      <c r="R84" s="397"/>
      <c r="S84" s="887"/>
      <c r="T84" s="950"/>
      <c r="U84" s="1190"/>
      <c r="V84" s="1019"/>
      <c r="W84" s="1047"/>
      <c r="X84" s="469"/>
      <c r="Y84" s="177"/>
      <c r="Z84" s="177"/>
      <c r="AA84" s="177"/>
      <c r="AB84" s="177"/>
    </row>
    <row r="85" spans="1:28" s="246" customFormat="1" ht="12.75">
      <c r="A85" s="288">
        <v>73</v>
      </c>
      <c r="B85" s="1164" t="s">
        <v>155</v>
      </c>
      <c r="C85" s="1155"/>
      <c r="D85" s="399" t="s">
        <v>272</v>
      </c>
      <c r="F85" s="399" t="s">
        <v>273</v>
      </c>
      <c r="H85" s="399" t="s">
        <v>274</v>
      </c>
      <c r="I85" s="271"/>
      <c r="J85" s="399" t="s">
        <v>275</v>
      </c>
      <c r="K85" s="399"/>
      <c r="L85" s="308"/>
      <c r="M85" s="399" t="s">
        <v>276</v>
      </c>
      <c r="N85" s="307"/>
      <c r="O85" s="399" t="s">
        <v>277</v>
      </c>
      <c r="P85" s="399"/>
      <c r="Q85" s="399" t="s">
        <v>278</v>
      </c>
      <c r="R85" s="309"/>
      <c r="S85" s="888"/>
      <c r="T85" s="951" t="s">
        <v>156</v>
      </c>
      <c r="U85" s="1163" t="s">
        <v>156</v>
      </c>
      <c r="V85" s="1016"/>
      <c r="W85" s="1048"/>
      <c r="X85" s="254"/>
      <c r="Y85" s="307" t="s">
        <v>279</v>
      </c>
      <c r="Z85" s="307" t="s">
        <v>280</v>
      </c>
      <c r="AA85" s="307" t="s">
        <v>281</v>
      </c>
      <c r="AB85" s="307" t="s">
        <v>282</v>
      </c>
    </row>
    <row r="86" spans="1:28" s="246" customFormat="1" ht="12.75">
      <c r="A86" s="288">
        <v>74</v>
      </c>
      <c r="B86" s="1206"/>
      <c r="C86" s="1155"/>
      <c r="D86" s="313"/>
      <c r="F86" s="313"/>
      <c r="H86" s="313"/>
      <c r="I86" s="271"/>
      <c r="J86" s="313"/>
      <c r="K86" s="313"/>
      <c r="L86" s="314"/>
      <c r="M86" s="313"/>
      <c r="N86" s="315"/>
      <c r="O86" s="313"/>
      <c r="P86" s="313"/>
      <c r="Q86" s="315"/>
      <c r="R86" s="255"/>
      <c r="S86" s="117"/>
      <c r="T86" s="952"/>
      <c r="U86" s="144"/>
      <c r="V86" s="1014"/>
      <c r="W86" s="1034"/>
      <c r="X86" s="470"/>
      <c r="Y86" s="315"/>
      <c r="Z86" s="315"/>
      <c r="AA86" s="315"/>
      <c r="AB86" s="315"/>
    </row>
    <row r="87" spans="1:28" s="246" customFormat="1" ht="12.75">
      <c r="A87" s="288">
        <v>75</v>
      </c>
      <c r="B87" s="117" t="s">
        <v>131</v>
      </c>
      <c r="C87" s="1155"/>
      <c r="D87" s="318" t="s">
        <v>157</v>
      </c>
      <c r="F87" s="318" t="s">
        <v>157</v>
      </c>
      <c r="H87" s="318" t="s">
        <v>157</v>
      </c>
      <c r="I87" s="271"/>
      <c r="J87" s="318" t="s">
        <v>157</v>
      </c>
      <c r="K87" s="318"/>
      <c r="L87" s="294"/>
      <c r="M87" s="318" t="s">
        <v>157</v>
      </c>
      <c r="N87" s="293"/>
      <c r="O87" s="318" t="s">
        <v>157</v>
      </c>
      <c r="P87" s="318"/>
      <c r="Q87" s="318" t="s">
        <v>157</v>
      </c>
      <c r="R87" s="295"/>
      <c r="S87" s="889"/>
      <c r="T87" s="953" t="s">
        <v>157</v>
      </c>
      <c r="U87" s="1158" t="s">
        <v>157</v>
      </c>
      <c r="V87" s="1014"/>
      <c r="W87" s="1034"/>
      <c r="X87" s="471"/>
      <c r="Y87" s="293" t="s">
        <v>157</v>
      </c>
      <c r="Z87" s="293" t="s">
        <v>157</v>
      </c>
      <c r="AA87" s="293" t="s">
        <v>157</v>
      </c>
      <c r="AB87" s="293" t="s">
        <v>157</v>
      </c>
    </row>
    <row r="88" spans="1:28" s="246" customFormat="1" ht="12.75">
      <c r="A88" s="288">
        <v>76</v>
      </c>
      <c r="B88" s="117" t="s">
        <v>108</v>
      </c>
      <c r="C88" s="1155"/>
      <c r="D88" s="322">
        <v>841</v>
      </c>
      <c r="F88" s="322">
        <v>925</v>
      </c>
      <c r="H88" s="322">
        <v>888</v>
      </c>
      <c r="I88" s="271"/>
      <c r="J88" s="322">
        <v>1002</v>
      </c>
      <c r="K88" s="322"/>
      <c r="L88" s="323"/>
      <c r="M88" s="322">
        <v>1190</v>
      </c>
      <c r="N88" s="324"/>
      <c r="O88" s="325">
        <v>1131</v>
      </c>
      <c r="P88" s="325"/>
      <c r="Q88" s="322">
        <v>1137.998</v>
      </c>
      <c r="R88" s="326"/>
      <c r="S88" s="870"/>
      <c r="T88" s="931">
        <v>1137.998</v>
      </c>
      <c r="U88" s="1167">
        <f>SUM(Q88)</f>
        <v>1137.998</v>
      </c>
      <c r="V88" s="931">
        <f>+'Resp Stf DR40 suppl att A elec'!$D$85</f>
        <v>1137.998</v>
      </c>
      <c r="W88" s="1037" t="str">
        <f>+'Resp Stf DR40 suppl att A elec'!$E$85</f>
        <v>2016/2017 assessment value</v>
      </c>
      <c r="X88" s="327"/>
      <c r="Y88" s="324">
        <f>SUM(U88)</f>
        <v>1137.998</v>
      </c>
      <c r="Z88" s="324">
        <f t="shared" ref="Z88:AB88" si="48">SUM(Y88)</f>
        <v>1137.998</v>
      </c>
      <c r="AA88" s="324">
        <f t="shared" si="48"/>
        <v>1137.998</v>
      </c>
      <c r="AB88" s="324">
        <f t="shared" si="48"/>
        <v>1137.998</v>
      </c>
    </row>
    <row r="89" spans="1:28" s="246" customFormat="1" ht="12.75">
      <c r="A89" s="288">
        <v>77</v>
      </c>
      <c r="B89" s="117" t="s">
        <v>159</v>
      </c>
      <c r="C89" s="1155"/>
      <c r="D89" s="322">
        <f>SUM(D80)</f>
        <v>0.31665890000000002</v>
      </c>
      <c r="F89" s="322">
        <f>SUM(F80)</f>
        <v>0.32067010000000001</v>
      </c>
      <c r="H89" s="322">
        <f t="shared" ref="H89:J90" si="49">SUM(H80)</f>
        <v>0.31521389999999999</v>
      </c>
      <c r="I89" s="271"/>
      <c r="J89" s="322">
        <f t="shared" si="49"/>
        <v>0.33083610927169832</v>
      </c>
      <c r="K89" s="322"/>
      <c r="L89" s="323" t="s">
        <v>234</v>
      </c>
      <c r="M89" s="322">
        <v>0</v>
      </c>
      <c r="N89" s="324"/>
      <c r="O89" s="325">
        <v>0</v>
      </c>
      <c r="P89" s="325"/>
      <c r="Q89" s="322">
        <v>0</v>
      </c>
      <c r="R89" s="326"/>
      <c r="S89" s="870"/>
      <c r="T89" s="931">
        <v>0</v>
      </c>
      <c r="U89" s="1167">
        <v>0</v>
      </c>
      <c r="V89" s="931"/>
      <c r="W89" s="1041"/>
      <c r="X89" s="327"/>
      <c r="Y89" s="324">
        <v>0</v>
      </c>
      <c r="Z89" s="324">
        <v>0</v>
      </c>
      <c r="AA89" s="324">
        <v>0</v>
      </c>
      <c r="AB89" s="324">
        <v>0</v>
      </c>
    </row>
    <row r="90" spans="1:28" s="246" customFormat="1" ht="12.75">
      <c r="A90" s="288">
        <v>78</v>
      </c>
      <c r="B90" s="117" t="s">
        <v>132</v>
      </c>
      <c r="C90" s="1155"/>
      <c r="D90" s="322">
        <f>SUM(D81)</f>
        <v>0</v>
      </c>
      <c r="F90" s="322">
        <f>SUM(F81)</f>
        <v>0</v>
      </c>
      <c r="H90" s="322">
        <f t="shared" si="49"/>
        <v>0</v>
      </c>
      <c r="I90" s="271"/>
      <c r="J90" s="322">
        <f t="shared" si="49"/>
        <v>0</v>
      </c>
      <c r="K90" s="322"/>
      <c r="L90" s="323"/>
      <c r="M90" s="322">
        <v>0</v>
      </c>
      <c r="N90" s="324"/>
      <c r="O90" s="325">
        <v>0</v>
      </c>
      <c r="P90" s="325"/>
      <c r="Q90" s="322">
        <f t="shared" ref="Q90:AB90" si="50">SUM(Q81)</f>
        <v>0</v>
      </c>
      <c r="R90" s="326"/>
      <c r="S90" s="870"/>
      <c r="T90" s="931">
        <v>0</v>
      </c>
      <c r="U90" s="1167">
        <f t="shared" si="50"/>
        <v>0</v>
      </c>
      <c r="V90" s="931"/>
      <c r="W90" s="1041"/>
      <c r="X90" s="327"/>
      <c r="Y90" s="324">
        <f t="shared" si="50"/>
        <v>0</v>
      </c>
      <c r="Z90" s="324">
        <f t="shared" si="50"/>
        <v>0</v>
      </c>
      <c r="AA90" s="324">
        <f t="shared" si="50"/>
        <v>0</v>
      </c>
      <c r="AB90" s="324">
        <f t="shared" si="50"/>
        <v>0</v>
      </c>
    </row>
    <row r="91" spans="1:28" s="246" customFormat="1" ht="12.75">
      <c r="A91" s="288">
        <v>79</v>
      </c>
      <c r="B91" s="117" t="s">
        <v>134</v>
      </c>
      <c r="C91" s="1155"/>
      <c r="D91" s="340">
        <v>1</v>
      </c>
      <c r="F91" s="340">
        <v>1</v>
      </c>
      <c r="H91" s="340">
        <v>1</v>
      </c>
      <c r="I91" s="271"/>
      <c r="J91" s="340">
        <v>1</v>
      </c>
      <c r="K91" s="340"/>
      <c r="L91" s="323"/>
      <c r="M91" s="340">
        <v>1</v>
      </c>
      <c r="N91" s="342"/>
      <c r="O91" s="343">
        <v>1</v>
      </c>
      <c r="P91" s="343"/>
      <c r="Q91" s="340">
        <v>1</v>
      </c>
      <c r="R91" s="344"/>
      <c r="S91" s="873"/>
      <c r="T91" s="934">
        <v>1</v>
      </c>
      <c r="U91" s="1196">
        <v>1</v>
      </c>
      <c r="V91" s="934">
        <f>+'Resp Stf DR40 suppl att A elec'!$D$88</f>
        <v>1</v>
      </c>
      <c r="W91" s="1038"/>
      <c r="X91" s="345"/>
      <c r="Y91" s="342">
        <v>1</v>
      </c>
      <c r="Z91" s="342">
        <v>1</v>
      </c>
      <c r="AA91" s="342">
        <v>1</v>
      </c>
      <c r="AB91" s="342">
        <v>1</v>
      </c>
    </row>
    <row r="92" spans="1:28" s="246" customFormat="1" ht="12.75">
      <c r="A92" s="288">
        <v>80</v>
      </c>
      <c r="B92" s="117" t="s">
        <v>135</v>
      </c>
      <c r="C92" s="1155"/>
      <c r="D92" s="347">
        <v>1</v>
      </c>
      <c r="F92" s="347">
        <v>1</v>
      </c>
      <c r="H92" s="347">
        <v>1</v>
      </c>
      <c r="I92" s="271"/>
      <c r="J92" s="347">
        <v>1</v>
      </c>
      <c r="K92" s="347"/>
      <c r="L92" s="334"/>
      <c r="M92" s="347">
        <v>1</v>
      </c>
      <c r="N92" s="350"/>
      <c r="O92" s="351">
        <v>1</v>
      </c>
      <c r="P92" s="351"/>
      <c r="Q92" s="347">
        <v>1</v>
      </c>
      <c r="R92" s="352"/>
      <c r="S92" s="874"/>
      <c r="T92" s="935">
        <v>1</v>
      </c>
      <c r="U92" s="1198">
        <v>1</v>
      </c>
      <c r="V92" s="935">
        <f>+'Resp Stf DR40 suppl att A elec'!$D$89</f>
        <v>1</v>
      </c>
      <c r="W92" s="1049"/>
      <c r="X92" s="353"/>
      <c r="Y92" s="350">
        <v>1</v>
      </c>
      <c r="Z92" s="350">
        <v>1</v>
      </c>
      <c r="AA92" s="350">
        <v>1</v>
      </c>
      <c r="AB92" s="350">
        <v>1</v>
      </c>
    </row>
    <row r="93" spans="1:28" s="246" customFormat="1" ht="12.75">
      <c r="A93" s="288">
        <v>81</v>
      </c>
      <c r="B93" s="117" t="s">
        <v>116</v>
      </c>
      <c r="C93" s="1155"/>
      <c r="D93" s="322">
        <f>SUM((D88+D89+D90)*D91*D92)</f>
        <v>841.31665889999999</v>
      </c>
      <c r="F93" s="322">
        <f>SUM((F88+F89+F90)*F91*F92)</f>
        <v>925.32067010000003</v>
      </c>
      <c r="H93" s="322">
        <f t="shared" ref="H93:J93" si="51">SUM((H88+H89+H90)*H91*H92)</f>
        <v>888.3152139</v>
      </c>
      <c r="I93" s="271"/>
      <c r="J93" s="322">
        <f t="shared" si="51"/>
        <v>1002.3308361092717</v>
      </c>
      <c r="K93" s="322"/>
      <c r="L93" s="323"/>
      <c r="M93" s="322">
        <f>SUM((M88+M89+M90)*M91*M92)</f>
        <v>1190</v>
      </c>
      <c r="N93" s="324"/>
      <c r="O93" s="325">
        <f>SUM((O88+O89+O90)*O91*O92)</f>
        <v>1131</v>
      </c>
      <c r="P93" s="325"/>
      <c r="Q93" s="322">
        <f t="shared" ref="Q93:AB93" si="52">SUM((Q88+Q89+Q90)*Q91*Q92)</f>
        <v>1137.998</v>
      </c>
      <c r="R93" s="326"/>
      <c r="S93" s="870"/>
      <c r="T93" s="931">
        <v>1137.998</v>
      </c>
      <c r="U93" s="1167">
        <f t="shared" si="52"/>
        <v>1137.998</v>
      </c>
      <c r="V93" s="931">
        <f>+'Resp Stf DR40 suppl att A elec'!$D$95</f>
        <v>1137.998</v>
      </c>
      <c r="W93" s="1041"/>
      <c r="X93" s="327"/>
      <c r="Y93" s="324">
        <f t="shared" si="52"/>
        <v>1137.998</v>
      </c>
      <c r="Z93" s="324">
        <f t="shared" si="52"/>
        <v>1137.998</v>
      </c>
      <c r="AA93" s="324">
        <f t="shared" si="52"/>
        <v>1137.998</v>
      </c>
      <c r="AB93" s="324">
        <f t="shared" si="52"/>
        <v>1137.998</v>
      </c>
    </row>
    <row r="94" spans="1:28" s="246" customFormat="1" ht="12.75">
      <c r="A94" s="288">
        <v>82</v>
      </c>
      <c r="B94" s="117" t="s">
        <v>146</v>
      </c>
      <c r="C94" s="1155"/>
      <c r="D94" s="322"/>
      <c r="F94" s="322"/>
      <c r="H94" s="322"/>
      <c r="I94" s="271"/>
      <c r="J94" s="322"/>
      <c r="K94" s="322"/>
      <c r="L94" s="323"/>
      <c r="M94" s="322"/>
      <c r="N94" s="324"/>
      <c r="O94" s="325"/>
      <c r="P94" s="325"/>
      <c r="Q94" s="402"/>
      <c r="R94" s="326"/>
      <c r="S94" s="870"/>
      <c r="T94" s="931"/>
      <c r="U94" s="1167"/>
      <c r="V94" s="931"/>
      <c r="W94" s="1041"/>
      <c r="X94" s="327"/>
      <c r="Y94" s="324"/>
      <c r="Z94" s="324"/>
      <c r="AA94" s="324"/>
      <c r="AB94" s="324"/>
    </row>
    <row r="95" spans="1:28" s="246" customFormat="1" ht="12.75">
      <c r="A95" s="288">
        <v>83</v>
      </c>
      <c r="B95" s="117" t="s">
        <v>147</v>
      </c>
      <c r="C95" s="1155"/>
      <c r="D95" s="446">
        <v>1</v>
      </c>
      <c r="F95" s="446">
        <v>1</v>
      </c>
      <c r="H95" s="446">
        <v>1</v>
      </c>
      <c r="I95" s="271"/>
      <c r="J95" s="446">
        <v>1</v>
      </c>
      <c r="K95" s="446"/>
      <c r="L95" s="323"/>
      <c r="M95" s="446">
        <v>1</v>
      </c>
      <c r="N95" s="447"/>
      <c r="O95" s="448">
        <v>1</v>
      </c>
      <c r="P95" s="448"/>
      <c r="Q95" s="446">
        <v>1</v>
      </c>
      <c r="R95" s="449"/>
      <c r="S95" s="884"/>
      <c r="T95" s="946">
        <v>1</v>
      </c>
      <c r="U95" s="1209">
        <v>1</v>
      </c>
      <c r="V95" s="946">
        <f>+'Resp Stf DR40 suppl att A elec'!$D$92</f>
        <v>1</v>
      </c>
      <c r="W95" s="1050"/>
      <c r="X95" s="450"/>
      <c r="Y95" s="447">
        <v>1</v>
      </c>
      <c r="Z95" s="447">
        <v>1</v>
      </c>
      <c r="AA95" s="447">
        <v>1</v>
      </c>
      <c r="AB95" s="447">
        <v>1</v>
      </c>
    </row>
    <row r="96" spans="1:28" s="246" customFormat="1" ht="12.75">
      <c r="A96" s="288">
        <v>84</v>
      </c>
      <c r="B96" s="1210" t="s">
        <v>148</v>
      </c>
      <c r="C96" s="1155"/>
      <c r="D96" s="322">
        <f>SUM(D93:D94)*D95</f>
        <v>841.31665889999999</v>
      </c>
      <c r="F96" s="322">
        <f>SUM(F93:F94)*F95</f>
        <v>925.32067010000003</v>
      </c>
      <c r="H96" s="322">
        <f t="shared" ref="H96:J96" si="53">SUM(H93:H94)*H95</f>
        <v>888.3152139</v>
      </c>
      <c r="I96" s="271"/>
      <c r="J96" s="322">
        <f t="shared" si="53"/>
        <v>1002.3308361092717</v>
      </c>
      <c r="K96" s="322"/>
      <c r="L96" s="323"/>
      <c r="M96" s="322">
        <v>1190</v>
      </c>
      <c r="N96" s="324"/>
      <c r="O96" s="325">
        <f t="shared" ref="O96" si="54">SUM(O93:O94)*O95</f>
        <v>1131</v>
      </c>
      <c r="P96" s="325"/>
      <c r="Q96" s="322">
        <f t="shared" ref="Q96:AB96" si="55">SUM(Q93:Q94)*Q95</f>
        <v>1137.998</v>
      </c>
      <c r="R96" s="326"/>
      <c r="S96" s="870"/>
      <c r="T96" s="931">
        <v>1137.998</v>
      </c>
      <c r="U96" s="1167">
        <f t="shared" si="55"/>
        <v>1137.998</v>
      </c>
      <c r="V96" s="931">
        <f>+'Resp Stf DR40 suppl att A elec'!$D$93</f>
        <v>1137.998</v>
      </c>
      <c r="W96" s="1041"/>
      <c r="X96" s="327"/>
      <c r="Y96" s="324">
        <f t="shared" si="55"/>
        <v>1137.998</v>
      </c>
      <c r="Z96" s="324">
        <f t="shared" si="55"/>
        <v>1137.998</v>
      </c>
      <c r="AA96" s="324">
        <f t="shared" si="55"/>
        <v>1137.998</v>
      </c>
      <c r="AB96" s="324">
        <f t="shared" si="55"/>
        <v>1137.998</v>
      </c>
    </row>
    <row r="97" spans="1:28" s="246" customFormat="1" ht="12.75">
      <c r="A97" s="288">
        <v>85</v>
      </c>
      <c r="B97" s="117" t="s">
        <v>136</v>
      </c>
      <c r="C97" s="1155"/>
      <c r="D97" s="472">
        <v>1</v>
      </c>
      <c r="F97" s="472">
        <v>1</v>
      </c>
      <c r="H97" s="472">
        <v>1</v>
      </c>
      <c r="I97" s="271"/>
      <c r="J97" s="472">
        <v>1</v>
      </c>
      <c r="K97" s="472"/>
      <c r="L97" s="334"/>
      <c r="M97" s="472">
        <v>1</v>
      </c>
      <c r="N97" s="452"/>
      <c r="O97" s="473">
        <v>1</v>
      </c>
      <c r="P97" s="473"/>
      <c r="Q97" s="472">
        <v>1</v>
      </c>
      <c r="R97" s="455"/>
      <c r="S97" s="890"/>
      <c r="T97" s="954">
        <v>1</v>
      </c>
      <c r="U97" s="1211">
        <v>1</v>
      </c>
      <c r="V97" s="954">
        <f>+'Resp Stf DR40 suppl att A elec'!$D$94</f>
        <v>1</v>
      </c>
      <c r="W97" s="1051"/>
      <c r="X97" s="361"/>
      <c r="Y97" s="452">
        <v>1</v>
      </c>
      <c r="Z97" s="452">
        <v>1</v>
      </c>
      <c r="AA97" s="452">
        <v>1</v>
      </c>
      <c r="AB97" s="452">
        <v>1</v>
      </c>
    </row>
    <row r="98" spans="1:28" s="246" customFormat="1" ht="12.75">
      <c r="A98" s="288">
        <v>86</v>
      </c>
      <c r="B98" s="117" t="s">
        <v>151</v>
      </c>
      <c r="C98" s="1155"/>
      <c r="D98" s="322">
        <f>SUM(D96*D97)</f>
        <v>841.31665889999999</v>
      </c>
      <c r="F98" s="322">
        <f>SUM(F96*F97)</f>
        <v>925.32067010000003</v>
      </c>
      <c r="H98" s="322">
        <f t="shared" ref="H98:J98" si="56">SUM(H96*H97)</f>
        <v>888.3152139</v>
      </c>
      <c r="I98" s="271"/>
      <c r="J98" s="322">
        <f t="shared" si="56"/>
        <v>1002.3308361092717</v>
      </c>
      <c r="K98" s="322"/>
      <c r="L98" s="323"/>
      <c r="M98" s="322">
        <f t="shared" ref="M98:AB98" si="57">SUM(M96*M97)</f>
        <v>1190</v>
      </c>
      <c r="N98" s="324"/>
      <c r="O98" s="325">
        <f t="shared" si="57"/>
        <v>1131</v>
      </c>
      <c r="P98" s="325"/>
      <c r="Q98" s="322">
        <f t="shared" si="57"/>
        <v>1137.998</v>
      </c>
      <c r="R98" s="326"/>
      <c r="S98" s="870"/>
      <c r="T98" s="931">
        <v>1137.998</v>
      </c>
      <c r="U98" s="1167">
        <f t="shared" si="57"/>
        <v>1137.998</v>
      </c>
      <c r="V98" s="931">
        <f>SUM(V93:V94)</f>
        <v>1137.998</v>
      </c>
      <c r="W98" s="1041"/>
      <c r="X98" s="327"/>
      <c r="Y98" s="324">
        <f t="shared" si="57"/>
        <v>1137.998</v>
      </c>
      <c r="Z98" s="324">
        <f t="shared" si="57"/>
        <v>1137.998</v>
      </c>
      <c r="AA98" s="324">
        <f t="shared" si="57"/>
        <v>1137.998</v>
      </c>
      <c r="AB98" s="324">
        <f t="shared" si="57"/>
        <v>1137.998</v>
      </c>
    </row>
    <row r="99" spans="1:28" s="246" customFormat="1" ht="12.75">
      <c r="A99" s="288">
        <v>87</v>
      </c>
      <c r="B99" s="117" t="s">
        <v>160</v>
      </c>
      <c r="C99" s="1155"/>
      <c r="D99" s="322">
        <v>0</v>
      </c>
      <c r="F99" s="322">
        <v>0</v>
      </c>
      <c r="H99" s="322">
        <v>0</v>
      </c>
      <c r="I99" s="271"/>
      <c r="J99" s="322">
        <v>0</v>
      </c>
      <c r="K99" s="322"/>
      <c r="L99" s="323"/>
      <c r="M99" s="322">
        <v>0</v>
      </c>
      <c r="N99" s="324"/>
      <c r="O99" s="325">
        <v>0</v>
      </c>
      <c r="P99" s="325"/>
      <c r="Q99" s="322">
        <v>0</v>
      </c>
      <c r="R99" s="326"/>
      <c r="S99" s="870"/>
      <c r="T99" s="931">
        <v>0</v>
      </c>
      <c r="U99" s="1167">
        <v>0</v>
      </c>
      <c r="V99" s="931">
        <f>+'Resp Stf DR40 suppl att A elec'!$F$96</f>
        <v>0</v>
      </c>
      <c r="W99" s="1041"/>
      <c r="X99" s="327"/>
      <c r="Y99" s="324">
        <v>0</v>
      </c>
      <c r="Z99" s="324">
        <v>0</v>
      </c>
      <c r="AA99" s="324">
        <v>0</v>
      </c>
      <c r="AB99" s="324">
        <v>0</v>
      </c>
    </row>
    <row r="100" spans="1:28" s="246" customFormat="1" ht="12.75">
      <c r="A100" s="288">
        <v>88</v>
      </c>
      <c r="B100" s="117" t="s">
        <v>153</v>
      </c>
      <c r="C100" s="1155"/>
      <c r="D100" s="365">
        <f>SUM(D98:D99)</f>
        <v>841.31665889999999</v>
      </c>
      <c r="F100" s="365">
        <f>SUM(F98:F99)</f>
        <v>925.32067010000003</v>
      </c>
      <c r="H100" s="365">
        <f t="shared" ref="H100:J100" si="58">SUM(H98:H99)</f>
        <v>888.3152139</v>
      </c>
      <c r="I100" s="271"/>
      <c r="J100" s="365">
        <f t="shared" si="58"/>
        <v>1002.3308361092717</v>
      </c>
      <c r="K100" s="365"/>
      <c r="L100" s="366"/>
      <c r="M100" s="365">
        <f t="shared" ref="M100:AB100" si="59">SUM(M98:M99)</f>
        <v>1190</v>
      </c>
      <c r="N100" s="383"/>
      <c r="O100" s="474">
        <f t="shared" si="59"/>
        <v>1131</v>
      </c>
      <c r="P100" s="474"/>
      <c r="Q100" s="365">
        <f t="shared" si="59"/>
        <v>1137.998</v>
      </c>
      <c r="R100" s="368"/>
      <c r="S100" s="891"/>
      <c r="T100" s="955">
        <v>1137.998</v>
      </c>
      <c r="U100" s="1174">
        <f t="shared" si="59"/>
        <v>1137.998</v>
      </c>
      <c r="V100" s="955">
        <f>SUM(V98:V99)</f>
        <v>1137.998</v>
      </c>
      <c r="W100" s="1042"/>
      <c r="X100" s="370"/>
      <c r="Y100" s="367">
        <f t="shared" si="59"/>
        <v>1137.998</v>
      </c>
      <c r="Z100" s="367">
        <f t="shared" si="59"/>
        <v>1137.998</v>
      </c>
      <c r="AA100" s="367">
        <f t="shared" si="59"/>
        <v>1137.998</v>
      </c>
      <c r="AB100" s="367">
        <f t="shared" si="59"/>
        <v>1137.998</v>
      </c>
    </row>
    <row r="101" spans="1:28" s="246" customFormat="1" ht="12.75">
      <c r="A101" s="288">
        <v>89</v>
      </c>
      <c r="B101" s="117" t="s">
        <v>138</v>
      </c>
      <c r="C101" s="1212" t="e">
        <f>SUM(D101-#REF!)/D101</f>
        <v>#REF!</v>
      </c>
      <c r="D101" s="1177">
        <v>9.7459999999999995E-3</v>
      </c>
      <c r="E101" s="1216">
        <f>SUM(F101-D101)/F101</f>
        <v>-4.425158041358622E-2</v>
      </c>
      <c r="F101" s="1177">
        <v>9.3329999999999993E-3</v>
      </c>
      <c r="G101" s="1216">
        <f>SUM(H101-F101)/H101</f>
        <v>-2.4704618689579713E-3</v>
      </c>
      <c r="H101" s="1177">
        <v>9.3100000000000006E-3</v>
      </c>
      <c r="I101" s="1178">
        <f>SUM(J101-H101)/H101</f>
        <v>-1.5450106807006719E-3</v>
      </c>
      <c r="J101" s="1177">
        <f>9314.17/1001996</f>
        <v>9.2956159505626773E-3</v>
      </c>
      <c r="K101" s="420"/>
      <c r="L101" s="1203">
        <f>SUM(M101-J101)/J101</f>
        <v>2.8979687937840962E-2</v>
      </c>
      <c r="M101" s="1177">
        <v>9.5650000000000006E-3</v>
      </c>
      <c r="N101" s="1181">
        <f>SUM((O101-M101)/M101)</f>
        <v>-3.2263460533194024E-2</v>
      </c>
      <c r="O101" s="1177">
        <v>9.2563999999999997E-3</v>
      </c>
      <c r="P101" s="563">
        <f>SUM(Q103-O103)/O103</f>
        <v>4.0282402070482212E-3</v>
      </c>
      <c r="Q101" s="1177">
        <f>10511.16/1137998</f>
        <v>9.2365364438250323E-3</v>
      </c>
      <c r="R101" s="380"/>
      <c r="S101" s="563">
        <f>SUM(S80)</f>
        <v>0</v>
      </c>
      <c r="T101" s="1183">
        <v>9.4212671727015324E-3</v>
      </c>
      <c r="U101" s="1184">
        <f>+V101</f>
        <v>9.2365364438250323E-3</v>
      </c>
      <c r="V101" s="1017">
        <f>+'Resp Stf DR40 suppl att A elec'!$D$98</f>
        <v>9.2365364438250323E-3</v>
      </c>
      <c r="W101" s="1045" t="str">
        <f>+'Resp Stf DR40 suppl att A elec'!$E98</f>
        <v>2016/2017 tax rate</v>
      </c>
      <c r="X101" s="565">
        <v>0</v>
      </c>
      <c r="Y101" s="1185">
        <f>SUM(U101*(1+X101))</f>
        <v>9.2365364438250323E-3</v>
      </c>
      <c r="Z101" s="1185">
        <f>SUM(Y101*(1+X101))</f>
        <v>9.2365364438250323E-3</v>
      </c>
      <c r="AA101" s="1185">
        <f>SUM(Z101*(1+X101))</f>
        <v>9.2365364438250323E-3</v>
      </c>
      <c r="AB101" s="1185">
        <f>SUM(AA101*(1+X101))</f>
        <v>9.2365364438250323E-3</v>
      </c>
    </row>
    <row r="102" spans="1:28" s="246" customFormat="1" ht="12.75">
      <c r="A102" s="288">
        <v>90</v>
      </c>
      <c r="B102" s="117"/>
      <c r="C102" s="1155"/>
      <c r="D102" s="423"/>
      <c r="F102" s="423"/>
      <c r="H102" s="423"/>
      <c r="I102" s="271"/>
      <c r="J102" s="423"/>
      <c r="K102" s="423"/>
      <c r="L102" s="323"/>
      <c r="M102" s="423"/>
      <c r="N102" s="383"/>
      <c r="O102" s="423"/>
      <c r="P102" s="423"/>
      <c r="Q102" s="423"/>
      <c r="R102" s="384"/>
      <c r="S102" s="892"/>
      <c r="T102" s="956"/>
      <c r="U102" s="1187"/>
      <c r="V102" s="1014"/>
      <c r="W102" s="1034"/>
      <c r="X102" s="476"/>
      <c r="Y102" s="383"/>
      <c r="Z102" s="383"/>
      <c r="AA102" s="383"/>
      <c r="AB102" s="383"/>
    </row>
    <row r="103" spans="1:28" s="246" customFormat="1" ht="19.5">
      <c r="A103" s="288">
        <v>91</v>
      </c>
      <c r="B103" s="868" t="s">
        <v>128</v>
      </c>
      <c r="C103" s="1155"/>
      <c r="D103" s="478">
        <f>SUM(D100*D101)</f>
        <v>8.1994721576394003</v>
      </c>
      <c r="F103" s="478">
        <f>SUM(F100*F101)</f>
        <v>8.6360178140432993</v>
      </c>
      <c r="H103" s="478">
        <f t="shared" ref="H103:J103" si="60">SUM(H100*H101)</f>
        <v>8.2702146414089999</v>
      </c>
      <c r="I103" s="271"/>
      <c r="J103" s="478">
        <f t="shared" si="60"/>
        <v>9.3172825078781703</v>
      </c>
      <c r="K103" s="478"/>
      <c r="L103" s="479"/>
      <c r="M103" s="478">
        <f t="shared" ref="M103:AB103" si="61">SUM(M100*M101)</f>
        <v>11.382350000000001</v>
      </c>
      <c r="N103" s="480"/>
      <c r="O103" s="482">
        <f t="shared" si="61"/>
        <v>10.468988399999999</v>
      </c>
      <c r="P103" s="482"/>
      <c r="Q103" s="482">
        <f t="shared" si="61"/>
        <v>10.51116</v>
      </c>
      <c r="R103" s="483">
        <f>+'Resp to Staff DR 41 supp A'!K19</f>
        <v>10.51116</v>
      </c>
      <c r="S103" s="893"/>
      <c r="T103" s="957">
        <v>10.721383199999998</v>
      </c>
      <c r="U103" s="1217">
        <f t="shared" si="61"/>
        <v>10.51116</v>
      </c>
      <c r="V103" s="933">
        <f>+V101*V100</f>
        <v>10.51116</v>
      </c>
      <c r="W103" s="997" t="str">
        <f>+'Resp Stf DR40 suppl att A elec'!E100</f>
        <v>2017/2018 OR electric transmission estimated property tax</v>
      </c>
      <c r="X103" s="484"/>
      <c r="Y103" s="1218">
        <f t="shared" si="61"/>
        <v>10.51116</v>
      </c>
      <c r="Z103" s="480">
        <f t="shared" si="61"/>
        <v>10.51116</v>
      </c>
      <c r="AA103" s="480">
        <f t="shared" si="61"/>
        <v>10.51116</v>
      </c>
      <c r="AB103" s="480">
        <f t="shared" si="61"/>
        <v>10.51116</v>
      </c>
    </row>
    <row r="104" spans="1:28" s="246" customFormat="1" ht="12.75">
      <c r="A104" s="288">
        <v>92</v>
      </c>
      <c r="B104" s="529"/>
      <c r="C104" s="1155"/>
      <c r="D104" s="154"/>
      <c r="F104" s="154"/>
      <c r="I104" s="271"/>
      <c r="J104" s="465"/>
      <c r="K104" s="465"/>
      <c r="L104" s="465"/>
      <c r="M104" s="465"/>
      <c r="N104" s="154"/>
      <c r="O104" s="154"/>
      <c r="P104" s="154"/>
      <c r="Q104" s="154"/>
      <c r="R104" s="1154"/>
      <c r="S104" s="154"/>
      <c r="T104" s="949"/>
      <c r="U104" s="154"/>
      <c r="V104" s="931"/>
      <c r="W104" s="817"/>
      <c r="X104" s="468" t="s">
        <v>283</v>
      </c>
      <c r="Y104" s="468">
        <v>11</v>
      </c>
      <c r="Z104" s="468">
        <v>11</v>
      </c>
      <c r="AA104" s="468">
        <v>11</v>
      </c>
      <c r="AB104" s="468">
        <v>11</v>
      </c>
    </row>
    <row r="105" spans="1:28" s="246" customFormat="1" ht="12.75">
      <c r="A105" s="288">
        <v>93</v>
      </c>
      <c r="B105" s="1219" t="s">
        <v>155</v>
      </c>
      <c r="C105" s="1155"/>
      <c r="D105" s="486" t="s">
        <v>272</v>
      </c>
      <c r="F105" s="486" t="s">
        <v>273</v>
      </c>
      <c r="H105" s="486" t="s">
        <v>274</v>
      </c>
      <c r="I105" s="271"/>
      <c r="J105" s="486" t="s">
        <v>275</v>
      </c>
      <c r="K105" s="486"/>
      <c r="L105" s="487"/>
      <c r="M105" s="486" t="s">
        <v>276</v>
      </c>
      <c r="N105" s="488"/>
      <c r="O105" s="486" t="s">
        <v>277</v>
      </c>
      <c r="P105" s="399"/>
      <c r="Q105" s="486" t="s">
        <v>278</v>
      </c>
      <c r="R105" s="309"/>
      <c r="S105" s="888"/>
      <c r="T105" s="951" t="s">
        <v>156</v>
      </c>
      <c r="U105" s="1220" t="s">
        <v>156</v>
      </c>
      <c r="V105" s="1016"/>
      <c r="W105" s="996"/>
      <c r="X105" s="254"/>
      <c r="Y105" s="488" t="s">
        <v>279</v>
      </c>
      <c r="Z105" s="488" t="s">
        <v>280</v>
      </c>
      <c r="AA105" s="488" t="s">
        <v>281</v>
      </c>
      <c r="AB105" s="488" t="s">
        <v>282</v>
      </c>
    </row>
    <row r="106" spans="1:28" s="246" customFormat="1" ht="12.75">
      <c r="A106" s="288">
        <v>94</v>
      </c>
      <c r="B106" s="1221"/>
      <c r="C106" s="1155"/>
      <c r="D106" s="318" t="s">
        <v>163</v>
      </c>
      <c r="F106" s="318" t="s">
        <v>163</v>
      </c>
      <c r="H106" s="318" t="s">
        <v>163</v>
      </c>
      <c r="I106" s="271"/>
      <c r="J106" s="1222" t="s">
        <v>163</v>
      </c>
      <c r="K106" s="428"/>
      <c r="L106" s="465"/>
      <c r="M106" s="1222" t="s">
        <v>163</v>
      </c>
      <c r="N106" s="293"/>
      <c r="O106" s="492" t="s">
        <v>163</v>
      </c>
      <c r="P106" s="492"/>
      <c r="Q106" s="293" t="s">
        <v>163</v>
      </c>
      <c r="R106" s="295"/>
      <c r="S106" s="894"/>
      <c r="T106" s="958" t="s">
        <v>163</v>
      </c>
      <c r="U106" s="1158" t="s">
        <v>163</v>
      </c>
      <c r="V106" s="1014"/>
      <c r="W106" s="819"/>
      <c r="X106" s="493"/>
      <c r="Y106" s="293" t="s">
        <v>163</v>
      </c>
      <c r="Z106" s="293" t="s">
        <v>163</v>
      </c>
      <c r="AA106" s="293" t="s">
        <v>163</v>
      </c>
      <c r="AB106" s="293" t="s">
        <v>163</v>
      </c>
    </row>
    <row r="107" spans="1:28" s="246" customFormat="1" ht="12.75">
      <c r="A107" s="288">
        <v>95</v>
      </c>
      <c r="B107" s="1221"/>
      <c r="C107" s="1155"/>
      <c r="D107" s="1223"/>
      <c r="F107" s="318"/>
      <c r="H107" s="318"/>
      <c r="I107" s="271"/>
      <c r="J107" s="318"/>
      <c r="K107" s="428"/>
      <c r="L107" s="465"/>
      <c r="M107" s="318"/>
      <c r="N107" s="293"/>
      <c r="O107" s="492"/>
      <c r="P107" s="492"/>
      <c r="Q107" s="293"/>
      <c r="R107" s="295"/>
      <c r="S107" s="894"/>
      <c r="T107" s="958"/>
      <c r="U107" s="1158"/>
      <c r="V107" s="1014"/>
      <c r="W107" s="819"/>
      <c r="X107" s="493"/>
      <c r="Y107" s="293"/>
      <c r="Z107" s="293"/>
      <c r="AA107" s="293"/>
      <c r="AB107" s="293"/>
    </row>
    <row r="108" spans="1:28" s="246" customFormat="1" ht="12.75">
      <c r="A108" s="288">
        <v>96</v>
      </c>
      <c r="B108" s="1221"/>
      <c r="C108" s="1155"/>
      <c r="D108" s="1223"/>
      <c r="F108" s="318"/>
      <c r="H108" s="318"/>
      <c r="I108" s="271"/>
      <c r="J108" s="318"/>
      <c r="K108" s="428"/>
      <c r="L108" s="465"/>
      <c r="M108" s="318"/>
      <c r="N108" s="293"/>
      <c r="O108" s="318"/>
      <c r="P108" s="318"/>
      <c r="Q108" s="297"/>
      <c r="R108" s="295"/>
      <c r="S108" s="889"/>
      <c r="T108" s="953"/>
      <c r="U108" s="1158"/>
      <c r="V108" s="1014"/>
      <c r="W108" s="819"/>
      <c r="X108" s="471"/>
      <c r="Y108" s="293"/>
      <c r="Z108" s="293"/>
      <c r="AA108" s="293"/>
      <c r="AB108" s="293"/>
    </row>
    <row r="109" spans="1:28" s="246" customFormat="1" ht="12.75">
      <c r="A109" s="288">
        <v>97</v>
      </c>
      <c r="B109" s="313" t="s">
        <v>131</v>
      </c>
      <c r="C109" s="1155"/>
      <c r="D109" s="1224">
        <v>104359</v>
      </c>
      <c r="F109" s="1224">
        <v>115700</v>
      </c>
      <c r="H109" s="1224">
        <v>110212</v>
      </c>
      <c r="I109" s="271"/>
      <c r="J109" s="1224">
        <v>127298</v>
      </c>
      <c r="K109" s="496"/>
      <c r="L109" s="497"/>
      <c r="M109" s="1224">
        <v>151210</v>
      </c>
      <c r="N109" s="498"/>
      <c r="O109" s="499">
        <v>151669</v>
      </c>
      <c r="P109" s="499"/>
      <c r="Q109" s="499">
        <v>152662</v>
      </c>
      <c r="R109" s="500"/>
      <c r="S109" s="895"/>
      <c r="T109" s="959">
        <v>152662</v>
      </c>
      <c r="U109" s="1225">
        <f>+V109</f>
        <v>173400</v>
      </c>
      <c r="V109" s="1021">
        <f>+'Resp Stf DR40 suppl att A elec'!$D$106</f>
        <v>173400</v>
      </c>
      <c r="W109" s="1003" t="str">
        <f>+'Resp Stf DR40 suppl att A elec'!$E106</f>
        <v>Actual per State DOR</v>
      </c>
      <c r="X109" s="501"/>
      <c r="Y109" s="498">
        <f>SUM(U109:U111)</f>
        <v>173400</v>
      </c>
      <c r="Z109" s="498">
        <f t="shared" ref="Z109:AB109" si="62">SUM(Y109:Y111)</f>
        <v>173400</v>
      </c>
      <c r="AA109" s="498">
        <f t="shared" si="62"/>
        <v>173400</v>
      </c>
      <c r="AB109" s="498">
        <f t="shared" si="62"/>
        <v>173400</v>
      </c>
    </row>
    <row r="110" spans="1:28" s="246" customFormat="1" ht="12.75">
      <c r="A110" s="288">
        <v>98</v>
      </c>
      <c r="B110" s="313" t="s">
        <v>109</v>
      </c>
      <c r="C110" s="1155"/>
      <c r="D110" s="322">
        <v>0</v>
      </c>
      <c r="F110" s="322"/>
      <c r="H110" s="322"/>
      <c r="I110" s="271"/>
      <c r="J110" s="322"/>
      <c r="K110" s="503"/>
      <c r="L110" s="504"/>
      <c r="M110" s="324"/>
      <c r="N110" s="324"/>
      <c r="O110" s="322"/>
      <c r="P110" s="322"/>
      <c r="Q110" s="325"/>
      <c r="R110" s="326"/>
      <c r="S110" s="896"/>
      <c r="T110" s="960">
        <v>3500</v>
      </c>
      <c r="U110" s="1167">
        <f>+V110</f>
        <v>0</v>
      </c>
      <c r="V110" s="931"/>
      <c r="W110" s="818"/>
      <c r="X110" s="505"/>
      <c r="Y110" s="324">
        <v>0</v>
      </c>
      <c r="Z110" s="324">
        <v>0</v>
      </c>
      <c r="AA110" s="324">
        <v>0</v>
      </c>
      <c r="AB110" s="324">
        <v>0</v>
      </c>
    </row>
    <row r="111" spans="1:28" s="246" customFormat="1" ht="12.75">
      <c r="A111" s="288">
        <v>99</v>
      </c>
      <c r="B111" s="313" t="s">
        <v>164</v>
      </c>
      <c r="C111" s="1155"/>
      <c r="D111" s="322"/>
      <c r="F111" s="322"/>
      <c r="H111" s="322"/>
      <c r="I111" s="271"/>
      <c r="J111" s="322"/>
      <c r="K111" s="503"/>
      <c r="L111" s="504"/>
      <c r="M111" s="324"/>
      <c r="N111" s="324"/>
      <c r="O111" s="322"/>
      <c r="P111" s="322"/>
      <c r="Q111" s="325"/>
      <c r="R111" s="326"/>
      <c r="S111" s="896"/>
      <c r="T111" s="960">
        <v>0</v>
      </c>
      <c r="U111" s="1167">
        <v>0</v>
      </c>
      <c r="V111" s="931"/>
      <c r="W111" s="818"/>
      <c r="X111" s="505"/>
      <c r="Y111" s="324">
        <v>0</v>
      </c>
      <c r="Z111" s="324">
        <v>0</v>
      </c>
      <c r="AA111" s="324">
        <v>0</v>
      </c>
      <c r="AB111" s="324">
        <v>0</v>
      </c>
    </row>
    <row r="112" spans="1:28" s="246" customFormat="1" ht="12.75">
      <c r="A112" s="288">
        <v>100</v>
      </c>
      <c r="B112" s="313" t="s">
        <v>165</v>
      </c>
      <c r="C112" s="1155"/>
      <c r="D112" s="510"/>
      <c r="F112" s="510"/>
      <c r="H112" s="510"/>
      <c r="I112" s="271"/>
      <c r="J112" s="510">
        <v>0</v>
      </c>
      <c r="K112" s="507"/>
      <c r="L112" s="504"/>
      <c r="M112" s="509"/>
      <c r="N112" s="509"/>
      <c r="O112" s="510"/>
      <c r="P112" s="510"/>
      <c r="Q112" s="1226"/>
      <c r="R112" s="511"/>
      <c r="S112" s="897"/>
      <c r="T112" s="961">
        <v>0</v>
      </c>
      <c r="U112" s="1227">
        <v>0</v>
      </c>
      <c r="V112" s="1021"/>
      <c r="W112" s="1004"/>
      <c r="X112" s="512"/>
      <c r="Y112" s="509">
        <v>0</v>
      </c>
      <c r="Z112" s="509">
        <v>0</v>
      </c>
      <c r="AA112" s="509">
        <v>0</v>
      </c>
      <c r="AB112" s="509">
        <v>0</v>
      </c>
    </row>
    <row r="113" spans="1:28" s="246" customFormat="1" ht="12.75">
      <c r="A113" s="288">
        <v>101</v>
      </c>
      <c r="B113" s="313" t="s">
        <v>135</v>
      </c>
      <c r="C113" s="1155"/>
      <c r="D113" s="517" t="s">
        <v>166</v>
      </c>
      <c r="F113" s="517" t="s">
        <v>166</v>
      </c>
      <c r="H113" s="517" t="s">
        <v>166</v>
      </c>
      <c r="I113" s="271"/>
      <c r="J113" s="517" t="s">
        <v>166</v>
      </c>
      <c r="K113" s="515"/>
      <c r="L113" s="504"/>
      <c r="M113" s="1228" t="s">
        <v>166</v>
      </c>
      <c r="N113" s="509"/>
      <c r="O113" s="517" t="s">
        <v>166</v>
      </c>
      <c r="P113" s="517"/>
      <c r="Q113" s="1229" t="s">
        <v>166</v>
      </c>
      <c r="R113" s="518"/>
      <c r="S113" s="898"/>
      <c r="T113" s="962" t="s">
        <v>166</v>
      </c>
      <c r="U113" s="1230" t="s">
        <v>166</v>
      </c>
      <c r="V113" s="1022"/>
      <c r="W113" s="1005"/>
      <c r="X113" s="519"/>
      <c r="Y113" s="1231" t="s">
        <v>166</v>
      </c>
      <c r="Z113" s="1231" t="s">
        <v>166</v>
      </c>
      <c r="AA113" s="1231" t="s">
        <v>166</v>
      </c>
      <c r="AB113" s="1231" t="s">
        <v>166</v>
      </c>
    </row>
    <row r="114" spans="1:28" s="246" customFormat="1" ht="12.75">
      <c r="A114" s="288">
        <v>102</v>
      </c>
      <c r="B114" s="313" t="s">
        <v>167</v>
      </c>
      <c r="C114" s="1155"/>
      <c r="D114" s="524">
        <v>0</v>
      </c>
      <c r="F114" s="524">
        <v>0</v>
      </c>
      <c r="H114" s="524">
        <v>0</v>
      </c>
      <c r="I114" s="271"/>
      <c r="J114" s="524">
        <v>0</v>
      </c>
      <c r="K114" s="522"/>
      <c r="L114" s="504"/>
      <c r="M114" s="1232">
        <v>0</v>
      </c>
      <c r="N114" s="509"/>
      <c r="O114" s="524">
        <v>0</v>
      </c>
      <c r="P114" s="524"/>
      <c r="Q114" s="1233">
        <v>0</v>
      </c>
      <c r="R114" s="525"/>
      <c r="S114" s="899"/>
      <c r="T114" s="963">
        <v>0</v>
      </c>
      <c r="U114" s="1234">
        <v>0</v>
      </c>
      <c r="V114" s="1023"/>
      <c r="W114" s="1006"/>
      <c r="X114" s="526"/>
      <c r="Y114" s="1235">
        <v>0</v>
      </c>
      <c r="Z114" s="1235">
        <v>0</v>
      </c>
      <c r="AA114" s="1235">
        <v>0</v>
      </c>
      <c r="AB114" s="1235">
        <v>0</v>
      </c>
    </row>
    <row r="115" spans="1:28" s="246" customFormat="1" ht="12.75">
      <c r="A115" s="288">
        <v>103</v>
      </c>
      <c r="B115" s="303" t="s">
        <v>168</v>
      </c>
      <c r="C115" s="1155"/>
      <c r="D115" s="531"/>
      <c r="F115" s="531"/>
      <c r="H115" s="531"/>
      <c r="I115" s="271"/>
      <c r="J115" s="531"/>
      <c r="K115" s="529"/>
      <c r="L115" s="504"/>
      <c r="M115" s="1236"/>
      <c r="N115" s="509"/>
      <c r="O115" s="531"/>
      <c r="P115" s="531"/>
      <c r="Q115" s="1237"/>
      <c r="R115" s="532"/>
      <c r="S115" s="900"/>
      <c r="T115" s="964"/>
      <c r="U115" s="1238"/>
      <c r="V115" s="1024"/>
      <c r="W115" s="1007"/>
      <c r="X115" s="533"/>
      <c r="Y115" s="1239"/>
      <c r="Z115" s="1239"/>
      <c r="AA115" s="1239"/>
      <c r="AB115" s="1239"/>
    </row>
    <row r="116" spans="1:28" s="246" customFormat="1" ht="12.75">
      <c r="A116" s="288">
        <v>104</v>
      </c>
      <c r="B116" s="313" t="s">
        <v>169</v>
      </c>
      <c r="C116" s="1212" t="e">
        <f>SUM(D116-#REF!)/D116</f>
        <v>#REF!</v>
      </c>
      <c r="D116" s="1177">
        <f>1842880.17/104359000</f>
        <v>1.7659043973207868E-2</v>
      </c>
      <c r="E116" s="1240">
        <f>SUM(F116-D116)/F116</f>
        <v>-6.6797886391917281E-3</v>
      </c>
      <c r="F116" s="1177">
        <f>+(2013367.9)/(114775000)</f>
        <v>1.7541868002613807E-2</v>
      </c>
      <c r="G116" s="1240">
        <f>SUM(H116-F116)/H116</f>
        <v>-7.516397829751751E-3</v>
      </c>
      <c r="H116" s="1177">
        <v>1.7410999999999999E-2</v>
      </c>
      <c r="I116" s="1178">
        <f>SUM(J116-H116)/H116</f>
        <v>-1.2155474878995879E-2</v>
      </c>
      <c r="J116" s="1177">
        <f>2189444.26/127298000</f>
        <v>1.7199361026881802E-2</v>
      </c>
      <c r="K116" s="420"/>
      <c r="L116" s="1241">
        <f>SUM(M116-J116)/J116</f>
        <v>-2.8796838525869704E-2</v>
      </c>
      <c r="M116" s="1177">
        <f>2525823/151210000</f>
        <v>1.670407380464255E-2</v>
      </c>
      <c r="N116" s="1179">
        <f>SUM((O116-M116)/M116)</f>
        <v>6.8625546604017693E-2</v>
      </c>
      <c r="O116" s="1176">
        <v>1.7850399999999999E-2</v>
      </c>
      <c r="P116" s="1242">
        <f>SUM(Q119-O119)/O119</f>
        <v>-7.1049071208625469E-2</v>
      </c>
      <c r="Q116" s="1177">
        <f>2514997.45/152662000</f>
        <v>1.6474286004375682E-2</v>
      </c>
      <c r="R116" s="380"/>
      <c r="S116" s="563">
        <f>SUM(S101)</f>
        <v>0</v>
      </c>
      <c r="T116" s="1183">
        <v>1.6803771724463196E-2</v>
      </c>
      <c r="U116" s="1184">
        <f>+V116</f>
        <v>1.6474286004375682E-2</v>
      </c>
      <c r="V116" s="1017">
        <f>+'Resp Stf DR40 suppl att A elec'!$D$113</f>
        <v>1.6474286004375682E-2</v>
      </c>
      <c r="W116" s="1052" t="str">
        <f>+'Resp Stf DR40 suppl att A elec'!E113</f>
        <v>2016/2017 tax rate</v>
      </c>
      <c r="X116" s="565">
        <v>0</v>
      </c>
      <c r="Y116" s="1185">
        <f>SUM(U116*(1+X116))</f>
        <v>1.6474286004375682E-2</v>
      </c>
      <c r="Z116" s="1185">
        <f>SUM(Y116*(1+X116))</f>
        <v>1.6474286004375682E-2</v>
      </c>
      <c r="AA116" s="1185">
        <f>SUM(Z116*(1+X116))</f>
        <v>1.6474286004375682E-2</v>
      </c>
      <c r="AB116" s="1185">
        <f>SUM(AA116*(1+X116))</f>
        <v>1.6474286004375682E-2</v>
      </c>
    </row>
    <row r="117" spans="1:28" s="246" customFormat="1" ht="12.75">
      <c r="A117" s="288">
        <v>105</v>
      </c>
      <c r="B117" s="313" t="s">
        <v>170</v>
      </c>
      <c r="C117" s="1155"/>
      <c r="D117" s="540">
        <v>1</v>
      </c>
      <c r="F117" s="540">
        <v>1</v>
      </c>
      <c r="H117" s="540">
        <v>1</v>
      </c>
      <c r="I117" s="271"/>
      <c r="J117" s="540">
        <v>1</v>
      </c>
      <c r="K117" s="539"/>
      <c r="L117" s="497"/>
      <c r="M117" s="540">
        <v>1</v>
      </c>
      <c r="N117" s="509"/>
      <c r="O117" s="540">
        <v>1</v>
      </c>
      <c r="P117" s="540"/>
      <c r="Q117" s="540">
        <v>1</v>
      </c>
      <c r="R117" s="541"/>
      <c r="S117" s="901"/>
      <c r="T117" s="965">
        <v>1</v>
      </c>
      <c r="U117" s="1243">
        <v>1</v>
      </c>
      <c r="V117" s="1025">
        <f>+'Resp Stf DR40 suppl att A elec'!$D$114</f>
        <v>1</v>
      </c>
      <c r="W117" s="1008"/>
      <c r="X117" s="542"/>
      <c r="Y117" s="1244">
        <v>1</v>
      </c>
      <c r="Z117" s="1244">
        <v>1</v>
      </c>
      <c r="AA117" s="1244">
        <v>1</v>
      </c>
      <c r="AB117" s="1244">
        <v>1</v>
      </c>
    </row>
    <row r="118" spans="1:28" s="246" customFormat="1" ht="12.75">
      <c r="A118" s="288">
        <v>106</v>
      </c>
      <c r="B118" s="313" t="s">
        <v>171</v>
      </c>
      <c r="C118" s="1155"/>
      <c r="D118" s="544"/>
      <c r="F118" s="544"/>
      <c r="H118" s="544"/>
      <c r="I118" s="271"/>
      <c r="J118" s="544"/>
      <c r="K118" s="539"/>
      <c r="L118" s="497"/>
      <c r="M118" s="544"/>
      <c r="N118" s="509"/>
      <c r="O118" s="544"/>
      <c r="P118" s="544"/>
      <c r="Q118" s="544"/>
      <c r="R118" s="545"/>
      <c r="S118" s="902"/>
      <c r="T118" s="966"/>
      <c r="U118" s="1245"/>
      <c r="V118" s="1026"/>
      <c r="W118" s="1009"/>
      <c r="X118" s="546"/>
      <c r="Y118" s="1246"/>
      <c r="Z118" s="1246"/>
      <c r="AA118" s="1246"/>
      <c r="AB118" s="1246"/>
    </row>
    <row r="119" spans="1:28" s="246" customFormat="1" ht="19.5">
      <c r="A119" s="288">
        <v>107</v>
      </c>
      <c r="B119" s="303"/>
      <c r="C119" s="1155"/>
      <c r="D119" s="478">
        <f>SUM(D109:D112)*D116*D117</f>
        <v>1842.8801699999999</v>
      </c>
      <c r="F119" s="478">
        <f>SUM(F109:F113)*F116*F117</f>
        <v>2029.5941279024175</v>
      </c>
      <c r="H119" s="478">
        <f t="shared" ref="H119:J119" si="63">SUM(H109:H113)*H116*H117</f>
        <v>1918.901132</v>
      </c>
      <c r="I119" s="271"/>
      <c r="J119" s="478">
        <f t="shared" si="63"/>
        <v>2189.4442599999998</v>
      </c>
      <c r="K119" s="547"/>
      <c r="L119" s="548"/>
      <c r="M119" s="478">
        <f>SUM(M109*M116)</f>
        <v>2525.8229999999999</v>
      </c>
      <c r="N119" s="509"/>
      <c r="O119" s="482">
        <f t="shared" ref="O119" si="64">SUM(O109:O113)*O116*O117</f>
        <v>2707.3523175999999</v>
      </c>
      <c r="P119" s="482"/>
      <c r="Q119" s="478">
        <f t="shared" ref="Q119:U119" si="65">SUM(Q109:Q113)*Q116*Q117</f>
        <v>2514.9974500000003</v>
      </c>
      <c r="R119" s="549">
        <f>+'Resp to Staff DR 41 supp A'!K20</f>
        <v>2514.9974500000003</v>
      </c>
      <c r="S119" s="893"/>
      <c r="T119" s="957">
        <v>2624.1106000356217</v>
      </c>
      <c r="U119" s="1247">
        <f t="shared" si="65"/>
        <v>2856.6411931587431</v>
      </c>
      <c r="V119" s="933">
        <f>+'Resp Stf DR40 suppl att A elec'!$D$116</f>
        <v>2856.6411931587431</v>
      </c>
      <c r="W119" s="820" t="str">
        <f>+'Resp Stf DR40 suppl att A elec'!E116</f>
        <v>2017/2018 OR electric production estimated property tax</v>
      </c>
      <c r="X119" s="484"/>
      <c r="Y119" s="1248">
        <f t="shared" ref="Y119:AB119" si="66">SUM(Y109:Y113)*Y116*Y117</f>
        <v>2856.6411931587431</v>
      </c>
      <c r="Z119" s="1249">
        <f t="shared" si="66"/>
        <v>2856.6411931587431</v>
      </c>
      <c r="AA119" s="1249">
        <f t="shared" si="66"/>
        <v>2856.6411931587431</v>
      </c>
      <c r="AB119" s="1249">
        <f t="shared" si="66"/>
        <v>2856.6411931587431</v>
      </c>
    </row>
    <row r="120" spans="1:28" s="246" customFormat="1" ht="12.75">
      <c r="A120" s="288">
        <v>108</v>
      </c>
      <c r="B120" s="183"/>
      <c r="C120" s="1155"/>
      <c r="D120" s="154"/>
      <c r="F120" s="154"/>
      <c r="H120" s="154"/>
      <c r="I120" s="271"/>
      <c r="J120" s="154"/>
      <c r="K120" s="154"/>
      <c r="L120" s="465"/>
      <c r="M120" s="465"/>
      <c r="N120" s="509"/>
      <c r="O120" s="154"/>
      <c r="P120" s="154"/>
      <c r="Q120" s="154"/>
      <c r="R120" s="1154"/>
      <c r="S120" s="154"/>
      <c r="T120" s="949"/>
      <c r="U120" s="154"/>
      <c r="V120" s="931"/>
      <c r="W120" s="1042"/>
      <c r="X120" s="1062" t="s">
        <v>283</v>
      </c>
      <c r="Y120" s="468">
        <v>2677</v>
      </c>
      <c r="Z120" s="468">
        <v>2730</v>
      </c>
      <c r="AA120" s="468">
        <v>2785</v>
      </c>
      <c r="AB120" s="468">
        <v>2840</v>
      </c>
    </row>
    <row r="121" spans="1:28" s="246" customFormat="1" ht="12.75">
      <c r="A121" s="288">
        <v>109</v>
      </c>
      <c r="B121" s="529"/>
      <c r="C121" s="1155"/>
      <c r="D121" s="144"/>
      <c r="F121" s="144"/>
      <c r="H121" s="144"/>
      <c r="I121" s="271"/>
      <c r="J121" s="144"/>
      <c r="K121" s="144"/>
      <c r="L121" s="427"/>
      <c r="M121" s="144"/>
      <c r="N121" s="144"/>
      <c r="O121" s="144"/>
      <c r="P121" s="144"/>
      <c r="Q121" s="144"/>
      <c r="R121" s="429"/>
      <c r="S121" s="144"/>
      <c r="T121" s="943"/>
      <c r="U121" s="144"/>
      <c r="V121" s="1014"/>
      <c r="W121" s="1053"/>
      <c r="X121" s="430"/>
      <c r="Y121" s="144"/>
      <c r="Z121" s="144"/>
      <c r="AA121" s="144"/>
      <c r="AB121" s="144"/>
    </row>
    <row r="122" spans="1:28" s="246" customFormat="1" ht="12.75">
      <c r="A122" s="288">
        <v>110</v>
      </c>
      <c r="B122" s="432"/>
      <c r="C122" s="1155"/>
      <c r="D122" s="177"/>
      <c r="F122" s="177"/>
      <c r="H122" s="177"/>
      <c r="I122" s="271"/>
      <c r="J122" s="177"/>
      <c r="K122" s="177"/>
      <c r="L122" s="396"/>
      <c r="M122" s="177"/>
      <c r="N122" s="177"/>
      <c r="O122" s="177"/>
      <c r="P122" s="177"/>
      <c r="Q122" s="177"/>
      <c r="R122" s="397"/>
      <c r="S122" s="880"/>
      <c r="T122" s="942"/>
      <c r="U122" s="1190"/>
      <c r="V122" s="1019"/>
      <c r="W122" s="995"/>
      <c r="X122" s="398"/>
      <c r="Y122" s="177"/>
      <c r="Z122" s="177"/>
      <c r="AA122" s="177"/>
      <c r="AB122" s="177"/>
    </row>
    <row r="123" spans="1:28" s="246" customFormat="1" ht="12.75">
      <c r="A123" s="288">
        <v>111</v>
      </c>
      <c r="B123" s="1191" t="s">
        <v>173</v>
      </c>
      <c r="C123" s="1155"/>
      <c r="D123" s="399" t="s">
        <v>284</v>
      </c>
      <c r="F123" s="399" t="s">
        <v>253</v>
      </c>
      <c r="H123" s="399" t="s">
        <v>254</v>
      </c>
      <c r="I123" s="271"/>
      <c r="J123" s="399" t="s">
        <v>285</v>
      </c>
      <c r="K123" s="307"/>
      <c r="L123" s="308"/>
      <c r="M123" s="399" t="s">
        <v>286</v>
      </c>
      <c r="N123" s="307"/>
      <c r="O123" s="399" t="s">
        <v>287</v>
      </c>
      <c r="P123" s="307"/>
      <c r="Q123" s="307" t="s">
        <v>258</v>
      </c>
      <c r="R123" s="309"/>
      <c r="S123" s="869"/>
      <c r="T123" s="930" t="s">
        <v>104</v>
      </c>
      <c r="U123" s="1163" t="s">
        <v>104</v>
      </c>
      <c r="V123" s="1016"/>
      <c r="W123" s="996"/>
      <c r="X123" s="310"/>
      <c r="Y123" s="307" t="s">
        <v>259</v>
      </c>
      <c r="Z123" s="307" t="s">
        <v>260</v>
      </c>
      <c r="AA123" s="307" t="s">
        <v>261</v>
      </c>
      <c r="AB123" s="307" t="s">
        <v>262</v>
      </c>
    </row>
    <row r="124" spans="1:28" s="246" customFormat="1" ht="19.5">
      <c r="A124" s="288">
        <v>112</v>
      </c>
      <c r="B124" s="313"/>
      <c r="C124" s="1155"/>
      <c r="D124" s="1250"/>
      <c r="F124" s="315"/>
      <c r="H124" s="313"/>
      <c r="I124" s="271"/>
      <c r="J124" s="313"/>
      <c r="K124" s="313"/>
      <c r="L124" s="314"/>
      <c r="M124" s="315"/>
      <c r="N124" s="315"/>
      <c r="O124" s="315"/>
      <c r="P124" s="315"/>
      <c r="Q124" s="315"/>
      <c r="R124" s="255"/>
      <c r="S124" s="881"/>
      <c r="T124" s="943"/>
      <c r="U124" s="144"/>
      <c r="V124" s="1014"/>
      <c r="W124" s="819"/>
      <c r="X124" s="400"/>
      <c r="Y124" s="315"/>
      <c r="Z124" s="315"/>
      <c r="AA124" s="315"/>
      <c r="AB124" s="315"/>
    </row>
    <row r="125" spans="1:28" s="246" customFormat="1" ht="12.75">
      <c r="A125" s="288">
        <v>113</v>
      </c>
      <c r="B125" s="313" t="s">
        <v>131</v>
      </c>
      <c r="C125" s="1155"/>
      <c r="D125" s="313"/>
      <c r="F125" s="315"/>
      <c r="H125" s="313"/>
      <c r="I125" s="271"/>
      <c r="J125" s="313"/>
      <c r="K125" s="313"/>
      <c r="L125" s="314"/>
      <c r="M125" s="315"/>
      <c r="N125" s="315"/>
      <c r="O125" s="551"/>
      <c r="P125" s="551"/>
      <c r="Q125" s="315"/>
      <c r="R125" s="255"/>
      <c r="S125" s="213"/>
      <c r="T125" s="967"/>
      <c r="U125" s="144"/>
      <c r="V125" s="1014"/>
      <c r="W125" s="819"/>
      <c r="X125" s="552"/>
      <c r="Y125" s="315"/>
      <c r="Z125" s="315"/>
      <c r="AA125" s="315"/>
      <c r="AB125" s="315"/>
    </row>
    <row r="126" spans="1:28" s="246" customFormat="1" ht="12.75">
      <c r="A126" s="288">
        <v>114</v>
      </c>
      <c r="B126" s="313" t="s">
        <v>108</v>
      </c>
      <c r="C126" s="1155"/>
      <c r="D126" s="322">
        <v>365000</v>
      </c>
      <c r="F126" s="322">
        <v>370000</v>
      </c>
      <c r="H126" s="322">
        <v>400000</v>
      </c>
      <c r="I126" s="271"/>
      <c r="J126" s="322">
        <v>435000</v>
      </c>
      <c r="K126" s="322"/>
      <c r="L126" s="323"/>
      <c r="M126" s="322">
        <v>515000</v>
      </c>
      <c r="N126" s="324"/>
      <c r="O126" s="325">
        <v>500000</v>
      </c>
      <c r="P126" s="325"/>
      <c r="Q126" s="325">
        <f>SUM(O126:O128)</f>
        <v>500000</v>
      </c>
      <c r="R126" s="326"/>
      <c r="S126" s="870"/>
      <c r="T126" s="931">
        <v>500000</v>
      </c>
      <c r="U126" s="1167">
        <f>+V126</f>
        <v>550000</v>
      </c>
      <c r="V126" s="931">
        <f>+'Resp Stf DR40 suppl att A gas'!$D$123</f>
        <v>550000</v>
      </c>
      <c r="W126" s="818" t="str">
        <f>+'Resp Stf DR40 suppl att A gas'!E123</f>
        <v>Actual per State DOR</v>
      </c>
      <c r="X126" s="327"/>
      <c r="Y126" s="324">
        <f>SUM(U126:U128)</f>
        <v>550000</v>
      </c>
      <c r="Z126" s="324">
        <f t="shared" ref="Z126:AB126" si="67">SUM(Y126:Y128)</f>
        <v>598675.39199999999</v>
      </c>
      <c r="AA126" s="324">
        <f t="shared" si="67"/>
        <v>641261.80700000003</v>
      </c>
      <c r="AB126" s="324">
        <f t="shared" si="67"/>
        <v>690537.70000000007</v>
      </c>
    </row>
    <row r="127" spans="1:28" s="246" customFormat="1" ht="12.75">
      <c r="A127" s="288">
        <v>115</v>
      </c>
      <c r="B127" s="313" t="s">
        <v>109</v>
      </c>
      <c r="C127" s="1155"/>
      <c r="D127" s="322"/>
      <c r="F127" s="324"/>
      <c r="H127" s="322"/>
      <c r="I127" s="271"/>
      <c r="J127" s="322"/>
      <c r="K127" s="322"/>
      <c r="L127" s="323"/>
      <c r="M127" s="324"/>
      <c r="N127" s="324"/>
      <c r="O127" s="325"/>
      <c r="P127" s="325"/>
      <c r="Q127" s="325"/>
      <c r="R127" s="326"/>
      <c r="S127" s="870"/>
      <c r="T127" s="931">
        <v>66239.691000000006</v>
      </c>
      <c r="U127" s="1167">
        <f>+V127</f>
        <v>0</v>
      </c>
      <c r="V127" s="931">
        <f>+'Resp Stf DR40 suppl att A gas'!$D$124</f>
        <v>0</v>
      </c>
      <c r="W127" s="818"/>
      <c r="X127" s="327"/>
      <c r="Y127" s="324">
        <v>75675.392000000007</v>
      </c>
      <c r="Z127" s="324">
        <v>69586.414999999994</v>
      </c>
      <c r="AA127" s="324">
        <v>76275.892999999996</v>
      </c>
      <c r="AB127" s="324">
        <v>68855.188999999998</v>
      </c>
    </row>
    <row r="128" spans="1:28" s="246" customFormat="1" ht="12.75">
      <c r="A128" s="288">
        <v>116</v>
      </c>
      <c r="B128" s="313" t="s">
        <v>174</v>
      </c>
      <c r="C128" s="1155"/>
      <c r="D128" s="322"/>
      <c r="F128" s="324"/>
      <c r="H128" s="322"/>
      <c r="I128" s="271"/>
      <c r="J128" s="322"/>
      <c r="K128" s="322"/>
      <c r="L128" s="323"/>
      <c r="M128" s="324"/>
      <c r="N128" s="324"/>
      <c r="O128" s="325"/>
      <c r="P128" s="325"/>
      <c r="Q128" s="325"/>
      <c r="R128" s="326"/>
      <c r="S128" s="870"/>
      <c r="T128" s="931">
        <v>-27000</v>
      </c>
      <c r="U128" s="1167">
        <f>+V128</f>
        <v>0</v>
      </c>
      <c r="V128" s="931">
        <f>+'Resp Stf DR40 suppl att A gas'!$D$125</f>
        <v>0</v>
      </c>
      <c r="W128" s="818"/>
      <c r="X128" s="327"/>
      <c r="Y128" s="324">
        <v>-27000</v>
      </c>
      <c r="Z128" s="324">
        <v>-27000</v>
      </c>
      <c r="AA128" s="324">
        <v>-27000</v>
      </c>
      <c r="AB128" s="324">
        <v>-27000</v>
      </c>
    </row>
    <row r="129" spans="1:28" s="246" customFormat="1" ht="12.75">
      <c r="A129" s="288">
        <v>117</v>
      </c>
      <c r="B129" s="313" t="s">
        <v>134</v>
      </c>
      <c r="C129" s="1155"/>
      <c r="D129" s="340">
        <v>0.94630499999999995</v>
      </c>
      <c r="F129" s="340">
        <v>0.96772369999999996</v>
      </c>
      <c r="H129" s="340">
        <f>188890268/195011082</f>
        <v>0.96861299400410483</v>
      </c>
      <c r="I129" s="271"/>
      <c r="J129" s="340">
        <v>0.96685500000000002</v>
      </c>
      <c r="K129" s="340"/>
      <c r="L129" s="323"/>
      <c r="M129" s="340">
        <f>234774025/243990907</f>
        <v>0.96222448568544405</v>
      </c>
      <c r="N129" s="342"/>
      <c r="O129" s="343">
        <f>230552.665/238786.689</f>
        <v>0.96551724036845288</v>
      </c>
      <c r="P129" s="343"/>
      <c r="Q129" s="343">
        <f>229911.818/238226.137</f>
        <v>0.96509904788490952</v>
      </c>
      <c r="R129" s="344"/>
      <c r="S129" s="873"/>
      <c r="T129" s="934">
        <v>0.96509904788490952</v>
      </c>
      <c r="U129" s="1196">
        <f>+V129</f>
        <v>0.94241735201025267</v>
      </c>
      <c r="V129" s="934">
        <f>+'Resp Stf DR40 suppl att A gas'!$D$126</f>
        <v>0.94241735201025267</v>
      </c>
      <c r="W129" s="990" t="str">
        <f>+'Resp Stf DR40 suppl att A gas'!$E$126</f>
        <v>Actual per State DOR</v>
      </c>
      <c r="X129" s="345"/>
      <c r="Y129" s="342">
        <f>SUM(U129)</f>
        <v>0.94241735201025267</v>
      </c>
      <c r="Z129" s="342">
        <f t="shared" ref="Z129:AB130" si="68">SUM(Y129)</f>
        <v>0.94241735201025267</v>
      </c>
      <c r="AA129" s="342">
        <f t="shared" si="68"/>
        <v>0.94241735201025267</v>
      </c>
      <c r="AB129" s="342">
        <f t="shared" si="68"/>
        <v>0.94241735201025267</v>
      </c>
    </row>
    <row r="130" spans="1:28" s="246" customFormat="1" ht="12.75">
      <c r="A130" s="288">
        <v>118</v>
      </c>
      <c r="B130" s="313" t="s">
        <v>135</v>
      </c>
      <c r="C130" s="1155"/>
      <c r="D130" s="347">
        <v>0.471997</v>
      </c>
      <c r="F130" s="347">
        <v>0.47163899999999997</v>
      </c>
      <c r="H130" s="347">
        <f>195011082/400000000</f>
        <v>0.48752770499999998</v>
      </c>
      <c r="I130" s="271"/>
      <c r="J130" s="347">
        <v>0.47452299999999997</v>
      </c>
      <c r="K130" s="347"/>
      <c r="L130" s="334"/>
      <c r="M130" s="347">
        <f>243990907/515000000</f>
        <v>0.4737687514563107</v>
      </c>
      <c r="N130" s="350"/>
      <c r="O130" s="351">
        <f>238786.689/500000</f>
        <v>0.47757337800000005</v>
      </c>
      <c r="P130" s="351"/>
      <c r="Q130" s="351">
        <f>238226.137/500000</f>
        <v>0.47645227399999995</v>
      </c>
      <c r="R130" s="352"/>
      <c r="S130" s="874"/>
      <c r="T130" s="935">
        <v>0.47645227399999995</v>
      </c>
      <c r="U130" s="1198">
        <f>+V130</f>
        <v>0.47489500000000001</v>
      </c>
      <c r="V130" s="935">
        <f>+'Resp Stf DR40 suppl att A gas'!$D$127</f>
        <v>0.47489500000000001</v>
      </c>
      <c r="W130" s="998" t="str">
        <f>+'Resp Stf DR40 suppl att A gas'!E127</f>
        <v>Actual per State DOR</v>
      </c>
      <c r="X130" s="353"/>
      <c r="Y130" s="350">
        <f>SUM(U130)</f>
        <v>0.47489500000000001</v>
      </c>
      <c r="Z130" s="350">
        <f t="shared" si="68"/>
        <v>0.47489500000000001</v>
      </c>
      <c r="AA130" s="350">
        <f t="shared" si="68"/>
        <v>0.47489500000000001</v>
      </c>
      <c r="AB130" s="350">
        <f t="shared" si="68"/>
        <v>0.47489500000000001</v>
      </c>
    </row>
    <row r="131" spans="1:28" s="246" customFormat="1" ht="12.75">
      <c r="A131" s="288">
        <v>119</v>
      </c>
      <c r="B131" s="313" t="s">
        <v>116</v>
      </c>
      <c r="C131" s="1155"/>
      <c r="D131" s="322">
        <f>SUM(D126+D127+D128)*D129*D130</f>
        <v>163028.38919602497</v>
      </c>
      <c r="F131" s="322">
        <f>SUM(F126+F127+F128)*F129*F130</f>
        <v>168874.00811339097</v>
      </c>
      <c r="H131" s="322">
        <f t="shared" ref="H131:J131" si="69">SUM(H126+H127+H128)*H129*H130</f>
        <v>188890.26799999998</v>
      </c>
      <c r="I131" s="271"/>
      <c r="J131" s="322">
        <f t="shared" si="69"/>
        <v>199575.79679677499</v>
      </c>
      <c r="K131" s="322"/>
      <c r="L131" s="323"/>
      <c r="M131" s="322">
        <f t="shared" ref="M131:O131" si="70">SUM(M126+M127+M128)*M129*M130</f>
        <v>234774.02500000002</v>
      </c>
      <c r="N131" s="324"/>
      <c r="O131" s="325">
        <f t="shared" si="70"/>
        <v>230552.66500000001</v>
      </c>
      <c r="P131" s="325"/>
      <c r="Q131" s="325">
        <f t="shared" ref="Q131:AB131" si="71">SUM(Q126+Q127+Q128)*Q129*Q130</f>
        <v>229911.818</v>
      </c>
      <c r="R131" s="326"/>
      <c r="S131" s="870"/>
      <c r="T131" s="931">
        <v>247955.15539113645</v>
      </c>
      <c r="U131" s="1167">
        <f t="shared" si="71"/>
        <v>246152.10861059991</v>
      </c>
      <c r="V131" s="1027">
        <f t="shared" si="71"/>
        <v>246152.10861059991</v>
      </c>
      <c r="W131" s="818"/>
      <c r="X131" s="327"/>
      <c r="Y131" s="324">
        <f t="shared" si="71"/>
        <v>267936.74566195905</v>
      </c>
      <c r="Z131" s="324">
        <f t="shared" si="71"/>
        <v>286996.26538998832</v>
      </c>
      <c r="AA131" s="324">
        <f t="shared" si="71"/>
        <v>309049.65623657068</v>
      </c>
      <c r="AB131" s="324">
        <f t="shared" si="71"/>
        <v>327781.91628865286</v>
      </c>
    </row>
    <row r="132" spans="1:28" s="246" customFormat="1" ht="12.75">
      <c r="A132" s="288">
        <v>120</v>
      </c>
      <c r="B132" s="313" t="s">
        <v>146</v>
      </c>
      <c r="C132" s="1155"/>
      <c r="D132" s="322"/>
      <c r="F132" s="1251"/>
      <c r="H132" s="322"/>
      <c r="I132" s="271"/>
      <c r="J132" s="322"/>
      <c r="K132" s="322"/>
      <c r="L132" s="323"/>
      <c r="M132" s="322"/>
      <c r="N132" s="324"/>
      <c r="O132" s="325"/>
      <c r="P132" s="325"/>
      <c r="Q132" s="325"/>
      <c r="R132" s="326"/>
      <c r="S132" s="870"/>
      <c r="T132" s="931"/>
      <c r="U132" s="1167"/>
      <c r="V132" s="931"/>
      <c r="W132" s="818"/>
      <c r="X132" s="327"/>
      <c r="Y132" s="324"/>
      <c r="Z132" s="324"/>
      <c r="AA132" s="324"/>
      <c r="AB132" s="324"/>
    </row>
    <row r="133" spans="1:28" s="246" customFormat="1" ht="12.75">
      <c r="A133" s="288">
        <v>121</v>
      </c>
      <c r="B133" s="313" t="s">
        <v>118</v>
      </c>
      <c r="C133" s="1155"/>
      <c r="D133" s="322">
        <f>SUM(D131)</f>
        <v>163028.38919602497</v>
      </c>
      <c r="F133" s="322">
        <f>SUM(F131)</f>
        <v>168874.00811339097</v>
      </c>
      <c r="H133" s="322">
        <f t="shared" ref="H133:J133" si="72">SUM(H131)</f>
        <v>188890.26799999998</v>
      </c>
      <c r="I133" s="271"/>
      <c r="J133" s="322">
        <f t="shared" si="72"/>
        <v>199575.79679677499</v>
      </c>
      <c r="K133" s="322"/>
      <c r="L133" s="323"/>
      <c r="M133" s="322">
        <f t="shared" ref="M133:AB133" si="73">SUM(M131)</f>
        <v>234774.02500000002</v>
      </c>
      <c r="N133" s="324"/>
      <c r="O133" s="325">
        <f t="shared" si="73"/>
        <v>230552.66500000001</v>
      </c>
      <c r="P133" s="325"/>
      <c r="Q133" s="325">
        <f t="shared" si="73"/>
        <v>229911.818</v>
      </c>
      <c r="R133" s="326"/>
      <c r="S133" s="870"/>
      <c r="T133" s="931">
        <v>247955.15539113645</v>
      </c>
      <c r="U133" s="1167">
        <f t="shared" si="73"/>
        <v>246152.10861059991</v>
      </c>
      <c r="V133" s="931">
        <f>+'Resp Stf DR40 suppl att A gas'!$D$130</f>
        <v>246152.10861059991</v>
      </c>
      <c r="W133" s="991" t="str">
        <f>+'Resp Stf DR40 suppl att A gas'!$E$130</f>
        <v>Actual per State DOR</v>
      </c>
      <c r="X133" s="327"/>
      <c r="Y133" s="324">
        <f t="shared" si="73"/>
        <v>267936.74566195905</v>
      </c>
      <c r="Z133" s="324">
        <f t="shared" si="73"/>
        <v>286996.26538998832</v>
      </c>
      <c r="AA133" s="324">
        <f t="shared" si="73"/>
        <v>309049.65623657068</v>
      </c>
      <c r="AB133" s="324">
        <f t="shared" si="73"/>
        <v>327781.91628865286</v>
      </c>
    </row>
    <row r="134" spans="1:28" s="246" customFormat="1" ht="12.75">
      <c r="A134" s="288">
        <v>122</v>
      </c>
      <c r="B134" s="313" t="s">
        <v>120</v>
      </c>
      <c r="C134" s="1155"/>
      <c r="D134" s="322"/>
      <c r="F134" s="322"/>
      <c r="H134" s="322"/>
      <c r="I134" s="271"/>
      <c r="J134" s="322"/>
      <c r="K134" s="322"/>
      <c r="L134" s="323"/>
      <c r="M134" s="322"/>
      <c r="N134" s="324"/>
      <c r="O134" s="325"/>
      <c r="P134" s="325"/>
      <c r="Q134" s="325">
        <v>213560.91500000001</v>
      </c>
      <c r="R134" s="326"/>
      <c r="S134" s="870"/>
      <c r="T134" s="931"/>
      <c r="U134" s="1167"/>
      <c r="V134" s="931"/>
      <c r="W134" s="818"/>
      <c r="X134" s="327"/>
      <c r="Y134" s="324"/>
      <c r="Z134" s="324"/>
      <c r="AA134" s="324"/>
      <c r="AB134" s="324"/>
    </row>
    <row r="135" spans="1:28" s="246" customFormat="1" ht="12.75">
      <c r="A135" s="288">
        <v>123</v>
      </c>
      <c r="B135" s="313" t="s">
        <v>136</v>
      </c>
      <c r="C135" s="1252"/>
      <c r="D135" s="1253">
        <f>148020.988/163028</f>
        <v>0.90794825428760706</v>
      </c>
      <c r="F135" s="1253">
        <f>SUM(F136/F133)</f>
        <v>0.90322653973832534</v>
      </c>
      <c r="H135" s="1253">
        <f>173803920/188890000</f>
        <v>0.92013298745301497</v>
      </c>
      <c r="I135" s="271"/>
      <c r="J135" s="1253">
        <f>189501.264/199576</f>
        <v>0.94951930091794601</v>
      </c>
      <c r="K135" s="556"/>
      <c r="L135" s="334"/>
      <c r="M135" s="1253">
        <f>223370.065/M133</f>
        <v>0.95142580189609982</v>
      </c>
      <c r="N135" s="557"/>
      <c r="O135" s="1254">
        <f>216345.522/O133</f>
        <v>0.93837788428947455</v>
      </c>
      <c r="P135" s="559"/>
      <c r="Q135" s="1171">
        <v>0.92888185069286</v>
      </c>
      <c r="R135" s="560"/>
      <c r="S135" s="903"/>
      <c r="T135" s="968">
        <v>0.93837788428947455</v>
      </c>
      <c r="U135" s="1255">
        <f>+V135</f>
        <v>0.92888185069286</v>
      </c>
      <c r="V135" s="1028">
        <f>+'Resp Stf DR40 suppl att A gas'!$D$132</f>
        <v>0.92888185069286</v>
      </c>
      <c r="W135" s="1010" t="str">
        <f>+'Resp Stf DR40 suppl att A gas'!$E$132</f>
        <v xml:space="preserve"> 2016 ratio</v>
      </c>
      <c r="X135" s="561"/>
      <c r="Y135" s="557">
        <f>SUM(U135)</f>
        <v>0.92888185069286</v>
      </c>
      <c r="Z135" s="557">
        <f t="shared" ref="Z135:AB135" si="74">SUM(Y135)</f>
        <v>0.92888185069286</v>
      </c>
      <c r="AA135" s="557">
        <f t="shared" si="74"/>
        <v>0.92888185069286</v>
      </c>
      <c r="AB135" s="557">
        <f t="shared" si="74"/>
        <v>0.92888185069286</v>
      </c>
    </row>
    <row r="136" spans="1:28" s="246" customFormat="1" ht="12.75">
      <c r="A136" s="288">
        <v>124</v>
      </c>
      <c r="B136" s="313" t="s">
        <v>137</v>
      </c>
      <c r="C136" s="1155"/>
      <c r="D136" s="322">
        <f>SUM(D133*D135)</f>
        <v>148021.34136985146</v>
      </c>
      <c r="F136" s="322">
        <v>152531.486</v>
      </c>
      <c r="H136" s="322">
        <f t="shared" ref="H136:J136" si="75">SUM(H133*H135)</f>
        <v>173804.16659564062</v>
      </c>
      <c r="I136" s="271"/>
      <c r="J136" s="322">
        <f t="shared" si="75"/>
        <v>189501.07105461584</v>
      </c>
      <c r="K136" s="322"/>
      <c r="L136" s="323"/>
      <c r="M136" s="322">
        <f t="shared" ref="M136:AB136" si="76">SUM(M133*M135)</f>
        <v>223370.065</v>
      </c>
      <c r="N136" s="324"/>
      <c r="O136" s="325">
        <f t="shared" si="76"/>
        <v>216345.522</v>
      </c>
      <c r="P136" s="563"/>
      <c r="Q136" s="1173">
        <f t="shared" si="76"/>
        <v>213560.91500000001</v>
      </c>
      <c r="R136" s="564"/>
      <c r="S136" s="563"/>
      <c r="T136" s="969">
        <v>232675.63411460252</v>
      </c>
      <c r="U136" s="1167">
        <f t="shared" si="76"/>
        <v>228646.22619816393</v>
      </c>
      <c r="V136" s="931">
        <f>+V135*V131</f>
        <v>228646.22619816393</v>
      </c>
      <c r="W136" s="1042"/>
      <c r="X136" s="565"/>
      <c r="Y136" s="324">
        <f t="shared" si="76"/>
        <v>248881.58017910266</v>
      </c>
      <c r="Z136" s="324">
        <f t="shared" si="76"/>
        <v>266585.62213739153</v>
      </c>
      <c r="AA136" s="324">
        <f t="shared" si="76"/>
        <v>287070.61664101796</v>
      </c>
      <c r="AB136" s="324">
        <f t="shared" si="76"/>
        <v>304470.67302585597</v>
      </c>
    </row>
    <row r="137" spans="1:28" s="246" customFormat="1" ht="12.75">
      <c r="A137" s="288">
        <v>125</v>
      </c>
      <c r="B137" s="313" t="s">
        <v>138</v>
      </c>
      <c r="C137" s="1212" t="e">
        <f>SUM(D137-#REF!)/D137</f>
        <v>#REF!</v>
      </c>
      <c r="D137" s="1176">
        <v>1.2448000000000001E-2</v>
      </c>
      <c r="E137" s="1240">
        <f>SUM(F137-D137)/F137</f>
        <v>2.1152787607139924E-2</v>
      </c>
      <c r="F137" s="1177">
        <v>1.2716999999999999E-2</v>
      </c>
      <c r="G137" s="1240">
        <f>SUM(H137-F137)/H137</f>
        <v>1.2578616352201311E-2</v>
      </c>
      <c r="H137" s="1256">
        <v>1.2879E-2</v>
      </c>
      <c r="I137" s="1257">
        <f>SUM((J137-H137)/H137)</f>
        <v>1.5232524017182573E-3</v>
      </c>
      <c r="J137" s="1177">
        <f>SUM(J139/J136)</f>
        <v>1.2898617967681729E-2</v>
      </c>
      <c r="K137" s="375"/>
      <c r="L137" s="1203">
        <f>SUM(M137-J137)/J137</f>
        <v>2.0893237059376537E-2</v>
      </c>
      <c r="M137" s="1180">
        <f>SUM(M139/M136)</f>
        <v>1.3168111850618837E-2</v>
      </c>
      <c r="N137" s="1241">
        <f>SUM(O137-M137)/M137</f>
        <v>-2.4622895488339361E-2</v>
      </c>
      <c r="O137" s="1180">
        <f>SUM(O139/O136)</f>
        <v>1.2843874808742287E-2</v>
      </c>
      <c r="P137" s="563"/>
      <c r="Q137" s="1185">
        <v>1.2750910147827052E-2</v>
      </c>
      <c r="R137" s="380"/>
      <c r="S137" s="563">
        <f>SUM(S116)</f>
        <v>0</v>
      </c>
      <c r="T137" s="1183">
        <v>1.3362767351015475E-2</v>
      </c>
      <c r="U137" s="1184">
        <f>+V137</f>
        <v>1.2750910147827052E-2</v>
      </c>
      <c r="V137" s="1017">
        <f>+'Resp Stf DR40 suppl att A gas'!$D$134</f>
        <v>1.2750910147827052E-2</v>
      </c>
      <c r="W137" s="1043" t="str">
        <f>+'Resp Stf DR40 suppl att A gas'!E134</f>
        <v>2016 weighted average rate</v>
      </c>
      <c r="X137" s="565">
        <v>0</v>
      </c>
      <c r="Y137" s="1185">
        <f>SUM(U137*(1+X137))</f>
        <v>1.2750910147827052E-2</v>
      </c>
      <c r="Z137" s="1185">
        <f>SUM(Y137*(1+X137))</f>
        <v>1.2750910147827052E-2</v>
      </c>
      <c r="AA137" s="1185">
        <f>SUM(Z137*(1+X137))</f>
        <v>1.2750910147827052E-2</v>
      </c>
      <c r="AB137" s="1185">
        <f>SUM(AA137*(1+X137))</f>
        <v>1.2750910147827052E-2</v>
      </c>
    </row>
    <row r="138" spans="1:28" s="246" customFormat="1" ht="12.75">
      <c r="A138" s="288">
        <v>126</v>
      </c>
      <c r="B138" s="313"/>
      <c r="C138" s="1155"/>
      <c r="D138" s="1186"/>
      <c r="F138" s="423"/>
      <c r="H138" s="1186"/>
      <c r="I138" s="271"/>
      <c r="J138" s="1186"/>
      <c r="K138" s="383"/>
      <c r="L138" s="323"/>
      <c r="M138" s="1258"/>
      <c r="N138" s="383"/>
      <c r="O138" s="423"/>
      <c r="P138" s="383"/>
      <c r="Q138" s="383"/>
      <c r="R138" s="384"/>
      <c r="S138" s="878"/>
      <c r="T138" s="939"/>
      <c r="U138" s="1187"/>
      <c r="V138" s="1014"/>
      <c r="W138" s="819"/>
      <c r="X138" s="385"/>
      <c r="Y138" s="383"/>
      <c r="Z138" s="383"/>
      <c r="AA138" s="383"/>
      <c r="AB138" s="383"/>
    </row>
    <row r="139" spans="1:28" s="246" customFormat="1" ht="20.25" thickBot="1">
      <c r="A139" s="288">
        <v>127</v>
      </c>
      <c r="B139" s="303" t="s">
        <v>128</v>
      </c>
      <c r="C139" s="1155"/>
      <c r="D139" s="424">
        <v>1843</v>
      </c>
      <c r="F139" s="424">
        <f>SUM(F136*F137)</f>
        <v>1939.7429074619999</v>
      </c>
      <c r="H139" s="424">
        <f t="shared" ref="H139" si="77">SUM(H136*H137)</f>
        <v>2238.4238615852555</v>
      </c>
      <c r="I139" s="271"/>
      <c r="J139" s="424">
        <v>2444.3019199999999</v>
      </c>
      <c r="K139" s="387"/>
      <c r="L139" s="388"/>
      <c r="M139" s="1259">
        <v>2941.3620000000001</v>
      </c>
      <c r="N139" s="387"/>
      <c r="O139" s="424">
        <v>2778.7148000000002</v>
      </c>
      <c r="P139" s="387"/>
      <c r="Q139" s="387">
        <f t="shared" ref="Q139:AB139" si="78">SUM(Q136*Q137)</f>
        <v>2723.0960382527305</v>
      </c>
      <c r="R139" s="389">
        <f>+'Resp to Staff DR 41 supp A'!K26</f>
        <v>2723.0960382527305</v>
      </c>
      <c r="S139" s="879"/>
      <c r="T139" s="940">
        <v>3109.190366923433</v>
      </c>
      <c r="U139" s="1188">
        <f t="shared" si="78"/>
        <v>2915.4474858925278</v>
      </c>
      <c r="V139" s="1018">
        <f>+'Resp Stf DR40 suppl att A gas'!$D$136</f>
        <v>2915.4474858925278</v>
      </c>
      <c r="W139" s="994" t="str">
        <f>+'Resp Stf DR40 suppl att A gas'!E136</f>
        <v>2017 WA estimated property tax</v>
      </c>
      <c r="X139" s="390"/>
      <c r="Y139" s="1189">
        <f t="shared" si="78"/>
        <v>3173.4666663129519</v>
      </c>
      <c r="Z139" s="387">
        <f t="shared" si="78"/>
        <v>3399.2093145764534</v>
      </c>
      <c r="AA139" s="387">
        <f t="shared" si="78"/>
        <v>3660.4116388709253</v>
      </c>
      <c r="AB139" s="387">
        <f t="shared" si="78"/>
        <v>3882.278194401119</v>
      </c>
    </row>
    <row r="140" spans="1:28" s="246" customFormat="1" ht="13.5" thickTop="1">
      <c r="A140" s="288">
        <v>128</v>
      </c>
      <c r="B140" s="432"/>
      <c r="C140" s="1155"/>
      <c r="D140" s="177"/>
      <c r="F140" s="432"/>
      <c r="H140" s="177"/>
      <c r="I140" s="271"/>
      <c r="J140" s="177"/>
      <c r="K140" s="177"/>
      <c r="L140" s="396"/>
      <c r="M140" s="396"/>
      <c r="N140" s="177"/>
      <c r="O140" s="396"/>
      <c r="P140" s="177"/>
      <c r="Q140" s="177"/>
      <c r="R140" s="397"/>
      <c r="S140" s="880"/>
      <c r="T140" s="942">
        <v>3109</v>
      </c>
      <c r="U140" s="986">
        <v>3109</v>
      </c>
      <c r="V140" s="1019"/>
      <c r="W140" s="995"/>
      <c r="X140" s="1061" t="s">
        <v>283</v>
      </c>
      <c r="Y140" s="398">
        <v>3458</v>
      </c>
      <c r="Z140" s="398">
        <v>3782</v>
      </c>
      <c r="AA140" s="398">
        <v>4159</v>
      </c>
      <c r="AB140" s="398">
        <v>4504</v>
      </c>
    </row>
    <row r="141" spans="1:28" s="246" customFormat="1" ht="12.75">
      <c r="A141" s="288">
        <v>129</v>
      </c>
      <c r="B141" s="1191" t="s">
        <v>176</v>
      </c>
      <c r="C141" s="1155"/>
      <c r="D141" s="399" t="s">
        <v>265</v>
      </c>
      <c r="F141" s="399" t="s">
        <v>253</v>
      </c>
      <c r="H141" s="399" t="s">
        <v>254</v>
      </c>
      <c r="I141" s="271"/>
      <c r="J141" s="399" t="s">
        <v>266</v>
      </c>
      <c r="K141" s="399"/>
      <c r="L141" s="308"/>
      <c r="M141" s="399" t="s">
        <v>267</v>
      </c>
      <c r="N141" s="307"/>
      <c r="O141" s="399" t="s">
        <v>268</v>
      </c>
      <c r="P141" s="307"/>
      <c r="Q141" s="399" t="s">
        <v>269</v>
      </c>
      <c r="R141" s="309"/>
      <c r="S141" s="869"/>
      <c r="T141" s="930" t="s">
        <v>104</v>
      </c>
      <c r="U141" s="1163" t="s">
        <v>104</v>
      </c>
      <c r="V141" s="1016"/>
      <c r="W141" s="996"/>
      <c r="X141" s="310"/>
      <c r="Y141" s="307" t="s">
        <v>259</v>
      </c>
      <c r="Z141" s="307" t="s">
        <v>260</v>
      </c>
      <c r="AA141" s="307" t="s">
        <v>261</v>
      </c>
      <c r="AB141" s="307" t="s">
        <v>262</v>
      </c>
    </row>
    <row r="142" spans="1:28" s="246" customFormat="1" ht="19.5">
      <c r="A142" s="288">
        <v>130</v>
      </c>
      <c r="B142" s="470"/>
      <c r="C142" s="1155"/>
      <c r="D142" s="1250"/>
      <c r="F142" s="315"/>
      <c r="H142" s="313"/>
      <c r="I142" s="271"/>
      <c r="J142" s="313"/>
      <c r="K142" s="313"/>
      <c r="L142" s="314"/>
      <c r="M142" s="315"/>
      <c r="N142" s="315"/>
      <c r="O142" s="315"/>
      <c r="P142" s="315"/>
      <c r="Q142" s="315"/>
      <c r="R142" s="255"/>
      <c r="S142" s="881"/>
      <c r="T142" s="943"/>
      <c r="U142" s="144"/>
      <c r="V142" s="1014"/>
      <c r="W142" s="819"/>
      <c r="X142" s="400"/>
      <c r="Y142" s="315"/>
      <c r="Z142" s="315"/>
      <c r="AA142" s="315"/>
      <c r="AB142" s="315"/>
    </row>
    <row r="143" spans="1:28" s="246" customFormat="1" ht="12.75">
      <c r="A143" s="288">
        <v>131</v>
      </c>
      <c r="B143" s="313" t="s">
        <v>131</v>
      </c>
      <c r="C143" s="1155"/>
      <c r="D143" s="313"/>
      <c r="F143" s="315"/>
      <c r="H143" s="313"/>
      <c r="I143" s="271"/>
      <c r="J143" s="313"/>
      <c r="K143" s="313"/>
      <c r="L143" s="314"/>
      <c r="M143" s="315"/>
      <c r="N143" s="315"/>
      <c r="O143" s="315"/>
      <c r="P143" s="315"/>
      <c r="Q143" s="315"/>
      <c r="R143" s="255"/>
      <c r="S143" s="881"/>
      <c r="T143" s="943"/>
      <c r="U143" s="144"/>
      <c r="V143" s="1014"/>
      <c r="W143" s="819"/>
      <c r="X143" s="400"/>
      <c r="Y143" s="315"/>
      <c r="Z143" s="315"/>
      <c r="AA143" s="315"/>
      <c r="AB143" s="315"/>
    </row>
    <row r="144" spans="1:28" s="246" customFormat="1" ht="12.75">
      <c r="A144" s="288">
        <v>132</v>
      </c>
      <c r="B144" s="313" t="s">
        <v>108</v>
      </c>
      <c r="C144" s="1155"/>
      <c r="D144" s="322">
        <v>364953</v>
      </c>
      <c r="F144" s="322">
        <v>369405.65100000001</v>
      </c>
      <c r="H144" s="322">
        <v>424400.88699999999</v>
      </c>
      <c r="I144" s="271"/>
      <c r="J144" s="322">
        <v>451330.43099999998</v>
      </c>
      <c r="K144" s="322"/>
      <c r="L144" s="323"/>
      <c r="M144" s="322">
        <v>489356.26899999997</v>
      </c>
      <c r="N144" s="324"/>
      <c r="O144" s="325">
        <v>510289.36700000003</v>
      </c>
      <c r="P144" s="325"/>
      <c r="Q144" s="325">
        <v>558892.69999999995</v>
      </c>
      <c r="R144" s="326"/>
      <c r="S144" s="870"/>
      <c r="T144" s="931">
        <v>558892.69999999995</v>
      </c>
      <c r="U144" s="1167">
        <f>+V144</f>
        <v>631442.69799999997</v>
      </c>
      <c r="V144" s="931">
        <f>+'Resp Stf DR40 suppl att A gas'!$D$141</f>
        <v>631442.69799999997</v>
      </c>
      <c r="W144" s="818" t="str">
        <f>+'Resp Stf DR40 suppl att A gas'!E141</f>
        <v>Actual per State DOR</v>
      </c>
      <c r="X144" s="327"/>
      <c r="Y144" s="324">
        <f>SUM(U144:U146)</f>
        <v>631442.69799999997</v>
      </c>
      <c r="Z144" s="324">
        <f t="shared" ref="Z144:AB144" si="79">SUM(Y144:Y146)</f>
        <v>680118.09</v>
      </c>
      <c r="AA144" s="324">
        <f t="shared" si="79"/>
        <v>722704.505</v>
      </c>
      <c r="AB144" s="324">
        <f t="shared" si="79"/>
        <v>771980.39800000004</v>
      </c>
    </row>
    <row r="145" spans="1:28" s="246" customFormat="1" ht="12.75">
      <c r="A145" s="288">
        <v>133</v>
      </c>
      <c r="B145" s="313" t="s">
        <v>109</v>
      </c>
      <c r="C145" s="1155"/>
      <c r="D145" s="322"/>
      <c r="F145" s="324"/>
      <c r="H145" s="322"/>
      <c r="I145" s="271"/>
      <c r="J145" s="322"/>
      <c r="K145" s="322"/>
      <c r="L145" s="323"/>
      <c r="M145" s="324"/>
      <c r="N145" s="324"/>
      <c r="O145" s="325"/>
      <c r="P145" s="325"/>
      <c r="Q145" s="325"/>
      <c r="R145" s="326"/>
      <c r="S145" s="870"/>
      <c r="T145" s="931">
        <v>66239.691000000006</v>
      </c>
      <c r="U145" s="1167">
        <f>SUM(U127)</f>
        <v>0</v>
      </c>
      <c r="V145" s="931"/>
      <c r="W145" s="818"/>
      <c r="X145" s="327"/>
      <c r="Y145" s="324">
        <f t="shared" ref="Y145:AB146" si="80">SUM(Y127)</f>
        <v>75675.392000000007</v>
      </c>
      <c r="Z145" s="324">
        <f t="shared" si="80"/>
        <v>69586.414999999994</v>
      </c>
      <c r="AA145" s="324">
        <f t="shared" si="80"/>
        <v>76275.892999999996</v>
      </c>
      <c r="AB145" s="324">
        <f t="shared" si="80"/>
        <v>68855.188999999998</v>
      </c>
    </row>
    <row r="146" spans="1:28" s="246" customFormat="1" ht="12.75">
      <c r="A146" s="288">
        <v>134</v>
      </c>
      <c r="B146" s="313" t="s">
        <v>132</v>
      </c>
      <c r="C146" s="1155"/>
      <c r="D146" s="322"/>
      <c r="F146" s="324"/>
      <c r="H146" s="322"/>
      <c r="I146" s="271"/>
      <c r="J146" s="322"/>
      <c r="K146" s="322"/>
      <c r="L146" s="323"/>
      <c r="M146" s="324"/>
      <c r="N146" s="324"/>
      <c r="O146" s="325"/>
      <c r="P146" s="325"/>
      <c r="Q146" s="325"/>
      <c r="R146" s="326"/>
      <c r="S146" s="870"/>
      <c r="T146" s="931">
        <v>-27000</v>
      </c>
      <c r="U146" s="1167">
        <f>SUM(U128)</f>
        <v>0</v>
      </c>
      <c r="V146" s="931"/>
      <c r="W146" s="818"/>
      <c r="X146" s="327"/>
      <c r="Y146" s="324">
        <f t="shared" si="80"/>
        <v>-27000</v>
      </c>
      <c r="Z146" s="324">
        <f t="shared" si="80"/>
        <v>-27000</v>
      </c>
      <c r="AA146" s="324">
        <f t="shared" si="80"/>
        <v>-27000</v>
      </c>
      <c r="AB146" s="324">
        <f t="shared" si="80"/>
        <v>-27000</v>
      </c>
    </row>
    <row r="147" spans="1:28" s="246" customFormat="1" ht="12.75">
      <c r="A147" s="288">
        <v>135</v>
      </c>
      <c r="B147" s="313" t="s">
        <v>134</v>
      </c>
      <c r="C147" s="1155"/>
      <c r="D147" s="340">
        <v>1</v>
      </c>
      <c r="F147" s="340">
        <v>1</v>
      </c>
      <c r="H147" s="340">
        <v>1</v>
      </c>
      <c r="I147" s="271"/>
      <c r="J147" s="340">
        <v>1</v>
      </c>
      <c r="K147" s="340"/>
      <c r="L147" s="323"/>
      <c r="M147" s="340">
        <v>1</v>
      </c>
      <c r="N147" s="342"/>
      <c r="O147" s="343">
        <v>1</v>
      </c>
      <c r="P147" s="343"/>
      <c r="Q147" s="343">
        <v>1</v>
      </c>
      <c r="R147" s="344"/>
      <c r="S147" s="873"/>
      <c r="T147" s="934">
        <v>1</v>
      </c>
      <c r="U147" s="1196">
        <v>1</v>
      </c>
      <c r="V147" s="934">
        <f>+'Resp Stf DR40 suppl att A gas'!$D$144</f>
        <v>1</v>
      </c>
      <c r="W147" s="1001" t="str">
        <f>+'Resp Stf DR40 suppl att A gas'!E144</f>
        <v>Actual per State DOR</v>
      </c>
      <c r="X147" s="345"/>
      <c r="Y147" s="342">
        <v>1</v>
      </c>
      <c r="Z147" s="342">
        <v>1</v>
      </c>
      <c r="AA147" s="342">
        <v>1</v>
      </c>
      <c r="AB147" s="342">
        <v>1</v>
      </c>
    </row>
    <row r="148" spans="1:28" s="246" customFormat="1" ht="12.75">
      <c r="A148" s="288">
        <v>136</v>
      </c>
      <c r="B148" s="313" t="s">
        <v>135</v>
      </c>
      <c r="C148" s="1155"/>
      <c r="D148" s="347">
        <v>0.19417899999999999</v>
      </c>
      <c r="F148" s="347">
        <v>0.18853565999999999</v>
      </c>
      <c r="H148" s="347">
        <f>79213073/424400887</f>
        <v>0.18664681301667496</v>
      </c>
      <c r="I148" s="271"/>
      <c r="J148" s="347">
        <f>85831.54/451330.431</f>
        <v>0.1901745021044238</v>
      </c>
      <c r="K148" s="347"/>
      <c r="L148" s="334"/>
      <c r="M148" s="347">
        <v>0.18943473999999999</v>
      </c>
      <c r="N148" s="350"/>
      <c r="O148" s="351">
        <f>96666.593/510289.367</f>
        <v>0.18943485647820679</v>
      </c>
      <c r="P148" s="351"/>
      <c r="Q148" s="351">
        <f>103095.598/558892.7</f>
        <v>0.18446402681588078</v>
      </c>
      <c r="R148" s="352"/>
      <c r="S148" s="874"/>
      <c r="T148" s="935">
        <v>0.18446402681588078</v>
      </c>
      <c r="U148" s="1198">
        <f>+V148</f>
        <v>0.18379474000000001</v>
      </c>
      <c r="V148" s="935">
        <f>+'Resp Stf DR40 suppl att A gas'!$D$145</f>
        <v>0.18379474000000001</v>
      </c>
      <c r="W148" s="998" t="str">
        <f>+'Resp Stf DR40 suppl att A gas'!E145</f>
        <v>Actual per State DOR</v>
      </c>
      <c r="X148" s="353"/>
      <c r="Y148" s="350">
        <f>SUM(U148)</f>
        <v>0.18379474000000001</v>
      </c>
      <c r="Z148" s="350">
        <f t="shared" ref="Z148:AB148" si="81">SUM(Y148)</f>
        <v>0.18379474000000001</v>
      </c>
      <c r="AA148" s="350">
        <f t="shared" si="81"/>
        <v>0.18379474000000001</v>
      </c>
      <c r="AB148" s="350">
        <f t="shared" si="81"/>
        <v>0.18379474000000001</v>
      </c>
    </row>
    <row r="149" spans="1:28" s="246" customFormat="1" ht="12.75">
      <c r="A149" s="288">
        <v>137</v>
      </c>
      <c r="B149" s="313" t="s">
        <v>116</v>
      </c>
      <c r="C149" s="1155"/>
      <c r="D149" s="365">
        <f>SUM((D144+D145+D146)*D147*D148)</f>
        <v>70866.208587000001</v>
      </c>
      <c r="F149" s="365">
        <f>SUM((F144+F145+F146)*F147*F148)</f>
        <v>69646.138219014654</v>
      </c>
      <c r="H149" s="365">
        <f t="shared" ref="H149:J149" si="82">SUM((H144+H145+H146)*H147*H148)</f>
        <v>79213.073000000004</v>
      </c>
      <c r="I149" s="271"/>
      <c r="J149" s="365">
        <f t="shared" si="82"/>
        <v>85831.54</v>
      </c>
      <c r="K149" s="365"/>
      <c r="L149" s="366"/>
      <c r="M149" s="365">
        <f t="shared" ref="M149:AB149" si="83">SUM((M144+M145+M146)*M147*M148)</f>
        <v>92701.07758538505</v>
      </c>
      <c r="N149" s="367"/>
      <c r="O149" s="474">
        <f t="shared" si="83"/>
        <v>96666.592999999993</v>
      </c>
      <c r="P149" s="474"/>
      <c r="Q149" s="474">
        <f t="shared" si="83"/>
        <v>103095.598</v>
      </c>
      <c r="R149" s="368"/>
      <c r="S149" s="891"/>
      <c r="T149" s="955">
        <v>110333.90941287088</v>
      </c>
      <c r="U149" s="1174">
        <f t="shared" si="83"/>
        <v>116055.84650380853</v>
      </c>
      <c r="V149" s="955">
        <f>+(V144+V145+V146)*V147*V148</f>
        <v>116055.84650380853</v>
      </c>
      <c r="W149" s="993"/>
      <c r="X149" s="370"/>
      <c r="Y149" s="367">
        <f t="shared" si="83"/>
        <v>125002.1275208466</v>
      </c>
      <c r="Z149" s="367">
        <f t="shared" si="83"/>
        <v>132829.2865933037</v>
      </c>
      <c r="AA149" s="367">
        <f t="shared" si="83"/>
        <v>141885.93653550654</v>
      </c>
      <c r="AB149" s="367">
        <f t="shared" si="83"/>
        <v>149578.70011541239</v>
      </c>
    </row>
    <row r="150" spans="1:28" s="246" customFormat="1" ht="12.75">
      <c r="A150" s="288">
        <v>138</v>
      </c>
      <c r="B150" s="313" t="s">
        <v>146</v>
      </c>
      <c r="C150" s="1155"/>
      <c r="D150" s="409">
        <v>-902</v>
      </c>
      <c r="F150" s="409">
        <v>-925.8</v>
      </c>
      <c r="H150" s="409"/>
      <c r="I150" s="271"/>
      <c r="J150" s="409"/>
      <c r="K150" s="409"/>
      <c r="L150" s="334"/>
      <c r="M150" s="409"/>
      <c r="N150" s="333"/>
      <c r="O150" s="335"/>
      <c r="P150" s="335"/>
      <c r="Q150" s="335"/>
      <c r="R150" s="336"/>
      <c r="S150" s="872"/>
      <c r="T150" s="933"/>
      <c r="U150" s="1195">
        <f>+V150</f>
        <v>-100</v>
      </c>
      <c r="V150" s="933">
        <f>+'Resp Stf DR40 suppl att A gas'!$D$147</f>
        <v>-100</v>
      </c>
      <c r="W150" s="997" t="str">
        <f>+'Resp Stf DR40 suppl att A gas'!E147</f>
        <v>Actual per State DOR</v>
      </c>
      <c r="X150" s="337"/>
      <c r="Y150" s="333"/>
      <c r="Z150" s="333"/>
      <c r="AA150" s="333"/>
      <c r="AB150" s="333"/>
    </row>
    <row r="151" spans="1:28" s="246" customFormat="1" ht="12.75">
      <c r="A151" s="288">
        <v>139</v>
      </c>
      <c r="B151" s="313" t="s">
        <v>118</v>
      </c>
      <c r="C151" s="1155"/>
      <c r="D151" s="322">
        <f>D149+D150</f>
        <v>69964.208587000001</v>
      </c>
      <c r="F151" s="322">
        <f>SUM(F149:F150)</f>
        <v>68720.338219014651</v>
      </c>
      <c r="H151" s="322">
        <f t="shared" ref="H151:J151" si="84">SUM(H149)</f>
        <v>79213.073000000004</v>
      </c>
      <c r="I151" s="271"/>
      <c r="J151" s="322">
        <f t="shared" si="84"/>
        <v>85831.54</v>
      </c>
      <c r="K151" s="322"/>
      <c r="L151" s="323"/>
      <c r="M151" s="322">
        <f t="shared" ref="M151:AB151" si="85">SUM(M149)</f>
        <v>92701.07758538505</v>
      </c>
      <c r="N151" s="324"/>
      <c r="O151" s="325">
        <f t="shared" si="85"/>
        <v>96666.592999999993</v>
      </c>
      <c r="P151" s="325"/>
      <c r="Q151" s="325">
        <f t="shared" si="85"/>
        <v>103095.598</v>
      </c>
      <c r="R151" s="326"/>
      <c r="S151" s="870"/>
      <c r="T151" s="931">
        <v>110333.90941287088</v>
      </c>
      <c r="U151" s="1167">
        <f>SUM(U149:U150)</f>
        <v>115955.84650380853</v>
      </c>
      <c r="V151" s="933">
        <f>+'Resp Stf DR40 suppl att A gas'!$D$148</f>
        <v>115955.84650380853</v>
      </c>
      <c r="W151" s="818"/>
      <c r="X151" s="327"/>
      <c r="Y151" s="324">
        <f t="shared" si="85"/>
        <v>125002.1275208466</v>
      </c>
      <c r="Z151" s="324">
        <f t="shared" si="85"/>
        <v>132829.2865933037</v>
      </c>
      <c r="AA151" s="324">
        <f t="shared" si="85"/>
        <v>141885.93653550654</v>
      </c>
      <c r="AB151" s="324">
        <f t="shared" si="85"/>
        <v>149578.70011541239</v>
      </c>
    </row>
    <row r="152" spans="1:28" s="246" customFormat="1" ht="12.75">
      <c r="A152" s="288">
        <v>140</v>
      </c>
      <c r="B152" s="313" t="s">
        <v>136</v>
      </c>
      <c r="C152" s="1155"/>
      <c r="D152" s="411">
        <v>1</v>
      </c>
      <c r="F152" s="411">
        <v>1</v>
      </c>
      <c r="H152" s="411">
        <f>77458/79213</f>
        <v>0.97784454571850576</v>
      </c>
      <c r="I152" s="271"/>
      <c r="J152" s="411">
        <v>1</v>
      </c>
      <c r="K152" s="411"/>
      <c r="L152" s="334"/>
      <c r="M152" s="411">
        <v>1</v>
      </c>
      <c r="N152" s="412"/>
      <c r="O152" s="413">
        <v>1</v>
      </c>
      <c r="P152" s="413"/>
      <c r="Q152" s="413">
        <v>1</v>
      </c>
      <c r="R152" s="414"/>
      <c r="S152" s="882"/>
      <c r="T152" s="944">
        <v>1</v>
      </c>
      <c r="U152" s="1199">
        <v>1</v>
      </c>
      <c r="V152" s="944">
        <f>+'Resp Stf DR40 suppl att A gas'!$D$149</f>
        <v>1</v>
      </c>
      <c r="W152" s="999"/>
      <c r="X152" s="415"/>
      <c r="Y152" s="412">
        <v>1</v>
      </c>
      <c r="Z152" s="412">
        <v>1</v>
      </c>
      <c r="AA152" s="412">
        <v>1</v>
      </c>
      <c r="AB152" s="412">
        <v>1</v>
      </c>
    </row>
    <row r="153" spans="1:28" s="246" customFormat="1" ht="12.75">
      <c r="A153" s="288">
        <v>141</v>
      </c>
      <c r="B153" s="313" t="s">
        <v>137</v>
      </c>
      <c r="C153" s="1155"/>
      <c r="D153" s="322">
        <f>SUM(D151*D152)</f>
        <v>69964.208587000001</v>
      </c>
      <c r="F153" s="322">
        <f>SUM(F151*F152)</f>
        <v>68720.338219014651</v>
      </c>
      <c r="H153" s="322">
        <f t="shared" ref="H153:J153" si="86">SUM(H151*H152)</f>
        <v>77458.071382651833</v>
      </c>
      <c r="I153" s="271"/>
      <c r="J153" s="322">
        <f t="shared" si="86"/>
        <v>85831.54</v>
      </c>
      <c r="K153" s="322"/>
      <c r="L153" s="323"/>
      <c r="M153" s="322">
        <f t="shared" ref="M153:AB153" si="87">SUM(M151*M152)</f>
        <v>92701.07758538505</v>
      </c>
      <c r="N153" s="324"/>
      <c r="O153" s="325">
        <f t="shared" si="87"/>
        <v>96666.592999999993</v>
      </c>
      <c r="P153" s="325"/>
      <c r="Q153" s="325">
        <f t="shared" si="87"/>
        <v>103095.598</v>
      </c>
      <c r="R153" s="326"/>
      <c r="S153" s="870"/>
      <c r="T153" s="931">
        <v>110333.90941287088</v>
      </c>
      <c r="U153" s="1167">
        <f t="shared" si="87"/>
        <v>115955.84650380853</v>
      </c>
      <c r="V153" s="931">
        <f>+'Resp Stf DR40 suppl att A gas'!D150</f>
        <v>115955.84650380853</v>
      </c>
      <c r="W153" s="991" t="str">
        <f>+'Resp Stf DR40 suppl att A gas'!$E$151</f>
        <v>2016 weighted average rate</v>
      </c>
      <c r="X153" s="327"/>
      <c r="Y153" s="324">
        <f t="shared" si="87"/>
        <v>125002.1275208466</v>
      </c>
      <c r="Z153" s="324">
        <f t="shared" si="87"/>
        <v>132829.2865933037</v>
      </c>
      <c r="AA153" s="324">
        <f t="shared" si="87"/>
        <v>141885.93653550654</v>
      </c>
      <c r="AB153" s="324">
        <f t="shared" si="87"/>
        <v>149578.70011541239</v>
      </c>
    </row>
    <row r="154" spans="1:28" s="246" customFormat="1" ht="12.75">
      <c r="A154" s="288">
        <v>142</v>
      </c>
      <c r="B154" s="313" t="s">
        <v>138</v>
      </c>
      <c r="C154" s="1212" t="e">
        <f>SUM(D154-#REF!)/D154</f>
        <v>#REF!</v>
      </c>
      <c r="D154" s="1177">
        <f>802707.06/69964158</f>
        <v>1.1473118278647762E-2</v>
      </c>
      <c r="E154" s="1201">
        <f>SUM(F154-D154)/F154</f>
        <v>7.9026924355978134E-2</v>
      </c>
      <c r="F154" s="1177">
        <f>856090.19/68720290</f>
        <v>1.2457604442588935E-2</v>
      </c>
      <c r="G154" s="1201">
        <f>SUM(H154-F154)/H154</f>
        <v>0.13269904482785214</v>
      </c>
      <c r="H154" s="1177">
        <f>1112585/77458394</f>
        <v>1.4363646630731848E-2</v>
      </c>
      <c r="I154" s="1202">
        <f>SUM(J154-H154)/H154</f>
        <v>1.8103872228034199E-2</v>
      </c>
      <c r="J154" s="1177">
        <f>1255173.34/85831540</f>
        <v>1.4623684254063251E-2</v>
      </c>
      <c r="K154" s="420"/>
      <c r="L154" s="1241">
        <f>SUM(M154-J154)/J154</f>
        <v>-1.3949345977307324E-2</v>
      </c>
      <c r="M154" s="1177">
        <f>1336.72/92701</f>
        <v>1.4419693422940421E-2</v>
      </c>
      <c r="N154" s="1179">
        <f>SUM((O154-M154)/M154)</f>
        <v>2.0801192302491757E-3</v>
      </c>
      <c r="O154" s="1180">
        <f>1396.808/96667</f>
        <v>1.4449688104523777E-2</v>
      </c>
      <c r="P154" s="563">
        <f>SUM(Q156-O156)/O156</f>
        <v>5.2438044034974686E-2</v>
      </c>
      <c r="Q154" s="1177">
        <f>1470.04769/103095.598</f>
        <v>1.4259073311743148E-2</v>
      </c>
      <c r="R154" s="380"/>
      <c r="S154" s="563">
        <f>SUM(S137)</f>
        <v>0</v>
      </c>
      <c r="T154" s="1183">
        <v>1.4544254777978011E-2</v>
      </c>
      <c r="U154" s="1184">
        <f>+V154</f>
        <v>1.4259073311743148E-2</v>
      </c>
      <c r="V154" s="1029">
        <f>+'Resp Stf DR40 suppl att A gas'!D151</f>
        <v>1.4259073311743148E-2</v>
      </c>
      <c r="W154" s="1054" t="str">
        <f>+'Resp Stf DR40 suppl att A gas'!E151</f>
        <v>2016 weighted average rate</v>
      </c>
      <c r="X154" s="565"/>
      <c r="Y154" s="1185">
        <f>SUM(U154*(1+X154))</f>
        <v>1.4259073311743148E-2</v>
      </c>
      <c r="Z154" s="1185">
        <f>SUM(Y154*(1+X154))</f>
        <v>1.4259073311743148E-2</v>
      </c>
      <c r="AA154" s="1185">
        <f>SUM(Z154*(1+X154))</f>
        <v>1.4259073311743148E-2</v>
      </c>
      <c r="AB154" s="1185">
        <f>SUM(AA154*(1+X154))</f>
        <v>1.4259073311743148E-2</v>
      </c>
    </row>
    <row r="155" spans="1:28" s="246" customFormat="1" ht="12.75">
      <c r="A155" s="288">
        <v>143</v>
      </c>
      <c r="B155" s="313"/>
      <c r="C155" s="1155"/>
      <c r="D155" s="459"/>
      <c r="F155" s="365"/>
      <c r="H155" s="365"/>
      <c r="I155" s="271"/>
      <c r="J155" s="365"/>
      <c r="K155" s="365"/>
      <c r="L155" s="366"/>
      <c r="M155" s="459"/>
      <c r="N155" s="367"/>
      <c r="O155" s="365"/>
      <c r="P155" s="367"/>
      <c r="Q155" s="365"/>
      <c r="R155" s="368"/>
      <c r="S155" s="877"/>
      <c r="T155" s="938"/>
      <c r="U155" s="1174"/>
      <c r="V155" s="955"/>
      <c r="W155" s="993"/>
      <c r="X155" s="369"/>
      <c r="Y155" s="367"/>
      <c r="Z155" s="367"/>
      <c r="AA155" s="367"/>
      <c r="AB155" s="367"/>
    </row>
    <row r="156" spans="1:28" s="246" customFormat="1" ht="19.5">
      <c r="A156" s="288">
        <v>144</v>
      </c>
      <c r="B156" s="303" t="s">
        <v>128</v>
      </c>
      <c r="C156" s="1155"/>
      <c r="D156" s="478">
        <f>SUM(D153*D154)</f>
        <v>802.70764039063442</v>
      </c>
      <c r="F156" s="478">
        <f>SUM(F153*F154)</f>
        <v>856.09079069341112</v>
      </c>
      <c r="H156" s="478">
        <f t="shared" ref="H156:J156" si="88">SUM(H153*H154)</f>
        <v>1112.580366038414</v>
      </c>
      <c r="I156" s="271"/>
      <c r="J156" s="478">
        <f t="shared" si="88"/>
        <v>1255.1733400000001</v>
      </c>
      <c r="K156" s="478"/>
      <c r="L156" s="479"/>
      <c r="M156" s="478">
        <f t="shared" ref="M156:AB156" si="89">SUM(M153*M154)</f>
        <v>1336.7211187574665</v>
      </c>
      <c r="N156" s="480"/>
      <c r="O156" s="630">
        <f t="shared" si="89"/>
        <v>1396.8021189769413</v>
      </c>
      <c r="P156" s="480"/>
      <c r="Q156" s="630">
        <f t="shared" si="89"/>
        <v>1470.0476900000001</v>
      </c>
      <c r="R156" s="483">
        <f>+'Resp to Staff DR 41 supp A'!K27</f>
        <v>1470.0476900000001</v>
      </c>
      <c r="S156" s="904"/>
      <c r="T156" s="970">
        <v>1604.7244891511405</v>
      </c>
      <c r="U156" s="1260">
        <f t="shared" si="89"/>
        <v>1653.4229162230411</v>
      </c>
      <c r="V156" s="933">
        <f>+'Resp Stf DR40 suppl att A gas'!$D$153</f>
        <v>1653.4229162230411</v>
      </c>
      <c r="W156" s="997" t="str">
        <f>+'Resp Stf DR40 suppl att A gas'!E153</f>
        <v>2017 ID estimated property tax</v>
      </c>
      <c r="X156" s="572"/>
      <c r="Y156" s="1218">
        <f t="shared" si="89"/>
        <v>1782.4145004436173</v>
      </c>
      <c r="Z156" s="632">
        <f t="shared" si="89"/>
        <v>1894.0225354804586</v>
      </c>
      <c r="AA156" s="632">
        <f t="shared" si="89"/>
        <v>2023.1619709651234</v>
      </c>
      <c r="AB156" s="480">
        <f t="shared" si="89"/>
        <v>2132.8536508209086</v>
      </c>
    </row>
    <row r="157" spans="1:28" s="246" customFormat="1" ht="12.75">
      <c r="A157" s="288">
        <v>145</v>
      </c>
      <c r="B157" s="529"/>
      <c r="C157" s="1155"/>
      <c r="D157" s="144"/>
      <c r="I157" s="271"/>
      <c r="J157" s="430"/>
      <c r="K157" s="430"/>
      <c r="L157" s="427"/>
      <c r="M157" s="427"/>
      <c r="N157" s="144"/>
      <c r="O157" s="144"/>
      <c r="P157" s="144"/>
      <c r="Q157" s="144"/>
      <c r="R157" s="429"/>
      <c r="S157" s="144"/>
      <c r="T157" s="943"/>
      <c r="U157" s="144"/>
      <c r="V157" s="1014"/>
      <c r="W157" s="1055"/>
      <c r="X157" s="1060" t="s">
        <v>283</v>
      </c>
      <c r="Y157" s="430">
        <v>1770</v>
      </c>
      <c r="Z157" s="430">
        <v>1924</v>
      </c>
      <c r="AA157" s="430">
        <v>2103</v>
      </c>
      <c r="AB157" s="430">
        <v>2267</v>
      </c>
    </row>
    <row r="158" spans="1:28" s="246" customFormat="1" ht="12.75">
      <c r="A158" s="288">
        <v>146</v>
      </c>
      <c r="B158" s="1219" t="s">
        <v>177</v>
      </c>
      <c r="C158" s="1155"/>
      <c r="D158" s="486" t="s">
        <v>272</v>
      </c>
      <c r="F158" s="486" t="s">
        <v>273</v>
      </c>
      <c r="H158" s="486" t="s">
        <v>274</v>
      </c>
      <c r="I158" s="271"/>
      <c r="J158" s="486" t="s">
        <v>275</v>
      </c>
      <c r="K158" s="486"/>
      <c r="L158" s="487"/>
      <c r="M158" s="486" t="s">
        <v>276</v>
      </c>
      <c r="N158" s="488"/>
      <c r="O158" s="486" t="s">
        <v>277</v>
      </c>
      <c r="P158" s="486"/>
      <c r="Q158" s="486" t="s">
        <v>278</v>
      </c>
      <c r="R158" s="573"/>
      <c r="S158" s="905"/>
      <c r="T158" s="971" t="s">
        <v>156</v>
      </c>
      <c r="U158" s="1220" t="s">
        <v>156</v>
      </c>
      <c r="V158" s="1024"/>
      <c r="W158" s="1011"/>
      <c r="X158" s="574"/>
      <c r="Y158" s="488" t="s">
        <v>279</v>
      </c>
      <c r="Z158" s="488" t="s">
        <v>280</v>
      </c>
      <c r="AA158" s="488" t="s">
        <v>281</v>
      </c>
      <c r="AB158" s="488" t="s">
        <v>282</v>
      </c>
    </row>
    <row r="159" spans="1:28" s="246" customFormat="1" ht="12.75">
      <c r="A159" s="288">
        <v>147</v>
      </c>
      <c r="B159" s="313"/>
      <c r="C159" s="1155"/>
      <c r="D159" s="313"/>
      <c r="F159" s="313"/>
      <c r="H159" s="313"/>
      <c r="I159" s="271"/>
      <c r="J159" s="313"/>
      <c r="K159" s="313"/>
      <c r="L159" s="314"/>
      <c r="M159" s="313"/>
      <c r="N159" s="315"/>
      <c r="O159" s="315"/>
      <c r="P159" s="315"/>
      <c r="Q159" s="315"/>
      <c r="R159" s="255"/>
      <c r="S159" s="881"/>
      <c r="T159" s="943"/>
      <c r="U159" s="144"/>
      <c r="V159" s="1014"/>
      <c r="W159" s="819"/>
      <c r="X159" s="400"/>
      <c r="Y159" s="315"/>
      <c r="Z159" s="315"/>
      <c r="AA159" s="315"/>
      <c r="AB159" s="315"/>
    </row>
    <row r="160" spans="1:28" s="246" customFormat="1" ht="12.75">
      <c r="A160" s="288">
        <v>148</v>
      </c>
      <c r="B160" s="313" t="s">
        <v>288</v>
      </c>
      <c r="C160" s="1155"/>
      <c r="D160" s="313"/>
      <c r="F160" s="313"/>
      <c r="H160" s="313"/>
      <c r="I160" s="271"/>
      <c r="J160" s="313"/>
      <c r="K160" s="313"/>
      <c r="L160" s="314"/>
      <c r="M160" s="313"/>
      <c r="N160" s="315"/>
      <c r="O160" s="315"/>
      <c r="P160" s="315"/>
      <c r="Q160" s="315"/>
      <c r="R160" s="255"/>
      <c r="S160" s="881"/>
      <c r="T160" s="943"/>
      <c r="U160" s="144"/>
      <c r="V160" s="1014"/>
      <c r="W160" s="819"/>
      <c r="X160" s="400"/>
      <c r="Y160" s="315"/>
      <c r="Z160" s="315"/>
      <c r="AA160" s="315"/>
      <c r="AB160" s="315"/>
    </row>
    <row r="161" spans="1:28" s="246" customFormat="1" ht="12.75">
      <c r="A161" s="288">
        <v>149</v>
      </c>
      <c r="B161" s="313" t="s">
        <v>178</v>
      </c>
      <c r="C161" s="1155"/>
      <c r="D161" s="322">
        <v>130466</v>
      </c>
      <c r="F161" s="322">
        <v>142400</v>
      </c>
      <c r="H161" s="322">
        <v>160600</v>
      </c>
      <c r="I161" s="271"/>
      <c r="J161" s="322">
        <v>168937</v>
      </c>
      <c r="K161" s="322"/>
      <c r="L161" s="323"/>
      <c r="M161" s="322">
        <v>184700</v>
      </c>
      <c r="N161" s="324"/>
      <c r="O161" s="325">
        <v>209500</v>
      </c>
      <c r="P161" s="325"/>
      <c r="Q161" s="325">
        <v>243796.47</v>
      </c>
      <c r="R161" s="326"/>
      <c r="S161" s="870"/>
      <c r="T161" s="931">
        <v>243796.47</v>
      </c>
      <c r="U161" s="1167">
        <f>+V161</f>
        <v>282100</v>
      </c>
      <c r="V161" s="931">
        <f>+'Resp Stf DR40 suppl att A gas'!$D$158</f>
        <v>282100</v>
      </c>
      <c r="W161" s="818" t="str">
        <f>+'Resp Stf DR40 suppl att A gas'!E158</f>
        <v>Actual per State DOR</v>
      </c>
      <c r="X161" s="327"/>
      <c r="Y161" s="324">
        <f>SUM(U161:U163)</f>
        <v>282100</v>
      </c>
      <c r="Z161" s="324">
        <f t="shared" ref="Z161:AB161" si="90">SUM(Y161:Y163)</f>
        <v>299248.386</v>
      </c>
      <c r="AA161" s="324">
        <f t="shared" si="90"/>
        <v>312842.82500000001</v>
      </c>
      <c r="AB161" s="324">
        <f t="shared" si="90"/>
        <v>326857.217</v>
      </c>
    </row>
    <row r="162" spans="1:28" s="246" customFormat="1" ht="12.75">
      <c r="A162" s="288">
        <v>150</v>
      </c>
      <c r="B162" s="313" t="s">
        <v>179</v>
      </c>
      <c r="C162" s="1155"/>
      <c r="D162" s="322"/>
      <c r="F162" s="322"/>
      <c r="H162" s="322"/>
      <c r="I162" s="271"/>
      <c r="J162" s="322"/>
      <c r="K162" s="322"/>
      <c r="L162" s="323"/>
      <c r="M162" s="322"/>
      <c r="N162" s="324"/>
      <c r="O162" s="325"/>
      <c r="P162" s="325"/>
      <c r="Q162" s="325"/>
      <c r="R162" s="326"/>
      <c r="S162" s="870"/>
      <c r="T162" s="931">
        <v>13603.628000000001</v>
      </c>
      <c r="U162" s="1167">
        <f>+V162</f>
        <v>0</v>
      </c>
      <c r="V162" s="931"/>
      <c r="W162" s="818"/>
      <c r="X162" s="327"/>
      <c r="Y162" s="324">
        <v>17148.385999999999</v>
      </c>
      <c r="Z162" s="324">
        <v>13594.439</v>
      </c>
      <c r="AA162" s="324">
        <v>14014.392</v>
      </c>
      <c r="AB162" s="324">
        <v>20213.057000000001</v>
      </c>
    </row>
    <row r="163" spans="1:28" s="246" customFormat="1" ht="12.75">
      <c r="A163" s="288">
        <v>151</v>
      </c>
      <c r="B163" s="313" t="s">
        <v>132</v>
      </c>
      <c r="C163" s="1155"/>
      <c r="D163" s="322"/>
      <c r="F163" s="322"/>
      <c r="H163" s="322"/>
      <c r="I163" s="271"/>
      <c r="J163" s="322"/>
      <c r="K163" s="322"/>
      <c r="L163" s="323"/>
      <c r="M163" s="322"/>
      <c r="N163" s="324"/>
      <c r="O163" s="325"/>
      <c r="P163" s="325"/>
      <c r="Q163" s="325"/>
      <c r="R163" s="326"/>
      <c r="S163" s="870"/>
      <c r="T163" s="931">
        <v>0</v>
      </c>
      <c r="U163" s="1167">
        <v>0</v>
      </c>
      <c r="V163" s="931"/>
      <c r="W163" s="818"/>
      <c r="X163" s="327"/>
      <c r="Y163" s="324">
        <v>0</v>
      </c>
      <c r="Z163" s="324">
        <v>0</v>
      </c>
      <c r="AA163" s="324">
        <v>0</v>
      </c>
      <c r="AB163" s="324">
        <v>0</v>
      </c>
    </row>
    <row r="164" spans="1:28" s="246" customFormat="1" ht="12.75">
      <c r="A164" s="288">
        <v>152</v>
      </c>
      <c r="B164" s="313" t="s">
        <v>134</v>
      </c>
      <c r="C164" s="1155"/>
      <c r="D164" s="340">
        <v>1</v>
      </c>
      <c r="F164" s="340">
        <v>1</v>
      </c>
      <c r="H164" s="340">
        <v>1</v>
      </c>
      <c r="I164" s="271"/>
      <c r="J164" s="340">
        <v>1</v>
      </c>
      <c r="K164" s="340"/>
      <c r="L164" s="323"/>
      <c r="M164" s="340">
        <v>1</v>
      </c>
      <c r="N164" s="342"/>
      <c r="O164" s="343">
        <v>1</v>
      </c>
      <c r="P164" s="343"/>
      <c r="Q164" s="343">
        <v>1</v>
      </c>
      <c r="R164" s="344"/>
      <c r="S164" s="873"/>
      <c r="T164" s="934">
        <v>1</v>
      </c>
      <c r="U164" s="1196">
        <v>1</v>
      </c>
      <c r="V164" s="934">
        <f>+'Resp Stf DR40 suppl att A gas'!$D$161</f>
        <v>1</v>
      </c>
      <c r="W164" s="1001"/>
      <c r="X164" s="345"/>
      <c r="Y164" s="342">
        <v>1</v>
      </c>
      <c r="Z164" s="342">
        <v>1</v>
      </c>
      <c r="AA164" s="342">
        <v>1</v>
      </c>
      <c r="AB164" s="342">
        <v>1</v>
      </c>
    </row>
    <row r="165" spans="1:28" s="246" customFormat="1" ht="12.75">
      <c r="A165" s="288">
        <v>153</v>
      </c>
      <c r="B165" s="313" t="s">
        <v>135</v>
      </c>
      <c r="C165" s="1155"/>
      <c r="D165" s="347">
        <v>1</v>
      </c>
      <c r="F165" s="347">
        <v>1</v>
      </c>
      <c r="H165" s="347">
        <v>1</v>
      </c>
      <c r="I165" s="271"/>
      <c r="J165" s="347">
        <v>1</v>
      </c>
      <c r="K165" s="347"/>
      <c r="L165" s="334"/>
      <c r="M165" s="347">
        <v>1</v>
      </c>
      <c r="N165" s="350"/>
      <c r="O165" s="351">
        <v>1</v>
      </c>
      <c r="P165" s="351"/>
      <c r="Q165" s="351">
        <v>1</v>
      </c>
      <c r="R165" s="352"/>
      <c r="S165" s="874"/>
      <c r="T165" s="935">
        <v>1</v>
      </c>
      <c r="U165" s="1198">
        <v>1</v>
      </c>
      <c r="V165" s="935">
        <f>+'Resp Stf DR40 suppl att A gas'!$D$162</f>
        <v>1</v>
      </c>
      <c r="W165" s="998"/>
      <c r="X165" s="353"/>
      <c r="Y165" s="350">
        <v>1</v>
      </c>
      <c r="Z165" s="350">
        <v>1</v>
      </c>
      <c r="AA165" s="350">
        <v>1</v>
      </c>
      <c r="AB165" s="350">
        <v>1</v>
      </c>
    </row>
    <row r="166" spans="1:28" s="246" customFormat="1" ht="12.75">
      <c r="A166" s="288">
        <v>154</v>
      </c>
      <c r="B166" s="313" t="s">
        <v>180</v>
      </c>
      <c r="C166" s="1155"/>
      <c r="D166" s="365">
        <f>SUM((D161+D162+D163)*D164*D165)</f>
        <v>130466</v>
      </c>
      <c r="F166" s="365">
        <f>SUM((F161+F162+F163)*F164*F165)</f>
        <v>142400</v>
      </c>
      <c r="H166" s="365">
        <f t="shared" ref="H166:J166" si="91">SUM((H161+H162+H163)*H164*H165)</f>
        <v>160600</v>
      </c>
      <c r="I166" s="271"/>
      <c r="J166" s="365">
        <f t="shared" si="91"/>
        <v>168937</v>
      </c>
      <c r="K166" s="365"/>
      <c r="L166" s="366"/>
      <c r="M166" s="365">
        <f t="shared" ref="M166:AB166" si="92">SUM((M161+M162+M163)*M164*M165)</f>
        <v>184700</v>
      </c>
      <c r="N166" s="367"/>
      <c r="O166" s="474">
        <f t="shared" si="92"/>
        <v>209500</v>
      </c>
      <c r="P166" s="474"/>
      <c r="Q166" s="474">
        <f t="shared" ref="Q166" si="93">SUM((Q161+Q162+Q163)*Q164*Q165)</f>
        <v>243796.47</v>
      </c>
      <c r="R166" s="368"/>
      <c r="S166" s="891"/>
      <c r="T166" s="955">
        <v>257400.098</v>
      </c>
      <c r="U166" s="1174">
        <f t="shared" si="92"/>
        <v>282100</v>
      </c>
      <c r="V166" s="955">
        <f>+'Resp Stf DR40 suppl att A gas'!$D$163</f>
        <v>282100</v>
      </c>
      <c r="W166" s="993"/>
      <c r="X166" s="370"/>
      <c r="Y166" s="367">
        <f t="shared" si="92"/>
        <v>299248.386</v>
      </c>
      <c r="Z166" s="367">
        <f t="shared" si="92"/>
        <v>312842.82500000001</v>
      </c>
      <c r="AA166" s="367">
        <f t="shared" si="92"/>
        <v>326857.217</v>
      </c>
      <c r="AB166" s="367">
        <f t="shared" si="92"/>
        <v>347070.27399999998</v>
      </c>
    </row>
    <row r="167" spans="1:28" s="246" customFormat="1" ht="12.75">
      <c r="A167" s="288">
        <v>155</v>
      </c>
      <c r="B167" s="313" t="s">
        <v>181</v>
      </c>
      <c r="C167" s="1155"/>
      <c r="D167" s="322"/>
      <c r="F167" s="322"/>
      <c r="H167" s="322"/>
      <c r="I167" s="271"/>
      <c r="J167" s="322"/>
      <c r="K167" s="322"/>
      <c r="L167" s="323"/>
      <c r="M167" s="322"/>
      <c r="N167" s="324"/>
      <c r="O167" s="325"/>
      <c r="P167" s="325"/>
      <c r="Q167" s="325"/>
      <c r="R167" s="326"/>
      <c r="S167" s="870"/>
      <c r="T167" s="931"/>
      <c r="U167" s="1167"/>
      <c r="V167" s="931"/>
      <c r="W167" s="818"/>
      <c r="X167" s="327"/>
      <c r="Y167" s="324"/>
      <c r="Z167" s="324"/>
      <c r="AA167" s="324"/>
      <c r="AB167" s="324"/>
    </row>
    <row r="168" spans="1:28" s="246" customFormat="1" ht="12.75">
      <c r="A168" s="288">
        <v>156</v>
      </c>
      <c r="B168" s="313"/>
      <c r="C168" s="1155"/>
      <c r="D168" s="577">
        <v>1</v>
      </c>
      <c r="F168" s="577">
        <v>1</v>
      </c>
      <c r="H168" s="577">
        <v>1</v>
      </c>
      <c r="I168" s="271"/>
      <c r="J168" s="577">
        <v>1</v>
      </c>
      <c r="K168" s="577"/>
      <c r="L168" s="323"/>
      <c r="M168" s="577">
        <v>1</v>
      </c>
      <c r="N168" s="578"/>
      <c r="O168" s="579">
        <v>1</v>
      </c>
      <c r="P168" s="579"/>
      <c r="Q168" s="579">
        <v>1</v>
      </c>
      <c r="R168" s="580"/>
      <c r="S168" s="906"/>
      <c r="T168" s="972">
        <v>1</v>
      </c>
      <c r="U168" s="1261">
        <v>1</v>
      </c>
      <c r="V168" s="972">
        <f>+'Resp Stf DR40 suppl att A gas'!$D$165</f>
        <v>1</v>
      </c>
      <c r="W168" s="1012"/>
      <c r="X168" s="581"/>
      <c r="Y168" s="578">
        <v>1</v>
      </c>
      <c r="Z168" s="578">
        <v>1</v>
      </c>
      <c r="AA168" s="578">
        <v>1</v>
      </c>
      <c r="AB168" s="578">
        <v>1</v>
      </c>
    </row>
    <row r="169" spans="1:28" s="246" customFormat="1" ht="12.75">
      <c r="A169" s="288">
        <v>157</v>
      </c>
      <c r="B169" s="313" t="s">
        <v>118</v>
      </c>
      <c r="C169" s="1155"/>
      <c r="D169" s="322">
        <f>SUM(D166*D168)</f>
        <v>130466</v>
      </c>
      <c r="F169" s="322">
        <f>SUM(F166*F168)</f>
        <v>142400</v>
      </c>
      <c r="H169" s="322">
        <f t="shared" ref="H169:J169" si="94">SUM(H166*H168)</f>
        <v>160600</v>
      </c>
      <c r="I169" s="271"/>
      <c r="J169" s="322">
        <f t="shared" si="94"/>
        <v>168937</v>
      </c>
      <c r="K169" s="322"/>
      <c r="L169" s="323"/>
      <c r="M169" s="322">
        <f t="shared" ref="M169:AB169" si="95">SUM(M166*M168)</f>
        <v>184700</v>
      </c>
      <c r="N169" s="324"/>
      <c r="O169" s="325">
        <f t="shared" si="95"/>
        <v>209500</v>
      </c>
      <c r="P169" s="325"/>
      <c r="Q169" s="325">
        <f t="shared" ref="Q169" si="96">SUM(Q166*Q168)</f>
        <v>243796.47</v>
      </c>
      <c r="R169" s="326"/>
      <c r="S169" s="870"/>
      <c r="T169" s="931">
        <v>257400.098</v>
      </c>
      <c r="U169" s="1167">
        <f t="shared" si="95"/>
        <v>282100</v>
      </c>
      <c r="V169" s="931">
        <f>+V168*V166</f>
        <v>282100</v>
      </c>
      <c r="W169" s="818"/>
      <c r="X169" s="327"/>
      <c r="Y169" s="324">
        <f t="shared" si="95"/>
        <v>299248.386</v>
      </c>
      <c r="Z169" s="324">
        <f t="shared" si="95"/>
        <v>312842.82500000001</v>
      </c>
      <c r="AA169" s="324">
        <f t="shared" si="95"/>
        <v>326857.217</v>
      </c>
      <c r="AB169" s="324">
        <f t="shared" si="95"/>
        <v>347070.27399999998</v>
      </c>
    </row>
    <row r="170" spans="1:28" s="246" customFormat="1" ht="12.75">
      <c r="A170" s="288">
        <v>158</v>
      </c>
      <c r="B170" s="313" t="s">
        <v>136</v>
      </c>
      <c r="C170" s="1155"/>
      <c r="D170" s="583">
        <v>1</v>
      </c>
      <c r="F170" s="583">
        <v>1</v>
      </c>
      <c r="H170" s="583">
        <v>1</v>
      </c>
      <c r="I170" s="271"/>
      <c r="J170" s="583">
        <v>1</v>
      </c>
      <c r="K170" s="583"/>
      <c r="L170" s="334"/>
      <c r="M170" s="583">
        <v>1</v>
      </c>
      <c r="N170" s="357"/>
      <c r="O170" s="584">
        <v>1</v>
      </c>
      <c r="P170" s="584"/>
      <c r="Q170" s="584">
        <v>1</v>
      </c>
      <c r="R170" s="359"/>
      <c r="S170" s="907"/>
      <c r="T170" s="973">
        <v>1</v>
      </c>
      <c r="U170" s="1172">
        <v>1</v>
      </c>
      <c r="V170" s="973">
        <f>+'Resp Stf DR40 suppl att A gas'!$D$167</f>
        <v>1</v>
      </c>
      <c r="W170" s="1013"/>
      <c r="X170" s="585"/>
      <c r="Y170" s="357">
        <v>1</v>
      </c>
      <c r="Z170" s="357">
        <v>1</v>
      </c>
      <c r="AA170" s="357">
        <v>1</v>
      </c>
      <c r="AB170" s="357">
        <v>1</v>
      </c>
    </row>
    <row r="171" spans="1:28" s="246" customFormat="1" ht="12.75">
      <c r="A171" s="288">
        <v>159</v>
      </c>
      <c r="B171" s="313" t="s">
        <v>137</v>
      </c>
      <c r="C171" s="1155"/>
      <c r="D171" s="322">
        <f>SUM(D169*D170)</f>
        <v>130466</v>
      </c>
      <c r="F171" s="322">
        <f>SUM(F169*F170)</f>
        <v>142400</v>
      </c>
      <c r="H171" s="322">
        <f t="shared" ref="H171:J171" si="97">SUM(H169*H170)</f>
        <v>160600</v>
      </c>
      <c r="I171" s="271"/>
      <c r="J171" s="322">
        <f t="shared" si="97"/>
        <v>168937</v>
      </c>
      <c r="K171" s="322"/>
      <c r="L171" s="323"/>
      <c r="M171" s="322">
        <f t="shared" ref="M171:AB171" si="98">SUM(M169*M170)</f>
        <v>184700</v>
      </c>
      <c r="N171" s="324"/>
      <c r="O171" s="325">
        <f t="shared" si="98"/>
        <v>209500</v>
      </c>
      <c r="P171" s="325"/>
      <c r="Q171" s="325">
        <f t="shared" ref="Q171" si="99">SUM(Q169*Q170)</f>
        <v>243796.47</v>
      </c>
      <c r="R171" s="326"/>
      <c r="S171" s="870"/>
      <c r="T171" s="931">
        <v>257400.098</v>
      </c>
      <c r="U171" s="1167">
        <f t="shared" si="98"/>
        <v>282100</v>
      </c>
      <c r="V171" s="931">
        <f>+V170*V169</f>
        <v>282100</v>
      </c>
      <c r="W171" s="818"/>
      <c r="X171" s="327"/>
      <c r="Y171" s="324">
        <f t="shared" si="98"/>
        <v>299248.386</v>
      </c>
      <c r="Z171" s="324">
        <f t="shared" si="98"/>
        <v>312842.82500000001</v>
      </c>
      <c r="AA171" s="324">
        <f t="shared" si="98"/>
        <v>326857.217</v>
      </c>
      <c r="AB171" s="324">
        <f t="shared" si="98"/>
        <v>347070.27399999998</v>
      </c>
    </row>
    <row r="172" spans="1:28" s="246" customFormat="1" ht="12.75">
      <c r="A172" s="288">
        <v>160</v>
      </c>
      <c r="B172" s="313" t="s">
        <v>138</v>
      </c>
      <c r="C172" s="1216" t="e">
        <f>SUM(D172-#REF!)/D172</f>
        <v>#REF!</v>
      </c>
      <c r="D172" s="1177">
        <f>1651218.73/130466761</f>
        <v>1.2656240695666537E-2</v>
      </c>
      <c r="E172" s="1216">
        <f>SUM(F172-D172)/F172</f>
        <v>-6.262980404406311E-3</v>
      </c>
      <c r="F172" s="1176">
        <f>1791.03148/142400</f>
        <v>1.2577468258426967E-2</v>
      </c>
      <c r="G172" s="1216">
        <f>SUM(H172-F172)/H172</f>
        <v>5.2758046385714798E-3</v>
      </c>
      <c r="H172" s="1177">
        <f>2030654.74/160600000</f>
        <v>1.2644176463262765E-2</v>
      </c>
      <c r="I172" s="1202">
        <f>SUM(J172-H172)/H172</f>
        <v>5.1867792740404131E-4</v>
      </c>
      <c r="J172" s="1177">
        <f>2137183.37/168937490</f>
        <v>1.2650734718504461E-2</v>
      </c>
      <c r="K172" s="420"/>
      <c r="L172" s="1203">
        <f>SUM(M172-J172)/J172</f>
        <v>1.8090373058002526E-2</v>
      </c>
      <c r="M172" s="1256">
        <f>2378.8605/184700</f>
        <v>1.2879591229020031E-2</v>
      </c>
      <c r="N172" s="1181">
        <f>SUM((O172-M172)/M172)</f>
        <v>-1.7520220751848135E-2</v>
      </c>
      <c r="O172" s="1177">
        <f>2651/209500</f>
        <v>1.2653937947494033E-2</v>
      </c>
      <c r="P172" s="325"/>
      <c r="Q172" s="1262">
        <f>3184144.12/243796470</f>
        <v>1.3060665398477674E-2</v>
      </c>
      <c r="R172" s="380"/>
      <c r="S172" s="563">
        <f>SUM(S154)</f>
        <v>0</v>
      </c>
      <c r="T172" s="1183">
        <v>1.3321878706447228E-2</v>
      </c>
      <c r="U172" s="1184">
        <f>+V172</f>
        <v>1.3060665398477674E-2</v>
      </c>
      <c r="V172" s="1017">
        <f>+'Resp Stf DR40 suppl att A gas'!$D$169</f>
        <v>1.3060665398477674E-2</v>
      </c>
      <c r="W172" s="1045" t="str">
        <f>+'Resp Stf DR40 suppl att A gas'!$E$169</f>
        <v>2016/2017 weighted average rate</v>
      </c>
      <c r="X172" s="565"/>
      <c r="Y172" s="1185">
        <f>SUM(U172*(1+X172))</f>
        <v>1.3060665398477674E-2</v>
      </c>
      <c r="Z172" s="1185">
        <f>SUM(Y172*(1+X172))</f>
        <v>1.3060665398477674E-2</v>
      </c>
      <c r="AA172" s="1185">
        <f>SUM(Z172*(1+X172))</f>
        <v>1.3060665398477674E-2</v>
      </c>
      <c r="AB172" s="1185">
        <f>SUM(AA172*(1+X172))</f>
        <v>1.3060665398477674E-2</v>
      </c>
    </row>
    <row r="173" spans="1:28" s="246" customFormat="1" ht="12.75">
      <c r="A173" s="288">
        <v>161</v>
      </c>
      <c r="B173" s="313"/>
      <c r="C173" s="1155"/>
      <c r="D173" s="1186"/>
      <c r="F173" s="423"/>
      <c r="H173" s="423"/>
      <c r="I173" s="271"/>
      <c r="J173" s="423"/>
      <c r="K173" s="423"/>
      <c r="L173" s="323"/>
      <c r="M173" s="1186"/>
      <c r="N173" s="383"/>
      <c r="O173" s="423"/>
      <c r="P173" s="423"/>
      <c r="Q173" s="1263"/>
      <c r="R173" s="384"/>
      <c r="S173" s="892"/>
      <c r="T173" s="956"/>
      <c r="U173" s="1187"/>
      <c r="V173" s="1014"/>
      <c r="W173" s="819"/>
      <c r="X173" s="476"/>
      <c r="Y173" s="383"/>
      <c r="Z173" s="383"/>
      <c r="AA173" s="383"/>
      <c r="AB173" s="383"/>
    </row>
    <row r="174" spans="1:28" s="246" customFormat="1" ht="20.25" thickBot="1">
      <c r="A174" s="288">
        <v>162</v>
      </c>
      <c r="B174" s="303" t="s">
        <v>128</v>
      </c>
      <c r="C174" s="1155"/>
      <c r="D174" s="424">
        <f>SUM(D171*D172)</f>
        <v>1651.2090986008304</v>
      </c>
      <c r="F174" s="424">
        <f>SUM(F171*F172)</f>
        <v>1791.0314800000001</v>
      </c>
      <c r="H174" s="424">
        <f t="shared" ref="H174:J174" si="100">SUM(H171*H172)</f>
        <v>2030.6547399999999</v>
      </c>
      <c r="I174" s="271"/>
      <c r="J174" s="424">
        <f t="shared" si="100"/>
        <v>2137.1771711399883</v>
      </c>
      <c r="K174" s="424"/>
      <c r="L174" s="388"/>
      <c r="M174" s="1264">
        <f t="shared" ref="M174:AB174" si="101">SUM(M171*M172)</f>
        <v>2378.8604999999998</v>
      </c>
      <c r="N174" s="387"/>
      <c r="O174" s="424">
        <f t="shared" si="101"/>
        <v>2651</v>
      </c>
      <c r="P174" s="424"/>
      <c r="Q174" s="1259">
        <f t="shared" si="101"/>
        <v>3184.1441200000004</v>
      </c>
      <c r="R174" s="389">
        <f>+'Resp to Staff DR 41 supp A'!K28</f>
        <v>3184.1441200000004</v>
      </c>
      <c r="S174" s="908"/>
      <c r="T174" s="974">
        <v>3429.0528845836297</v>
      </c>
      <c r="U174" s="1188">
        <f t="shared" si="101"/>
        <v>3684.4137089105516</v>
      </c>
      <c r="V174" s="1018">
        <f>+V172*V171</f>
        <v>3684.4137089105516</v>
      </c>
      <c r="W174" s="994" t="str">
        <f>+'Resp Stf DR40 suppl att A gas'!E171</f>
        <v>2017/2018 OR estimated property tax</v>
      </c>
      <c r="X174" s="589"/>
      <c r="Y174" s="1189">
        <f t="shared" si="101"/>
        <v>3908.3830405804906</v>
      </c>
      <c r="Z174" s="387">
        <f t="shared" si="101"/>
        <v>4085.9354596395065</v>
      </c>
      <c r="AA174" s="387">
        <f t="shared" si="101"/>
        <v>4268.9727443146085</v>
      </c>
      <c r="AB174" s="387">
        <f t="shared" si="101"/>
        <v>4532.9687184719651</v>
      </c>
    </row>
    <row r="175" spans="1:28" s="246" customFormat="1" ht="13.5" thickTop="1">
      <c r="A175" s="288">
        <v>163</v>
      </c>
      <c r="B175" s="183"/>
      <c r="C175" s="590"/>
      <c r="D175" s="144"/>
      <c r="F175" s="144"/>
      <c r="H175" s="144"/>
      <c r="I175" s="271"/>
      <c r="J175" s="144"/>
      <c r="K175" s="144"/>
      <c r="L175" s="427"/>
      <c r="M175" s="427"/>
      <c r="N175" s="144"/>
      <c r="O175" s="144"/>
      <c r="P175" s="144"/>
      <c r="Q175" s="144"/>
      <c r="R175" s="429"/>
      <c r="S175" s="144"/>
      <c r="T175" s="943"/>
      <c r="U175" s="144"/>
      <c r="V175" s="1014"/>
      <c r="W175" s="1056"/>
      <c r="X175" s="1060" t="s">
        <v>264</v>
      </c>
      <c r="Y175" s="430">
        <v>3731</v>
      </c>
      <c r="Z175" s="430">
        <v>3994</v>
      </c>
      <c r="AA175" s="430">
        <v>4272</v>
      </c>
      <c r="AB175" s="430">
        <v>4649</v>
      </c>
    </row>
    <row r="176" spans="1:28" s="246" customFormat="1" ht="13.5" thickBot="1">
      <c r="A176" s="288">
        <v>164</v>
      </c>
      <c r="B176" s="183"/>
      <c r="C176" s="590"/>
      <c r="D176" s="144"/>
      <c r="F176" s="127"/>
      <c r="G176" s="1265"/>
      <c r="H176" s="127"/>
      <c r="I176" s="1266"/>
      <c r="J176" s="144"/>
      <c r="K176" s="144"/>
      <c r="L176" s="427"/>
      <c r="M176" s="144"/>
      <c r="N176" s="144"/>
      <c r="O176" s="144"/>
      <c r="P176" s="144"/>
      <c r="Q176" s="144"/>
      <c r="R176" s="429"/>
      <c r="S176" s="144"/>
      <c r="T176" s="943"/>
      <c r="U176" s="144"/>
      <c r="V176" s="1014"/>
      <c r="W176" s="1034"/>
      <c r="X176" s="430"/>
      <c r="Y176" s="144"/>
      <c r="Z176" s="144"/>
      <c r="AA176" s="144"/>
      <c r="AB176" s="144"/>
    </row>
    <row r="177" spans="1:28" s="246" customFormat="1" ht="18">
      <c r="A177" s="288">
        <v>165</v>
      </c>
      <c r="B177" s="1267"/>
      <c r="C177" s="201"/>
      <c r="D177" s="597"/>
      <c r="E177" s="597"/>
      <c r="F177" s="597"/>
      <c r="G177" s="597"/>
      <c r="H177" s="597"/>
      <c r="I177" s="598"/>
      <c r="J177" s="600"/>
      <c r="K177" s="597"/>
      <c r="L177" s="598"/>
      <c r="M177" s="1268"/>
      <c r="N177" s="600"/>
      <c r="O177" s="1269" t="s">
        <v>184</v>
      </c>
      <c r="P177" s="202"/>
      <c r="Q177" s="1269" t="s">
        <v>184</v>
      </c>
      <c r="R177" s="278"/>
      <c r="T177" s="923" t="s">
        <v>184</v>
      </c>
      <c r="U177" s="1270" t="s">
        <v>184</v>
      </c>
      <c r="V177" s="1030"/>
      <c r="W177" s="1057"/>
      <c r="X177" s="273"/>
      <c r="Y177" s="1269" t="s">
        <v>184</v>
      </c>
      <c r="Z177" s="1269" t="s">
        <v>184</v>
      </c>
      <c r="AA177" s="1269" t="s">
        <v>184</v>
      </c>
      <c r="AB177" s="1269" t="s">
        <v>184</v>
      </c>
    </row>
    <row r="178" spans="1:28" s="246" customFormat="1" ht="18">
      <c r="A178" s="288">
        <v>166</v>
      </c>
      <c r="B178" s="1271" t="s">
        <v>289</v>
      </c>
      <c r="C178" s="207"/>
      <c r="D178" s="276"/>
      <c r="E178" s="276"/>
      <c r="F178" s="276"/>
      <c r="G178" s="276"/>
      <c r="I178" s="285"/>
      <c r="K178" s="601"/>
      <c r="L178" s="285"/>
      <c r="M178" s="1272">
        <v>2014</v>
      </c>
      <c r="N178" s="603"/>
      <c r="O178" s="1272">
        <v>2015</v>
      </c>
      <c r="P178" s="208"/>
      <c r="Q178" s="1272" t="s">
        <v>202</v>
      </c>
      <c r="R178" s="278"/>
      <c r="S178" s="276"/>
      <c r="T178" s="923" t="s">
        <v>202</v>
      </c>
      <c r="U178" s="601" t="s">
        <v>202</v>
      </c>
      <c r="V178" s="1030"/>
      <c r="W178" s="1057"/>
      <c r="X178" s="279"/>
      <c r="Y178" s="1272" t="s">
        <v>202</v>
      </c>
      <c r="Z178" s="1272" t="s">
        <v>202</v>
      </c>
      <c r="AA178" s="1272" t="s">
        <v>202</v>
      </c>
      <c r="AB178" s="1272" t="s">
        <v>202</v>
      </c>
    </row>
    <row r="179" spans="1:28" s="246" customFormat="1" ht="19.5" thickBot="1">
      <c r="A179" s="288">
        <v>167</v>
      </c>
      <c r="B179" s="1273" t="s">
        <v>290</v>
      </c>
      <c r="C179" s="207"/>
      <c r="D179" s="276"/>
      <c r="E179" s="276"/>
      <c r="F179" s="604"/>
      <c r="G179" s="276"/>
      <c r="H179" s="604"/>
      <c r="I179" s="285"/>
      <c r="J179" s="605"/>
      <c r="K179" s="604"/>
      <c r="L179" s="606"/>
      <c r="M179" s="607" t="s">
        <v>291</v>
      </c>
      <c r="N179" s="605"/>
      <c r="O179" s="607" t="s">
        <v>235</v>
      </c>
      <c r="P179" s="208"/>
      <c r="Q179" s="607" t="s">
        <v>203</v>
      </c>
      <c r="R179" s="278"/>
      <c r="S179" s="208"/>
      <c r="T179" s="975" t="s">
        <v>203</v>
      </c>
      <c r="U179" s="1274" t="s">
        <v>203</v>
      </c>
      <c r="V179" s="1030"/>
      <c r="W179" s="1057"/>
      <c r="X179" s="287"/>
      <c r="Y179" s="607" t="s">
        <v>203</v>
      </c>
      <c r="Z179" s="607" t="s">
        <v>203</v>
      </c>
      <c r="AA179" s="607" t="s">
        <v>203</v>
      </c>
      <c r="AB179" s="607" t="s">
        <v>203</v>
      </c>
    </row>
    <row r="180" spans="1:28" s="246" customFormat="1" ht="12.75">
      <c r="A180" s="288">
        <v>168</v>
      </c>
      <c r="B180" s="212"/>
      <c r="C180" s="207"/>
      <c r="D180" s="276"/>
      <c r="E180" s="276"/>
      <c r="F180" s="608"/>
      <c r="G180" s="276"/>
      <c r="H180" s="608"/>
      <c r="I180" s="285"/>
      <c r="J180" s="191"/>
      <c r="K180" s="191"/>
      <c r="L180" s="609"/>
      <c r="M180" s="191"/>
      <c r="N180" s="191"/>
      <c r="O180" s="191"/>
      <c r="P180" s="191"/>
      <c r="Q180" s="191"/>
      <c r="R180" s="252"/>
      <c r="S180" s="608"/>
      <c r="T180" s="967"/>
      <c r="U180" s="608"/>
      <c r="V180" s="1014"/>
      <c r="W180" s="1035"/>
      <c r="X180" s="252"/>
      <c r="Y180" s="191"/>
      <c r="Z180" s="191"/>
      <c r="AA180" s="191"/>
      <c r="AB180" s="191"/>
    </row>
    <row r="181" spans="1:28" s="246" customFormat="1" ht="12.75">
      <c r="A181" s="288">
        <v>169</v>
      </c>
      <c r="B181" s="213" t="s">
        <v>188</v>
      </c>
      <c r="C181" s="207"/>
      <c r="D181" s="1222" t="s">
        <v>292</v>
      </c>
      <c r="E181" s="276"/>
      <c r="F181" s="318" t="s">
        <v>119</v>
      </c>
      <c r="G181" s="276"/>
      <c r="H181" s="318" t="s">
        <v>119</v>
      </c>
      <c r="I181" s="285"/>
      <c r="J181" s="1222" t="s">
        <v>292</v>
      </c>
      <c r="K181" s="611"/>
      <c r="L181" s="612"/>
      <c r="M181" s="1222" t="s">
        <v>292</v>
      </c>
      <c r="N181" s="611"/>
      <c r="O181" s="1222" t="s">
        <v>119</v>
      </c>
      <c r="P181" s="611"/>
      <c r="Q181" s="611" t="s">
        <v>293</v>
      </c>
      <c r="R181" s="613"/>
      <c r="S181" s="909"/>
      <c r="T181" s="976" t="s">
        <v>189</v>
      </c>
      <c r="U181" s="1275" t="s">
        <v>189</v>
      </c>
      <c r="V181" s="1019"/>
      <c r="W181" s="1058"/>
      <c r="X181" s="614"/>
      <c r="Y181" s="611" t="s">
        <v>189</v>
      </c>
      <c r="Z181" s="611" t="s">
        <v>189</v>
      </c>
      <c r="AA181" s="611" t="s">
        <v>189</v>
      </c>
      <c r="AB181" s="611" t="s">
        <v>189</v>
      </c>
    </row>
    <row r="182" spans="1:28" s="246" customFormat="1" ht="12.75">
      <c r="A182" s="288">
        <v>170</v>
      </c>
      <c r="B182" s="213"/>
      <c r="C182" s="207"/>
      <c r="D182" s="399">
        <v>2010</v>
      </c>
      <c r="E182" s="276"/>
      <c r="F182" s="399">
        <v>2011</v>
      </c>
      <c r="G182" s="276"/>
      <c r="H182" s="399">
        <v>2012</v>
      </c>
      <c r="I182" s="285"/>
      <c r="J182" s="399">
        <v>2013</v>
      </c>
      <c r="K182" s="307"/>
      <c r="L182" s="308"/>
      <c r="M182" s="399">
        <v>2014</v>
      </c>
      <c r="N182" s="307"/>
      <c r="O182" s="399">
        <v>2015</v>
      </c>
      <c r="P182" s="307"/>
      <c r="Q182" s="307">
        <v>2016</v>
      </c>
      <c r="R182" s="309"/>
      <c r="S182" s="869"/>
      <c r="T182" s="930">
        <v>2017</v>
      </c>
      <c r="U182" s="1163">
        <v>2017</v>
      </c>
      <c r="V182" s="1016"/>
      <c r="W182" s="1048"/>
      <c r="X182" s="310"/>
      <c r="Y182" s="307">
        <v>2018</v>
      </c>
      <c r="Z182" s="307">
        <v>2019</v>
      </c>
      <c r="AA182" s="307">
        <v>2020</v>
      </c>
      <c r="AB182" s="307">
        <v>2021</v>
      </c>
    </row>
    <row r="183" spans="1:28" s="246" customFormat="1" ht="12.75">
      <c r="A183" s="288">
        <v>171</v>
      </c>
      <c r="B183" s="213" t="s">
        <v>190</v>
      </c>
      <c r="C183" s="207"/>
      <c r="D183" s="218"/>
      <c r="E183" s="276"/>
      <c r="F183" s="551"/>
      <c r="G183" s="276"/>
      <c r="H183" s="218"/>
      <c r="I183" s="285"/>
      <c r="J183" s="551"/>
      <c r="K183" s="218"/>
      <c r="L183" s="616"/>
      <c r="M183" s="218"/>
      <c r="N183" s="218"/>
      <c r="O183" s="218"/>
      <c r="P183" s="218"/>
      <c r="Q183" s="218"/>
      <c r="R183" s="255"/>
      <c r="S183" s="910"/>
      <c r="T183" s="977"/>
      <c r="U183" s="1276"/>
      <c r="V183" s="1014"/>
      <c r="W183" s="1034"/>
      <c r="X183" s="255"/>
      <c r="Y183" s="218"/>
      <c r="Z183" s="218"/>
      <c r="AA183" s="218"/>
      <c r="AB183" s="218"/>
    </row>
    <row r="184" spans="1:28" s="246" customFormat="1" ht="12.75">
      <c r="A184" s="288">
        <v>172</v>
      </c>
      <c r="B184" s="213"/>
      <c r="C184" s="207"/>
      <c r="D184" s="218"/>
      <c r="E184" s="276"/>
      <c r="F184" s="551"/>
      <c r="G184" s="276"/>
      <c r="H184" s="218"/>
      <c r="I184" s="285"/>
      <c r="J184" s="551"/>
      <c r="K184" s="218"/>
      <c r="L184" s="616"/>
      <c r="M184" s="218"/>
      <c r="N184" s="218"/>
      <c r="O184" s="218"/>
      <c r="P184" s="218"/>
      <c r="Q184" s="218"/>
      <c r="R184" s="255"/>
      <c r="S184" s="910"/>
      <c r="T184" s="977"/>
      <c r="U184" s="1276"/>
      <c r="V184" s="1014"/>
      <c r="W184" s="1034"/>
      <c r="X184" s="255"/>
      <c r="Y184" s="218"/>
      <c r="Z184" s="218"/>
      <c r="AA184" s="218"/>
      <c r="AB184" s="218"/>
    </row>
    <row r="185" spans="1:28" s="246" customFormat="1" ht="12.75">
      <c r="A185" s="288">
        <v>173</v>
      </c>
      <c r="B185" s="220" t="s">
        <v>191</v>
      </c>
      <c r="C185" s="207"/>
      <c r="D185" s="238">
        <f>SUM(D35)</f>
        <v>6644.5774054519761</v>
      </c>
      <c r="E185" s="276"/>
      <c r="F185" s="238">
        <f>SUM(F35)</f>
        <v>7876.3008272199995</v>
      </c>
      <c r="G185" s="276"/>
      <c r="H185" s="238">
        <f t="shared" ref="H185:J185" si="102">SUM(H35)</f>
        <v>8630.5537097419092</v>
      </c>
      <c r="I185" s="285"/>
      <c r="J185" s="238">
        <f t="shared" si="102"/>
        <v>9501.7079599999997</v>
      </c>
      <c r="K185" s="618"/>
      <c r="L185" s="619"/>
      <c r="M185" s="238">
        <f t="shared" ref="M185:AB185" si="103">SUM(M35)</f>
        <v>11286.939</v>
      </c>
      <c r="N185" s="618"/>
      <c r="O185" s="238">
        <f t="shared" ref="O185" si="104">SUM(O35)</f>
        <v>12999.765589175515</v>
      </c>
      <c r="P185" s="620"/>
      <c r="Q185" s="618">
        <f t="shared" si="103"/>
        <v>12677.752</v>
      </c>
      <c r="R185" s="621"/>
      <c r="S185" s="911"/>
      <c r="T185" s="978">
        <v>13970.645184263789</v>
      </c>
      <c r="U185" s="1277">
        <f t="shared" si="103"/>
        <v>13169.877019950874</v>
      </c>
      <c r="V185" s="931">
        <f>+'Resp Stf DR40 suppl att A elec'!D182</f>
        <v>13169.877019950874</v>
      </c>
      <c r="W185" s="1041"/>
      <c r="X185" s="622"/>
      <c r="Y185" s="618">
        <f t="shared" si="103"/>
        <v>13700.228237884852</v>
      </c>
      <c r="Z185" s="618">
        <f t="shared" si="103"/>
        <v>14465.432733170137</v>
      </c>
      <c r="AA185" s="618">
        <f t="shared" si="103"/>
        <v>15248.473775746979</v>
      </c>
      <c r="AB185" s="618">
        <f t="shared" si="103"/>
        <v>16118.862776524375</v>
      </c>
    </row>
    <row r="186" spans="1:28" s="246" customFormat="1" ht="12.75">
      <c r="A186" s="288">
        <v>174</v>
      </c>
      <c r="B186" s="220" t="s">
        <v>192</v>
      </c>
      <c r="C186" s="207"/>
      <c r="D186" s="1278"/>
      <c r="E186" s="276"/>
      <c r="F186" s="238"/>
      <c r="G186" s="276"/>
      <c r="H186" s="1279"/>
      <c r="I186" s="285"/>
      <c r="J186" s="238"/>
      <c r="K186" s="238"/>
      <c r="L186" s="619"/>
      <c r="M186" s="238"/>
      <c r="N186" s="618"/>
      <c r="O186" s="1279"/>
      <c r="P186" s="618"/>
      <c r="Q186" s="618"/>
      <c r="R186" s="621"/>
      <c r="S186" s="912"/>
      <c r="T186" s="979"/>
      <c r="U186" s="1277"/>
      <c r="V186" s="931"/>
      <c r="W186" s="1041"/>
      <c r="X186" s="626"/>
      <c r="Y186" s="618"/>
      <c r="Z186" s="618"/>
      <c r="AA186" s="618"/>
      <c r="AB186" s="618"/>
    </row>
    <row r="187" spans="1:28" s="246" customFormat="1" ht="12.75">
      <c r="A187" s="288">
        <v>175</v>
      </c>
      <c r="B187" s="220" t="s">
        <v>193</v>
      </c>
      <c r="C187" s="207"/>
      <c r="D187" s="238">
        <f>SUM(D58)</f>
        <v>3829.9382243772443</v>
      </c>
      <c r="E187" s="276"/>
      <c r="F187" s="238">
        <f>SUM(F58)</f>
        <v>4334.8598087510027</v>
      </c>
      <c r="G187" s="276"/>
      <c r="H187" s="238">
        <f t="shared" ref="H187:J187" si="105">SUM(H58)</f>
        <v>4690.254523070862</v>
      </c>
      <c r="I187" s="285"/>
      <c r="J187" s="238">
        <f t="shared" si="105"/>
        <v>5359.0285675337436</v>
      </c>
      <c r="K187" s="238"/>
      <c r="L187" s="619"/>
      <c r="M187" s="238">
        <f t="shared" ref="M187:AB187" si="106">SUM(M58)</f>
        <v>5440.7422465869995</v>
      </c>
      <c r="N187" s="618"/>
      <c r="O187" s="238">
        <f t="shared" ref="O187" si="107">SUM(O58)</f>
        <v>5717.717903841688</v>
      </c>
      <c r="P187" s="620"/>
      <c r="Q187" s="238">
        <f t="shared" si="106"/>
        <v>5675.1669887565686</v>
      </c>
      <c r="R187" s="621"/>
      <c r="S187" s="911"/>
      <c r="T187" s="978">
        <v>6289.4253156686991</v>
      </c>
      <c r="U187" s="1277">
        <f t="shared" si="106"/>
        <v>6174.574278550891</v>
      </c>
      <c r="V187" s="931">
        <f>+'Resp Stf DR40 suppl att A elec'!D184</f>
        <v>6174.574278550891</v>
      </c>
      <c r="W187" s="1041"/>
      <c r="X187" s="622"/>
      <c r="Y187" s="618">
        <f t="shared" si="106"/>
        <v>6433.9948791618763</v>
      </c>
      <c r="Z187" s="618">
        <f t="shared" si="106"/>
        <v>6804.5459374999464</v>
      </c>
      <c r="AA187" s="618">
        <f t="shared" si="106"/>
        <v>7183.7343620802512</v>
      </c>
      <c r="AB187" s="618">
        <f t="shared" si="106"/>
        <v>7605.2211246268271</v>
      </c>
    </row>
    <row r="188" spans="1:28" s="246" customFormat="1" ht="12.75">
      <c r="A188" s="288">
        <v>176</v>
      </c>
      <c r="B188" s="220" t="s">
        <v>194</v>
      </c>
      <c r="C188" s="207"/>
      <c r="D188" s="238">
        <f>SUM(D82)</f>
        <v>6615.1312077205384</v>
      </c>
      <c r="E188" s="276"/>
      <c r="F188" s="238">
        <f>SUM(F82)</f>
        <v>6928.9801069931073</v>
      </c>
      <c r="G188" s="276"/>
      <c r="H188" s="238">
        <f t="shared" ref="H188:J188" si="108">SUM(H82)</f>
        <v>7219.74299186594</v>
      </c>
      <c r="I188" s="285"/>
      <c r="J188" s="238">
        <f t="shared" si="108"/>
        <v>8163.043288322272</v>
      </c>
      <c r="K188" s="238"/>
      <c r="L188" s="619"/>
      <c r="M188" s="238">
        <f t="shared" ref="M188:AB188" si="109">SUM(M82)</f>
        <v>8456.9513856009962</v>
      </c>
      <c r="N188" s="618"/>
      <c r="O188" s="238">
        <f t="shared" ref="O188" si="110">SUM(O82)</f>
        <v>8062.4233890853202</v>
      </c>
      <c r="P188" s="620"/>
      <c r="Q188" s="238">
        <f t="shared" si="109"/>
        <v>9750.9988719237135</v>
      </c>
      <c r="R188" s="621"/>
      <c r="S188" s="911"/>
      <c r="T188" s="978">
        <v>10589.986561157782</v>
      </c>
      <c r="U188" s="1277">
        <f t="shared" si="109"/>
        <v>10043.15582503802</v>
      </c>
      <c r="V188" s="931">
        <f>+'Resp Stf DR40 suppl att A elec'!D185</f>
        <v>10043.15582503802</v>
      </c>
      <c r="W188" s="1041"/>
      <c r="X188" s="622"/>
      <c r="Y188" s="618">
        <f t="shared" si="109"/>
        <v>10709.659740135019</v>
      </c>
      <c r="Z188" s="618">
        <f t="shared" si="109"/>
        <v>10315.168981952251</v>
      </c>
      <c r="AA188" s="618">
        <f t="shared" si="109"/>
        <v>10929.049178408819</v>
      </c>
      <c r="AB188" s="618">
        <f t="shared" si="109"/>
        <v>11621.476552463129</v>
      </c>
    </row>
    <row r="189" spans="1:28" s="246" customFormat="1" ht="12.75">
      <c r="A189" s="288">
        <v>177</v>
      </c>
      <c r="B189" s="228" t="s">
        <v>195</v>
      </c>
      <c r="C189" s="207"/>
      <c r="D189" s="238">
        <f>SUM(D103)</f>
        <v>8.1994721576394003</v>
      </c>
      <c r="E189" s="276"/>
      <c r="F189" s="238">
        <f>SUM(F103)</f>
        <v>8.6360178140432993</v>
      </c>
      <c r="G189" s="276"/>
      <c r="H189" s="238">
        <f t="shared" ref="H189:J189" si="111">SUM(H103)</f>
        <v>8.2702146414089999</v>
      </c>
      <c r="I189" s="285"/>
      <c r="J189" s="238">
        <f t="shared" si="111"/>
        <v>9.3172825078781703</v>
      </c>
      <c r="K189" s="238"/>
      <c r="L189" s="619"/>
      <c r="M189" s="238">
        <f t="shared" ref="M189:AB189" si="112">SUM(M103)</f>
        <v>11.382350000000001</v>
      </c>
      <c r="N189" s="618"/>
      <c r="O189" s="229">
        <f t="shared" ref="O189" si="113">SUM(O103)</f>
        <v>10.468988399999999</v>
      </c>
      <c r="P189" s="229"/>
      <c r="Q189" s="229">
        <f t="shared" si="112"/>
        <v>10.51116</v>
      </c>
      <c r="R189" s="621"/>
      <c r="S189" s="913"/>
      <c r="T189" s="980">
        <v>10.721383199999998</v>
      </c>
      <c r="U189" s="1277">
        <f t="shared" si="112"/>
        <v>10.51116</v>
      </c>
      <c r="V189" s="931">
        <f>+'Resp Stf DR40 suppl att A elec'!D186</f>
        <v>10.51116</v>
      </c>
      <c r="W189" s="1041"/>
      <c r="X189" s="629"/>
      <c r="Y189" s="618">
        <f t="shared" si="112"/>
        <v>10.51116</v>
      </c>
      <c r="Z189" s="618">
        <f t="shared" si="112"/>
        <v>10.51116</v>
      </c>
      <c r="AA189" s="618">
        <f t="shared" si="112"/>
        <v>10.51116</v>
      </c>
      <c r="AB189" s="618">
        <f t="shared" si="112"/>
        <v>10.51116</v>
      </c>
    </row>
    <row r="190" spans="1:28" s="246" customFormat="1" ht="12.75">
      <c r="A190" s="288">
        <v>178</v>
      </c>
      <c r="B190" s="228" t="s">
        <v>196</v>
      </c>
      <c r="C190" s="207"/>
      <c r="D190" s="630">
        <f>SUM(D119)</f>
        <v>1842.8801699999999</v>
      </c>
      <c r="E190" s="276"/>
      <c r="F190" s="630">
        <f>SUM(F119)</f>
        <v>2029.5941279024175</v>
      </c>
      <c r="G190" s="276"/>
      <c r="H190" s="630">
        <f t="shared" ref="H190:J190" si="114">SUM(H119)</f>
        <v>1918.901132</v>
      </c>
      <c r="I190" s="285"/>
      <c r="J190" s="630">
        <f t="shared" si="114"/>
        <v>2189.4442599999998</v>
      </c>
      <c r="K190" s="630"/>
      <c r="L190" s="631"/>
      <c r="M190" s="630">
        <f t="shared" ref="M190:AB190" si="115">SUM(M119)</f>
        <v>2525.8229999999999</v>
      </c>
      <c r="N190" s="632"/>
      <c r="O190" s="630">
        <f t="shared" ref="O190" si="116">SUM(O119)</f>
        <v>2707.3523175999999</v>
      </c>
      <c r="P190" s="230"/>
      <c r="Q190" s="630">
        <f t="shared" si="115"/>
        <v>2514.9974500000003</v>
      </c>
      <c r="R190" s="483"/>
      <c r="S190" s="914"/>
      <c r="T190" s="981">
        <v>2624.1106000356217</v>
      </c>
      <c r="U190" s="1280">
        <f t="shared" si="115"/>
        <v>2856.6411931587431</v>
      </c>
      <c r="V190" s="933">
        <f>+'Resp Stf DR40 suppl att A elec'!D187</f>
        <v>2856.6411931587431</v>
      </c>
      <c r="W190" s="1059"/>
      <c r="X190" s="633"/>
      <c r="Y190" s="632">
        <f t="shared" si="115"/>
        <v>2856.6411931587431</v>
      </c>
      <c r="Z190" s="632">
        <f t="shared" si="115"/>
        <v>2856.6411931587431</v>
      </c>
      <c r="AA190" s="632">
        <f t="shared" si="115"/>
        <v>2856.6411931587431</v>
      </c>
      <c r="AB190" s="632">
        <f t="shared" si="115"/>
        <v>2856.6411931587431</v>
      </c>
    </row>
    <row r="191" spans="1:28" s="246" customFormat="1" ht="12.75">
      <c r="A191" s="288">
        <v>179</v>
      </c>
      <c r="B191" s="213"/>
      <c r="C191" s="207"/>
      <c r="D191" s="238"/>
      <c r="E191" s="276"/>
      <c r="F191" s="238"/>
      <c r="G191" s="276"/>
      <c r="H191" s="238"/>
      <c r="I191" s="285"/>
      <c r="J191" s="238"/>
      <c r="K191" s="618"/>
      <c r="L191" s="619"/>
      <c r="M191" s="238"/>
      <c r="N191" s="618"/>
      <c r="O191" s="1279"/>
      <c r="P191" s="618"/>
      <c r="Q191" s="618"/>
      <c r="R191" s="621"/>
      <c r="S191" s="912"/>
      <c r="T191" s="979"/>
      <c r="U191" s="1277"/>
      <c r="V191" s="931"/>
      <c r="W191" s="1041"/>
      <c r="X191" s="626"/>
      <c r="Y191" s="618"/>
      <c r="Z191" s="618"/>
      <c r="AA191" s="618"/>
      <c r="AB191" s="618"/>
    </row>
    <row r="192" spans="1:28" s="246" customFormat="1" ht="12.75">
      <c r="A192" s="288">
        <v>180</v>
      </c>
      <c r="B192" s="220" t="s">
        <v>197</v>
      </c>
      <c r="C192" s="207"/>
      <c r="D192" s="630">
        <f>SUM(D185:D190)</f>
        <v>18940.726479707399</v>
      </c>
      <c r="E192" s="276"/>
      <c r="F192" s="630">
        <f>SUM(F185:F190)</f>
        <v>21178.370888680573</v>
      </c>
      <c r="G192" s="276"/>
      <c r="H192" s="630">
        <f t="shared" ref="H192:J192" si="117">SUM(H185:H190)</f>
        <v>22467.722571320119</v>
      </c>
      <c r="I192" s="285"/>
      <c r="J192" s="630">
        <f t="shared" si="117"/>
        <v>25222.541358363891</v>
      </c>
      <c r="K192" s="632"/>
      <c r="L192" s="631"/>
      <c r="M192" s="630">
        <f t="shared" ref="M192:AB192" si="118">SUM(M185:M190)</f>
        <v>27721.837982187997</v>
      </c>
      <c r="N192" s="632"/>
      <c r="O192" s="630">
        <f t="shared" ref="O192" si="119">SUM(O185:O190)</f>
        <v>29497.728188102526</v>
      </c>
      <c r="P192" s="634"/>
      <c r="Q192" s="632">
        <f t="shared" si="118"/>
        <v>30629.426470680279</v>
      </c>
      <c r="R192" s="483"/>
      <c r="S192" s="915"/>
      <c r="T192" s="982">
        <v>33484.889044325893</v>
      </c>
      <c r="U192" s="1280">
        <f t="shared" si="118"/>
        <v>32254.759476698524</v>
      </c>
      <c r="V192" s="1031">
        <f t="shared" si="118"/>
        <v>32254.759476698524</v>
      </c>
      <c r="W192" s="1059"/>
      <c r="X192" s="635"/>
      <c r="Y192" s="632">
        <f t="shared" si="118"/>
        <v>33711.035210340488</v>
      </c>
      <c r="Z192" s="632">
        <f t="shared" si="118"/>
        <v>34452.300005781079</v>
      </c>
      <c r="AA192" s="632">
        <f t="shared" si="118"/>
        <v>36228.409669394794</v>
      </c>
      <c r="AB192" s="632">
        <f t="shared" si="118"/>
        <v>38212.712806773074</v>
      </c>
    </row>
    <row r="193" spans="1:28" s="246" customFormat="1" ht="12.75">
      <c r="A193" s="288">
        <v>181</v>
      </c>
      <c r="B193" s="213"/>
      <c r="C193" s="207"/>
      <c r="D193" s="1278"/>
      <c r="E193" s="276"/>
      <c r="F193" s="238"/>
      <c r="G193" s="276"/>
      <c r="H193" s="238"/>
      <c r="I193" s="285"/>
      <c r="J193" s="238"/>
      <c r="K193" s="618"/>
      <c r="L193" s="619"/>
      <c r="M193" s="238"/>
      <c r="N193" s="618"/>
      <c r="O193" s="238"/>
      <c r="P193" s="618"/>
      <c r="Q193" s="618"/>
      <c r="R193" s="621"/>
      <c r="S193" s="912"/>
      <c r="T193" s="979"/>
      <c r="U193" s="1277"/>
      <c r="V193" s="931"/>
      <c r="W193" s="1041"/>
      <c r="X193" s="626"/>
      <c r="Y193" s="618"/>
      <c r="Z193" s="618"/>
      <c r="AA193" s="618"/>
      <c r="AB193" s="618"/>
    </row>
    <row r="194" spans="1:28" s="246" customFormat="1" ht="12.75">
      <c r="A194" s="288">
        <v>182</v>
      </c>
      <c r="B194" s="213" t="s">
        <v>198</v>
      </c>
      <c r="C194" s="207"/>
      <c r="D194" s="1278"/>
      <c r="E194" s="276"/>
      <c r="F194" s="238"/>
      <c r="G194" s="276"/>
      <c r="H194" s="238"/>
      <c r="I194" s="285"/>
      <c r="J194" s="238"/>
      <c r="K194" s="618"/>
      <c r="L194" s="619"/>
      <c r="M194" s="238"/>
      <c r="N194" s="618"/>
      <c r="O194" s="238"/>
      <c r="P194" s="618"/>
      <c r="Q194" s="618"/>
      <c r="R194" s="621"/>
      <c r="S194" s="912"/>
      <c r="T194" s="979"/>
      <c r="U194" s="1277"/>
      <c r="V194" s="931"/>
      <c r="W194" s="1041"/>
      <c r="X194" s="626"/>
      <c r="Y194" s="618"/>
      <c r="Z194" s="618"/>
      <c r="AA194" s="618"/>
      <c r="AB194" s="618"/>
    </row>
    <row r="195" spans="1:28" s="246" customFormat="1" ht="12.75">
      <c r="A195" s="288">
        <v>183</v>
      </c>
      <c r="B195" s="213"/>
      <c r="C195" s="207"/>
      <c r="D195" s="1278"/>
      <c r="E195" s="276"/>
      <c r="F195" s="238"/>
      <c r="G195" s="276"/>
      <c r="H195" s="238"/>
      <c r="I195" s="285"/>
      <c r="J195" s="238"/>
      <c r="K195" s="618"/>
      <c r="L195" s="619"/>
      <c r="M195" s="238"/>
      <c r="N195" s="618"/>
      <c r="O195" s="238"/>
      <c r="P195" s="618"/>
      <c r="Q195" s="618"/>
      <c r="R195" s="621"/>
      <c r="S195" s="912"/>
      <c r="T195" s="979"/>
      <c r="U195" s="1277"/>
      <c r="V195" s="931"/>
      <c r="W195" s="1041"/>
      <c r="X195" s="626"/>
      <c r="Y195" s="618"/>
      <c r="Z195" s="618"/>
      <c r="AA195" s="618"/>
      <c r="AB195" s="618"/>
    </row>
    <row r="196" spans="1:28" s="246" customFormat="1" ht="12.75">
      <c r="A196" s="288">
        <v>184</v>
      </c>
      <c r="B196" s="220" t="s">
        <v>199</v>
      </c>
      <c r="C196" s="207"/>
      <c r="D196" s="238">
        <f>SUM(D139)</f>
        <v>1843</v>
      </c>
      <c r="E196" s="276"/>
      <c r="F196" s="238">
        <f>SUM(F139)</f>
        <v>1939.7429074619999</v>
      </c>
      <c r="G196" s="276"/>
      <c r="H196" s="238">
        <f t="shared" ref="H196:J196" si="120">SUM(H139)</f>
        <v>2238.4238615852555</v>
      </c>
      <c r="I196" s="285"/>
      <c r="J196" s="238">
        <f t="shared" si="120"/>
        <v>2444.3019199999999</v>
      </c>
      <c r="K196" s="618"/>
      <c r="L196" s="619"/>
      <c r="M196" s="238">
        <f t="shared" ref="M196:AB196" si="121">SUM(M139)</f>
        <v>2941.3620000000001</v>
      </c>
      <c r="N196" s="618"/>
      <c r="O196" s="238">
        <f t="shared" ref="O196" si="122">SUM(O139)</f>
        <v>2778.7148000000002</v>
      </c>
      <c r="P196" s="620"/>
      <c r="Q196" s="618">
        <f t="shared" si="121"/>
        <v>2723.0960382527305</v>
      </c>
      <c r="R196" s="621"/>
      <c r="S196" s="911"/>
      <c r="T196" s="978">
        <v>3109.190366923433</v>
      </c>
      <c r="U196" s="1277">
        <f t="shared" si="121"/>
        <v>2915.4474858925278</v>
      </c>
      <c r="V196" s="931">
        <f>+'Resp Stf DR40 suppl att A gas'!D193</f>
        <v>2915.4474858925278</v>
      </c>
      <c r="W196" s="1041"/>
      <c r="X196" s="622"/>
      <c r="Y196" s="618">
        <f t="shared" si="121"/>
        <v>3173.4666663129519</v>
      </c>
      <c r="Z196" s="618">
        <f t="shared" si="121"/>
        <v>3399.2093145764534</v>
      </c>
      <c r="AA196" s="618">
        <f t="shared" si="121"/>
        <v>3660.4116388709253</v>
      </c>
      <c r="AB196" s="618">
        <f t="shared" si="121"/>
        <v>3882.278194401119</v>
      </c>
    </row>
    <row r="197" spans="1:28" s="246" customFormat="1" ht="12.75">
      <c r="A197" s="288">
        <v>185</v>
      </c>
      <c r="B197" s="220" t="s">
        <v>193</v>
      </c>
      <c r="C197" s="207"/>
      <c r="D197" s="238">
        <f>SUM(D156)</f>
        <v>802.70764039063442</v>
      </c>
      <c r="E197" s="276"/>
      <c r="F197" s="238">
        <f>SUM(F156)</f>
        <v>856.09079069341112</v>
      </c>
      <c r="G197" s="276"/>
      <c r="H197" s="238">
        <f t="shared" ref="H197:J197" si="123">SUM(H156)</f>
        <v>1112.580366038414</v>
      </c>
      <c r="I197" s="285"/>
      <c r="J197" s="238">
        <f t="shared" si="123"/>
        <v>1255.1733400000001</v>
      </c>
      <c r="K197" s="238"/>
      <c r="L197" s="619"/>
      <c r="M197" s="238">
        <f t="shared" ref="M197:AB197" si="124">SUM(M156)</f>
        <v>1336.7211187574665</v>
      </c>
      <c r="N197" s="618"/>
      <c r="O197" s="238">
        <f t="shared" ref="O197" si="125">SUM(O156)</f>
        <v>1396.8021189769413</v>
      </c>
      <c r="P197" s="620"/>
      <c r="Q197" s="238">
        <f t="shared" si="124"/>
        <v>1470.0476900000001</v>
      </c>
      <c r="R197" s="621"/>
      <c r="S197" s="911"/>
      <c r="T197" s="978">
        <v>1604.7244891511405</v>
      </c>
      <c r="U197" s="1277">
        <f t="shared" si="124"/>
        <v>1653.4229162230411</v>
      </c>
      <c r="V197" s="931">
        <f>+'Resp Stf DR40 suppl att A gas'!D194</f>
        <v>1653.4229162230411</v>
      </c>
      <c r="W197" s="1041"/>
      <c r="X197" s="622"/>
      <c r="Y197" s="618">
        <f t="shared" si="124"/>
        <v>1782.4145004436173</v>
      </c>
      <c r="Z197" s="618">
        <f t="shared" si="124"/>
        <v>1894.0225354804586</v>
      </c>
      <c r="AA197" s="618">
        <f t="shared" si="124"/>
        <v>2023.1619709651234</v>
      </c>
      <c r="AB197" s="618">
        <f t="shared" si="124"/>
        <v>2132.8536508209086</v>
      </c>
    </row>
    <row r="198" spans="1:28" s="246" customFormat="1" ht="12.75">
      <c r="A198" s="288">
        <v>186</v>
      </c>
      <c r="B198" s="220" t="s">
        <v>200</v>
      </c>
      <c r="C198" s="207"/>
      <c r="D198" s="238">
        <f>SUM(D174)</f>
        <v>1651.2090986008304</v>
      </c>
      <c r="E198" s="276"/>
      <c r="F198" s="238">
        <f>SUM(F174)</f>
        <v>1791.0314800000001</v>
      </c>
      <c r="G198" s="276"/>
      <c r="H198" s="238">
        <f t="shared" ref="H198:J198" si="126">SUM(H174)</f>
        <v>2030.6547399999999</v>
      </c>
      <c r="I198" s="285"/>
      <c r="J198" s="238">
        <f t="shared" si="126"/>
        <v>2137.1771711399883</v>
      </c>
      <c r="K198" s="238"/>
      <c r="L198" s="619"/>
      <c r="M198" s="238">
        <f t="shared" ref="M198:AB198" si="127">SUM(M174)</f>
        <v>2378.8604999999998</v>
      </c>
      <c r="N198" s="618"/>
      <c r="O198" s="238">
        <f t="shared" ref="O198" si="128">SUM(O174)</f>
        <v>2651</v>
      </c>
      <c r="P198" s="238"/>
      <c r="Q198" s="238">
        <f t="shared" si="127"/>
        <v>3184.1441200000004</v>
      </c>
      <c r="R198" s="621"/>
      <c r="S198" s="916"/>
      <c r="T198" s="983">
        <v>3429.0528845836297</v>
      </c>
      <c r="U198" s="1277">
        <f t="shared" si="127"/>
        <v>3684.4137089105516</v>
      </c>
      <c r="V198" s="931">
        <f>+'Resp Stf DR40 suppl att A gas'!D195</f>
        <v>3684.4137089105516</v>
      </c>
      <c r="W198" s="1041"/>
      <c r="X198" s="622"/>
      <c r="Y198" s="618">
        <f t="shared" si="127"/>
        <v>3908.3830405804906</v>
      </c>
      <c r="Z198" s="618">
        <f t="shared" si="127"/>
        <v>4085.9354596395065</v>
      </c>
      <c r="AA198" s="618">
        <f t="shared" si="127"/>
        <v>4268.9727443146085</v>
      </c>
      <c r="AB198" s="618">
        <f t="shared" si="127"/>
        <v>4532.9687184719651</v>
      </c>
    </row>
    <row r="199" spans="1:28" s="246" customFormat="1" ht="12.75">
      <c r="A199" s="288">
        <v>187</v>
      </c>
      <c r="B199" s="213" t="s">
        <v>125</v>
      </c>
      <c r="C199" s="207"/>
      <c r="D199" s="630">
        <v>0</v>
      </c>
      <c r="E199" s="276"/>
      <c r="F199" s="630">
        <v>0</v>
      </c>
      <c r="G199" s="276"/>
      <c r="H199" s="630">
        <v>0</v>
      </c>
      <c r="I199" s="285"/>
      <c r="J199" s="630">
        <v>0</v>
      </c>
      <c r="K199" s="630"/>
      <c r="L199" s="631"/>
      <c r="M199" s="630">
        <v>0</v>
      </c>
      <c r="N199" s="632"/>
      <c r="O199" s="630">
        <v>0</v>
      </c>
      <c r="P199" s="632"/>
      <c r="Q199" s="634">
        <v>0</v>
      </c>
      <c r="R199" s="483"/>
      <c r="S199" s="917"/>
      <c r="T199" s="984">
        <v>0</v>
      </c>
      <c r="U199" s="1280">
        <v>0</v>
      </c>
      <c r="V199" s="933"/>
      <c r="W199" s="1059"/>
      <c r="X199" s="572"/>
      <c r="Y199" s="632">
        <v>0</v>
      </c>
      <c r="Z199" s="632">
        <v>0</v>
      </c>
      <c r="AA199" s="632">
        <v>0</v>
      </c>
      <c r="AB199" s="632">
        <v>0</v>
      </c>
    </row>
    <row r="200" spans="1:28" s="246" customFormat="1" ht="12.75">
      <c r="A200" s="288">
        <v>188</v>
      </c>
      <c r="B200" s="220" t="s">
        <v>197</v>
      </c>
      <c r="C200" s="207"/>
      <c r="D200" s="238"/>
      <c r="E200" s="276"/>
      <c r="F200" s="238"/>
      <c r="G200" s="276"/>
      <c r="H200" s="238"/>
      <c r="I200" s="285"/>
      <c r="J200" s="238"/>
      <c r="K200" s="618"/>
      <c r="L200" s="619"/>
      <c r="M200" s="238"/>
      <c r="N200" s="618"/>
      <c r="O200" s="238"/>
      <c r="P200" s="618"/>
      <c r="Q200" s="618"/>
      <c r="R200" s="621"/>
      <c r="S200" s="912"/>
      <c r="T200" s="979"/>
      <c r="U200" s="1277"/>
      <c r="V200" s="931"/>
      <c r="W200" s="1041"/>
      <c r="X200" s="626"/>
      <c r="Y200" s="618"/>
      <c r="Z200" s="618"/>
      <c r="AA200" s="618"/>
      <c r="AB200" s="618"/>
    </row>
    <row r="201" spans="1:28" s="246" customFormat="1" ht="12.75">
      <c r="A201" s="288">
        <v>189</v>
      </c>
      <c r="B201" s="213"/>
      <c r="C201" s="207"/>
      <c r="D201" s="630">
        <f>SUM(D196:D198)</f>
        <v>4296.9167389914646</v>
      </c>
      <c r="E201" s="276"/>
      <c r="F201" s="630">
        <f>SUM(F196:F198)</f>
        <v>4586.8651781554108</v>
      </c>
      <c r="G201" s="276"/>
      <c r="H201" s="630">
        <f t="shared" ref="H201:J201" si="129">SUM(H196:H198)</f>
        <v>5381.658967623669</v>
      </c>
      <c r="I201" s="285"/>
      <c r="J201" s="630">
        <f t="shared" si="129"/>
        <v>5836.652431139988</v>
      </c>
      <c r="K201" s="632"/>
      <c r="L201" s="631"/>
      <c r="M201" s="630">
        <f t="shared" ref="M201:AB201" si="130">SUM(M196:M198)</f>
        <v>6656.9436187574665</v>
      </c>
      <c r="N201" s="632"/>
      <c r="O201" s="630">
        <f t="shared" ref="O201" si="131">SUM(O196:O198)</f>
        <v>6826.5169189769413</v>
      </c>
      <c r="P201" s="632"/>
      <c r="Q201" s="632">
        <f t="shared" si="130"/>
        <v>7377.2878482527303</v>
      </c>
      <c r="R201" s="483"/>
      <c r="S201" s="917"/>
      <c r="T201" s="984">
        <v>8142.9677406582032</v>
      </c>
      <c r="U201" s="1280">
        <f t="shared" si="130"/>
        <v>8253.2841110261215</v>
      </c>
      <c r="V201" s="1031">
        <f t="shared" si="130"/>
        <v>8253.2841110261215</v>
      </c>
      <c r="W201" s="1059"/>
      <c r="X201" s="572"/>
      <c r="Y201" s="632">
        <f t="shared" si="130"/>
        <v>8864.2642073370607</v>
      </c>
      <c r="Z201" s="632">
        <f t="shared" si="130"/>
        <v>9379.1673096964187</v>
      </c>
      <c r="AA201" s="632">
        <f t="shared" si="130"/>
        <v>9952.5463541506579</v>
      </c>
      <c r="AB201" s="632">
        <f t="shared" si="130"/>
        <v>10548.100563693992</v>
      </c>
    </row>
    <row r="202" spans="1:28" s="246" customFormat="1" ht="12.75">
      <c r="A202" s="288">
        <v>190</v>
      </c>
      <c r="B202" s="213" t="s">
        <v>201</v>
      </c>
      <c r="C202" s="207"/>
      <c r="D202" s="238"/>
      <c r="E202" s="276"/>
      <c r="F202" s="238"/>
      <c r="G202" s="276"/>
      <c r="H202" s="238"/>
      <c r="I202" s="285"/>
      <c r="J202" s="238"/>
      <c r="K202" s="618"/>
      <c r="L202" s="619"/>
      <c r="M202" s="1279"/>
      <c r="N202" s="618"/>
      <c r="O202" s="238"/>
      <c r="P202" s="618"/>
      <c r="Q202" s="618"/>
      <c r="R202" s="621"/>
      <c r="S202" s="912"/>
      <c r="T202" s="979"/>
      <c r="U202" s="1277"/>
      <c r="V202" s="931"/>
      <c r="W202" s="1041"/>
      <c r="X202" s="626"/>
      <c r="Y202" s="618"/>
      <c r="Z202" s="618"/>
      <c r="AA202" s="618"/>
      <c r="AB202" s="618"/>
    </row>
    <row r="203" spans="1:28" s="246" customFormat="1" ht="13.5" thickBot="1">
      <c r="A203" s="288">
        <v>191</v>
      </c>
      <c r="B203" s="213"/>
      <c r="C203" s="207"/>
      <c r="D203" s="1205">
        <f>SUM(D192+D201)</f>
        <v>23237.643218698864</v>
      </c>
      <c r="E203" s="276"/>
      <c r="F203" s="1205">
        <f>SUM(F192+F201)</f>
        <v>25765.236066835983</v>
      </c>
      <c r="G203" s="276"/>
      <c r="H203" s="1205">
        <f t="shared" ref="H203:J203" si="132">SUM(H192+H201)</f>
        <v>27849.381538943788</v>
      </c>
      <c r="I203" s="285"/>
      <c r="J203" s="1205">
        <f t="shared" si="132"/>
        <v>31059.193789503879</v>
      </c>
      <c r="K203" s="637"/>
      <c r="L203" s="638"/>
      <c r="M203" s="1205">
        <f t="shared" ref="M203:AB203" si="133">SUM(M192+M201)</f>
        <v>34378.781600945462</v>
      </c>
      <c r="N203" s="637"/>
      <c r="O203" s="1205">
        <f t="shared" ref="O203" si="134">SUM(O192+O201)</f>
        <v>36324.24510707947</v>
      </c>
      <c r="P203" s="637"/>
      <c r="Q203" s="637">
        <f t="shared" si="133"/>
        <v>38006.714318933009</v>
      </c>
      <c r="R203" s="389"/>
      <c r="S203" s="918"/>
      <c r="T203" s="985">
        <v>41627.856784984098</v>
      </c>
      <c r="U203" s="1281">
        <f t="shared" si="133"/>
        <v>40508.043587724649</v>
      </c>
      <c r="V203" s="1032">
        <f t="shared" si="133"/>
        <v>40508.043587724649</v>
      </c>
      <c r="W203" s="1046"/>
      <c r="X203" s="640"/>
      <c r="Y203" s="637">
        <f t="shared" si="133"/>
        <v>42575.299417677546</v>
      </c>
      <c r="Z203" s="637">
        <f t="shared" si="133"/>
        <v>43831.467315477494</v>
      </c>
      <c r="AA203" s="637">
        <f t="shared" si="133"/>
        <v>46180.956023545456</v>
      </c>
      <c r="AB203" s="637">
        <f t="shared" si="133"/>
        <v>48760.813370467062</v>
      </c>
    </row>
    <row r="204" spans="1:28" s="246" customFormat="1" ht="13.5" thickTop="1">
      <c r="A204" s="288">
        <v>192</v>
      </c>
      <c r="B204" s="868"/>
      <c r="C204" s="1282"/>
      <c r="D204" s="642"/>
      <c r="E204" s="1265"/>
      <c r="F204" s="643"/>
      <c r="G204" s="1265"/>
      <c r="H204" s="644"/>
      <c r="I204" s="285"/>
      <c r="J204" s="645"/>
      <c r="K204" s="645"/>
      <c r="L204" s="646"/>
      <c r="M204" s="647"/>
      <c r="N204" s="645"/>
      <c r="O204" s="645"/>
      <c r="P204" s="645"/>
      <c r="Q204" s="645"/>
      <c r="R204" s="648"/>
      <c r="S204" s="645"/>
      <c r="T204" s="648"/>
      <c r="U204" s="645"/>
      <c r="V204" s="649"/>
      <c r="W204" s="818"/>
      <c r="X204" s="648"/>
      <c r="Y204" s="645"/>
      <c r="Z204" s="645"/>
      <c r="AA204" s="645"/>
      <c r="AB204" s="645"/>
    </row>
    <row r="205" spans="1:28" ht="12.75">
      <c r="A205" s="101">
        <v>193</v>
      </c>
      <c r="B205" s="111"/>
      <c r="C205" s="275"/>
      <c r="D205" s="650"/>
      <c r="E205" s="280"/>
      <c r="F205" s="650"/>
      <c r="G205" s="280"/>
      <c r="H205" s="651"/>
      <c r="I205" s="85"/>
      <c r="J205" s="651"/>
      <c r="K205" s="651"/>
      <c r="L205" s="652"/>
      <c r="M205" s="651"/>
      <c r="N205" s="651"/>
      <c r="O205" s="651"/>
      <c r="P205" s="651"/>
      <c r="Q205" s="651"/>
      <c r="R205" s="653"/>
      <c r="S205" s="651"/>
      <c r="T205" s="654"/>
      <c r="U205" s="651"/>
      <c r="V205" s="649"/>
      <c r="W205" s="818"/>
      <c r="X205" s="654"/>
      <c r="Y205" s="651"/>
      <c r="Z205" s="651"/>
      <c r="AA205" s="651"/>
      <c r="AB205" s="651"/>
    </row>
    <row r="206" spans="1:28" ht="12.75">
      <c r="A206" s="101">
        <v>194</v>
      </c>
      <c r="B206" s="111"/>
      <c r="C206" s="275"/>
      <c r="D206" s="655"/>
      <c r="E206" s="280"/>
      <c r="F206" s="656"/>
      <c r="G206" s="280"/>
      <c r="H206" s="657"/>
      <c r="I206" s="85"/>
      <c r="J206" s="657"/>
      <c r="K206" s="657"/>
      <c r="L206" s="652"/>
      <c r="M206" s="657"/>
      <c r="N206" s="657"/>
      <c r="O206" s="657"/>
      <c r="P206" s="657"/>
      <c r="Q206" s="657" t="s">
        <v>294</v>
      </c>
      <c r="R206" s="658"/>
      <c r="S206" s="657"/>
      <c r="T206" s="659" t="s">
        <v>294</v>
      </c>
      <c r="U206" s="657" t="s">
        <v>294</v>
      </c>
      <c r="V206" s="610"/>
      <c r="W206" s="819"/>
      <c r="X206" s="659"/>
      <c r="Y206" s="657" t="s">
        <v>294</v>
      </c>
      <c r="Z206" s="657" t="s">
        <v>294</v>
      </c>
      <c r="AA206" s="657" t="s">
        <v>294</v>
      </c>
      <c r="AB206" s="657" t="s">
        <v>294</v>
      </c>
    </row>
    <row r="207" spans="1:28" ht="12.75">
      <c r="A207" s="101">
        <v>195</v>
      </c>
      <c r="B207" s="660"/>
      <c r="C207" s="641"/>
      <c r="D207" s="661" t="e">
        <f>SUM(D203-#REF!)</f>
        <v>#REF!</v>
      </c>
      <c r="E207" s="591"/>
      <c r="F207" s="662">
        <f>SUM(F203-D203)</f>
        <v>2527.5928481371193</v>
      </c>
      <c r="G207" s="591"/>
      <c r="H207" s="662">
        <f>SUM(H203-F203)</f>
        <v>2084.1454721078044</v>
      </c>
      <c r="I207" s="592"/>
      <c r="J207" s="662">
        <f>SUM(J203-H203)</f>
        <v>3209.8122505600913</v>
      </c>
      <c r="K207" s="662"/>
      <c r="L207" s="663"/>
      <c r="M207" s="662">
        <f>SUM(M203-J203)</f>
        <v>3319.5878114415827</v>
      </c>
      <c r="N207" s="662"/>
      <c r="O207" s="662">
        <f>SUM(O203-M203)</f>
        <v>1945.4635061340086</v>
      </c>
      <c r="P207" s="662"/>
      <c r="Q207" s="662">
        <f>SUM(Q203-O203)</f>
        <v>1682.4692118535386</v>
      </c>
      <c r="R207" s="664"/>
      <c r="S207" s="662"/>
      <c r="T207" s="664">
        <v>3517.8276328487627</v>
      </c>
      <c r="U207" s="662">
        <f>SUM(U203-Q203)</f>
        <v>2501.3292687916401</v>
      </c>
      <c r="V207" s="665"/>
      <c r="W207" s="820"/>
      <c r="X207" s="664"/>
      <c r="Y207" s="662">
        <f>SUM(Y203-U203)</f>
        <v>2067.2558299528973</v>
      </c>
      <c r="Z207" s="662">
        <f t="shared" ref="Z207:AB207" si="135">SUM(Z203-Y203)</f>
        <v>1256.1678977999472</v>
      </c>
      <c r="AA207" s="662">
        <f t="shared" si="135"/>
        <v>2349.4887080679619</v>
      </c>
      <c r="AB207" s="662">
        <f t="shared" si="135"/>
        <v>2579.8573469216062</v>
      </c>
    </row>
    <row r="208" spans="1:28" ht="12.75">
      <c r="H208" s="666"/>
      <c r="J208" s="666"/>
      <c r="K208" s="666"/>
      <c r="L208" s="667"/>
      <c r="M208" s="666"/>
      <c r="N208" s="666"/>
      <c r="O208" s="666"/>
      <c r="P208" s="666"/>
      <c r="Q208" s="666"/>
      <c r="R208" s="668"/>
      <c r="S208" s="666"/>
      <c r="T208" s="668"/>
      <c r="U208" s="666"/>
      <c r="V208" s="669"/>
      <c r="W208" s="821"/>
      <c r="X208" s="668"/>
    </row>
  </sheetData>
  <mergeCells count="1">
    <mergeCell ref="W36:X36"/>
  </mergeCells>
  <pageMargins left="0.28999999999999998" right="0.22" top="0.54" bottom="0.27" header="0.17" footer="0.17"/>
  <pageSetup scale="56" fitToWidth="4" fitToHeight="3" orientation="landscape" r:id="rId1"/>
  <headerFooter scaleWithDoc="0">
    <oddHeader xml:space="preserve">&amp;R
Avista Property Tax - Rebuttal
Exh AIW-2
Dockets UE-170485 / UG-170486
</oddHeader>
  </headerFooter>
  <rowBreaks count="3" manualBreakCount="3">
    <brk id="59" max="24" man="1"/>
    <brk id="121" max="24" man="1"/>
    <brk id="175" max="24" man="1"/>
  </rowBreaks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T101"/>
  <sheetViews>
    <sheetView zoomScale="70" zoomScaleNormal="70" workbookViewId="0">
      <selection activeCell="F10" sqref="F10"/>
    </sheetView>
  </sheetViews>
  <sheetFormatPr defaultColWidth="10.7109375" defaultRowHeight="12.75"/>
  <cols>
    <col min="1" max="1" width="5.7109375" style="749" customWidth="1"/>
    <col min="2" max="3" width="1.7109375" style="750" customWidth="1"/>
    <col min="4" max="4" width="34.42578125" style="750" customWidth="1"/>
    <col min="5" max="5" width="12.85546875" style="751" hidden="1" customWidth="1"/>
    <col min="6" max="6" width="12.140625" style="751" customWidth="1"/>
    <col min="7" max="7" width="11.28515625" customWidth="1"/>
    <col min="8" max="8" width="13.85546875" customWidth="1"/>
    <col min="9" max="9" width="14.7109375" customWidth="1"/>
    <col min="10" max="10" width="14.5703125" customWidth="1"/>
    <col min="11" max="11" width="8.85546875" bestFit="1" customWidth="1"/>
    <col min="12" max="12" width="11" bestFit="1" customWidth="1"/>
    <col min="13" max="13" width="11.42578125" bestFit="1" customWidth="1"/>
    <col min="14" max="14" width="12.7109375" customWidth="1"/>
    <col min="21" max="16384" width="10.7109375" style="750"/>
  </cols>
  <sheetData>
    <row r="2" spans="1:20" ht="12.75" customHeight="1">
      <c r="A2" s="752" t="s">
        <v>473</v>
      </c>
      <c r="F2" s="753"/>
    </row>
    <row r="3" spans="1:20" ht="12.75" customHeight="1">
      <c r="A3" s="752" t="s">
        <v>440</v>
      </c>
      <c r="E3" s="754" t="s">
        <v>303</v>
      </c>
      <c r="F3" s="687"/>
    </row>
    <row r="4" spans="1:20" ht="12.75" customHeight="1">
      <c r="A4" s="752" t="s">
        <v>305</v>
      </c>
      <c r="E4" s="754" t="s">
        <v>304</v>
      </c>
      <c r="F4" s="755"/>
    </row>
    <row r="5" spans="1:20" s="757" customFormat="1" ht="12" customHeight="1">
      <c r="A5" s="752" t="s">
        <v>474</v>
      </c>
      <c r="B5" s="749"/>
      <c r="C5" s="749"/>
      <c r="D5" s="749"/>
      <c r="E5" s="756"/>
      <c r="F5" s="755"/>
      <c r="G5"/>
      <c r="H5"/>
      <c r="I5"/>
      <c r="J5"/>
      <c r="K5"/>
      <c r="L5"/>
      <c r="M5"/>
      <c r="N5"/>
      <c r="O5"/>
      <c r="P5"/>
      <c r="Q5"/>
      <c r="R5"/>
      <c r="S5"/>
      <c r="T5"/>
    </row>
    <row r="6" spans="1:20" ht="12.75" customHeight="1">
      <c r="E6" s="686"/>
      <c r="F6" s="759"/>
    </row>
    <row r="7" spans="1:20" s="761" customFormat="1" ht="13.5" customHeight="1">
      <c r="A7" s="760"/>
      <c r="D7" s="762"/>
      <c r="E7" s="762"/>
      <c r="F7" s="764"/>
      <c r="G7"/>
      <c r="H7"/>
      <c r="I7"/>
      <c r="J7"/>
      <c r="K7"/>
      <c r="L7"/>
      <c r="M7"/>
      <c r="N7"/>
      <c r="O7"/>
      <c r="P7"/>
      <c r="Q7"/>
      <c r="R7"/>
      <c r="S7"/>
      <c r="T7"/>
    </row>
    <row r="8" spans="1:20" s="761" customFormat="1" ht="12" customHeight="1">
      <c r="A8" s="765"/>
      <c r="B8" s="766"/>
      <c r="C8" s="767"/>
      <c r="D8" s="768"/>
      <c r="E8" s="769" t="s">
        <v>374</v>
      </c>
      <c r="F8" s="770" t="s">
        <v>309</v>
      </c>
      <c r="G8"/>
      <c r="H8"/>
      <c r="I8"/>
      <c r="J8"/>
      <c r="K8"/>
      <c r="L8"/>
      <c r="M8"/>
      <c r="N8"/>
      <c r="O8"/>
      <c r="P8"/>
      <c r="Q8"/>
      <c r="R8"/>
      <c r="S8"/>
      <c r="T8"/>
    </row>
    <row r="9" spans="1:20" s="761" customFormat="1">
      <c r="A9" s="771" t="s">
        <v>310</v>
      </c>
      <c r="B9" s="772"/>
      <c r="C9" s="773"/>
      <c r="D9" s="774"/>
      <c r="E9" s="684" t="s">
        <v>375</v>
      </c>
      <c r="F9" s="775" t="s">
        <v>312</v>
      </c>
      <c r="G9"/>
      <c r="H9"/>
      <c r="I9"/>
      <c r="J9"/>
      <c r="K9"/>
      <c r="L9"/>
      <c r="M9"/>
      <c r="N9"/>
      <c r="O9"/>
      <c r="P9"/>
      <c r="Q9"/>
      <c r="R9"/>
      <c r="S9"/>
      <c r="T9"/>
    </row>
    <row r="10" spans="1:20" s="761" customFormat="1">
      <c r="A10" s="776" t="s">
        <v>313</v>
      </c>
      <c r="B10" s="777"/>
      <c r="C10" s="778"/>
      <c r="D10" s="779" t="s">
        <v>314</v>
      </c>
      <c r="E10" s="780" t="s">
        <v>376</v>
      </c>
      <c r="F10" s="781" t="s">
        <v>317</v>
      </c>
      <c r="G10"/>
      <c r="H10"/>
      <c r="I10"/>
      <c r="J10"/>
      <c r="K10"/>
      <c r="L10"/>
      <c r="M10"/>
      <c r="N10"/>
      <c r="O10"/>
      <c r="P10"/>
      <c r="Q10"/>
      <c r="R10"/>
      <c r="S10"/>
      <c r="T10"/>
    </row>
    <row r="11" spans="1:20" s="761" customFormat="1">
      <c r="A11" s="760"/>
      <c r="B11" s="782" t="s">
        <v>377</v>
      </c>
      <c r="E11" s="783">
        <v>1</v>
      </c>
      <c r="F11" s="784">
        <v>3.06</v>
      </c>
      <c r="G11"/>
      <c r="H11"/>
      <c r="I11"/>
      <c r="J11"/>
      <c r="K11"/>
      <c r="L11"/>
      <c r="M11"/>
      <c r="N11"/>
      <c r="O11"/>
      <c r="P11"/>
      <c r="Q11"/>
      <c r="R11"/>
      <c r="S11"/>
      <c r="T11"/>
    </row>
    <row r="12" spans="1:20" s="761" customFormat="1" ht="13.5" customHeight="1">
      <c r="A12" s="760"/>
      <c r="B12" s="782" t="s">
        <v>319</v>
      </c>
      <c r="E12" s="686" t="s">
        <v>378</v>
      </c>
      <c r="F12" s="686" t="s">
        <v>380</v>
      </c>
      <c r="G12"/>
      <c r="H12"/>
      <c r="I12"/>
      <c r="J12"/>
      <c r="K12"/>
      <c r="L12"/>
      <c r="M12"/>
      <c r="N12"/>
      <c r="O12"/>
      <c r="P12"/>
      <c r="Q12"/>
      <c r="R12"/>
      <c r="S12"/>
      <c r="T12"/>
    </row>
    <row r="13" spans="1:20" ht="6" customHeight="1"/>
    <row r="14" spans="1:20">
      <c r="B14" s="750" t="s">
        <v>381</v>
      </c>
    </row>
    <row r="15" spans="1:20" s="786" customFormat="1">
      <c r="A15" s="749">
        <v>1</v>
      </c>
      <c r="B15" s="786" t="s">
        <v>382</v>
      </c>
      <c r="E15" s="787">
        <v>146098</v>
      </c>
      <c r="F15" s="788">
        <v>0</v>
      </c>
      <c r="G15"/>
      <c r="H15"/>
      <c r="I15"/>
      <c r="J15"/>
      <c r="K15"/>
      <c r="L15"/>
      <c r="M15"/>
      <c r="N15"/>
      <c r="O15"/>
      <c r="P15"/>
      <c r="Q15"/>
      <c r="R15"/>
      <c r="S15"/>
      <c r="T15"/>
    </row>
    <row r="16" spans="1:20">
      <c r="A16" s="749">
        <v>2</v>
      </c>
      <c r="B16" s="789" t="s">
        <v>383</v>
      </c>
      <c r="D16" s="789"/>
      <c r="E16" s="790">
        <v>4595</v>
      </c>
      <c r="F16" s="791">
        <v>0</v>
      </c>
    </row>
    <row r="17" spans="1:6">
      <c r="A17" s="749">
        <v>3</v>
      </c>
      <c r="B17" s="789" t="s">
        <v>384</v>
      </c>
      <c r="D17" s="789"/>
      <c r="E17" s="793">
        <v>69723</v>
      </c>
      <c r="F17" s="794">
        <v>0</v>
      </c>
    </row>
    <row r="18" spans="1:6">
      <c r="A18" s="749">
        <v>4</v>
      </c>
      <c r="B18" s="750" t="s">
        <v>385</v>
      </c>
      <c r="C18" s="789"/>
      <c r="D18" s="789"/>
      <c r="E18" s="790">
        <v>220416</v>
      </c>
      <c r="F18" s="790">
        <f t="shared" ref="F18" si="0">SUM(F15:F17)</f>
        <v>0</v>
      </c>
    </row>
    <row r="19" spans="1:6">
      <c r="C19" s="789"/>
      <c r="D19" s="789"/>
      <c r="E19" s="790"/>
      <c r="F19" s="791"/>
    </row>
    <row r="20" spans="1:6">
      <c r="B20" s="750" t="s">
        <v>386</v>
      </c>
      <c r="C20" s="789"/>
      <c r="D20" s="789"/>
      <c r="E20" s="790"/>
      <c r="F20" s="791"/>
    </row>
    <row r="21" spans="1:6">
      <c r="B21" s="789" t="s">
        <v>387</v>
      </c>
      <c r="D21" s="789"/>
      <c r="E21" s="790"/>
      <c r="F21" s="791"/>
    </row>
    <row r="22" spans="1:6">
      <c r="A22" s="749">
        <v>5</v>
      </c>
      <c r="C22" s="789" t="s">
        <v>388</v>
      </c>
      <c r="D22" s="789"/>
      <c r="E22" s="790">
        <v>112605</v>
      </c>
      <c r="F22" s="791">
        <v>0</v>
      </c>
    </row>
    <row r="23" spans="1:6">
      <c r="A23" s="749">
        <v>6</v>
      </c>
      <c r="C23" s="789" t="s">
        <v>389</v>
      </c>
      <c r="D23" s="789"/>
      <c r="E23" s="790">
        <v>988</v>
      </c>
      <c r="F23" s="791">
        <v>0</v>
      </c>
    </row>
    <row r="24" spans="1:6">
      <c r="A24" s="749">
        <v>7</v>
      </c>
      <c r="C24" s="789" t="s">
        <v>390</v>
      </c>
      <c r="D24" s="789"/>
      <c r="E24" s="793">
        <v>2932</v>
      </c>
      <c r="F24" s="794">
        <v>0</v>
      </c>
    </row>
    <row r="25" spans="1:6">
      <c r="A25" s="749">
        <v>8</v>
      </c>
      <c r="B25" s="789" t="s">
        <v>391</v>
      </c>
      <c r="C25" s="789"/>
      <c r="E25" s="795">
        <v>116525</v>
      </c>
      <c r="F25" s="795">
        <f t="shared" ref="F25" si="1">SUM(F22:F24)</f>
        <v>0</v>
      </c>
    </row>
    <row r="26" spans="1:6">
      <c r="B26" s="789"/>
      <c r="C26" s="789"/>
      <c r="E26" s="790"/>
      <c r="F26" s="795"/>
    </row>
    <row r="27" spans="1:6">
      <c r="B27" s="789" t="s">
        <v>392</v>
      </c>
      <c r="D27" s="789"/>
      <c r="E27" s="790"/>
      <c r="F27" s="791"/>
    </row>
    <row r="28" spans="1:6">
      <c r="A28" s="749">
        <v>9</v>
      </c>
      <c r="C28" s="789" t="s">
        <v>393</v>
      </c>
      <c r="D28" s="789"/>
      <c r="E28" s="790">
        <v>974</v>
      </c>
      <c r="F28" s="791">
        <v>0</v>
      </c>
    </row>
    <row r="29" spans="1:6">
      <c r="A29" s="749">
        <v>10</v>
      </c>
      <c r="C29" s="789" t="s">
        <v>339</v>
      </c>
      <c r="D29" s="789"/>
      <c r="E29" s="790">
        <v>492</v>
      </c>
      <c r="F29" s="791">
        <v>0</v>
      </c>
    </row>
    <row r="30" spans="1:6">
      <c r="A30" s="749">
        <v>11</v>
      </c>
      <c r="C30" s="789" t="s">
        <v>316</v>
      </c>
      <c r="D30" s="789"/>
      <c r="E30" s="793">
        <v>210</v>
      </c>
      <c r="F30" s="794">
        <f>+'Gas 2.02Restate 3.06Proforma'!I73/1000</f>
        <v>38.66472513940834</v>
      </c>
    </row>
    <row r="31" spans="1:6">
      <c r="A31" s="749">
        <v>12</v>
      </c>
      <c r="B31" s="789" t="s">
        <v>394</v>
      </c>
      <c r="C31" s="789"/>
      <c r="E31" s="790">
        <v>1676</v>
      </c>
      <c r="F31" s="795">
        <f t="shared" ref="F31" si="2">SUM(F28:F30)</f>
        <v>38.66472513940834</v>
      </c>
    </row>
    <row r="32" spans="1:6">
      <c r="B32" s="789"/>
      <c r="C32" s="789"/>
      <c r="E32" s="790"/>
      <c r="F32" s="795"/>
    </row>
    <row r="33" spans="1:6">
      <c r="B33" s="789" t="s">
        <v>395</v>
      </c>
      <c r="D33" s="789"/>
      <c r="E33" s="790"/>
      <c r="F33" s="791"/>
    </row>
    <row r="34" spans="1:6">
      <c r="A34" s="749">
        <v>13</v>
      </c>
      <c r="C34" s="789" t="s">
        <v>393</v>
      </c>
      <c r="D34" s="789"/>
      <c r="E34" s="790">
        <v>12049</v>
      </c>
      <c r="F34" s="791">
        <v>0</v>
      </c>
    </row>
    <row r="35" spans="1:6" ht="15.75" customHeight="1">
      <c r="A35" s="749">
        <v>14</v>
      </c>
      <c r="C35" s="789" t="s">
        <v>339</v>
      </c>
      <c r="D35" s="789"/>
      <c r="E35" s="795">
        <v>9866</v>
      </c>
      <c r="F35" s="791">
        <v>0</v>
      </c>
    </row>
    <row r="36" spans="1:6">
      <c r="A36" s="749">
        <v>15</v>
      </c>
      <c r="C36" s="789" t="s">
        <v>316</v>
      </c>
      <c r="D36" s="789"/>
      <c r="E36" s="793">
        <v>12807</v>
      </c>
      <c r="F36" s="794">
        <f>+'Gas 2.02Restate 3.06Proforma'!I76/1000</f>
        <v>389.69519475599287</v>
      </c>
    </row>
    <row r="37" spans="1:6" ht="12.95" customHeight="1">
      <c r="A37" s="749">
        <v>16</v>
      </c>
      <c r="B37" s="789" t="s">
        <v>396</v>
      </c>
      <c r="C37" s="789"/>
      <c r="E37" s="790">
        <v>34722</v>
      </c>
      <c r="F37" s="795">
        <f t="shared" ref="F37" si="3">SUM(F34:F36)</f>
        <v>389.69519475599287</v>
      </c>
    </row>
    <row r="38" spans="1:6" ht="12.95" customHeight="1">
      <c r="C38" s="789"/>
      <c r="D38" s="789"/>
      <c r="E38" s="790"/>
      <c r="F38" s="795"/>
    </row>
    <row r="39" spans="1:6" ht="12.95" customHeight="1">
      <c r="A39" s="749">
        <v>17</v>
      </c>
      <c r="B39" s="750" t="s">
        <v>397</v>
      </c>
      <c r="C39" s="789"/>
      <c r="D39" s="789"/>
      <c r="E39" s="790">
        <v>7352</v>
      </c>
      <c r="F39" s="791"/>
    </row>
    <row r="40" spans="1:6">
      <c r="A40" s="749">
        <v>18</v>
      </c>
      <c r="B40" s="750" t="s">
        <v>398</v>
      </c>
      <c r="C40" s="789"/>
      <c r="D40" s="789"/>
      <c r="E40" s="790">
        <v>7595</v>
      </c>
      <c r="F40" s="791">
        <v>0</v>
      </c>
    </row>
    <row r="41" spans="1:6">
      <c r="A41" s="749">
        <v>19</v>
      </c>
      <c r="B41" s="750" t="s">
        <v>399</v>
      </c>
      <c r="C41" s="789"/>
      <c r="D41" s="789"/>
      <c r="E41" s="790">
        <v>0</v>
      </c>
      <c r="F41" s="791">
        <v>0</v>
      </c>
    </row>
    <row r="42" spans="1:6">
      <c r="C42" s="789"/>
      <c r="D42" s="789"/>
      <c r="E42" s="790"/>
      <c r="F42" s="791"/>
    </row>
    <row r="43" spans="1:6">
      <c r="B43" s="750" t="s">
        <v>400</v>
      </c>
      <c r="C43" s="789"/>
      <c r="D43" s="789"/>
      <c r="E43" s="790"/>
      <c r="F43" s="791"/>
    </row>
    <row r="44" spans="1:6">
      <c r="A44" s="749">
        <v>20</v>
      </c>
      <c r="C44" s="789" t="s">
        <v>393</v>
      </c>
      <c r="D44" s="789"/>
      <c r="E44" s="790">
        <v>13763</v>
      </c>
      <c r="F44" s="791">
        <v>0</v>
      </c>
    </row>
    <row r="45" spans="1:6">
      <c r="A45" s="749">
        <v>21</v>
      </c>
      <c r="C45" s="789" t="s">
        <v>339</v>
      </c>
      <c r="D45" s="789"/>
      <c r="E45" s="790">
        <v>6260</v>
      </c>
      <c r="F45" s="791">
        <v>0</v>
      </c>
    </row>
    <row r="46" spans="1:6">
      <c r="A46" s="749">
        <v>22</v>
      </c>
      <c r="C46" s="796" t="s">
        <v>401</v>
      </c>
      <c r="D46" s="789"/>
      <c r="E46" s="790">
        <v>0</v>
      </c>
      <c r="F46" s="791"/>
    </row>
    <row r="47" spans="1:6">
      <c r="A47" s="749">
        <v>23</v>
      </c>
      <c r="C47" s="789" t="s">
        <v>316</v>
      </c>
      <c r="D47" s="789"/>
      <c r="E47" s="793">
        <v>0</v>
      </c>
      <c r="F47" s="794">
        <v>0</v>
      </c>
    </row>
    <row r="48" spans="1:6">
      <c r="A48" s="749">
        <v>24</v>
      </c>
      <c r="B48" s="789" t="s">
        <v>402</v>
      </c>
      <c r="C48" s="789"/>
      <c r="E48" s="793">
        <v>20023</v>
      </c>
      <c r="F48" s="793">
        <f t="shared" ref="F48" si="4">SUM(F44:F47)</f>
        <v>0</v>
      </c>
    </row>
    <row r="49" spans="1:20" ht="19.5" customHeight="1">
      <c r="A49" s="749">
        <v>25</v>
      </c>
      <c r="B49" s="750" t="s">
        <v>403</v>
      </c>
      <c r="C49" s="789"/>
      <c r="D49" s="789"/>
      <c r="E49" s="793">
        <v>187893</v>
      </c>
      <c r="F49" s="793">
        <f t="shared" ref="F49" si="5">F21+F25+F31+F37+F39+F40+F41+F48</f>
        <v>428.35991989540122</v>
      </c>
    </row>
    <row r="50" spans="1:20" ht="9" customHeight="1">
      <c r="C50" s="789"/>
      <c r="D50" s="789"/>
      <c r="E50" s="790"/>
      <c r="F50" s="790"/>
    </row>
    <row r="51" spans="1:20" ht="12.95" customHeight="1">
      <c r="A51" s="749">
        <v>26</v>
      </c>
      <c r="B51" s="750" t="s">
        <v>404</v>
      </c>
      <c r="C51" s="789"/>
      <c r="D51" s="789"/>
      <c r="E51" s="790">
        <v>32523</v>
      </c>
      <c r="F51" s="790">
        <f t="shared" ref="F51" si="6">F18-F49</f>
        <v>-428.35991989540122</v>
      </c>
    </row>
    <row r="52" spans="1:20" ht="12.95" customHeight="1">
      <c r="C52" s="789"/>
      <c r="D52" s="789"/>
      <c r="E52" s="790"/>
      <c r="F52" s="790"/>
    </row>
    <row r="53" spans="1:20" ht="12.95" customHeight="1">
      <c r="B53" s="750" t="s">
        <v>405</v>
      </c>
      <c r="C53" s="789"/>
      <c r="D53" s="789"/>
      <c r="E53" s="790"/>
      <c r="F53" s="791"/>
    </row>
    <row r="54" spans="1:20">
      <c r="A54" s="749">
        <v>27</v>
      </c>
      <c r="B54" s="789" t="s">
        <v>406</v>
      </c>
      <c r="D54" s="789"/>
      <c r="E54" s="790">
        <v>-841</v>
      </c>
      <c r="F54" s="791">
        <f t="shared" ref="F54" si="7">F51*0.35</f>
        <v>-149.92597196339042</v>
      </c>
    </row>
    <row r="55" spans="1:20">
      <c r="A55" s="749">
        <v>28</v>
      </c>
      <c r="B55" s="789" t="s">
        <v>350</v>
      </c>
      <c r="D55" s="789"/>
      <c r="E55" s="790">
        <v>0</v>
      </c>
      <c r="F55" s="791">
        <v>0</v>
      </c>
    </row>
    <row r="56" spans="1:20">
      <c r="A56" s="749">
        <v>29</v>
      </c>
      <c r="B56" s="789" t="s">
        <v>407</v>
      </c>
      <c r="D56" s="789"/>
      <c r="E56" s="790">
        <v>9923</v>
      </c>
      <c r="F56" s="791">
        <v>0</v>
      </c>
    </row>
    <row r="57" spans="1:20">
      <c r="A57" s="749">
        <v>30</v>
      </c>
      <c r="B57" s="789" t="s">
        <v>408</v>
      </c>
      <c r="D57" s="789"/>
      <c r="E57" s="793">
        <v>-17</v>
      </c>
      <c r="F57" s="794">
        <v>0</v>
      </c>
    </row>
    <row r="58" spans="1:20">
      <c r="E58" s="790"/>
      <c r="F58" s="790"/>
    </row>
    <row r="59" spans="1:20" s="786" customFormat="1" ht="13.5" thickBot="1">
      <c r="A59" s="749">
        <v>31</v>
      </c>
      <c r="B59" s="786" t="s">
        <v>409</v>
      </c>
      <c r="E59" s="797">
        <v>23458</v>
      </c>
      <c r="F59" s="797">
        <f>F51-SUM(F54:F57)</f>
        <v>-278.43394793201082</v>
      </c>
      <c r="G59"/>
      <c r="H59"/>
      <c r="I59"/>
      <c r="J59"/>
      <c r="K59"/>
      <c r="L59"/>
      <c r="M59"/>
      <c r="N59"/>
      <c r="O59"/>
      <c r="P59"/>
      <c r="Q59"/>
      <c r="R59"/>
      <c r="S59"/>
      <c r="T59"/>
    </row>
    <row r="60" spans="1:20" ht="6" customHeight="1" thickTop="1">
      <c r="E60" s="790"/>
      <c r="F60" s="790"/>
    </row>
    <row r="61" spans="1:20">
      <c r="B61" s="750" t="s">
        <v>410</v>
      </c>
      <c r="E61" s="790"/>
      <c r="F61" s="790"/>
    </row>
    <row r="62" spans="1:20">
      <c r="B62" s="750" t="s">
        <v>411</v>
      </c>
      <c r="E62" s="790"/>
      <c r="F62" s="791"/>
    </row>
    <row r="63" spans="1:20">
      <c r="A63" s="749">
        <v>32</v>
      </c>
      <c r="B63" s="789"/>
      <c r="C63" s="789" t="s">
        <v>392</v>
      </c>
      <c r="D63" s="789"/>
      <c r="E63" s="787">
        <v>26868</v>
      </c>
      <c r="F63" s="788">
        <v>0</v>
      </c>
    </row>
    <row r="64" spans="1:20">
      <c r="A64" s="749">
        <v>33</v>
      </c>
      <c r="B64" s="789"/>
      <c r="C64" s="789" t="s">
        <v>412</v>
      </c>
      <c r="D64" s="789"/>
      <c r="E64" s="790">
        <v>390508</v>
      </c>
      <c r="F64" s="791">
        <v>0</v>
      </c>
    </row>
    <row r="65" spans="1:20">
      <c r="A65" s="749">
        <v>34</v>
      </c>
      <c r="B65" s="789"/>
      <c r="C65" s="789" t="s">
        <v>413</v>
      </c>
      <c r="D65" s="789"/>
      <c r="E65" s="793">
        <v>82624</v>
      </c>
      <c r="F65" s="794">
        <v>0</v>
      </c>
    </row>
    <row r="66" spans="1:20" ht="18" customHeight="1">
      <c r="A66" s="749">
        <v>35</v>
      </c>
      <c r="B66" s="789" t="s">
        <v>414</v>
      </c>
      <c r="C66" s="789"/>
      <c r="E66" s="790">
        <v>500000</v>
      </c>
      <c r="F66" s="790">
        <f t="shared" ref="F66" si="8">SUM(F63:F65)</f>
        <v>0</v>
      </c>
    </row>
    <row r="67" spans="1:20" ht="3.75" customHeight="1">
      <c r="B67" s="789"/>
      <c r="C67" s="789"/>
      <c r="E67" s="790"/>
      <c r="F67" s="790"/>
    </row>
    <row r="68" spans="1:20">
      <c r="B68" s="789" t="s">
        <v>361</v>
      </c>
      <c r="C68" s="789"/>
      <c r="D68" s="789"/>
      <c r="E68" s="790"/>
      <c r="F68" s="791"/>
    </row>
    <row r="69" spans="1:20">
      <c r="A69" s="749">
        <v>36</v>
      </c>
      <c r="B69" s="789"/>
      <c r="C69" s="789" t="s">
        <v>392</v>
      </c>
      <c r="D69" s="789"/>
      <c r="E69" s="790">
        <v>-10317</v>
      </c>
      <c r="F69" s="791">
        <v>0</v>
      </c>
    </row>
    <row r="70" spans="1:20">
      <c r="A70" s="749">
        <v>37</v>
      </c>
      <c r="B70" s="789"/>
      <c r="C70" s="789" t="s">
        <v>412</v>
      </c>
      <c r="D70" s="789"/>
      <c r="E70" s="790">
        <v>-129098</v>
      </c>
      <c r="F70" s="791">
        <v>0</v>
      </c>
    </row>
    <row r="71" spans="1:20">
      <c r="A71" s="749">
        <v>38</v>
      </c>
      <c r="B71" s="789"/>
      <c r="C71" s="789" t="s">
        <v>413</v>
      </c>
      <c r="D71" s="789"/>
      <c r="E71" s="790">
        <v>-23473</v>
      </c>
      <c r="F71" s="791">
        <v>0</v>
      </c>
    </row>
    <row r="72" spans="1:20">
      <c r="A72" s="749">
        <v>39</v>
      </c>
      <c r="B72" s="789" t="s">
        <v>415</v>
      </c>
      <c r="C72" s="789"/>
      <c r="E72" s="799">
        <v>-162888</v>
      </c>
      <c r="F72" s="799">
        <f t="shared" ref="F72" si="9">SUM(F69:F71)</f>
        <v>0</v>
      </c>
    </row>
    <row r="73" spans="1:20">
      <c r="A73" s="749">
        <v>40</v>
      </c>
      <c r="B73" s="789" t="s">
        <v>416</v>
      </c>
      <c r="C73" s="789"/>
      <c r="D73" s="789"/>
      <c r="E73" s="800">
        <v>337112</v>
      </c>
      <c r="F73" s="800">
        <f t="shared" ref="F73" si="10">F66+F72</f>
        <v>0</v>
      </c>
    </row>
    <row r="74" spans="1:20" s="803" customFormat="1" ht="13.5" customHeight="1">
      <c r="A74" s="801">
        <v>41</v>
      </c>
      <c r="B74" s="802" t="s">
        <v>417</v>
      </c>
      <c r="C74" s="802"/>
      <c r="D74" s="802"/>
      <c r="E74" s="793">
        <v>-73856</v>
      </c>
      <c r="F74" s="794">
        <v>0</v>
      </c>
      <c r="G74"/>
      <c r="H74"/>
      <c r="I74"/>
      <c r="J74"/>
      <c r="K74"/>
      <c r="L74"/>
      <c r="M74"/>
      <c r="N74"/>
      <c r="O74"/>
      <c r="P74"/>
      <c r="Q74"/>
      <c r="R74"/>
      <c r="S74"/>
      <c r="T74"/>
    </row>
    <row r="75" spans="1:20" s="803" customFormat="1" ht="18.95" customHeight="1">
      <c r="A75" s="801">
        <v>42</v>
      </c>
      <c r="B75" s="802" t="s">
        <v>365</v>
      </c>
      <c r="C75" s="802"/>
      <c r="D75" s="802"/>
      <c r="E75" s="800">
        <v>263256</v>
      </c>
      <c r="F75" s="800">
        <f t="shared" ref="F75" si="11">F73+F74</f>
        <v>0</v>
      </c>
      <c r="G75"/>
      <c r="H75"/>
      <c r="I75"/>
      <c r="J75"/>
      <c r="K75"/>
      <c r="L75"/>
      <c r="M75"/>
      <c r="N75"/>
      <c r="O75"/>
      <c r="P75"/>
      <c r="Q75"/>
      <c r="R75"/>
      <c r="S75"/>
      <c r="T75"/>
    </row>
    <row r="76" spans="1:20">
      <c r="A76" s="749">
        <v>43</v>
      </c>
      <c r="B76" s="789" t="s">
        <v>418</v>
      </c>
      <c r="C76" s="789"/>
      <c r="D76" s="789"/>
      <c r="E76" s="790">
        <v>9116</v>
      </c>
      <c r="F76" s="791">
        <v>0</v>
      </c>
    </row>
    <row r="77" spans="1:20" s="803" customFormat="1">
      <c r="A77" s="801">
        <v>44</v>
      </c>
      <c r="B77" s="802" t="s">
        <v>419</v>
      </c>
      <c r="C77" s="802"/>
      <c r="D77" s="802"/>
      <c r="E77" s="790">
        <v>0</v>
      </c>
      <c r="F77" s="792">
        <v>0</v>
      </c>
      <c r="G77"/>
      <c r="H77"/>
      <c r="I77"/>
      <c r="J77"/>
      <c r="K77"/>
      <c r="L77"/>
      <c r="M77"/>
      <c r="N77"/>
      <c r="O77"/>
      <c r="P77"/>
      <c r="Q77"/>
      <c r="R77"/>
      <c r="S77"/>
      <c r="T77"/>
    </row>
    <row r="78" spans="1:20" s="803" customFormat="1">
      <c r="A78" s="801">
        <v>45</v>
      </c>
      <c r="B78" s="802" t="s">
        <v>125</v>
      </c>
      <c r="C78" s="802"/>
      <c r="D78" s="802"/>
      <c r="E78" s="790">
        <v>-249</v>
      </c>
      <c r="F78" s="792"/>
      <c r="G78"/>
      <c r="H78"/>
      <c r="I78"/>
      <c r="J78"/>
      <c r="K78"/>
      <c r="L78"/>
      <c r="M78"/>
      <c r="N78"/>
      <c r="O78"/>
      <c r="P78"/>
      <c r="Q78"/>
      <c r="R78"/>
      <c r="S78"/>
      <c r="T78"/>
    </row>
    <row r="79" spans="1:20">
      <c r="A79" s="749">
        <v>46</v>
      </c>
      <c r="B79" s="789" t="s">
        <v>367</v>
      </c>
      <c r="C79" s="789"/>
      <c r="D79" s="789"/>
      <c r="E79" s="793">
        <v>15664</v>
      </c>
      <c r="F79" s="794">
        <v>0</v>
      </c>
    </row>
    <row r="80" spans="1:20" ht="7.5" customHeight="1"/>
    <row r="81" spans="1:20" ht="6.75" customHeight="1">
      <c r="E81" s="790"/>
      <c r="F81" s="790"/>
    </row>
    <row r="82" spans="1:20" s="804" customFormat="1" ht="13.5" thickBot="1">
      <c r="A82" s="760">
        <v>47</v>
      </c>
      <c r="B82" s="804" t="s">
        <v>420</v>
      </c>
      <c r="E82" s="798">
        <v>287787</v>
      </c>
      <c r="F82" s="798">
        <f t="shared" ref="F82" si="12">F75+F76+F77+F79+F78</f>
        <v>0</v>
      </c>
      <c r="G82"/>
      <c r="H82"/>
      <c r="I82"/>
      <c r="J82"/>
      <c r="K82"/>
      <c r="L82"/>
      <c r="M82"/>
      <c r="N82"/>
      <c r="O82"/>
      <c r="P82"/>
      <c r="Q82"/>
      <c r="R82"/>
      <c r="S82"/>
      <c r="T82"/>
    </row>
    <row r="83" spans="1:20" ht="13.5" thickTop="1">
      <c r="A83" s="749">
        <v>48</v>
      </c>
      <c r="B83" s="750" t="s">
        <v>421</v>
      </c>
      <c r="E83" s="805">
        <v>8.1500000000000003E-2</v>
      </c>
      <c r="F83" s="790"/>
    </row>
    <row r="84" spans="1:20">
      <c r="A84" s="749">
        <v>50</v>
      </c>
      <c r="B84" s="750" t="s">
        <v>422</v>
      </c>
      <c r="E84" s="751">
        <v>-2138.3878062338385</v>
      </c>
      <c r="F84" s="751">
        <f t="shared" ref="F84" si="13">F90</f>
        <v>448.62030296225834</v>
      </c>
    </row>
    <row r="85" spans="1:20" ht="8.25" customHeight="1">
      <c r="E85" s="790"/>
      <c r="F85" s="790"/>
    </row>
    <row r="86" spans="1:20" s="807" customFormat="1" ht="16.5" customHeight="1">
      <c r="A86" s="806"/>
      <c r="D86" s="740" t="s">
        <v>423</v>
      </c>
      <c r="E86" s="736">
        <v>7.6899999999999996E-2</v>
      </c>
      <c r="F86" s="736">
        <v>7.6899999999999996E-2</v>
      </c>
      <c r="G86"/>
      <c r="H86"/>
      <c r="I86"/>
      <c r="J86"/>
      <c r="K86"/>
      <c r="L86"/>
      <c r="M86"/>
      <c r="N86"/>
      <c r="O86"/>
      <c r="P86"/>
      <c r="Q86"/>
      <c r="R86"/>
      <c r="S86"/>
      <c r="T86"/>
    </row>
    <row r="87" spans="1:20" s="807" customFormat="1" ht="17.25" customHeight="1">
      <c r="A87" s="808"/>
      <c r="D87" s="740" t="s">
        <v>371</v>
      </c>
      <c r="E87" s="809">
        <v>0.620645</v>
      </c>
      <c r="F87" s="736">
        <v>0.620645</v>
      </c>
      <c r="G87"/>
      <c r="H87"/>
      <c r="I87"/>
      <c r="J87"/>
      <c r="K87"/>
      <c r="L87"/>
      <c r="M87"/>
      <c r="N87"/>
      <c r="O87"/>
      <c r="P87"/>
      <c r="Q87"/>
      <c r="R87"/>
      <c r="S87"/>
      <c r="T87"/>
    </row>
    <row r="88" spans="1:20" s="807" customFormat="1" ht="2.25" customHeight="1">
      <c r="A88" s="808"/>
      <c r="D88" s="740"/>
      <c r="E88" s="676"/>
      <c r="F88" s="795"/>
      <c r="G88"/>
      <c r="H88"/>
      <c r="I88"/>
      <c r="J88"/>
      <c r="K88"/>
      <c r="L88"/>
      <c r="M88"/>
      <c r="N88"/>
      <c r="O88"/>
      <c r="P88"/>
      <c r="Q88"/>
      <c r="R88"/>
      <c r="S88"/>
      <c r="T88"/>
    </row>
    <row r="89" spans="1:20" s="807" customFormat="1" ht="29.25" customHeight="1">
      <c r="A89" s="808"/>
      <c r="D89" s="740" t="s">
        <v>372</v>
      </c>
      <c r="E89" s="676">
        <v>-1327.1797000000006</v>
      </c>
      <c r="F89" s="676">
        <f>F82*$F$86-F59</f>
        <v>278.43394793201082</v>
      </c>
      <c r="G89"/>
      <c r="H89"/>
      <c r="I89"/>
      <c r="J89"/>
      <c r="K89"/>
      <c r="L89"/>
      <c r="M89"/>
      <c r="N89"/>
      <c r="O89"/>
      <c r="P89"/>
      <c r="Q89"/>
      <c r="R89"/>
      <c r="S89"/>
      <c r="T89"/>
    </row>
    <row r="90" spans="1:20" s="807" customFormat="1">
      <c r="A90" s="808"/>
      <c r="D90" s="740" t="s">
        <v>373</v>
      </c>
      <c r="E90" s="676">
        <v>-2138.3878062338385</v>
      </c>
      <c r="F90" s="676">
        <f>F89/$F$87</f>
        <v>448.62030296225834</v>
      </c>
      <c r="G90"/>
      <c r="H90"/>
      <c r="I90"/>
      <c r="J90"/>
      <c r="K90"/>
      <c r="L90"/>
      <c r="M90"/>
      <c r="N90"/>
      <c r="O90"/>
      <c r="P90"/>
      <c r="Q90"/>
      <c r="R90"/>
      <c r="S90"/>
      <c r="T90"/>
    </row>
    <row r="91" spans="1:20" s="807" customFormat="1">
      <c r="A91" s="808"/>
      <c r="D91" s="740"/>
      <c r="E91" s="810"/>
      <c r="F91" s="810"/>
      <c r="G91"/>
      <c r="H91"/>
      <c r="I91"/>
      <c r="J91"/>
      <c r="K91"/>
      <c r="L91"/>
      <c r="M91"/>
      <c r="N91"/>
      <c r="O91"/>
      <c r="P91"/>
      <c r="Q91"/>
      <c r="R91"/>
      <c r="S91"/>
      <c r="T91"/>
    </row>
    <row r="92" spans="1:20" s="807" customFormat="1">
      <c r="A92" s="806"/>
      <c r="D92" s="740"/>
      <c r="E92" s="736"/>
      <c r="F92" s="810"/>
      <c r="G92"/>
      <c r="H92"/>
      <c r="I92"/>
      <c r="J92"/>
      <c r="K92"/>
      <c r="L92"/>
      <c r="M92"/>
      <c r="N92"/>
      <c r="O92"/>
      <c r="P92"/>
      <c r="Q92"/>
      <c r="R92"/>
      <c r="S92"/>
      <c r="T92"/>
    </row>
    <row r="93" spans="1:20" s="807" customFormat="1">
      <c r="A93" s="808"/>
      <c r="E93" s="810"/>
      <c r="F93" s="810"/>
      <c r="G93"/>
      <c r="H93"/>
      <c r="I93"/>
      <c r="J93"/>
      <c r="K93"/>
      <c r="L93"/>
      <c r="M93"/>
      <c r="N93"/>
      <c r="O93"/>
      <c r="P93"/>
      <c r="Q93"/>
      <c r="R93"/>
      <c r="S93"/>
      <c r="T93"/>
    </row>
    <row r="94" spans="1:20" s="807" customFormat="1">
      <c r="A94" s="808"/>
      <c r="D94" s="740"/>
      <c r="E94" s="810"/>
      <c r="F94" s="810"/>
      <c r="G94"/>
      <c r="H94"/>
      <c r="I94"/>
      <c r="J94"/>
      <c r="K94"/>
      <c r="L94"/>
      <c r="M94"/>
      <c r="N94"/>
      <c r="O94"/>
      <c r="P94"/>
      <c r="Q94"/>
      <c r="R94"/>
      <c r="S94"/>
      <c r="T94"/>
    </row>
    <row r="95" spans="1:20" s="812" customFormat="1">
      <c r="A95" s="811"/>
      <c r="D95" s="748"/>
      <c r="E95" s="813"/>
      <c r="F95" s="813"/>
      <c r="G95"/>
      <c r="H95"/>
      <c r="I95"/>
      <c r="J95"/>
      <c r="K95"/>
      <c r="L95"/>
      <c r="M95"/>
      <c r="N95"/>
      <c r="O95"/>
      <c r="P95"/>
      <c r="Q95"/>
      <c r="R95"/>
      <c r="S95"/>
      <c r="T95"/>
    </row>
    <row r="96" spans="1:20" s="812" customFormat="1">
      <c r="A96" s="811"/>
      <c r="D96" s="814"/>
      <c r="E96" s="813"/>
      <c r="F96" s="813"/>
      <c r="G96"/>
      <c r="H96"/>
      <c r="I96"/>
      <c r="J96"/>
      <c r="K96"/>
      <c r="L96"/>
      <c r="M96"/>
      <c r="N96"/>
      <c r="O96"/>
      <c r="P96"/>
      <c r="Q96"/>
      <c r="R96"/>
      <c r="S96"/>
      <c r="T96"/>
    </row>
    <row r="97" spans="1:20" s="812" customFormat="1">
      <c r="A97" s="811"/>
      <c r="E97" s="785"/>
      <c r="F97" s="785"/>
      <c r="G97"/>
      <c r="H97"/>
      <c r="I97"/>
      <c r="J97"/>
      <c r="K97"/>
      <c r="L97"/>
      <c r="M97"/>
      <c r="N97"/>
      <c r="O97"/>
      <c r="P97"/>
      <c r="Q97"/>
      <c r="R97"/>
      <c r="S97"/>
      <c r="T97"/>
    </row>
    <row r="98" spans="1:20" s="812" customFormat="1">
      <c r="A98" s="811"/>
      <c r="E98" s="785"/>
      <c r="F98" s="785"/>
      <c r="G98"/>
      <c r="H98"/>
      <c r="I98"/>
      <c r="J98"/>
      <c r="K98"/>
      <c r="L98"/>
      <c r="M98"/>
      <c r="N98"/>
      <c r="O98"/>
      <c r="P98"/>
      <c r="Q98"/>
      <c r="R98"/>
      <c r="S98"/>
      <c r="T98"/>
    </row>
    <row r="99" spans="1:20" s="803" customFormat="1">
      <c r="A99" s="801"/>
      <c r="E99" s="815"/>
      <c r="F99" s="815"/>
      <c r="G99"/>
      <c r="H99"/>
      <c r="I99"/>
      <c r="J99"/>
      <c r="K99"/>
      <c r="L99"/>
      <c r="M99"/>
      <c r="N99"/>
      <c r="O99"/>
      <c r="P99"/>
      <c r="Q99"/>
      <c r="R99"/>
      <c r="S99"/>
      <c r="T99"/>
    </row>
    <row r="100" spans="1:20" s="803" customFormat="1">
      <c r="A100" s="801"/>
      <c r="E100" s="815"/>
      <c r="F100" s="815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</row>
    <row r="101" spans="1:20" s="803" customFormat="1">
      <c r="A101" s="801"/>
      <c r="E101" s="815"/>
      <c r="F101" s="815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</row>
  </sheetData>
  <pageMargins left="0.7" right="0.7" top="0.6" bottom="0.47" header="0.3" footer="0.3"/>
  <pageSetup scale="72" fitToWidth="0" orientation="portrait" r:id="rId1"/>
  <headerFooter>
    <oddHeader>&amp;RExh AIW-2
Dockets UE-170485 / UG-170486
Page &amp;P of &amp;N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81"/>
  <sheetViews>
    <sheetView zoomScale="85" zoomScaleNormal="85" workbookViewId="0">
      <selection activeCell="N35" sqref="N35"/>
    </sheetView>
  </sheetViews>
  <sheetFormatPr defaultColWidth="9.140625" defaultRowHeight="15"/>
  <cols>
    <col min="1" max="1" width="20.5703125" style="1" customWidth="1"/>
    <col min="2" max="3" width="15" style="2" bestFit="1" customWidth="1"/>
    <col min="4" max="4" width="13.7109375" style="2" bestFit="1" customWidth="1"/>
    <col min="5" max="5" width="15" style="2" bestFit="1" customWidth="1"/>
    <col min="6" max="6" width="9.5703125" style="2" bestFit="1" customWidth="1"/>
    <col min="7" max="7" width="15" style="2" bestFit="1" customWidth="1"/>
    <col min="8" max="8" width="3.140625" style="2" customWidth="1"/>
    <col min="9" max="9" width="15.5703125" style="2" customWidth="1"/>
    <col min="10" max="10" width="12.7109375" style="2" bestFit="1" customWidth="1"/>
    <col min="11" max="12" width="11.5703125" style="2" bestFit="1" customWidth="1"/>
    <col min="13" max="16384" width="9.140625" style="2"/>
  </cols>
  <sheetData>
    <row r="1" spans="1:13">
      <c r="A1" t="s">
        <v>431</v>
      </c>
      <c r="I1" t="s">
        <v>479</v>
      </c>
    </row>
    <row r="2" spans="1:13">
      <c r="A2" s="46" t="s">
        <v>429</v>
      </c>
      <c r="I2" t="s">
        <v>426</v>
      </c>
    </row>
    <row r="3" spans="1:13">
      <c r="A3" t="s">
        <v>437</v>
      </c>
      <c r="I3" t="s">
        <v>427</v>
      </c>
    </row>
    <row r="4" spans="1:13">
      <c r="A4"/>
    </row>
    <row r="5" spans="1:13" s="95" customFormat="1" ht="15.75" thickBot="1">
      <c r="A5" s="1063" t="s">
        <v>433</v>
      </c>
      <c r="B5" s="246"/>
      <c r="C5" s="246"/>
      <c r="G5" s="1064" t="s">
        <v>478</v>
      </c>
    </row>
    <row r="6" spans="1:13" ht="15.75" thickBot="1">
      <c r="A6" s="1063"/>
      <c r="B6" s="1289" t="s">
        <v>91</v>
      </c>
      <c r="C6" s="1290"/>
      <c r="D6" s="1290"/>
      <c r="E6" s="1290"/>
      <c r="F6" s="1290"/>
      <c r="G6" s="1291"/>
      <c r="H6" s="95"/>
      <c r="I6" s="1289" t="s">
        <v>75</v>
      </c>
      <c r="J6" s="1290"/>
      <c r="K6" s="1290"/>
      <c r="L6" s="1291"/>
    </row>
    <row r="7" spans="1:13">
      <c r="A7" s="1119"/>
      <c r="B7" s="1066"/>
      <c r="C7" s="1066"/>
      <c r="D7" s="1066"/>
      <c r="E7" s="1066"/>
      <c r="F7" s="1066"/>
      <c r="G7" s="1066"/>
      <c r="H7" s="95"/>
      <c r="I7" s="92"/>
      <c r="J7" s="92"/>
      <c r="K7" s="92"/>
      <c r="L7" s="95"/>
    </row>
    <row r="8" spans="1:13" s="5" customFormat="1">
      <c r="A8" s="1069"/>
      <c r="B8" s="1069" t="s">
        <v>76</v>
      </c>
      <c r="C8" s="1069" t="s">
        <v>77</v>
      </c>
      <c r="D8" s="1069" t="s">
        <v>78</v>
      </c>
      <c r="E8" s="1069" t="s">
        <v>79</v>
      </c>
      <c r="F8" s="1069" t="s">
        <v>80</v>
      </c>
      <c r="G8" s="1069" t="s">
        <v>81</v>
      </c>
      <c r="H8" s="1069"/>
      <c r="I8" s="1069" t="s">
        <v>76</v>
      </c>
      <c r="J8" s="1069" t="s">
        <v>77</v>
      </c>
      <c r="K8" s="1069" t="s">
        <v>79</v>
      </c>
      <c r="L8" s="1069" t="s">
        <v>81</v>
      </c>
    </row>
    <row r="9" spans="1:13" s="5" customFormat="1">
      <c r="A9" s="1069" t="s">
        <v>82</v>
      </c>
      <c r="B9" s="1069"/>
      <c r="C9" s="1069"/>
      <c r="D9" s="1069"/>
      <c r="E9" s="1069"/>
      <c r="F9" s="1069"/>
      <c r="G9" s="1069"/>
      <c r="H9" s="1069"/>
      <c r="I9" s="1069"/>
      <c r="J9" s="1069"/>
      <c r="K9" s="1069"/>
      <c r="L9" s="1069"/>
    </row>
    <row r="10" spans="1:13">
      <c r="A10" s="1070" t="s">
        <v>92</v>
      </c>
      <c r="B10" s="95"/>
      <c r="C10" s="95"/>
      <c r="D10" s="95"/>
      <c r="E10" s="95"/>
      <c r="F10" s="95"/>
      <c r="G10" s="95"/>
      <c r="H10" s="95"/>
      <c r="I10" s="95"/>
      <c r="J10" s="95"/>
      <c r="K10" s="95"/>
      <c r="L10" s="95"/>
    </row>
    <row r="11" spans="1:13">
      <c r="A11" s="1119">
        <v>408190</v>
      </c>
      <c r="B11" s="1120">
        <v>330217</v>
      </c>
      <c r="C11" s="1120"/>
      <c r="D11" s="1120"/>
      <c r="E11" s="1120"/>
      <c r="F11" s="1120"/>
      <c r="G11" s="1121">
        <f>SUM(B11:F11)</f>
        <v>330217</v>
      </c>
      <c r="H11" s="1122"/>
      <c r="I11" s="1071">
        <f>ROUND($G$11*I20,0)</f>
        <v>210427</v>
      </c>
      <c r="J11" s="1121">
        <f>ROUND($G$11*J20,0)</f>
        <v>87924</v>
      </c>
      <c r="K11" s="1121">
        <f>ROUND($G$11*K20,0)</f>
        <v>31866</v>
      </c>
      <c r="L11" s="1121">
        <f>SUM(I11:K11)</f>
        <v>330217</v>
      </c>
      <c r="M11" s="98"/>
    </row>
    <row r="12" spans="1:13">
      <c r="A12" s="1119"/>
      <c r="B12" s="1120"/>
      <c r="C12" s="1120"/>
      <c r="D12" s="1120"/>
      <c r="E12" s="1120"/>
      <c r="F12" s="1120"/>
      <c r="G12" s="95"/>
      <c r="H12" s="95"/>
      <c r="I12" s="95"/>
      <c r="J12" s="95"/>
      <c r="K12" s="95"/>
      <c r="L12" s="95"/>
    </row>
    <row r="13" spans="1:13">
      <c r="A13" s="1070" t="s">
        <v>83</v>
      </c>
      <c r="B13" s="1120"/>
      <c r="C13" s="1120"/>
      <c r="D13" s="1120"/>
      <c r="E13" s="1120"/>
      <c r="F13" s="1120"/>
      <c r="G13" s="95"/>
      <c r="H13" s="95"/>
      <c r="I13" s="95"/>
      <c r="J13" s="95"/>
      <c r="K13" s="95"/>
      <c r="L13" s="95"/>
    </row>
    <row r="14" spans="1:13">
      <c r="A14" s="1119">
        <v>408170</v>
      </c>
      <c r="B14" s="1123">
        <v>2120858</v>
      </c>
      <c r="C14" s="1123">
        <v>1470048</v>
      </c>
      <c r="D14" s="1123"/>
      <c r="E14" s="1123">
        <v>2956009</v>
      </c>
      <c r="F14" s="1123"/>
      <c r="G14" s="1124">
        <f>SUM(B14:F14)</f>
        <v>6546915</v>
      </c>
      <c r="H14" s="95"/>
      <c r="I14" s="1074">
        <f>B14</f>
        <v>2120858</v>
      </c>
      <c r="J14" s="1124">
        <f>C14</f>
        <v>1470048</v>
      </c>
      <c r="K14" s="1124">
        <f>E14</f>
        <v>2956009</v>
      </c>
      <c r="L14" s="1124">
        <f>SUM(I14:K14)</f>
        <v>6546915</v>
      </c>
    </row>
    <row r="15" spans="1:13">
      <c r="A15" s="1119"/>
      <c r="B15" s="1120"/>
      <c r="C15" s="1120"/>
      <c r="D15" s="1120"/>
      <c r="E15" s="1120"/>
      <c r="F15" s="1120"/>
      <c r="G15" s="95"/>
      <c r="H15" s="95"/>
      <c r="I15" s="95"/>
      <c r="J15" s="95"/>
      <c r="K15" s="95"/>
      <c r="L15" s="95"/>
    </row>
    <row r="16" spans="1:13" ht="15.75" thickBot="1">
      <c r="A16" s="1070" t="s">
        <v>82</v>
      </c>
      <c r="B16" s="1125">
        <f>SUM(B11:B14)</f>
        <v>2451075</v>
      </c>
      <c r="C16" s="1125">
        <f t="shared" ref="C16:L16" si="0">SUM(C11:C14)</f>
        <v>1470048</v>
      </c>
      <c r="D16" s="1125">
        <f t="shared" si="0"/>
        <v>0</v>
      </c>
      <c r="E16" s="1125">
        <f t="shared" si="0"/>
        <v>2956009</v>
      </c>
      <c r="F16" s="1125">
        <f t="shared" si="0"/>
        <v>0</v>
      </c>
      <c r="G16" s="1125">
        <f t="shared" si="0"/>
        <v>6877132</v>
      </c>
      <c r="H16" s="1125"/>
      <c r="I16" s="1125">
        <f t="shared" si="0"/>
        <v>2331285</v>
      </c>
      <c r="J16" s="1125">
        <f t="shared" si="0"/>
        <v>1557972</v>
      </c>
      <c r="K16" s="1125">
        <f t="shared" si="0"/>
        <v>2987875</v>
      </c>
      <c r="L16" s="1125">
        <f t="shared" si="0"/>
        <v>6877132</v>
      </c>
    </row>
    <row r="17" spans="1:13">
      <c r="A17" s="1119"/>
      <c r="B17" s="95"/>
      <c r="C17" s="95"/>
      <c r="D17" s="95"/>
      <c r="E17" s="95"/>
      <c r="F17" s="95"/>
      <c r="G17" s="95"/>
      <c r="H17" s="95"/>
      <c r="I17" s="95"/>
      <c r="J17" s="95"/>
      <c r="K17" s="95"/>
      <c r="L17" s="95"/>
    </row>
    <row r="18" spans="1:13">
      <c r="A18" s="1119"/>
      <c r="B18" s="95"/>
      <c r="C18" s="95"/>
      <c r="D18" s="95"/>
      <c r="E18" s="95"/>
      <c r="F18" s="95"/>
      <c r="G18" s="95"/>
      <c r="H18" s="1122"/>
      <c r="I18" s="1126" t="s">
        <v>84</v>
      </c>
      <c r="J18" s="95"/>
      <c r="K18" s="95"/>
      <c r="L18" s="95"/>
    </row>
    <row r="19" spans="1:13">
      <c r="A19" s="1119"/>
      <c r="B19" s="95"/>
      <c r="C19" s="95"/>
      <c r="D19" s="95"/>
      <c r="E19" s="95"/>
      <c r="F19" s="95"/>
      <c r="G19" s="95"/>
      <c r="H19" s="95"/>
      <c r="I19" s="1069" t="s">
        <v>76</v>
      </c>
      <c r="J19" s="1069" t="s">
        <v>77</v>
      </c>
      <c r="K19" s="1069" t="s">
        <v>79</v>
      </c>
      <c r="L19" s="95"/>
    </row>
    <row r="20" spans="1:13">
      <c r="A20" s="1119"/>
      <c r="B20" s="95"/>
      <c r="C20" s="95"/>
      <c r="D20" s="95"/>
      <c r="E20" s="95"/>
      <c r="F20" s="95"/>
      <c r="G20" s="95"/>
      <c r="H20" s="95"/>
      <c r="I20" s="92">
        <f>70.53%*0.9035</f>
        <v>0.63723854999999996</v>
      </c>
      <c r="J20" s="92">
        <f>29.47%*0.9035</f>
        <v>0.26626144999999996</v>
      </c>
      <c r="K20" s="92">
        <f>0.0965</f>
        <v>9.6500000000000002E-2</v>
      </c>
      <c r="L20" s="95"/>
    </row>
    <row r="21" spans="1:13" ht="15.75" thickBot="1">
      <c r="A21" s="1079" t="s">
        <v>283</v>
      </c>
      <c r="B21" s="1080">
        <f>+'2.02Gas Restate as orig filed'!B21</f>
        <v>2826001</v>
      </c>
      <c r="C21" s="1080">
        <f>+'2.02Gas Restate as orig filed'!C21</f>
        <v>1470048</v>
      </c>
      <c r="D21" s="1080">
        <v>0</v>
      </c>
      <c r="E21" s="1080">
        <f>+'2.02Gas Restate as orig filed'!E21</f>
        <v>2956009</v>
      </c>
      <c r="F21" s="1127"/>
      <c r="G21" s="1080">
        <v>7252058</v>
      </c>
      <c r="H21" s="95"/>
      <c r="I21" s="92"/>
      <c r="J21" s="92"/>
      <c r="K21" s="92"/>
      <c r="L21" s="95"/>
    </row>
    <row r="22" spans="1:13" ht="30.75" thickBot="1">
      <c r="A22" s="1081" t="s">
        <v>480</v>
      </c>
      <c r="B22" s="1128">
        <f>+'Staff DR 160 as adapted '!Q139*1000</f>
        <v>2723096.0382527304</v>
      </c>
      <c r="C22" s="1128">
        <f>+'Staff DR 160 as adapted '!Q156*1000</f>
        <v>1470047.6900000002</v>
      </c>
      <c r="D22" s="1128">
        <v>0</v>
      </c>
      <c r="E22" s="1128">
        <f>+'Staff DR 160 as adapted '!Q174*1000</f>
        <v>3184144.1200000006</v>
      </c>
      <c r="F22" s="1128"/>
      <c r="G22" s="1128">
        <f>SUM(B22:F22)</f>
        <v>7377287.8482527304</v>
      </c>
      <c r="H22" s="1129"/>
      <c r="I22" s="1129"/>
      <c r="J22" s="1129"/>
      <c r="K22" s="1129"/>
      <c r="L22" s="1130"/>
    </row>
    <row r="23" spans="1:13">
      <c r="A23" s="1085" t="s">
        <v>470</v>
      </c>
      <c r="B23" s="1086">
        <f>+B22-B21</f>
        <v>-102904.96174726961</v>
      </c>
      <c r="C23" s="1086">
        <f t="shared" ref="C23:G23" si="1">+C22-C21</f>
        <v>-0.30999999982304871</v>
      </c>
      <c r="D23" s="1086">
        <f t="shared" si="1"/>
        <v>0</v>
      </c>
      <c r="E23" s="1086">
        <f t="shared" si="1"/>
        <v>228135.12000000058</v>
      </c>
      <c r="F23" s="1086">
        <f t="shared" si="1"/>
        <v>0</v>
      </c>
      <c r="G23" s="1086">
        <f t="shared" si="1"/>
        <v>125229.84825273044</v>
      </c>
      <c r="H23" s="1131"/>
      <c r="I23" s="1131"/>
      <c r="J23" s="1131"/>
      <c r="K23" s="1131"/>
      <c r="L23" s="1132"/>
    </row>
    <row r="24" spans="1:13">
      <c r="A24" s="1133" t="s">
        <v>85</v>
      </c>
      <c r="B24" s="1131"/>
      <c r="C24" s="1131"/>
      <c r="D24" s="1131"/>
      <c r="E24" s="1131"/>
      <c r="F24" s="1131"/>
      <c r="G24" s="1131"/>
      <c r="H24" s="1131"/>
      <c r="I24" s="1131"/>
      <c r="J24" s="1131"/>
      <c r="K24" s="1131"/>
      <c r="L24" s="1132"/>
    </row>
    <row r="25" spans="1:13">
      <c r="A25" s="1133">
        <v>408190</v>
      </c>
      <c r="B25" s="1134">
        <f>+(B11/B16)*B22</f>
        <v>366864.5816483387</v>
      </c>
      <c r="C25" s="1134"/>
      <c r="D25" s="1134"/>
      <c r="E25" s="1134"/>
      <c r="F25" s="1134"/>
      <c r="G25" s="1134">
        <f>SUM(B25:F25)</f>
        <v>366864.5816483387</v>
      </c>
      <c r="H25" s="1131"/>
      <c r="I25" s="1135">
        <f>ROUND($G$25*I20,0)</f>
        <v>233780</v>
      </c>
      <c r="J25" s="1135">
        <f>ROUND($G$25*J20,0)</f>
        <v>97682</v>
      </c>
      <c r="K25" s="1135">
        <f>ROUND($G$25*K20,0)</f>
        <v>35402</v>
      </c>
      <c r="L25" s="1136">
        <f>SUM(I25:K25)</f>
        <v>366864</v>
      </c>
    </row>
    <row r="26" spans="1:13">
      <c r="A26" s="1133"/>
      <c r="B26" s="1134"/>
      <c r="C26" s="1134"/>
      <c r="D26" s="1134"/>
      <c r="E26" s="1134"/>
      <c r="F26" s="1134"/>
      <c r="G26" s="1134"/>
      <c r="H26" s="1131"/>
      <c r="I26" s="1131"/>
      <c r="J26" s="1131"/>
      <c r="K26" s="1131"/>
      <c r="L26" s="1132"/>
    </row>
    <row r="27" spans="1:13">
      <c r="A27" s="1133" t="s">
        <v>83</v>
      </c>
      <c r="B27" s="1134"/>
      <c r="C27" s="1134"/>
      <c r="D27" s="1134"/>
      <c r="E27" s="1134"/>
      <c r="F27" s="1134"/>
      <c r="G27" s="1134"/>
      <c r="H27" s="1131"/>
      <c r="I27" s="1131"/>
      <c r="J27" s="1131"/>
      <c r="K27" s="1131"/>
      <c r="L27" s="1132"/>
    </row>
    <row r="28" spans="1:13">
      <c r="A28" s="1133">
        <v>408170</v>
      </c>
      <c r="B28" s="1123">
        <f>+(B14/B16)*B22</f>
        <v>2356231.4566043918</v>
      </c>
      <c r="C28" s="1123">
        <f>+(C14/C16)*C22</f>
        <v>1470047.6900000002</v>
      </c>
      <c r="D28" s="1123"/>
      <c r="E28" s="1123">
        <f t="shared" ref="E28" si="2">+(E14/E16)*E22</f>
        <v>3184144.1200000006</v>
      </c>
      <c r="F28" s="1123"/>
      <c r="G28" s="1123">
        <f>SUM(B28:E28)</f>
        <v>7010423.2666043919</v>
      </c>
      <c r="H28" s="1131"/>
      <c r="I28" s="1124">
        <f>B28</f>
        <v>2356231.4566043918</v>
      </c>
      <c r="J28" s="1124">
        <f>C28</f>
        <v>1470047.6900000002</v>
      </c>
      <c r="K28" s="1124">
        <f>E28</f>
        <v>3184144.1200000006</v>
      </c>
      <c r="L28" s="1137">
        <f>SUM(I28:K28)</f>
        <v>7010423.2666043919</v>
      </c>
    </row>
    <row r="29" spans="1:13">
      <c r="A29" s="1133"/>
      <c r="B29" s="1134"/>
      <c r="C29" s="1134"/>
      <c r="D29" s="1134"/>
      <c r="E29" s="1134"/>
      <c r="F29" s="1134"/>
      <c r="G29" s="1134"/>
      <c r="H29" s="1131"/>
      <c r="I29" s="1131"/>
      <c r="J29" s="1131"/>
      <c r="K29" s="1131"/>
      <c r="L29" s="1132"/>
    </row>
    <row r="30" spans="1:13" ht="15.75" thickBot="1">
      <c r="A30" s="1138"/>
      <c r="B30" s="1125">
        <f>SUM(B25:B28)</f>
        <v>2723096.0382527304</v>
      </c>
      <c r="C30" s="1125">
        <f t="shared" ref="C30:L30" si="3">SUM(C25:C28)</f>
        <v>1470047.6900000002</v>
      </c>
      <c r="D30" s="1125"/>
      <c r="E30" s="1125">
        <f t="shared" si="3"/>
        <v>3184144.1200000006</v>
      </c>
      <c r="F30" s="1125">
        <f t="shared" si="3"/>
        <v>0</v>
      </c>
      <c r="G30" s="1125">
        <f>SUM(G25:G28)</f>
        <v>7377287.8482527304</v>
      </c>
      <c r="H30" s="1125"/>
      <c r="I30" s="1125">
        <f t="shared" si="3"/>
        <v>2590011.4566043918</v>
      </c>
      <c r="J30" s="1125">
        <f t="shared" si="3"/>
        <v>1567729.6900000002</v>
      </c>
      <c r="K30" s="1125">
        <f t="shared" si="3"/>
        <v>3219546.1200000006</v>
      </c>
      <c r="L30" s="1139">
        <f t="shared" si="3"/>
        <v>7377287.2666043919</v>
      </c>
      <c r="M30" s="97" t="s">
        <v>95</v>
      </c>
    </row>
    <row r="31" spans="1:13" ht="15.75" thickBot="1">
      <c r="A31" s="1138"/>
      <c r="B31" s="1140"/>
      <c r="C31" s="1140"/>
      <c r="D31" s="1140"/>
      <c r="E31" s="1140"/>
      <c r="F31" s="1140"/>
      <c r="G31" s="1140"/>
      <c r="H31" s="1140"/>
      <c r="I31" s="1140"/>
      <c r="J31" s="1140"/>
      <c r="K31" s="1140"/>
      <c r="L31" s="1141"/>
    </row>
    <row r="32" spans="1:13" ht="15.75" thickBot="1">
      <c r="A32" s="1119"/>
      <c r="B32" s="95"/>
      <c r="C32" s="95"/>
      <c r="D32" s="95"/>
      <c r="E32" s="95"/>
      <c r="F32" s="95"/>
      <c r="G32" s="95"/>
      <c r="H32" s="95"/>
      <c r="I32" s="95"/>
      <c r="J32" s="95"/>
      <c r="K32" s="95"/>
      <c r="L32" s="95"/>
    </row>
    <row r="33" spans="1:13">
      <c r="A33" s="1103" t="s">
        <v>74</v>
      </c>
      <c r="B33" s="1129"/>
      <c r="C33" s="1129"/>
      <c r="D33" s="1129"/>
      <c r="E33" s="1129"/>
      <c r="F33" s="1129"/>
      <c r="G33" s="1129"/>
      <c r="H33" s="1129"/>
      <c r="I33" s="1129"/>
      <c r="J33" s="1129"/>
      <c r="K33" s="1129"/>
      <c r="L33" s="1130"/>
    </row>
    <row r="34" spans="1:13">
      <c r="A34" s="1133" t="s">
        <v>85</v>
      </c>
      <c r="B34" s="1131"/>
      <c r="C34" s="1131"/>
      <c r="D34" s="1131"/>
      <c r="E34" s="1131"/>
      <c r="F34" s="1131"/>
      <c r="G34" s="1131"/>
      <c r="H34" s="1131"/>
      <c r="I34" s="1131"/>
      <c r="J34" s="1131"/>
      <c r="K34" s="1131"/>
      <c r="L34" s="1132"/>
    </row>
    <row r="35" spans="1:13">
      <c r="A35" s="1133">
        <v>408190</v>
      </c>
      <c r="B35" s="1134">
        <f>B25-B11</f>
        <v>36647.581648338703</v>
      </c>
      <c r="C35" s="1134">
        <f>C25-C11</f>
        <v>0</v>
      </c>
      <c r="D35" s="1134">
        <f>D25-D11</f>
        <v>0</v>
      </c>
      <c r="E35" s="1134">
        <f>E25-E11</f>
        <v>0</v>
      </c>
      <c r="F35" s="1134">
        <f>F25-F11</f>
        <v>0</v>
      </c>
      <c r="G35" s="1134">
        <f>SUM(B35:F35)</f>
        <v>36647.581648338703</v>
      </c>
      <c r="H35" s="1131"/>
      <c r="I35" s="1134">
        <f>I25-I11</f>
        <v>23353</v>
      </c>
      <c r="J35" s="1134">
        <f>J25-J11</f>
        <v>9758</v>
      </c>
      <c r="K35" s="1134">
        <f>K25-K11</f>
        <v>3536</v>
      </c>
      <c r="L35" s="1136">
        <f>SUM(I35:K35)</f>
        <v>36647</v>
      </c>
    </row>
    <row r="36" spans="1:13">
      <c r="A36" s="1133"/>
      <c r="B36" s="1134"/>
      <c r="C36" s="1134"/>
      <c r="D36" s="1134"/>
      <c r="E36" s="1134"/>
      <c r="F36" s="1134"/>
      <c r="G36" s="1134"/>
      <c r="H36" s="1131"/>
      <c r="I36" s="1131"/>
      <c r="J36" s="1131"/>
      <c r="K36" s="1131"/>
      <c r="L36" s="1132"/>
    </row>
    <row r="37" spans="1:13">
      <c r="A37" s="1133" t="s">
        <v>83</v>
      </c>
      <c r="B37" s="1134"/>
      <c r="C37" s="1134"/>
      <c r="D37" s="1134"/>
      <c r="E37" s="1134"/>
      <c r="F37" s="1134"/>
      <c r="G37" s="1134"/>
      <c r="H37" s="1131"/>
      <c r="I37" s="1131"/>
      <c r="J37" s="1131"/>
      <c r="K37" s="1131"/>
      <c r="L37" s="1132"/>
    </row>
    <row r="38" spans="1:13">
      <c r="A38" s="1133">
        <v>408170</v>
      </c>
      <c r="B38" s="1123">
        <f>B28-B14</f>
        <v>235373.4566043918</v>
      </c>
      <c r="C38" s="1123">
        <f>C28-C14</f>
        <v>-0.30999999982304871</v>
      </c>
      <c r="D38" s="1123">
        <f>D28-D14</f>
        <v>0</v>
      </c>
      <c r="E38" s="1123">
        <f>E28-E14</f>
        <v>228135.12000000058</v>
      </c>
      <c r="F38" s="1123">
        <f>F28-F14</f>
        <v>0</v>
      </c>
      <c r="G38" s="1123">
        <f>SUM(B38:F38)</f>
        <v>463508.26660439256</v>
      </c>
      <c r="H38" s="1131"/>
      <c r="I38" s="1124">
        <f>I28-I14</f>
        <v>235373.4566043918</v>
      </c>
      <c r="J38" s="1124">
        <f>J28-J14</f>
        <v>-0.30999999982304871</v>
      </c>
      <c r="K38" s="1124">
        <f>K28-K14</f>
        <v>228135.12000000058</v>
      </c>
      <c r="L38" s="1137">
        <f>SUM(I38:K38)</f>
        <v>463508.26660439256</v>
      </c>
    </row>
    <row r="39" spans="1:13" ht="15.75" thickBot="1">
      <c r="A39" s="1133"/>
      <c r="B39" s="1134"/>
      <c r="C39" s="1134"/>
      <c r="D39" s="1134"/>
      <c r="E39" s="1134"/>
      <c r="F39" s="1134"/>
      <c r="G39" s="1134"/>
      <c r="H39" s="1131"/>
      <c r="I39" s="1131"/>
      <c r="J39" s="1131"/>
      <c r="K39" s="1131"/>
      <c r="L39" s="1132"/>
    </row>
    <row r="40" spans="1:13" ht="16.5" thickTop="1" thickBot="1">
      <c r="A40" s="1133"/>
      <c r="B40" s="1125">
        <f>SUM(B35:B38)</f>
        <v>272021.0382527305</v>
      </c>
      <c r="C40" s="1125">
        <f t="shared" ref="C40:K40" si="4">SUM(C35:C38)</f>
        <v>-0.30999999982304871</v>
      </c>
      <c r="D40" s="1125">
        <f t="shared" si="4"/>
        <v>0</v>
      </c>
      <c r="E40" s="1125">
        <f t="shared" si="4"/>
        <v>228135.12000000058</v>
      </c>
      <c r="F40" s="1125">
        <f t="shared" si="4"/>
        <v>0</v>
      </c>
      <c r="G40" s="1125">
        <f t="shared" si="4"/>
        <v>500155.84825273126</v>
      </c>
      <c r="H40" s="1125"/>
      <c r="I40" s="1142">
        <f t="shared" si="4"/>
        <v>258726.4566043918</v>
      </c>
      <c r="J40" s="1125">
        <f t="shared" si="4"/>
        <v>9757.690000000177</v>
      </c>
      <c r="K40" s="1125">
        <f t="shared" si="4"/>
        <v>231671.12000000058</v>
      </c>
      <c r="L40" s="1139">
        <f>SUM(L35:L38)</f>
        <v>500155.26660439256</v>
      </c>
    </row>
    <row r="41" spans="1:13" ht="15.75" thickBot="1">
      <c r="A41" s="1138"/>
      <c r="B41" s="1140"/>
      <c r="C41" s="1140"/>
      <c r="D41" s="1140"/>
      <c r="E41" s="1140"/>
      <c r="F41" s="1140"/>
      <c r="G41" s="1109" t="s">
        <v>301</v>
      </c>
      <c r="H41" s="1140"/>
      <c r="I41" s="1143">
        <v>374926</v>
      </c>
      <c r="J41" s="1140"/>
      <c r="K41" s="1140"/>
      <c r="L41" s="1141"/>
    </row>
    <row r="42" spans="1:13">
      <c r="A42" s="1119"/>
      <c r="B42" s="95"/>
      <c r="C42" s="95"/>
      <c r="D42" s="95"/>
      <c r="E42" s="95"/>
      <c r="F42" s="95"/>
      <c r="G42" s="95"/>
      <c r="H42" s="95"/>
      <c r="I42" s="1121"/>
      <c r="J42" s="95"/>
      <c r="K42" s="95"/>
      <c r="L42" s="95"/>
    </row>
    <row r="43" spans="1:13" ht="15.75" thickBot="1">
      <c r="A43" s="246" t="s">
        <v>434</v>
      </c>
      <c r="B43" s="246"/>
      <c r="C43" s="95"/>
      <c r="D43" s="95"/>
      <c r="E43" s="95"/>
      <c r="F43" s="95"/>
      <c r="G43" s="95"/>
      <c r="H43" s="1112" t="s">
        <v>476</v>
      </c>
      <c r="I43" s="95"/>
      <c r="J43" s="95"/>
      <c r="K43" s="95"/>
      <c r="L43" s="95"/>
    </row>
    <row r="44" spans="1:13" ht="15.75" thickBot="1">
      <c r="A44" s="1079"/>
      <c r="B44" s="1289" t="str">
        <f>+'Elec 2.02Restate 3.06Proforma'!B48:G48</f>
        <v>Commission Basis Expense - 2016</v>
      </c>
      <c r="C44" s="1290"/>
      <c r="D44" s="1290"/>
      <c r="E44" s="1290"/>
      <c r="F44" s="1290"/>
      <c r="G44" s="1291"/>
      <c r="H44" s="95"/>
      <c r="I44" s="1289" t="s">
        <v>75</v>
      </c>
      <c r="J44" s="1290"/>
      <c r="K44" s="1290"/>
      <c r="L44" s="1291"/>
      <c r="M44" s="97"/>
    </row>
    <row r="45" spans="1:13">
      <c r="A45" s="1119"/>
      <c r="B45" s="1066"/>
      <c r="C45" s="1066"/>
      <c r="D45" s="1066"/>
      <c r="E45" s="1066"/>
      <c r="F45" s="1066"/>
      <c r="G45" s="1066"/>
      <c r="H45" s="95"/>
      <c r="I45" s="92"/>
      <c r="J45" s="92"/>
      <c r="K45" s="92"/>
      <c r="L45" s="95"/>
    </row>
    <row r="46" spans="1:13">
      <c r="A46" s="1069"/>
      <c r="B46" s="1069" t="s">
        <v>76</v>
      </c>
      <c r="C46" s="1069" t="s">
        <v>77</v>
      </c>
      <c r="D46" s="1069" t="s">
        <v>78</v>
      </c>
      <c r="E46" s="1069" t="s">
        <v>79</v>
      </c>
      <c r="F46" s="1069" t="s">
        <v>80</v>
      </c>
      <c r="G46" s="1069" t="s">
        <v>81</v>
      </c>
      <c r="H46" s="1069"/>
      <c r="I46" s="1069" t="s">
        <v>76</v>
      </c>
      <c r="J46" s="1069" t="s">
        <v>77</v>
      </c>
      <c r="K46" s="1069" t="s">
        <v>79</v>
      </c>
      <c r="L46" s="1069" t="s">
        <v>81</v>
      </c>
    </row>
    <row r="47" spans="1:13">
      <c r="A47" s="1069"/>
      <c r="B47" s="1069"/>
      <c r="C47" s="1069"/>
      <c r="D47" s="1069"/>
      <c r="E47" s="1069"/>
      <c r="F47" s="1069"/>
      <c r="G47" s="1069"/>
      <c r="H47" s="1069"/>
      <c r="I47" s="1069"/>
      <c r="J47" s="1069"/>
      <c r="K47" s="1069"/>
      <c r="L47" s="1069"/>
    </row>
    <row r="48" spans="1:13">
      <c r="A48" s="1070" t="s">
        <v>85</v>
      </c>
      <c r="B48" s="95"/>
      <c r="C48" s="95"/>
      <c r="D48" s="95"/>
      <c r="E48" s="95"/>
      <c r="F48" s="95"/>
      <c r="G48" s="95"/>
      <c r="H48" s="95"/>
      <c r="I48" s="95"/>
      <c r="J48" s="95"/>
      <c r="K48" s="95"/>
      <c r="L48" s="95"/>
    </row>
    <row r="49" spans="1:14">
      <c r="A49" s="1119">
        <v>408190</v>
      </c>
      <c r="B49" s="1120">
        <f>+B25</f>
        <v>366864.5816483387</v>
      </c>
      <c r="C49" s="1120">
        <v>0</v>
      </c>
      <c r="D49" s="1120">
        <v>0</v>
      </c>
      <c r="E49" s="1120">
        <v>0</v>
      </c>
      <c r="F49" s="1120">
        <v>0</v>
      </c>
      <c r="G49" s="1121">
        <f>SUM(B49:F49)</f>
        <v>366864.5816483387</v>
      </c>
      <c r="H49" s="1122"/>
      <c r="I49" s="1121">
        <f>+G49*I58</f>
        <v>233780.25405594395</v>
      </c>
      <c r="J49" s="1121">
        <f>+G49*J58</f>
        <v>97681.895463330031</v>
      </c>
      <c r="K49" s="1121">
        <f>+G49*K58</f>
        <v>35402.432129064684</v>
      </c>
      <c r="L49" s="1121">
        <f>SUM(I49:K49)</f>
        <v>366864.5816483387</v>
      </c>
    </row>
    <row r="50" spans="1:14">
      <c r="A50" s="1119"/>
      <c r="B50" s="1120"/>
      <c r="C50" s="1120"/>
      <c r="D50" s="1120"/>
      <c r="E50" s="1120"/>
      <c r="F50" s="1120"/>
      <c r="G50" s="95"/>
      <c r="H50" s="95"/>
      <c r="I50" s="95"/>
      <c r="J50" s="95"/>
      <c r="K50" s="95"/>
      <c r="L50" s="95"/>
    </row>
    <row r="51" spans="1:14">
      <c r="A51" s="1070" t="s">
        <v>83</v>
      </c>
      <c r="B51" s="1120"/>
      <c r="C51" s="1120"/>
      <c r="D51" s="1120"/>
      <c r="E51" s="1120"/>
      <c r="F51" s="1120"/>
      <c r="G51" s="95"/>
      <c r="H51" s="95"/>
      <c r="I51" s="95"/>
      <c r="J51" s="95"/>
      <c r="K51" s="95"/>
      <c r="L51" s="95"/>
    </row>
    <row r="52" spans="1:14">
      <c r="A52" s="1119">
        <v>408170</v>
      </c>
      <c r="B52" s="1123">
        <f>+B28</f>
        <v>2356231.4566043918</v>
      </c>
      <c r="C52" s="1123">
        <f>+C28</f>
        <v>1470047.6900000002</v>
      </c>
      <c r="D52" s="1123">
        <v>0</v>
      </c>
      <c r="E52" s="1123">
        <f>+E28</f>
        <v>3184144.1200000006</v>
      </c>
      <c r="F52" s="1123">
        <v>0</v>
      </c>
      <c r="G52" s="1124">
        <f>SUM(B52:F52)</f>
        <v>7010423.2666043919</v>
      </c>
      <c r="H52" s="95"/>
      <c r="I52" s="1124">
        <f>B52</f>
        <v>2356231.4566043918</v>
      </c>
      <c r="J52" s="1124">
        <f>C52</f>
        <v>1470047.6900000002</v>
      </c>
      <c r="K52" s="1124">
        <f>E52</f>
        <v>3184144.1200000006</v>
      </c>
      <c r="L52" s="1124">
        <f>SUM(I52:K52)</f>
        <v>7010423.2666043919</v>
      </c>
    </row>
    <row r="53" spans="1:14">
      <c r="A53" s="1119"/>
      <c r="B53" s="1120"/>
      <c r="C53" s="1120"/>
      <c r="D53" s="1120"/>
      <c r="E53" s="1120"/>
      <c r="F53" s="1120"/>
      <c r="G53" s="95"/>
      <c r="H53" s="95"/>
      <c r="I53" s="95"/>
      <c r="J53" s="95"/>
      <c r="K53" s="95"/>
      <c r="L53" s="95"/>
    </row>
    <row r="54" spans="1:14" ht="15.75" thickBot="1">
      <c r="A54" s="1070" t="s">
        <v>82</v>
      </c>
      <c r="B54" s="1125">
        <f>SUM(B49:B52)</f>
        <v>2723096.0382527304</v>
      </c>
      <c r="C54" s="1125">
        <f t="shared" ref="C54:L54" si="5">SUM(C49:C52)</f>
        <v>1470047.6900000002</v>
      </c>
      <c r="D54" s="1125">
        <f t="shared" si="5"/>
        <v>0</v>
      </c>
      <c r="E54" s="1125">
        <f t="shared" si="5"/>
        <v>3184144.1200000006</v>
      </c>
      <c r="F54" s="1125">
        <f t="shared" si="5"/>
        <v>0</v>
      </c>
      <c r="G54" s="1125">
        <f t="shared" si="5"/>
        <v>7377287.8482527304</v>
      </c>
      <c r="H54" s="1125"/>
      <c r="I54" s="1125">
        <f t="shared" si="5"/>
        <v>2590011.7106603356</v>
      </c>
      <c r="J54" s="1125">
        <f t="shared" si="5"/>
        <v>1567729.5854633301</v>
      </c>
      <c r="K54" s="1125">
        <f t="shared" si="5"/>
        <v>3219546.5521290652</v>
      </c>
      <c r="L54" s="1125">
        <f t="shared" si="5"/>
        <v>7377287.8482527304</v>
      </c>
      <c r="M54" s="97" t="s">
        <v>96</v>
      </c>
      <c r="N54" s="96"/>
    </row>
    <row r="55" spans="1:14" ht="15.75">
      <c r="A55" s="1144" t="s">
        <v>424</v>
      </c>
      <c r="B55" s="95"/>
      <c r="C55" s="95"/>
      <c r="D55" s="95"/>
      <c r="E55" s="95"/>
      <c r="F55" s="95"/>
      <c r="G55" s="95"/>
      <c r="H55" s="95"/>
      <c r="I55" s="95"/>
      <c r="J55" s="95"/>
      <c r="K55" s="95"/>
      <c r="L55" s="95"/>
    </row>
    <row r="56" spans="1:14">
      <c r="A56" s="1119"/>
      <c r="B56" s="95"/>
      <c r="C56" s="95"/>
      <c r="D56" s="95"/>
      <c r="E56" s="95"/>
      <c r="F56" s="95"/>
      <c r="G56" s="95"/>
      <c r="H56" s="1122"/>
      <c r="I56" s="1126" t="s">
        <v>84</v>
      </c>
      <c r="J56" s="95"/>
      <c r="K56" s="95"/>
      <c r="L56" s="95"/>
    </row>
    <row r="57" spans="1:14">
      <c r="A57" s="1119"/>
      <c r="B57" s="95"/>
      <c r="C57" s="95"/>
      <c r="D57" s="95"/>
      <c r="E57" s="95"/>
      <c r="F57" s="95"/>
      <c r="G57" s="95"/>
      <c r="H57" s="95"/>
      <c r="I57" s="1069" t="s">
        <v>76</v>
      </c>
      <c r="J57" s="1069" t="s">
        <v>77</v>
      </c>
      <c r="K57" s="1069" t="s">
        <v>79</v>
      </c>
      <c r="L57" s="95"/>
    </row>
    <row r="58" spans="1:14" ht="15.75" thickBot="1">
      <c r="A58" s="1145" t="s">
        <v>264</v>
      </c>
      <c r="B58" s="1080">
        <f>+ForecastAsFiled!M20*1000</f>
        <v>3323000</v>
      </c>
      <c r="C58" s="1080">
        <f>+ForecastAsFiled!M21*1000</f>
        <v>1701000</v>
      </c>
      <c r="D58" s="1080"/>
      <c r="E58" s="1080">
        <f>+ForecastAsFiled!M22*1000</f>
        <v>3586000</v>
      </c>
      <c r="F58" s="1080"/>
      <c r="G58" s="1080">
        <f>SUM(B58:E58)</f>
        <v>8610000</v>
      </c>
      <c r="H58" s="95"/>
      <c r="I58" s="92">
        <f>70.53%*0.9035</f>
        <v>0.63723854999999996</v>
      </c>
      <c r="J58" s="92">
        <f>29.47%*0.9035</f>
        <v>0.26626144999999996</v>
      </c>
      <c r="K58" s="92">
        <f>0.0965</f>
        <v>9.6500000000000002E-2</v>
      </c>
      <c r="L58" s="1146">
        <f>SUM(I58:K58)</f>
        <v>1</v>
      </c>
    </row>
    <row r="59" spans="1:14" ht="16.5" hidden="1" thickBot="1">
      <c r="A59" s="1147" t="s">
        <v>264</v>
      </c>
      <c r="B59" s="1148">
        <v>3323000</v>
      </c>
      <c r="C59" s="1148">
        <v>1701000</v>
      </c>
      <c r="D59" s="1148">
        <v>0</v>
      </c>
      <c r="E59" s="1148">
        <v>3586000</v>
      </c>
      <c r="F59" s="1148"/>
      <c r="G59" s="1148">
        <v>8610000</v>
      </c>
      <c r="H59" s="95"/>
      <c r="I59" s="92"/>
      <c r="J59" s="92"/>
      <c r="K59" s="92"/>
      <c r="L59" s="95"/>
      <c r="N59" s="97" t="s">
        <v>97</v>
      </c>
    </row>
    <row r="60" spans="1:14" ht="30.75" thickBot="1">
      <c r="A60" s="1149" t="s">
        <v>93</v>
      </c>
      <c r="B60" s="1128">
        <f>+'Staff DR 160 as adapted '!Y139*1000</f>
        <v>3173466.6663129521</v>
      </c>
      <c r="C60" s="1128">
        <f>+'Staff DR 160 as adapted '!Y156*1000</f>
        <v>1782414.5004436173</v>
      </c>
      <c r="D60" s="1128">
        <v>0</v>
      </c>
      <c r="E60" s="1128">
        <f>+'Staff DR 160 as adapted '!Y174*1000</f>
        <v>3908383.0405804906</v>
      </c>
      <c r="F60" s="1128"/>
      <c r="G60" s="1128">
        <f>SUM(B60:F60)</f>
        <v>8864264.2073370591</v>
      </c>
      <c r="H60" s="1129"/>
      <c r="I60" s="1129"/>
      <c r="J60" s="1129"/>
      <c r="K60" s="1129"/>
      <c r="L60" s="1130"/>
    </row>
    <row r="61" spans="1:14">
      <c r="A61" s="1085" t="s">
        <v>475</v>
      </c>
      <c r="B61" s="1086">
        <f>+B60-B58</f>
        <v>-149533.33368704794</v>
      </c>
      <c r="C61" s="1086">
        <f t="shared" ref="C61:G61" si="6">+C60-C58</f>
        <v>81414.500443617348</v>
      </c>
      <c r="D61" s="1086">
        <f t="shared" si="6"/>
        <v>0</v>
      </c>
      <c r="E61" s="1086">
        <f t="shared" si="6"/>
        <v>322383.0405804906</v>
      </c>
      <c r="F61" s="1086">
        <f t="shared" si="6"/>
        <v>0</v>
      </c>
      <c r="G61" s="1086">
        <f t="shared" si="6"/>
        <v>254264.20733705908</v>
      </c>
      <c r="H61" s="1131"/>
      <c r="I61" s="1131"/>
      <c r="J61" s="1131"/>
      <c r="K61" s="1131"/>
      <c r="L61" s="1132"/>
    </row>
    <row r="62" spans="1:14">
      <c r="A62" s="1133" t="s">
        <v>85</v>
      </c>
      <c r="B62" s="1131"/>
      <c r="C62" s="1131"/>
      <c r="D62" s="1131"/>
      <c r="E62" s="1131"/>
      <c r="F62" s="1131"/>
      <c r="G62" s="1131"/>
      <c r="H62" s="1131"/>
      <c r="I62" s="1131"/>
      <c r="J62" s="1131"/>
      <c r="K62" s="1131"/>
      <c r="L62" s="1132"/>
    </row>
    <row r="63" spans="1:14">
      <c r="A63" s="1133">
        <v>408190</v>
      </c>
      <c r="B63" s="1134">
        <f>B49/B54*B60</f>
        <v>427540.01495256735</v>
      </c>
      <c r="C63" s="1134">
        <f t="shared" ref="C63:E63" si="7">C49/C54*C60</f>
        <v>0</v>
      </c>
      <c r="D63" s="1134">
        <v>0</v>
      </c>
      <c r="E63" s="1134">
        <f t="shared" si="7"/>
        <v>0</v>
      </c>
      <c r="F63" s="1134">
        <v>0</v>
      </c>
      <c r="G63" s="1134">
        <f>SUM(B63:F63)</f>
        <v>427540.01495256735</v>
      </c>
      <c r="H63" s="1131"/>
      <c r="I63" s="1135">
        <f>+I58*G63</f>
        <v>272444.97919535229</v>
      </c>
      <c r="J63" s="1135">
        <f>+J58*G63</f>
        <v>113837.42431429225</v>
      </c>
      <c r="K63" s="1135">
        <f>+K58*G63</f>
        <v>41257.611442922753</v>
      </c>
      <c r="L63" s="1136">
        <f>SUM(I63:K63)</f>
        <v>427540.01495256729</v>
      </c>
    </row>
    <row r="64" spans="1:14">
      <c r="A64" s="1133"/>
      <c r="B64" s="1134"/>
      <c r="C64" s="1134"/>
      <c r="D64" s="1134"/>
      <c r="E64" s="1134"/>
      <c r="F64" s="1134"/>
      <c r="G64" s="1134"/>
      <c r="H64" s="1131"/>
      <c r="I64" s="1131"/>
      <c r="J64" s="1131"/>
      <c r="K64" s="1131"/>
      <c r="L64" s="1132"/>
    </row>
    <row r="65" spans="1:12">
      <c r="A65" s="1133" t="s">
        <v>83</v>
      </c>
      <c r="B65" s="1134"/>
      <c r="C65" s="1134"/>
      <c r="D65" s="1134"/>
      <c r="E65" s="1134"/>
      <c r="F65" s="1134"/>
      <c r="G65" s="1134"/>
      <c r="H65" s="1131"/>
      <c r="I65" s="1131"/>
      <c r="J65" s="1131"/>
      <c r="K65" s="1131"/>
      <c r="L65" s="1132"/>
    </row>
    <row r="66" spans="1:12">
      <c r="A66" s="1133">
        <v>408170</v>
      </c>
      <c r="B66" s="1123">
        <f>B52/B54*B60</f>
        <v>2745926.6513603847</v>
      </c>
      <c r="C66" s="1123">
        <f t="shared" ref="C66:E66" si="8">C52/C54*C60</f>
        <v>1782414.5004436173</v>
      </c>
      <c r="D66" s="1123">
        <v>0</v>
      </c>
      <c r="E66" s="1123">
        <f t="shared" si="8"/>
        <v>3908383.0405804906</v>
      </c>
      <c r="F66" s="1123">
        <v>0</v>
      </c>
      <c r="G66" s="1123">
        <f>SUM(B66:F66)</f>
        <v>8436724.1923844926</v>
      </c>
      <c r="H66" s="1131"/>
      <c r="I66" s="1124">
        <f>+B66</f>
        <v>2745926.6513603847</v>
      </c>
      <c r="J66" s="1124">
        <f>+C66</f>
        <v>1782414.5004436173</v>
      </c>
      <c r="K66" s="1124">
        <f>+E66</f>
        <v>3908383.0405804906</v>
      </c>
      <c r="L66" s="1137">
        <f>SUM(I66:K66)</f>
        <v>8436724.1923844926</v>
      </c>
    </row>
    <row r="67" spans="1:12">
      <c r="A67" s="1133"/>
      <c r="B67" s="1134"/>
      <c r="C67" s="1134"/>
      <c r="D67" s="1134"/>
      <c r="E67" s="1134"/>
      <c r="F67" s="1134"/>
      <c r="G67" s="1134"/>
      <c r="H67" s="1131"/>
      <c r="I67" s="1131"/>
      <c r="J67" s="1131"/>
      <c r="K67" s="1131"/>
      <c r="L67" s="1132"/>
    </row>
    <row r="68" spans="1:12" ht="15.75" thickBot="1">
      <c r="A68" s="1138"/>
      <c r="B68" s="1125">
        <f>SUM(B63:B66)</f>
        <v>3173466.6663129521</v>
      </c>
      <c r="C68" s="1125">
        <f t="shared" ref="C68:L68" si="9">SUM(C63:C66)</f>
        <v>1782414.5004436173</v>
      </c>
      <c r="D68" s="1125">
        <f t="shared" si="9"/>
        <v>0</v>
      </c>
      <c r="E68" s="1125">
        <f t="shared" si="9"/>
        <v>3908383.0405804906</v>
      </c>
      <c r="F68" s="1125">
        <f t="shared" si="9"/>
        <v>0</v>
      </c>
      <c r="G68" s="1125">
        <f t="shared" si="9"/>
        <v>8864264.2073370591</v>
      </c>
      <c r="H68" s="1125"/>
      <c r="I68" s="1125">
        <f t="shared" si="9"/>
        <v>3018371.6305557368</v>
      </c>
      <c r="J68" s="1125">
        <f t="shared" si="9"/>
        <v>1896251.9247579095</v>
      </c>
      <c r="K68" s="1125">
        <f t="shared" si="9"/>
        <v>3949640.6520234132</v>
      </c>
      <c r="L68" s="1139">
        <f t="shared" si="9"/>
        <v>8864264.2073370591</v>
      </c>
    </row>
    <row r="69" spans="1:12" ht="15.75" thickBot="1">
      <c r="A69" s="1138"/>
      <c r="B69" s="1140"/>
      <c r="C69" s="1140"/>
      <c r="D69" s="1140"/>
      <c r="E69" s="1140"/>
      <c r="F69" s="1140"/>
      <c r="G69" s="1150">
        <f>+G68-G54</f>
        <v>1486976.3590843286</v>
      </c>
      <c r="H69" s="1140"/>
      <c r="I69" s="1151">
        <f>+I68/G68</f>
        <v>0.34051011566841544</v>
      </c>
      <c r="J69" s="1151">
        <f>+J68/G68</f>
        <v>0.21392096178590422</v>
      </c>
      <c r="K69" s="1151">
        <f>+K68/G68</f>
        <v>0.44556892254568042</v>
      </c>
      <c r="L69" s="1141"/>
    </row>
    <row r="70" spans="1:12" ht="15.75" thickBot="1">
      <c r="A70" s="1119"/>
      <c r="B70" s="95"/>
      <c r="C70" s="95"/>
      <c r="D70" s="95"/>
      <c r="E70" s="95"/>
      <c r="F70" s="95"/>
      <c r="G70" s="95"/>
      <c r="H70" s="95"/>
      <c r="I70" s="95"/>
      <c r="J70" s="95"/>
      <c r="K70" s="95"/>
      <c r="L70" s="95"/>
    </row>
    <row r="71" spans="1:12">
      <c r="A71" s="1103" t="s">
        <v>74</v>
      </c>
      <c r="B71" s="1129"/>
      <c r="C71" s="1129"/>
      <c r="D71" s="1129"/>
      <c r="E71" s="1129"/>
      <c r="F71" s="1129"/>
      <c r="G71" s="1129"/>
      <c r="H71" s="1129"/>
      <c r="I71" s="1129"/>
      <c r="J71" s="1129"/>
      <c r="K71" s="1129"/>
      <c r="L71" s="1130"/>
    </row>
    <row r="72" spans="1:12">
      <c r="A72" s="1133" t="s">
        <v>85</v>
      </c>
      <c r="B72" s="1131"/>
      <c r="C72" s="1131"/>
      <c r="D72" s="1131"/>
      <c r="E72" s="1131"/>
      <c r="F72" s="1131"/>
      <c r="G72" s="1131"/>
      <c r="H72" s="1131"/>
      <c r="I72" s="1131"/>
      <c r="J72" s="1131"/>
      <c r="K72" s="1131"/>
      <c r="L72" s="1132"/>
    </row>
    <row r="73" spans="1:12" ht="18.75">
      <c r="A73" s="1133">
        <v>408190</v>
      </c>
      <c r="B73" s="1134">
        <f>B63-B49</f>
        <v>60675.433304228645</v>
      </c>
      <c r="C73" s="1134">
        <f>C63-C49</f>
        <v>0</v>
      </c>
      <c r="D73" s="1134">
        <f>D63-D49</f>
        <v>0</v>
      </c>
      <c r="E73" s="1134">
        <f>E63-E49</f>
        <v>0</v>
      </c>
      <c r="F73" s="1134">
        <f>F63-F49</f>
        <v>0</v>
      </c>
      <c r="G73" s="1134">
        <f>SUM(B73:F73)</f>
        <v>60675.433304228645</v>
      </c>
      <c r="H73" s="1131"/>
      <c r="I73" s="1152">
        <f>I63-I49</f>
        <v>38664.725139408343</v>
      </c>
      <c r="J73" s="1134">
        <f>J63-J49</f>
        <v>16155.528850962219</v>
      </c>
      <c r="K73" s="1134">
        <f>K63-K49</f>
        <v>5855.1793138580688</v>
      </c>
      <c r="L73" s="1136">
        <f>SUM(I73:K73)</f>
        <v>60675.433304228631</v>
      </c>
    </row>
    <row r="74" spans="1:12">
      <c r="A74" s="1133"/>
      <c r="B74" s="1134"/>
      <c r="C74" s="1134"/>
      <c r="D74" s="1134"/>
      <c r="E74" s="1134"/>
      <c r="F74" s="1134"/>
      <c r="G74" s="1134"/>
      <c r="H74" s="1131"/>
      <c r="I74" s="1131"/>
      <c r="J74" s="1131"/>
      <c r="K74" s="1131"/>
      <c r="L74" s="1132"/>
    </row>
    <row r="75" spans="1:12">
      <c r="A75" s="1133" t="s">
        <v>83</v>
      </c>
      <c r="B75" s="1134"/>
      <c r="C75" s="1134"/>
      <c r="D75" s="1134"/>
      <c r="E75" s="1134"/>
      <c r="F75" s="1134"/>
      <c r="G75" s="1134"/>
      <c r="H75" s="1131"/>
      <c r="I75" s="1131"/>
      <c r="J75" s="1131"/>
      <c r="K75" s="1131"/>
      <c r="L75" s="1132"/>
    </row>
    <row r="76" spans="1:12" ht="18.75">
      <c r="A76" s="1133">
        <v>408170</v>
      </c>
      <c r="B76" s="1123">
        <f>B66-B52</f>
        <v>389695.19475599285</v>
      </c>
      <c r="C76" s="1123">
        <f>C66-C52</f>
        <v>312366.81044361717</v>
      </c>
      <c r="D76" s="1123">
        <f>D66-D52</f>
        <v>0</v>
      </c>
      <c r="E76" s="1123">
        <f>E66-E52</f>
        <v>724238.92058049003</v>
      </c>
      <c r="F76" s="1123">
        <f>F66-F52</f>
        <v>0</v>
      </c>
      <c r="G76" s="1123">
        <f>SUM(B76:F76)</f>
        <v>1426300.9257801</v>
      </c>
      <c r="H76" s="1131"/>
      <c r="I76" s="1153">
        <f>I66-I52</f>
        <v>389695.19475599285</v>
      </c>
      <c r="J76" s="1124">
        <f>J66-J52</f>
        <v>312366.81044361717</v>
      </c>
      <c r="K76" s="1124">
        <f>K66-K52</f>
        <v>724238.92058049003</v>
      </c>
      <c r="L76" s="1137">
        <f>SUM(I76:K76)</f>
        <v>1426300.9257801</v>
      </c>
    </row>
    <row r="77" spans="1:12" ht="15.75" thickBot="1">
      <c r="A77" s="1133"/>
      <c r="B77" s="1134"/>
      <c r="C77" s="1134"/>
      <c r="D77" s="1134"/>
      <c r="E77" s="1134"/>
      <c r="F77" s="1134"/>
      <c r="G77" s="1134"/>
      <c r="H77" s="1131"/>
      <c r="I77" s="1131"/>
      <c r="J77" s="1131"/>
      <c r="K77" s="1131"/>
      <c r="L77" s="1132"/>
    </row>
    <row r="78" spans="1:12" ht="16.5" thickTop="1" thickBot="1">
      <c r="A78" s="1133"/>
      <c r="B78" s="1125">
        <f>SUM(B73:B76)</f>
        <v>450370.6280602215</v>
      </c>
      <c r="C78" s="1125">
        <f t="shared" ref="C78:K78" si="10">SUM(C73:C76)</f>
        <v>312366.81044361717</v>
      </c>
      <c r="D78" s="1125">
        <f t="shared" si="10"/>
        <v>0</v>
      </c>
      <c r="E78" s="1125">
        <f t="shared" si="10"/>
        <v>724238.92058049003</v>
      </c>
      <c r="F78" s="1125">
        <f t="shared" si="10"/>
        <v>0</v>
      </c>
      <c r="G78" s="1125">
        <f t="shared" si="10"/>
        <v>1486976.3590843286</v>
      </c>
      <c r="H78" s="1125"/>
      <c r="I78" s="1142">
        <f t="shared" si="10"/>
        <v>428359.91989540122</v>
      </c>
      <c r="J78" s="1125">
        <f t="shared" si="10"/>
        <v>328522.3392945794</v>
      </c>
      <c r="K78" s="1125">
        <f t="shared" si="10"/>
        <v>730094.09989434807</v>
      </c>
      <c r="L78" s="1139">
        <f>SUM(L73:L76)</f>
        <v>1486976.3590843286</v>
      </c>
    </row>
    <row r="79" spans="1:12" ht="15.75" thickBot="1">
      <c r="A79" s="1138"/>
      <c r="B79" s="1140"/>
      <c r="C79" s="1140"/>
      <c r="D79" s="1140"/>
      <c r="E79" s="1140"/>
      <c r="F79" s="1140"/>
      <c r="G79" s="1109" t="s">
        <v>264</v>
      </c>
      <c r="H79" s="1140"/>
      <c r="I79" s="1143">
        <v>475932</v>
      </c>
      <c r="J79" s="1140"/>
      <c r="K79" s="1140"/>
      <c r="L79" s="1141"/>
    </row>
    <row r="80" spans="1:12">
      <c r="I80" s="97"/>
    </row>
    <row r="81" spans="9:9">
      <c r="I81" s="8"/>
    </row>
  </sheetData>
  <mergeCells count="4">
    <mergeCell ref="B6:G6"/>
    <mergeCell ref="I6:L6"/>
    <mergeCell ref="B44:G44"/>
    <mergeCell ref="I44:L44"/>
  </mergeCells>
  <pageMargins left="0.7" right="0.7" top="0.75" bottom="0.59" header="0.3" footer="0.3"/>
  <pageSetup scale="55" orientation="portrait" r:id="rId1"/>
  <headerFooter>
    <oddHeader>&amp;RExh AIW-2
Dockets UE-170485 / UG-170486
Page &amp;P of &amp;N</oddHeader>
  </headerFooter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42"/>
  <sheetViews>
    <sheetView topLeftCell="A10" workbookViewId="0">
      <selection activeCell="H5" sqref="H5"/>
    </sheetView>
  </sheetViews>
  <sheetFormatPr defaultColWidth="9.140625" defaultRowHeight="15"/>
  <cols>
    <col min="1" max="1" width="17" style="46" bestFit="1" customWidth="1"/>
    <col min="2" max="5" width="13.28515625" style="47" bestFit="1" customWidth="1"/>
    <col min="6" max="6" width="9.5703125" style="47" bestFit="1" customWidth="1"/>
    <col min="7" max="7" width="11.5703125" style="47" bestFit="1" customWidth="1"/>
    <col min="8" max="8" width="1.7109375" style="47" customWidth="1"/>
    <col min="9" max="9" width="15.5703125" style="47" customWidth="1"/>
    <col min="10" max="10" width="11.85546875" style="47" bestFit="1" customWidth="1"/>
    <col min="11" max="11" width="12.28515625" style="47" bestFit="1" customWidth="1"/>
    <col min="12" max="12" width="11.5703125" style="47" bestFit="1" customWidth="1"/>
    <col min="13" max="16384" width="9.140625" style="47"/>
  </cols>
  <sheetData>
    <row r="1" spans="1:12">
      <c r="A1" s="46" t="s">
        <v>431</v>
      </c>
      <c r="I1" s="47" t="s">
        <v>299</v>
      </c>
    </row>
    <row r="2" spans="1:12">
      <c r="A2" s="46" t="s">
        <v>429</v>
      </c>
    </row>
    <row r="3" spans="1:12" ht="15.75" thickBot="1">
      <c r="A3" s="46" t="s">
        <v>442</v>
      </c>
    </row>
    <row r="4" spans="1:12" ht="15.75" thickBot="1">
      <c r="B4" s="1293" t="s">
        <v>94</v>
      </c>
      <c r="C4" s="1294"/>
      <c r="D4" s="1294"/>
      <c r="E4" s="1294"/>
      <c r="F4" s="1294"/>
      <c r="G4" s="1295"/>
      <c r="I4" s="1293" t="s">
        <v>75</v>
      </c>
      <c r="J4" s="1294"/>
      <c r="K4" s="1295"/>
    </row>
    <row r="5" spans="1:12">
      <c r="B5" s="3"/>
      <c r="C5" s="3"/>
      <c r="D5" s="3"/>
      <c r="E5" s="3"/>
      <c r="F5" s="3"/>
      <c r="G5" s="3"/>
      <c r="I5" s="48">
        <v>0.6573</v>
      </c>
      <c r="J5" s="48">
        <f>1-I5</f>
        <v>0.3427</v>
      </c>
    </row>
    <row r="6" spans="1:12" s="5" customFormat="1">
      <c r="B6" s="5" t="s">
        <v>76</v>
      </c>
      <c r="C6" s="5" t="s">
        <v>77</v>
      </c>
      <c r="D6" s="5" t="s">
        <v>78</v>
      </c>
      <c r="E6" s="5" t="s">
        <v>79</v>
      </c>
      <c r="F6" s="5" t="s">
        <v>80</v>
      </c>
      <c r="G6" s="5" t="s">
        <v>81</v>
      </c>
      <c r="I6" s="5" t="s">
        <v>76</v>
      </c>
      <c r="J6" s="5" t="s">
        <v>77</v>
      </c>
      <c r="K6" s="5" t="s">
        <v>81</v>
      </c>
    </row>
    <row r="7" spans="1:12" s="5" customFormat="1">
      <c r="A7" s="5" t="s">
        <v>82</v>
      </c>
    </row>
    <row r="8" spans="1:12">
      <c r="A8" s="6" t="s">
        <v>86</v>
      </c>
    </row>
    <row r="9" spans="1:12">
      <c r="A9" s="46">
        <v>408150</v>
      </c>
      <c r="B9" s="49">
        <v>3342360</v>
      </c>
      <c r="C9" s="49">
        <v>1241751</v>
      </c>
      <c r="D9" s="49">
        <v>8081676</v>
      </c>
      <c r="E9" s="49">
        <v>2611176</v>
      </c>
      <c r="F9" s="50">
        <v>3686</v>
      </c>
      <c r="G9" s="51">
        <f>SUM(B9:F9)</f>
        <v>15280649</v>
      </c>
      <c r="I9" s="51">
        <f>ROUND($G$9*I5,0)</f>
        <v>10043971</v>
      </c>
      <c r="J9" s="51">
        <f>ROUND($G$9*J5,0)</f>
        <v>5236678</v>
      </c>
      <c r="K9" s="51">
        <f>SUM(I9:J9)</f>
        <v>15280649</v>
      </c>
    </row>
    <row r="10" spans="1:12">
      <c r="A10" s="46">
        <v>408180</v>
      </c>
      <c r="B10" s="52">
        <v>3146573</v>
      </c>
      <c r="C10" s="52">
        <v>1367715</v>
      </c>
      <c r="D10" s="52">
        <v>1239750</v>
      </c>
      <c r="E10" s="52">
        <v>10490</v>
      </c>
      <c r="F10" s="52">
        <v>0</v>
      </c>
      <c r="G10" s="53">
        <f>SUM(B10:F10)</f>
        <v>5764528</v>
      </c>
      <c r="I10" s="51">
        <f>ROUND($G$10*I5,0)</f>
        <v>3789024</v>
      </c>
      <c r="J10" s="51">
        <f>ROUND($G$10*J5,0)</f>
        <v>1975504</v>
      </c>
      <c r="K10" s="51">
        <f>SUM(I10:J10)</f>
        <v>5764528</v>
      </c>
    </row>
    <row r="11" spans="1:12">
      <c r="A11" s="46" t="s">
        <v>87</v>
      </c>
      <c r="B11" s="49">
        <f>SUM(B9:B10)</f>
        <v>6488933</v>
      </c>
      <c r="C11" s="49">
        <f t="shared" ref="C11:K11" si="0">SUM(C9:C10)</f>
        <v>2609466</v>
      </c>
      <c r="D11" s="49">
        <f t="shared" si="0"/>
        <v>9321426</v>
      </c>
      <c r="E11" s="49">
        <f t="shared" si="0"/>
        <v>2621666</v>
      </c>
      <c r="F11" s="49">
        <f t="shared" si="0"/>
        <v>3686</v>
      </c>
      <c r="G11" s="54">
        <f t="shared" si="0"/>
        <v>21045177</v>
      </c>
      <c r="H11" s="54">
        <f t="shared" si="0"/>
        <v>0</v>
      </c>
      <c r="I11" s="54">
        <f t="shared" si="0"/>
        <v>13832995</v>
      </c>
      <c r="J11" s="54">
        <f t="shared" si="0"/>
        <v>7212182</v>
      </c>
      <c r="K11" s="54">
        <f t="shared" si="0"/>
        <v>21045177</v>
      </c>
    </row>
    <row r="12" spans="1:12">
      <c r="B12" s="49"/>
      <c r="C12" s="49"/>
      <c r="D12" s="49"/>
      <c r="E12" s="49"/>
      <c r="F12" s="49"/>
    </row>
    <row r="13" spans="1:12">
      <c r="A13" s="6" t="s">
        <v>83</v>
      </c>
      <c r="B13" s="49"/>
      <c r="C13" s="49"/>
      <c r="D13" s="49"/>
      <c r="E13" s="49"/>
      <c r="F13" s="49"/>
    </row>
    <row r="14" spans="1:12">
      <c r="A14" s="46">
        <v>408170</v>
      </c>
      <c r="B14" s="52">
        <v>7495836</v>
      </c>
      <c r="C14" s="52">
        <v>3070265</v>
      </c>
      <c r="D14" s="52">
        <v>0</v>
      </c>
      <c r="E14" s="52">
        <v>0</v>
      </c>
      <c r="F14" s="52">
        <v>0</v>
      </c>
      <c r="G14" s="53">
        <f>SUM(B14:F14)</f>
        <v>10566101</v>
      </c>
      <c r="I14" s="53">
        <f>B14</f>
        <v>7495836</v>
      </c>
      <c r="J14" s="53">
        <f>C14</f>
        <v>3070265</v>
      </c>
      <c r="K14" s="53">
        <f>SUM(I14:J14)</f>
        <v>10566101</v>
      </c>
    </row>
    <row r="15" spans="1:12">
      <c r="B15" s="49"/>
      <c r="C15" s="49"/>
      <c r="D15" s="49"/>
      <c r="E15" s="49"/>
      <c r="F15" s="49"/>
    </row>
    <row r="16" spans="1:12" ht="15.75" thickBot="1">
      <c r="A16" s="6" t="s">
        <v>82</v>
      </c>
      <c r="B16" s="55">
        <f>SUM(B11:B14)</f>
        <v>13984769</v>
      </c>
      <c r="C16" s="55">
        <f t="shared" ref="C16:K16" si="1">SUM(C11:C14)</f>
        <v>5679731</v>
      </c>
      <c r="D16" s="55">
        <f t="shared" si="1"/>
        <v>9321426</v>
      </c>
      <c r="E16" s="55">
        <f t="shared" si="1"/>
        <v>2621666</v>
      </c>
      <c r="F16" s="55">
        <f t="shared" si="1"/>
        <v>3686</v>
      </c>
      <c r="G16" s="55">
        <f t="shared" si="1"/>
        <v>31611278</v>
      </c>
      <c r="H16" s="55">
        <f t="shared" si="1"/>
        <v>0</v>
      </c>
      <c r="I16" s="55">
        <f t="shared" si="1"/>
        <v>21328831</v>
      </c>
      <c r="J16" s="55">
        <f t="shared" si="1"/>
        <v>10282447</v>
      </c>
      <c r="K16" s="55">
        <f t="shared" si="1"/>
        <v>31611278</v>
      </c>
      <c r="L16" s="51"/>
    </row>
    <row r="18" spans="1:13" ht="15.75" thickBot="1"/>
    <row r="19" spans="1:13" ht="30.75" thickBot="1">
      <c r="A19" s="14" t="s">
        <v>93</v>
      </c>
      <c r="B19" s="91">
        <f>B29</f>
        <v>13357999</v>
      </c>
      <c r="C19" s="91">
        <f t="shared" ref="C19:F19" si="2">C29</f>
        <v>5679731</v>
      </c>
      <c r="D19" s="91">
        <f t="shared" si="2"/>
        <v>9743496</v>
      </c>
      <c r="E19" s="91">
        <f t="shared" si="2"/>
        <v>2621666</v>
      </c>
      <c r="F19" s="91">
        <f t="shared" si="2"/>
        <v>3686</v>
      </c>
      <c r="G19" s="91">
        <f>SUM(B19:F19)</f>
        <v>31406578</v>
      </c>
      <c r="H19" s="56"/>
      <c r="I19" s="56"/>
      <c r="J19" s="56"/>
      <c r="K19" s="57"/>
    </row>
    <row r="20" spans="1:13">
      <c r="A20" s="58"/>
      <c r="B20" s="59"/>
      <c r="C20" s="59"/>
      <c r="D20" s="59"/>
      <c r="E20" s="59"/>
      <c r="F20" s="59"/>
      <c r="G20" s="59"/>
      <c r="H20" s="59"/>
      <c r="I20" s="59"/>
      <c r="J20" s="59"/>
      <c r="K20" s="60"/>
    </row>
    <row r="21" spans="1:13">
      <c r="A21" s="58" t="s">
        <v>86</v>
      </c>
      <c r="B21" s="59"/>
      <c r="C21" s="59"/>
      <c r="D21" s="59"/>
      <c r="E21" s="59"/>
      <c r="F21" s="59"/>
      <c r="G21" s="59"/>
      <c r="H21" s="59"/>
      <c r="I21" s="59"/>
      <c r="J21" s="59"/>
      <c r="K21" s="60"/>
    </row>
    <row r="22" spans="1:13">
      <c r="A22" s="58">
        <v>408150</v>
      </c>
      <c r="B22" s="61">
        <v>3192562</v>
      </c>
      <c r="C22" s="61">
        <v>1241751</v>
      </c>
      <c r="D22" s="61">
        <v>8447611</v>
      </c>
      <c r="E22" s="61">
        <v>2611176</v>
      </c>
      <c r="F22" s="61">
        <v>3686</v>
      </c>
      <c r="G22" s="61">
        <f>SUM(B22:F22)</f>
        <v>15496786</v>
      </c>
      <c r="H22" s="59"/>
      <c r="I22" s="62">
        <f>ROUND(G22*I5,0)</f>
        <v>10186037</v>
      </c>
      <c r="J22" s="62">
        <f>ROUND(G22*J5,0)</f>
        <v>5310749</v>
      </c>
      <c r="K22" s="63">
        <f>SUM(I22:J22)</f>
        <v>15496786</v>
      </c>
    </row>
    <row r="23" spans="1:13">
      <c r="A23" s="58">
        <v>408180</v>
      </c>
      <c r="B23" s="64">
        <v>3005550</v>
      </c>
      <c r="C23" s="64">
        <v>1367715</v>
      </c>
      <c r="D23" s="64">
        <v>1295885</v>
      </c>
      <c r="E23" s="64">
        <v>10490</v>
      </c>
      <c r="F23" s="64"/>
      <c r="G23" s="64">
        <f>SUM(B23:F23)</f>
        <v>5679640</v>
      </c>
      <c r="H23" s="59"/>
      <c r="I23" s="62">
        <f>ROUND(G23*I5,0)</f>
        <v>3733227</v>
      </c>
      <c r="J23" s="62">
        <f>ROUND(G23*J5,0)</f>
        <v>1946413</v>
      </c>
      <c r="K23" s="63">
        <f>SUM(I23:J23)</f>
        <v>5679640</v>
      </c>
    </row>
    <row r="24" spans="1:13">
      <c r="A24" s="58" t="s">
        <v>88</v>
      </c>
      <c r="B24" s="61">
        <f t="shared" ref="B24:G24" si="3">SUM(B22:B23)</f>
        <v>6198112</v>
      </c>
      <c r="C24" s="61">
        <f t="shared" si="3"/>
        <v>2609466</v>
      </c>
      <c r="D24" s="61">
        <f t="shared" si="3"/>
        <v>9743496</v>
      </c>
      <c r="E24" s="61">
        <f t="shared" si="3"/>
        <v>2621666</v>
      </c>
      <c r="F24" s="61">
        <f t="shared" si="3"/>
        <v>3686</v>
      </c>
      <c r="G24" s="61">
        <f t="shared" si="3"/>
        <v>21176426</v>
      </c>
      <c r="H24" s="59"/>
      <c r="I24" s="65">
        <f>SUM(I22:I23)</f>
        <v>13919264</v>
      </c>
      <c r="J24" s="65">
        <f>SUM(J22:J23)</f>
        <v>7257162</v>
      </c>
      <c r="K24" s="66">
        <f>SUM(K22:K23)</f>
        <v>21176426</v>
      </c>
    </row>
    <row r="25" spans="1:13">
      <c r="A25" s="58"/>
      <c r="B25" s="61"/>
      <c r="C25" s="61"/>
      <c r="D25" s="61"/>
      <c r="E25" s="61"/>
      <c r="F25" s="61"/>
      <c r="G25" s="61"/>
      <c r="H25" s="59"/>
      <c r="I25" s="59"/>
      <c r="J25" s="59"/>
      <c r="K25" s="60"/>
    </row>
    <row r="26" spans="1:13">
      <c r="A26" s="58" t="s">
        <v>83</v>
      </c>
      <c r="B26" s="61"/>
      <c r="C26" s="61"/>
      <c r="D26" s="61"/>
      <c r="E26" s="61"/>
      <c r="F26" s="61"/>
      <c r="G26" s="61"/>
      <c r="H26" s="59"/>
      <c r="I26" s="59"/>
      <c r="J26" s="59"/>
      <c r="K26" s="60"/>
    </row>
    <row r="27" spans="1:13">
      <c r="A27" s="58">
        <v>408170</v>
      </c>
      <c r="B27" s="64">
        <v>7159887</v>
      </c>
      <c r="C27" s="64">
        <v>3070265</v>
      </c>
      <c r="D27" s="64"/>
      <c r="E27" s="64"/>
      <c r="F27" s="64"/>
      <c r="G27" s="64">
        <f>SUM(B27:F27)</f>
        <v>10230152</v>
      </c>
      <c r="H27" s="59"/>
      <c r="I27" s="67">
        <f>B27</f>
        <v>7159887</v>
      </c>
      <c r="J27" s="67">
        <f>C27</f>
        <v>3070265</v>
      </c>
      <c r="K27" s="68">
        <f>SUM(I27:J27)</f>
        <v>10230152</v>
      </c>
    </row>
    <row r="28" spans="1:13">
      <c r="A28" s="58"/>
      <c r="B28" s="61"/>
      <c r="C28" s="61"/>
      <c r="D28" s="61"/>
      <c r="E28" s="61"/>
      <c r="F28" s="61"/>
      <c r="G28" s="61"/>
      <c r="H28" s="59"/>
      <c r="I28" s="59"/>
      <c r="J28" s="59"/>
      <c r="K28" s="60"/>
    </row>
    <row r="29" spans="1:13" ht="15.75" thickBot="1">
      <c r="A29" s="58"/>
      <c r="B29" s="69">
        <f t="shared" ref="B29:G29" si="4">SUM(B24:B27)</f>
        <v>13357999</v>
      </c>
      <c r="C29" s="69">
        <f t="shared" si="4"/>
        <v>5679731</v>
      </c>
      <c r="D29" s="69">
        <f t="shared" si="4"/>
        <v>9743496</v>
      </c>
      <c r="E29" s="69">
        <f t="shared" si="4"/>
        <v>2621666</v>
      </c>
      <c r="F29" s="69">
        <f t="shared" si="4"/>
        <v>3686</v>
      </c>
      <c r="G29" s="69">
        <f t="shared" si="4"/>
        <v>31406578</v>
      </c>
      <c r="H29" s="70"/>
      <c r="I29" s="69">
        <f>SUM(I24:I27)</f>
        <v>21079151</v>
      </c>
      <c r="J29" s="69">
        <f>SUM(J24:J27)</f>
        <v>10327427</v>
      </c>
      <c r="K29" s="71">
        <f>SUM(K24:K27)</f>
        <v>31406578</v>
      </c>
      <c r="M29" s="51"/>
    </row>
    <row r="30" spans="1:13" ht="15.75" thickBot="1">
      <c r="A30" s="72"/>
      <c r="B30" s="73"/>
      <c r="C30" s="73"/>
      <c r="D30" s="73"/>
      <c r="E30" s="73"/>
      <c r="F30" s="73"/>
      <c r="G30" s="73"/>
      <c r="H30" s="73"/>
      <c r="I30" s="73"/>
      <c r="J30" s="73"/>
      <c r="K30" s="74"/>
    </row>
    <row r="31" spans="1:13" ht="15.75" thickBot="1"/>
    <row r="32" spans="1:13">
      <c r="A32" s="32" t="s">
        <v>74</v>
      </c>
      <c r="B32" s="75"/>
      <c r="C32" s="75"/>
      <c r="D32" s="75"/>
      <c r="E32" s="75"/>
      <c r="F32" s="75"/>
      <c r="G32" s="75"/>
      <c r="H32" s="75"/>
      <c r="I32" s="75"/>
      <c r="J32" s="75"/>
      <c r="K32" s="76"/>
    </row>
    <row r="33" spans="1:11">
      <c r="A33" s="77" t="s">
        <v>86</v>
      </c>
      <c r="B33" s="78"/>
      <c r="C33" s="78"/>
      <c r="D33" s="78"/>
      <c r="E33" s="78"/>
      <c r="F33" s="78"/>
      <c r="G33" s="78"/>
      <c r="H33" s="78"/>
      <c r="I33" s="78"/>
      <c r="J33" s="78"/>
      <c r="K33" s="79"/>
    </row>
    <row r="34" spans="1:11">
      <c r="A34" s="77">
        <v>408150</v>
      </c>
      <c r="B34" s="80">
        <f t="shared" ref="B34:F35" si="5">B22-B9</f>
        <v>-149798</v>
      </c>
      <c r="C34" s="80">
        <f t="shared" si="5"/>
        <v>0</v>
      </c>
      <c r="D34" s="80">
        <f t="shared" si="5"/>
        <v>365935</v>
      </c>
      <c r="E34" s="80">
        <f t="shared" si="5"/>
        <v>0</v>
      </c>
      <c r="F34" s="81">
        <f t="shared" si="5"/>
        <v>0</v>
      </c>
      <c r="G34" s="80">
        <f>SUM(B34:F34)</f>
        <v>216137</v>
      </c>
      <c r="H34" s="78"/>
      <c r="I34" s="80">
        <f>I22-I9</f>
        <v>142066</v>
      </c>
      <c r="J34" s="80">
        <f>J22-J9</f>
        <v>74071</v>
      </c>
      <c r="K34" s="82">
        <f>SUM(I34:J34)</f>
        <v>216137</v>
      </c>
    </row>
    <row r="35" spans="1:11">
      <c r="A35" s="77">
        <v>408180</v>
      </c>
      <c r="B35" s="52">
        <f t="shared" si="5"/>
        <v>-141023</v>
      </c>
      <c r="C35" s="52">
        <f t="shared" si="5"/>
        <v>0</v>
      </c>
      <c r="D35" s="52">
        <f t="shared" si="5"/>
        <v>56135</v>
      </c>
      <c r="E35" s="52">
        <f t="shared" si="5"/>
        <v>0</v>
      </c>
      <c r="F35" s="52">
        <f t="shared" si="5"/>
        <v>0</v>
      </c>
      <c r="G35" s="52">
        <f>SUM(B35:F35)</f>
        <v>-84888</v>
      </c>
      <c r="H35" s="78"/>
      <c r="I35" s="80">
        <f>I23-I10</f>
        <v>-55797</v>
      </c>
      <c r="J35" s="80">
        <f>J23-J10</f>
        <v>-29091</v>
      </c>
      <c r="K35" s="82">
        <f>SUM(I35:J35)</f>
        <v>-84888</v>
      </c>
    </row>
    <row r="36" spans="1:11">
      <c r="A36" s="77" t="s">
        <v>88</v>
      </c>
      <c r="B36" s="80">
        <f t="shared" ref="B36:G36" si="6">SUM(B34:B35)</f>
        <v>-290821</v>
      </c>
      <c r="C36" s="80">
        <f t="shared" si="6"/>
        <v>0</v>
      </c>
      <c r="D36" s="80">
        <f t="shared" si="6"/>
        <v>422070</v>
      </c>
      <c r="E36" s="80">
        <f t="shared" si="6"/>
        <v>0</v>
      </c>
      <c r="F36" s="80">
        <f t="shared" si="6"/>
        <v>0</v>
      </c>
      <c r="G36" s="80">
        <f t="shared" si="6"/>
        <v>131249</v>
      </c>
      <c r="H36" s="78"/>
      <c r="I36" s="54">
        <f>SUM(I34:I35)</f>
        <v>86269</v>
      </c>
      <c r="J36" s="54">
        <f>SUM(J34:J35)</f>
        <v>44980</v>
      </c>
      <c r="K36" s="83">
        <f>SUM(K34:K35)</f>
        <v>131249</v>
      </c>
    </row>
    <row r="37" spans="1:11">
      <c r="A37" s="77"/>
      <c r="B37" s="80"/>
      <c r="C37" s="80"/>
      <c r="D37" s="80"/>
      <c r="E37" s="80"/>
      <c r="F37" s="80"/>
      <c r="G37" s="80"/>
      <c r="H37" s="78"/>
      <c r="I37" s="78"/>
      <c r="J37" s="78"/>
      <c r="K37" s="79"/>
    </row>
    <row r="38" spans="1:11">
      <c r="A38" s="77" t="s">
        <v>83</v>
      </c>
      <c r="B38" s="80"/>
      <c r="C38" s="80"/>
      <c r="D38" s="80"/>
      <c r="E38" s="80"/>
      <c r="F38" s="80"/>
      <c r="G38" s="80"/>
      <c r="H38" s="78"/>
      <c r="I38" s="78"/>
      <c r="J38" s="78"/>
      <c r="K38" s="79"/>
    </row>
    <row r="39" spans="1:11">
      <c r="A39" s="77">
        <v>408170</v>
      </c>
      <c r="B39" s="52">
        <f>B27-B14</f>
        <v>-335949</v>
      </c>
      <c r="C39" s="52">
        <f>C27-C14</f>
        <v>0</v>
      </c>
      <c r="D39" s="52">
        <f>D27-D14</f>
        <v>0</v>
      </c>
      <c r="E39" s="52">
        <f>E27-E14</f>
        <v>0</v>
      </c>
      <c r="F39" s="52">
        <f>F27-F14</f>
        <v>0</v>
      </c>
      <c r="G39" s="52">
        <f>SUM(B39:F39)</f>
        <v>-335949</v>
      </c>
      <c r="H39" s="78"/>
      <c r="I39" s="53">
        <f>B39</f>
        <v>-335949</v>
      </c>
      <c r="J39" s="53">
        <f>C39</f>
        <v>0</v>
      </c>
      <c r="K39" s="84">
        <f>SUM(I39:J39)</f>
        <v>-335949</v>
      </c>
    </row>
    <row r="40" spans="1:11" ht="15.75" thickBot="1">
      <c r="A40" s="77"/>
      <c r="B40" s="80"/>
      <c r="C40" s="80"/>
      <c r="D40" s="80"/>
      <c r="E40" s="80"/>
      <c r="F40" s="80"/>
      <c r="G40" s="80"/>
      <c r="H40" s="78"/>
      <c r="I40" s="78"/>
      <c r="J40" s="78"/>
      <c r="K40" s="79"/>
    </row>
    <row r="41" spans="1:11" ht="16.5" thickTop="1" thickBot="1">
      <c r="A41" s="77"/>
      <c r="B41" s="55">
        <f t="shared" ref="B41:G41" si="7">SUM(B36:B39)</f>
        <v>-626770</v>
      </c>
      <c r="C41" s="55">
        <f t="shared" si="7"/>
        <v>0</v>
      </c>
      <c r="D41" s="55">
        <f t="shared" si="7"/>
        <v>422070</v>
      </c>
      <c r="E41" s="55">
        <f t="shared" si="7"/>
        <v>0</v>
      </c>
      <c r="F41" s="55">
        <f t="shared" si="7"/>
        <v>0</v>
      </c>
      <c r="G41" s="55">
        <f t="shared" si="7"/>
        <v>-204700</v>
      </c>
      <c r="H41" s="85"/>
      <c r="I41" s="86">
        <f>SUM(I36:I39)</f>
        <v>-249680</v>
      </c>
      <c r="J41" s="55">
        <f>SUM(J36:J39)</f>
        <v>44980</v>
      </c>
      <c r="K41" s="87">
        <f>SUM(K36:K39)</f>
        <v>-204700</v>
      </c>
    </row>
    <row r="42" spans="1:11" ht="15.75" thickBot="1">
      <c r="A42" s="88"/>
      <c r="B42" s="89"/>
      <c r="C42" s="89"/>
      <c r="D42" s="89"/>
      <c r="E42" s="89"/>
      <c r="F42" s="89"/>
      <c r="G42" s="89"/>
      <c r="H42" s="89"/>
      <c r="I42" s="89"/>
      <c r="J42" s="89"/>
      <c r="K42" s="90"/>
    </row>
  </sheetData>
  <mergeCells count="2">
    <mergeCell ref="B4:G4"/>
    <mergeCell ref="I4:K4"/>
  </mergeCells>
  <pageMargins left="0.27" right="0.37" top="0.75" bottom="0.75" header="0.3" footer="0.3"/>
  <pageSetup scale="77" fitToHeight="0" orientation="portrait" r:id="rId1"/>
  <headerFooter>
    <oddHeader>&amp;RExh AIW-2
Dockets UE-170485 / UG-170486
Page &amp;P of &amp;N</oddHeader>
  </headerFooter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0"/>
  <sheetViews>
    <sheetView topLeftCell="A4" workbookViewId="0">
      <selection activeCell="H5" sqref="H5"/>
    </sheetView>
  </sheetViews>
  <sheetFormatPr defaultColWidth="9.140625" defaultRowHeight="15"/>
  <cols>
    <col min="1" max="1" width="17.140625" style="1" customWidth="1"/>
    <col min="2" max="5" width="13.28515625" style="2" bestFit="1" customWidth="1"/>
    <col min="6" max="6" width="9.5703125" style="2" bestFit="1" customWidth="1"/>
    <col min="7" max="7" width="11.5703125" style="2" bestFit="1" customWidth="1"/>
    <col min="8" max="8" width="3.140625" style="2" customWidth="1"/>
    <col min="9" max="9" width="15.5703125" style="2" customWidth="1"/>
    <col min="10" max="11" width="11.28515625" style="2" bestFit="1" customWidth="1"/>
    <col min="12" max="12" width="11.5703125" style="2" bestFit="1" customWidth="1"/>
    <col min="13" max="16384" width="9.140625" style="2"/>
  </cols>
  <sheetData>
    <row r="1" spans="1:12">
      <c r="A1" t="s">
        <v>431</v>
      </c>
      <c r="J1" s="47" t="s">
        <v>299</v>
      </c>
    </row>
    <row r="2" spans="1:12">
      <c r="A2" s="46" t="s">
        <v>429</v>
      </c>
    </row>
    <row r="3" spans="1:12">
      <c r="A3" s="1" t="s">
        <v>441</v>
      </c>
    </row>
    <row r="4" spans="1:12" ht="15.75" thickBot="1"/>
    <row r="5" spans="1:12" ht="15.75" thickBot="1">
      <c r="B5" s="1293" t="s">
        <v>91</v>
      </c>
      <c r="C5" s="1294"/>
      <c r="D5" s="1294"/>
      <c r="E5" s="1294"/>
      <c r="F5" s="1294"/>
      <c r="G5" s="1295"/>
      <c r="I5" s="1293" t="s">
        <v>75</v>
      </c>
      <c r="J5" s="1294"/>
      <c r="K5" s="1294"/>
      <c r="L5" s="1295"/>
    </row>
    <row r="6" spans="1:12">
      <c r="B6" s="3"/>
      <c r="C6" s="3"/>
      <c r="D6" s="3"/>
      <c r="E6" s="3"/>
      <c r="F6" s="3"/>
      <c r="G6" s="3"/>
      <c r="I6" s="4"/>
      <c r="J6" s="4"/>
      <c r="K6" s="4"/>
    </row>
    <row r="7" spans="1:12" s="5" customFormat="1">
      <c r="B7" s="5" t="s">
        <v>76</v>
      </c>
      <c r="C7" s="5" t="s">
        <v>77</v>
      </c>
      <c r="D7" s="5" t="s">
        <v>78</v>
      </c>
      <c r="E7" s="5" t="s">
        <v>79</v>
      </c>
      <c r="F7" s="5" t="s">
        <v>80</v>
      </c>
      <c r="G7" s="5" t="s">
        <v>81</v>
      </c>
      <c r="I7" s="5" t="s">
        <v>76</v>
      </c>
      <c r="J7" s="5" t="s">
        <v>77</v>
      </c>
      <c r="K7" s="5" t="s">
        <v>79</v>
      </c>
      <c r="L7" s="5" t="s">
        <v>81</v>
      </c>
    </row>
    <row r="8" spans="1:12" s="5" customFormat="1">
      <c r="A8" s="5" t="s">
        <v>82</v>
      </c>
    </row>
    <row r="9" spans="1:12">
      <c r="A9" s="6" t="s">
        <v>92</v>
      </c>
    </row>
    <row r="10" spans="1:12">
      <c r="A10" s="1">
        <v>408190</v>
      </c>
      <c r="B10" s="7">
        <v>330217</v>
      </c>
      <c r="C10" s="7"/>
      <c r="D10" s="7"/>
      <c r="E10" s="7"/>
      <c r="F10" s="7"/>
      <c r="G10" s="8">
        <f>SUM(B10:F10)</f>
        <v>330217</v>
      </c>
      <c r="H10" s="9"/>
      <c r="I10" s="8">
        <f>ROUND($G$10*I19,0)</f>
        <v>210427</v>
      </c>
      <c r="J10" s="8">
        <f>ROUND($G$10*J19,0)</f>
        <v>87924</v>
      </c>
      <c r="K10" s="8">
        <f>ROUND($G$10*K19,0)</f>
        <v>31866</v>
      </c>
      <c r="L10" s="8">
        <f>SUM(I10:K10)</f>
        <v>330217</v>
      </c>
    </row>
    <row r="11" spans="1:12">
      <c r="B11" s="7"/>
      <c r="C11" s="7"/>
      <c r="D11" s="7"/>
      <c r="E11" s="7"/>
      <c r="F11" s="7"/>
    </row>
    <row r="12" spans="1:12">
      <c r="A12" s="6" t="s">
        <v>83</v>
      </c>
      <c r="B12" s="7"/>
      <c r="C12" s="7"/>
      <c r="D12" s="7"/>
      <c r="E12" s="7"/>
      <c r="F12" s="7"/>
    </row>
    <row r="13" spans="1:12">
      <c r="A13" s="1">
        <v>408170</v>
      </c>
      <c r="B13" s="10">
        <v>2120858</v>
      </c>
      <c r="C13" s="10">
        <v>1470048</v>
      </c>
      <c r="D13" s="10"/>
      <c r="E13" s="10">
        <v>2956009</v>
      </c>
      <c r="F13" s="10"/>
      <c r="G13" s="11">
        <f>SUM(B13:F13)</f>
        <v>6546915</v>
      </c>
      <c r="I13" s="11">
        <f>B13</f>
        <v>2120858</v>
      </c>
      <c r="J13" s="11">
        <f>C13</f>
        <v>1470048</v>
      </c>
      <c r="K13" s="11">
        <f>E13</f>
        <v>2956009</v>
      </c>
      <c r="L13" s="11">
        <f>SUM(I13:K13)</f>
        <v>6546915</v>
      </c>
    </row>
    <row r="14" spans="1:12">
      <c r="B14" s="7"/>
      <c r="C14" s="7"/>
      <c r="D14" s="7"/>
      <c r="E14" s="7"/>
      <c r="F14" s="7"/>
    </row>
    <row r="15" spans="1:12" ht="15.75" thickBot="1">
      <c r="A15" s="6" t="s">
        <v>82</v>
      </c>
      <c r="B15" s="12">
        <f>SUM(B10:B13)</f>
        <v>2451075</v>
      </c>
      <c r="C15" s="12">
        <f t="shared" ref="C15:L15" si="0">SUM(C10:C13)</f>
        <v>1470048</v>
      </c>
      <c r="D15" s="12">
        <f t="shared" si="0"/>
        <v>0</v>
      </c>
      <c r="E15" s="12">
        <f t="shared" si="0"/>
        <v>2956009</v>
      </c>
      <c r="F15" s="12">
        <f t="shared" si="0"/>
        <v>0</v>
      </c>
      <c r="G15" s="12">
        <f t="shared" si="0"/>
        <v>6877132</v>
      </c>
      <c r="H15" s="12"/>
      <c r="I15" s="12">
        <f t="shared" si="0"/>
        <v>2331285</v>
      </c>
      <c r="J15" s="12">
        <f t="shared" si="0"/>
        <v>1557972</v>
      </c>
      <c r="K15" s="12">
        <f t="shared" si="0"/>
        <v>2987875</v>
      </c>
      <c r="L15" s="12">
        <f t="shared" si="0"/>
        <v>6877132</v>
      </c>
    </row>
    <row r="17" spans="1:12">
      <c r="H17" s="9"/>
      <c r="I17" s="13" t="s">
        <v>84</v>
      </c>
    </row>
    <row r="18" spans="1:12">
      <c r="I18" s="5" t="s">
        <v>76</v>
      </c>
      <c r="J18" s="5" t="s">
        <v>77</v>
      </c>
      <c r="K18" s="5" t="s">
        <v>79</v>
      </c>
    </row>
    <row r="19" spans="1:12">
      <c r="I19" s="92">
        <f>70.53%*0.9035</f>
        <v>0.63723854999999996</v>
      </c>
      <c r="J19" s="92">
        <f>29.47%*0.9035</f>
        <v>0.26626144999999996</v>
      </c>
      <c r="K19" s="92">
        <f>0.0965</f>
        <v>9.6500000000000002E-2</v>
      </c>
    </row>
    <row r="20" spans="1:12" ht="15.75" thickBot="1">
      <c r="I20" s="4"/>
      <c r="J20" s="4"/>
      <c r="K20" s="4"/>
    </row>
    <row r="21" spans="1:12" ht="30.75" thickBot="1">
      <c r="A21" s="14" t="s">
        <v>93</v>
      </c>
      <c r="B21" s="15">
        <f>B29</f>
        <v>2826001</v>
      </c>
      <c r="C21" s="15">
        <f>C29</f>
        <v>1470048</v>
      </c>
      <c r="D21" s="15">
        <v>0</v>
      </c>
      <c r="E21" s="15">
        <f>E29</f>
        <v>2956009</v>
      </c>
      <c r="F21" s="15"/>
      <c r="G21" s="15">
        <f>SUM(B21:F21)</f>
        <v>7252058</v>
      </c>
      <c r="H21" s="16"/>
      <c r="I21" s="16"/>
      <c r="J21" s="16"/>
      <c r="K21" s="16"/>
      <c r="L21" s="17"/>
    </row>
    <row r="22" spans="1:12">
      <c r="A22" s="18"/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20"/>
    </row>
    <row r="23" spans="1:12">
      <c r="A23" s="18" t="s">
        <v>85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20"/>
    </row>
    <row r="24" spans="1:12">
      <c r="A24" s="18">
        <v>408190</v>
      </c>
      <c r="B24" s="21">
        <v>330217</v>
      </c>
      <c r="C24" s="21"/>
      <c r="D24" s="21"/>
      <c r="E24" s="21"/>
      <c r="F24" s="21"/>
      <c r="G24" s="21">
        <f>SUM(B24:F24)</f>
        <v>330217</v>
      </c>
      <c r="H24" s="19"/>
      <c r="I24" s="22">
        <f>ROUND($G$24*I19,0)</f>
        <v>210427</v>
      </c>
      <c r="J24" s="22">
        <f>ROUND($G$24*J19,0)</f>
        <v>87924</v>
      </c>
      <c r="K24" s="22">
        <f>ROUND($G$24*K19,0)</f>
        <v>31866</v>
      </c>
      <c r="L24" s="23">
        <f>SUM(I24:K24)</f>
        <v>330217</v>
      </c>
    </row>
    <row r="25" spans="1:12">
      <c r="A25" s="18"/>
      <c r="B25" s="21"/>
      <c r="C25" s="21"/>
      <c r="D25" s="21"/>
      <c r="E25" s="21"/>
      <c r="F25" s="21"/>
      <c r="G25" s="21"/>
      <c r="H25" s="19"/>
      <c r="I25" s="19"/>
      <c r="J25" s="19"/>
      <c r="K25" s="19"/>
      <c r="L25" s="20"/>
    </row>
    <row r="26" spans="1:12">
      <c r="A26" s="18" t="s">
        <v>83</v>
      </c>
      <c r="B26" s="21"/>
      <c r="C26" s="21"/>
      <c r="D26" s="21"/>
      <c r="E26" s="21"/>
      <c r="F26" s="21"/>
      <c r="G26" s="21"/>
      <c r="H26" s="19"/>
      <c r="I26" s="19"/>
      <c r="J26" s="19"/>
      <c r="K26" s="19"/>
      <c r="L26" s="20"/>
    </row>
    <row r="27" spans="1:12">
      <c r="A27" s="18">
        <v>408170</v>
      </c>
      <c r="B27" s="24">
        <v>2495784</v>
      </c>
      <c r="C27" s="24">
        <v>1470048</v>
      </c>
      <c r="D27" s="24">
        <f>(D13/$C$15)*D21</f>
        <v>0</v>
      </c>
      <c r="E27" s="24">
        <v>2956009</v>
      </c>
      <c r="F27" s="24"/>
      <c r="G27" s="24">
        <f>SUM(B27:F27)</f>
        <v>6921841</v>
      </c>
      <c r="H27" s="19"/>
      <c r="I27" s="25">
        <f>B27</f>
        <v>2495784</v>
      </c>
      <c r="J27" s="25">
        <f>C27</f>
        <v>1470048</v>
      </c>
      <c r="K27" s="25">
        <f>E27</f>
        <v>2956009</v>
      </c>
      <c r="L27" s="26">
        <f>SUM(I27:K27)</f>
        <v>6921841</v>
      </c>
    </row>
    <row r="28" spans="1:12">
      <c r="A28" s="18"/>
      <c r="B28" s="21"/>
      <c r="C28" s="21"/>
      <c r="D28" s="21"/>
      <c r="E28" s="21"/>
      <c r="F28" s="21"/>
      <c r="G28" s="21"/>
      <c r="H28" s="19"/>
      <c r="I28" s="19"/>
      <c r="J28" s="19"/>
      <c r="K28" s="19"/>
      <c r="L28" s="20"/>
    </row>
    <row r="29" spans="1:12" ht="15.75" thickBot="1">
      <c r="A29" s="27"/>
      <c r="B29" s="28">
        <f>SUM(B24:B27)</f>
        <v>2826001</v>
      </c>
      <c r="C29" s="28">
        <f t="shared" ref="C29:L29" si="1">SUM(C24:C27)</f>
        <v>1470048</v>
      </c>
      <c r="D29" s="28">
        <f t="shared" si="1"/>
        <v>0</v>
      </c>
      <c r="E29" s="28">
        <f t="shared" si="1"/>
        <v>2956009</v>
      </c>
      <c r="F29" s="28">
        <f t="shared" si="1"/>
        <v>0</v>
      </c>
      <c r="G29" s="28">
        <f t="shared" si="1"/>
        <v>7252058</v>
      </c>
      <c r="H29" s="28"/>
      <c r="I29" s="28">
        <f t="shared" si="1"/>
        <v>2706211</v>
      </c>
      <c r="J29" s="28">
        <f t="shared" si="1"/>
        <v>1557972</v>
      </c>
      <c r="K29" s="28">
        <f t="shared" si="1"/>
        <v>2987875</v>
      </c>
      <c r="L29" s="29">
        <f t="shared" si="1"/>
        <v>7252058</v>
      </c>
    </row>
    <row r="30" spans="1:12" ht="15.75" thickBot="1">
      <c r="A30" s="27"/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1"/>
    </row>
    <row r="31" spans="1:12" ht="15.75" thickBot="1"/>
    <row r="32" spans="1:12">
      <c r="A32" s="32" t="s">
        <v>74</v>
      </c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4"/>
    </row>
    <row r="33" spans="1:12">
      <c r="A33" s="35" t="s">
        <v>85</v>
      </c>
      <c r="B33" s="36"/>
      <c r="C33" s="36"/>
      <c r="D33" s="36"/>
      <c r="E33" s="36"/>
      <c r="F33" s="36"/>
      <c r="G33" s="36"/>
      <c r="H33" s="36"/>
      <c r="I33" s="36"/>
      <c r="J33" s="36"/>
      <c r="K33" s="36"/>
      <c r="L33" s="37"/>
    </row>
    <row r="34" spans="1:12">
      <c r="A34" s="35">
        <v>408190</v>
      </c>
      <c r="B34" s="38">
        <f>B24-B10</f>
        <v>0</v>
      </c>
      <c r="C34" s="38">
        <f>C24-C10</f>
        <v>0</v>
      </c>
      <c r="D34" s="38">
        <f>D24-D10</f>
        <v>0</v>
      </c>
      <c r="E34" s="38">
        <f>E24-E10</f>
        <v>0</v>
      </c>
      <c r="F34" s="38">
        <f>F24-F10</f>
        <v>0</v>
      </c>
      <c r="G34" s="38">
        <f>SUM(B34:F34)</f>
        <v>0</v>
      </c>
      <c r="H34" s="36"/>
      <c r="I34" s="38">
        <f>I24-I10</f>
        <v>0</v>
      </c>
      <c r="J34" s="38">
        <f>J24-J10</f>
        <v>0</v>
      </c>
      <c r="K34" s="38">
        <f>K24-K10</f>
        <v>0</v>
      </c>
      <c r="L34" s="39">
        <f>SUM(I34:K34)</f>
        <v>0</v>
      </c>
    </row>
    <row r="35" spans="1:12">
      <c r="A35" s="35"/>
      <c r="B35" s="38"/>
      <c r="C35" s="38"/>
      <c r="D35" s="38"/>
      <c r="E35" s="38"/>
      <c r="F35" s="38"/>
      <c r="G35" s="38"/>
      <c r="H35" s="36"/>
      <c r="I35" s="36"/>
      <c r="J35" s="36"/>
      <c r="K35" s="36"/>
      <c r="L35" s="37"/>
    </row>
    <row r="36" spans="1:12">
      <c r="A36" s="35" t="s">
        <v>83</v>
      </c>
      <c r="B36" s="38"/>
      <c r="C36" s="38"/>
      <c r="D36" s="38"/>
      <c r="E36" s="38"/>
      <c r="F36" s="38"/>
      <c r="G36" s="38"/>
      <c r="H36" s="36"/>
      <c r="I36" s="36"/>
      <c r="J36" s="36"/>
      <c r="K36" s="36"/>
      <c r="L36" s="37"/>
    </row>
    <row r="37" spans="1:12">
      <c r="A37" s="35">
        <v>408170</v>
      </c>
      <c r="B37" s="10">
        <f>B27-B13</f>
        <v>374926</v>
      </c>
      <c r="C37" s="10">
        <f>C27-C13</f>
        <v>0</v>
      </c>
      <c r="D37" s="10">
        <f>D27-D13</f>
        <v>0</v>
      </c>
      <c r="E37" s="10">
        <f>E27-E13</f>
        <v>0</v>
      </c>
      <c r="F37" s="10">
        <f>F27-F13</f>
        <v>0</v>
      </c>
      <c r="G37" s="10">
        <f>SUM(B37:F37)</f>
        <v>374926</v>
      </c>
      <c r="H37" s="36"/>
      <c r="I37" s="11">
        <f>I27-I13</f>
        <v>374926</v>
      </c>
      <c r="J37" s="11">
        <f>J27-J13</f>
        <v>0</v>
      </c>
      <c r="K37" s="11">
        <f>K27-K13</f>
        <v>0</v>
      </c>
      <c r="L37" s="40">
        <f>SUM(I37:K37)</f>
        <v>374926</v>
      </c>
    </row>
    <row r="38" spans="1:12" ht="15.75" thickBot="1">
      <c r="A38" s="35"/>
      <c r="B38" s="38"/>
      <c r="C38" s="38"/>
      <c r="D38" s="38"/>
      <c r="E38" s="38"/>
      <c r="F38" s="38"/>
      <c r="G38" s="38"/>
      <c r="H38" s="36"/>
      <c r="I38" s="36"/>
      <c r="J38" s="36"/>
      <c r="K38" s="36"/>
      <c r="L38" s="37"/>
    </row>
    <row r="39" spans="1:12" ht="16.5" thickTop="1" thickBot="1">
      <c r="A39" s="35"/>
      <c r="B39" s="12">
        <f>SUM(B34:B37)</f>
        <v>374926</v>
      </c>
      <c r="C39" s="12">
        <f t="shared" ref="C39:K39" si="2">SUM(C34:C37)</f>
        <v>0</v>
      </c>
      <c r="D39" s="12">
        <f t="shared" si="2"/>
        <v>0</v>
      </c>
      <c r="E39" s="12">
        <f t="shared" si="2"/>
        <v>0</v>
      </c>
      <c r="F39" s="12">
        <f t="shared" si="2"/>
        <v>0</v>
      </c>
      <c r="G39" s="12">
        <f t="shared" si="2"/>
        <v>374926</v>
      </c>
      <c r="H39" s="12"/>
      <c r="I39" s="41">
        <f t="shared" si="2"/>
        <v>374926</v>
      </c>
      <c r="J39" s="12">
        <f t="shared" si="2"/>
        <v>0</v>
      </c>
      <c r="K39" s="12">
        <f t="shared" si="2"/>
        <v>0</v>
      </c>
      <c r="L39" s="42">
        <f>SUM(L34:L37)</f>
        <v>374926</v>
      </c>
    </row>
    <row r="40" spans="1:12" ht="15.75" thickBot="1">
      <c r="A40" s="43"/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5"/>
    </row>
  </sheetData>
  <mergeCells count="2">
    <mergeCell ref="B5:G5"/>
    <mergeCell ref="I5:L5"/>
  </mergeCells>
  <pageMargins left="0.32" right="0.36" top="0.75" bottom="0.75" header="0.3" footer="0.3"/>
  <pageSetup scale="70" fitToHeight="0" orientation="portrait" r:id="rId1"/>
  <headerFooter>
    <oddHeader>&amp;RExh AIW-2
Dockets UE-170485 / UG-170486
Page &amp;P of &amp;N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Visibility xmlns="dc463f71-b30c-4ab2-9473-d307f9d35888" xsi:nil="true"/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2017-05-26T07:00:00+00:00</OpenedDate>
    <Date1 xmlns="dc463f71-b30c-4ab2-9473-d307f9d35888">2017-12-01T08:00:00+00:00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170485</DocketNumber>
    <DelegatedOrder xmlns="dc463f71-b30c-4ab2-9473-d307f9d35888">false</DelegatedOrder>
    <SignificantOrder xmlns="dc463f71-b30c-4ab2-9473-d307f9d35888">false</SignificantOrder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4293D7BF2DB2434CBA4573E3DBB11230" ma:contentTypeVersion="104" ma:contentTypeDescription="" ma:contentTypeScope="" ma:versionID="3f6ae32ccc8da311cb75f5903f0a799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26c2ae407b9b0feeaee7be0625273c8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CFD9753-3A21-445E-8EE8-4A6581C003B2}"/>
</file>

<file path=customXml/itemProps2.xml><?xml version="1.0" encoding="utf-8"?>
<ds:datastoreItem xmlns:ds="http://schemas.openxmlformats.org/officeDocument/2006/customXml" ds:itemID="{6BDABD2F-FA2C-4B45-8F44-5A15ED2A074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581DFA3-503F-4401-85DF-A45DDE6F563B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  <ds:schemaRef ds:uri="6cac7f01-008c-450f-94bf-53a44ffc4423"/>
  </ds:schemaRefs>
</ds:datastoreItem>
</file>

<file path=customXml/itemProps4.xml><?xml version="1.0" encoding="utf-8"?>
<ds:datastoreItem xmlns:ds="http://schemas.openxmlformats.org/officeDocument/2006/customXml" ds:itemID="{8E6D66DB-454E-41D3-B8E9-E676EE61FD6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86</vt:i4>
      </vt:variant>
    </vt:vector>
  </HeadingPairs>
  <TitlesOfParts>
    <vt:vector size="103" baseType="lpstr">
      <vt:lpstr>2.02 Electric restate</vt:lpstr>
      <vt:lpstr>2.02 Gas-restate</vt:lpstr>
      <vt:lpstr>3.06 Electric-proforma</vt:lpstr>
      <vt:lpstr>Elec 2.02Restate 3.06Proforma</vt:lpstr>
      <vt:lpstr>Staff DR 160 as adapted </vt:lpstr>
      <vt:lpstr>3.06 Gas-proforma</vt:lpstr>
      <vt:lpstr>Gas 2.02Restate 3.06Proforma</vt:lpstr>
      <vt:lpstr>2.02Elec Restate as orig filed</vt:lpstr>
      <vt:lpstr>2.02Gas Restate as orig filed</vt:lpstr>
      <vt:lpstr>3.06Elec ProForma as orig file </vt:lpstr>
      <vt:lpstr>3.06Gas ProForma as orig filed</vt:lpstr>
      <vt:lpstr>Resp Stf DR40 suppl att A elec</vt:lpstr>
      <vt:lpstr>Resp Stf DR40 suppl att A gas</vt:lpstr>
      <vt:lpstr>Resp to Staff DR 41 supp A</vt:lpstr>
      <vt:lpstr>Resp to Staff DR 160</vt:lpstr>
      <vt:lpstr>Resp to ICNU DR 54</vt:lpstr>
      <vt:lpstr>ForecastAsFiled</vt:lpstr>
      <vt:lpstr>Macro1</vt:lpstr>
      <vt:lpstr>Macro10</vt:lpstr>
      <vt:lpstr>Macro11</vt:lpstr>
      <vt:lpstr>Macro12</vt:lpstr>
      <vt:lpstr>Macro13</vt:lpstr>
      <vt:lpstr>Macro14</vt:lpstr>
      <vt:lpstr>Macro15</vt:lpstr>
      <vt:lpstr>Macro16</vt:lpstr>
      <vt:lpstr>Macro17</vt:lpstr>
      <vt:lpstr>Macro18</vt:lpstr>
      <vt:lpstr>Macro19</vt:lpstr>
      <vt:lpstr>Macro2</vt:lpstr>
      <vt:lpstr>Macro20</vt:lpstr>
      <vt:lpstr>Macro21</vt:lpstr>
      <vt:lpstr>Macro22</vt:lpstr>
      <vt:lpstr>Macro23</vt:lpstr>
      <vt:lpstr>Macro24</vt:lpstr>
      <vt:lpstr>Macro25</vt:lpstr>
      <vt:lpstr>Macro26</vt:lpstr>
      <vt:lpstr>Macro27</vt:lpstr>
      <vt:lpstr>Macro28</vt:lpstr>
      <vt:lpstr>Macro29</vt:lpstr>
      <vt:lpstr>Macro3</vt:lpstr>
      <vt:lpstr>Macro30</vt:lpstr>
      <vt:lpstr>Macro31</vt:lpstr>
      <vt:lpstr>Macro32</vt:lpstr>
      <vt:lpstr>Macro33</vt:lpstr>
      <vt:lpstr>Macro34</vt:lpstr>
      <vt:lpstr>Macro35</vt:lpstr>
      <vt:lpstr>Macro36</vt:lpstr>
      <vt:lpstr>Macro37</vt:lpstr>
      <vt:lpstr>Macro38</vt:lpstr>
      <vt:lpstr>Macro39</vt:lpstr>
      <vt:lpstr>Macro4</vt:lpstr>
      <vt:lpstr>Macro40</vt:lpstr>
      <vt:lpstr>Macro41</vt:lpstr>
      <vt:lpstr>Macro42</vt:lpstr>
      <vt:lpstr>Macro43</vt:lpstr>
      <vt:lpstr>Macro44</vt:lpstr>
      <vt:lpstr>Macro45</vt:lpstr>
      <vt:lpstr>Macro46</vt:lpstr>
      <vt:lpstr>Macro47</vt:lpstr>
      <vt:lpstr>Macro48</vt:lpstr>
      <vt:lpstr>Macro49</vt:lpstr>
      <vt:lpstr>Macro5</vt:lpstr>
      <vt:lpstr>Macro50</vt:lpstr>
      <vt:lpstr>Macro51</vt:lpstr>
      <vt:lpstr>Macro52</vt:lpstr>
      <vt:lpstr>Macro53</vt:lpstr>
      <vt:lpstr>Macro54</vt:lpstr>
      <vt:lpstr>Macro55</vt:lpstr>
      <vt:lpstr>Macro56</vt:lpstr>
      <vt:lpstr>Macro57</vt:lpstr>
      <vt:lpstr>Macro58</vt:lpstr>
      <vt:lpstr>Macro59</vt:lpstr>
      <vt:lpstr>Macro6</vt:lpstr>
      <vt:lpstr>Macro60</vt:lpstr>
      <vt:lpstr>Macro61</vt:lpstr>
      <vt:lpstr>Macro62</vt:lpstr>
      <vt:lpstr>Macro63</vt:lpstr>
      <vt:lpstr>Macro64</vt:lpstr>
      <vt:lpstr>Macro65</vt:lpstr>
      <vt:lpstr>Macro66</vt:lpstr>
      <vt:lpstr>Macro67</vt:lpstr>
      <vt:lpstr>Macro68</vt:lpstr>
      <vt:lpstr>Macro69</vt:lpstr>
      <vt:lpstr>Macro7</vt:lpstr>
      <vt:lpstr>Macro70</vt:lpstr>
      <vt:lpstr>Macro71</vt:lpstr>
      <vt:lpstr>Macro72</vt:lpstr>
      <vt:lpstr>Macro8</vt:lpstr>
      <vt:lpstr>Macro9</vt:lpstr>
      <vt:lpstr>'2.02 Electric restate'!Print_Area</vt:lpstr>
      <vt:lpstr>'2.02 Gas-restate'!Print_Area</vt:lpstr>
      <vt:lpstr>'3.06 Electric-proforma'!Print_Area</vt:lpstr>
      <vt:lpstr>'3.06 Gas-proforma'!Print_Area</vt:lpstr>
      <vt:lpstr>ForecastAsFiled!Print_Area</vt:lpstr>
      <vt:lpstr>'Resp Stf DR40 suppl att A elec'!Print_Area</vt:lpstr>
      <vt:lpstr>'Resp Stf DR40 suppl att A gas'!Print_Area</vt:lpstr>
      <vt:lpstr>'Resp to ICNU DR 54'!Print_Area</vt:lpstr>
      <vt:lpstr>'Staff DR 160 as adapted '!Print_Area</vt:lpstr>
      <vt:lpstr>ForecastAsFiled!Print_Titles</vt:lpstr>
      <vt:lpstr>'Resp Stf DR40 suppl att A elec'!Print_Titles</vt:lpstr>
      <vt:lpstr>'Resp Stf DR40 suppl att A gas'!Print_Titles</vt:lpstr>
      <vt:lpstr>'Staff DR 160 as adapted '!Print_Titles</vt:lpstr>
      <vt:lpstr>Recover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AIW-2  2.02 Restate Property Tax and 3.06 Pro Forma Property Tax</dc:title>
  <dc:creator>Finesilver, Ryan</dc:creator>
  <cp:lastModifiedBy>Liz Andrews</cp:lastModifiedBy>
  <cp:lastPrinted>2017-11-30T20:02:26Z</cp:lastPrinted>
  <dcterms:created xsi:type="dcterms:W3CDTF">2016-03-10T21:31:20Z</dcterms:created>
  <dcterms:modified xsi:type="dcterms:W3CDTF">2017-11-30T20:02:31Z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0x0101006E56B4D1795A2E4DB2F0B01679ED314A004293D7BF2DB2434CBA4573E3DBB11230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