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ACTIVE\Cases\UE\UE_UG_240006_007_Avista_2024_GRC\1_Filings\Testimony_Rebuttal_CrossAnsw\PC\Exhibits\Mark Garrett\"/>
    </mc:Choice>
  </mc:AlternateContent>
  <xr:revisionPtr revIDLastSave="0" documentId="13_ncr:1_{EB236168-008A-4F53-81EC-FE4543B85C1B}" xr6:coauthVersionLast="47" xr6:coauthVersionMax="47" xr10:uidLastSave="{00000000-0000-0000-0000-000000000000}"/>
  <bookViews>
    <workbookView xWindow="-110" yWindow="-110" windowWidth="25180" windowHeight="16260" tabRatio="819" firstSheet="4" activeTab="11" xr2:uid="{E6E2325F-796C-44D6-9DB0-C00CB2C4FF14}"/>
  </bookViews>
  <sheets>
    <sheet name="10.1 RevReq" sheetId="1" r:id="rId1"/>
    <sheet name="10.2 Summary" sheetId="2" r:id="rId2"/>
    <sheet name="10.3 Executive Payroll" sheetId="13" r:id="rId3"/>
    <sheet name="10.4 Misc O&amp;M Escalation" sheetId="5" r:id="rId4"/>
    <sheet name="10.5 D&amp;O Ins." sheetId="6" r:id="rId5"/>
    <sheet name="10.6 BoD Comp." sheetId="7" r:id="rId6"/>
    <sheet name="10.7 Investor Relations " sheetId="8" r:id="rId7"/>
    <sheet name="10.8 Industry Dues" sheetId="9" r:id="rId8"/>
    <sheet name="10.9 Power Supply" sheetId="10" r:id="rId9"/>
    <sheet name="10.10 Cost of Capital" sheetId="3" r:id="rId10"/>
    <sheet name="10.11 Benefits" sheetId="14" r:id="rId11"/>
    <sheet name="10.12 Rent for Electric Prop" sheetId="15" r:id="rId12"/>
  </sheets>
  <definedNames>
    <definedName name="_xlnm.Print_Area" localSheetId="0">'10.1 RevReq'!$A$1:$H$43</definedName>
    <definedName name="_xlnm.Print_Area" localSheetId="9">'10.10 Cost of Capital'!$A$1:$M$26</definedName>
    <definedName name="_xlnm.Print_Area" localSheetId="1">'10.2 Summary'!$A$1:$U$86</definedName>
    <definedName name="_xlnm.Print_Area" localSheetId="2">'10.3 Executive Payroll'!$A$1:$H$23</definedName>
    <definedName name="_xlnm.Print_Area" localSheetId="3">'10.4 Misc O&amp;M Escalation'!$A$1:$H$25</definedName>
    <definedName name="_xlnm.Print_Area" localSheetId="4">'10.5 D&amp;O Ins.'!$A$1:$H$35</definedName>
    <definedName name="_xlnm.Print_Area" localSheetId="5">'10.6 BoD Comp.'!$A$1:$K$35</definedName>
    <definedName name="_xlnm.Print_Area" localSheetId="6">'10.7 Investor Relations '!$A$1:$G$21</definedName>
    <definedName name="_xlnm.Print_Area" localSheetId="7">'10.8 Industry Dues'!$A$1:$H$20</definedName>
    <definedName name="_xlnm.Print_Area" localSheetId="8">'10.9 Power Supply'!$A$1:$H$30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2" l="1"/>
  <c r="O84" i="2"/>
  <c r="O68" i="2"/>
  <c r="M68" i="2"/>
  <c r="M74" i="2"/>
  <c r="M46" i="2"/>
  <c r="R20" i="5" l="1"/>
  <c r="T20" i="5"/>
  <c r="V20" i="5"/>
  <c r="R21" i="5"/>
  <c r="S21" i="5"/>
  <c r="T21" i="5"/>
  <c r="R22" i="5"/>
  <c r="T22" i="5"/>
  <c r="V23" i="5"/>
  <c r="V24" i="5"/>
  <c r="R25" i="5"/>
  <c r="T25" i="5"/>
  <c r="V25" i="5" s="1"/>
  <c r="R26" i="5"/>
  <c r="T26" i="5"/>
  <c r="V27" i="5"/>
  <c r="V28" i="5"/>
  <c r="V29" i="5"/>
  <c r="Q30" i="5"/>
  <c r="U30" i="5"/>
  <c r="R31" i="5"/>
  <c r="T31" i="5"/>
  <c r="V31" i="5"/>
  <c r="R32" i="5"/>
  <c r="T32" i="5"/>
  <c r="R33" i="5"/>
  <c r="T33" i="5"/>
  <c r="V33" i="5" s="1"/>
  <c r="R34" i="5"/>
  <c r="T34" i="5"/>
  <c r="R35" i="5"/>
  <c r="V35" i="5" s="1"/>
  <c r="T35" i="5"/>
  <c r="Q36" i="5"/>
  <c r="Q37" i="5" s="1"/>
  <c r="S36" i="5"/>
  <c r="U36" i="5"/>
  <c r="R39" i="5"/>
  <c r="R40" i="5"/>
  <c r="V40" i="5" s="1"/>
  <c r="R41" i="5"/>
  <c r="V41" i="5" s="1"/>
  <c r="R42" i="5"/>
  <c r="V42" i="5" s="1"/>
  <c r="R43" i="5"/>
  <c r="V43" i="5" s="1"/>
  <c r="Q44" i="5"/>
  <c r="V44" i="5" s="1"/>
  <c r="Q45" i="5"/>
  <c r="S45" i="5"/>
  <c r="T45" i="5"/>
  <c r="U45" i="5"/>
  <c r="U52" i="5" s="1"/>
  <c r="R46" i="5"/>
  <c r="V46" i="5"/>
  <c r="R47" i="5"/>
  <c r="V47" i="5" s="1"/>
  <c r="R48" i="5"/>
  <c r="V48" i="5"/>
  <c r="R49" i="5"/>
  <c r="R50" i="5"/>
  <c r="V50" i="5" s="1"/>
  <c r="Q51" i="5"/>
  <c r="S51" i="5"/>
  <c r="T51" i="5"/>
  <c r="U51" i="5"/>
  <c r="R54" i="5"/>
  <c r="S55" i="5"/>
  <c r="S60" i="5" s="1"/>
  <c r="R56" i="5"/>
  <c r="V56" i="5"/>
  <c r="V57" i="5"/>
  <c r="R58" i="5"/>
  <c r="V58" i="5" s="1"/>
  <c r="V59" i="5"/>
  <c r="Q60" i="5"/>
  <c r="T60" i="5"/>
  <c r="U60" i="5"/>
  <c r="R61" i="5"/>
  <c r="R62" i="5"/>
  <c r="V62" i="5"/>
  <c r="R63" i="5"/>
  <c r="V63" i="5" s="1"/>
  <c r="V64" i="5"/>
  <c r="R65" i="5"/>
  <c r="V65" i="5" s="1"/>
  <c r="Q66" i="5"/>
  <c r="S66" i="5"/>
  <c r="T66" i="5"/>
  <c r="U66" i="5"/>
  <c r="Q69" i="5"/>
  <c r="S69" i="5" s="1"/>
  <c r="Q70" i="5"/>
  <c r="S70" i="5" s="1"/>
  <c r="V70" i="5" s="1"/>
  <c r="R71" i="5"/>
  <c r="V71" i="5" s="1"/>
  <c r="R72" i="5"/>
  <c r="S72" i="5"/>
  <c r="R76" i="5"/>
  <c r="V76" i="5" s="1"/>
  <c r="Q77" i="5"/>
  <c r="R77" i="5"/>
  <c r="R78" i="5"/>
  <c r="V78" i="5"/>
  <c r="R79" i="5"/>
  <c r="V79" i="5" s="1"/>
  <c r="V80" i="5"/>
  <c r="R81" i="5"/>
  <c r="V81" i="5" s="1"/>
  <c r="V82" i="5"/>
  <c r="R83" i="5"/>
  <c r="V83" i="5" s="1"/>
  <c r="V84" i="5"/>
  <c r="R85" i="5"/>
  <c r="V85" i="5"/>
  <c r="R86" i="5"/>
  <c r="V86" i="5" s="1"/>
  <c r="V87" i="5"/>
  <c r="S88" i="5"/>
  <c r="V88" i="5" s="1"/>
  <c r="R89" i="5"/>
  <c r="V89" i="5"/>
  <c r="V90" i="5"/>
  <c r="T91" i="5"/>
  <c r="U91" i="5"/>
  <c r="R92" i="5"/>
  <c r="V92" i="5"/>
  <c r="Q93" i="5"/>
  <c r="R93" i="5"/>
  <c r="R102" i="5" s="1"/>
  <c r="V94" i="5"/>
  <c r="V95" i="5"/>
  <c r="V96" i="5"/>
  <c r="V97" i="5"/>
  <c r="R98" i="5"/>
  <c r="V98" i="5"/>
  <c r="R99" i="5"/>
  <c r="V99" i="5"/>
  <c r="R100" i="5"/>
  <c r="V100" i="5" s="1"/>
  <c r="R101" i="5"/>
  <c r="V101" i="5" s="1"/>
  <c r="S102" i="5"/>
  <c r="T102" i="5"/>
  <c r="T103" i="5" s="1"/>
  <c r="U102" i="5"/>
  <c r="U103" i="5" s="1"/>
  <c r="R106" i="5"/>
  <c r="V107" i="5"/>
  <c r="R108" i="5"/>
  <c r="V108" i="5" s="1"/>
  <c r="R109" i="5"/>
  <c r="V109" i="5" s="1"/>
  <c r="R110" i="5"/>
  <c r="V110" i="5"/>
  <c r="R111" i="5"/>
  <c r="V111" i="5" s="1"/>
  <c r="R112" i="5"/>
  <c r="V112" i="5"/>
  <c r="R113" i="5"/>
  <c r="V113" i="5" s="1"/>
  <c r="R114" i="5"/>
  <c r="V114" i="5" s="1"/>
  <c r="V115" i="5"/>
  <c r="Q116" i="5"/>
  <c r="S116" i="5"/>
  <c r="T116" i="5"/>
  <c r="U116" i="5"/>
  <c r="R117" i="5"/>
  <c r="V117" i="5"/>
  <c r="R118" i="5"/>
  <c r="R119" i="5"/>
  <c r="V119" i="5" s="1"/>
  <c r="V120" i="5"/>
  <c r="R121" i="5"/>
  <c r="V121" i="5" s="1"/>
  <c r="R122" i="5"/>
  <c r="V122" i="5" s="1"/>
  <c r="R123" i="5"/>
  <c r="V123" i="5" s="1"/>
  <c r="R124" i="5"/>
  <c r="V124" i="5" s="1"/>
  <c r="R125" i="5"/>
  <c r="V125" i="5" s="1"/>
  <c r="R126" i="5"/>
  <c r="V126" i="5" s="1"/>
  <c r="Q127" i="5"/>
  <c r="S127" i="5"/>
  <c r="T127" i="5"/>
  <c r="U127" i="5"/>
  <c r="R131" i="5"/>
  <c r="R132" i="5"/>
  <c r="V132" i="5" s="1"/>
  <c r="R133" i="5"/>
  <c r="V133" i="5" s="1"/>
  <c r="V134" i="5"/>
  <c r="R135" i="5"/>
  <c r="V135" i="5" s="1"/>
  <c r="Q136" i="5"/>
  <c r="S136" i="5"/>
  <c r="T136" i="5"/>
  <c r="U136" i="5"/>
  <c r="V139" i="5"/>
  <c r="R140" i="5"/>
  <c r="U140" i="5"/>
  <c r="U143" i="5" s="1"/>
  <c r="R141" i="5"/>
  <c r="V141" i="5"/>
  <c r="R142" i="5"/>
  <c r="V142" i="5" s="1"/>
  <c r="Q143" i="5"/>
  <c r="S143" i="5"/>
  <c r="T143" i="5"/>
  <c r="V146" i="5"/>
  <c r="V147" i="5"/>
  <c r="V148" i="5"/>
  <c r="V149" i="5"/>
  <c r="Q150" i="5"/>
  <c r="R150" i="5"/>
  <c r="S150" i="5"/>
  <c r="T150" i="5"/>
  <c r="U150" i="5"/>
  <c r="R155" i="5"/>
  <c r="T155" i="5"/>
  <c r="R156" i="5"/>
  <c r="V156" i="5" s="1"/>
  <c r="V157" i="5"/>
  <c r="R158" i="5"/>
  <c r="T159" i="5"/>
  <c r="V159" i="5"/>
  <c r="R160" i="5"/>
  <c r="T160" i="5"/>
  <c r="R161" i="5"/>
  <c r="T161" i="5"/>
  <c r="V162" i="5"/>
  <c r="R163" i="5"/>
  <c r="V163" i="5" s="1"/>
  <c r="V164" i="5"/>
  <c r="V165" i="5"/>
  <c r="R166" i="5"/>
  <c r="V166" i="5"/>
  <c r="R167" i="5"/>
  <c r="V167" i="5" s="1"/>
  <c r="R168" i="5"/>
  <c r="V168" i="5" s="1"/>
  <c r="Q169" i="5"/>
  <c r="S169" i="5"/>
  <c r="U169" i="5"/>
  <c r="AG97" i="5"/>
  <c r="AH99" i="5"/>
  <c r="AH100" i="5"/>
  <c r="AH101" i="5"/>
  <c r="AH102" i="5"/>
  <c r="AF158" i="5"/>
  <c r="AG158" i="5"/>
  <c r="AH158" i="5"/>
  <c r="AF161" i="5"/>
  <c r="AG161" i="5"/>
  <c r="AH161" i="5"/>
  <c r="M63" i="2"/>
  <c r="M73" i="2"/>
  <c r="M44" i="2"/>
  <c r="R66" i="5" l="1"/>
  <c r="V21" i="5"/>
  <c r="V72" i="5"/>
  <c r="Q67" i="5"/>
  <c r="S37" i="5"/>
  <c r="T128" i="5"/>
  <c r="V161" i="5"/>
  <c r="Q128" i="5"/>
  <c r="V93" i="5"/>
  <c r="V34" i="5"/>
  <c r="S30" i="5"/>
  <c r="AH103" i="5"/>
  <c r="T158" i="5" s="1"/>
  <c r="T169" i="5" s="1"/>
  <c r="T30" i="5"/>
  <c r="U128" i="5"/>
  <c r="V160" i="5"/>
  <c r="T36" i="5"/>
  <c r="T37" i="5" s="1"/>
  <c r="Q102" i="5"/>
  <c r="V61" i="5"/>
  <c r="V55" i="5"/>
  <c r="V32" i="5"/>
  <c r="U67" i="5"/>
  <c r="R45" i="5"/>
  <c r="S67" i="5"/>
  <c r="U37" i="5"/>
  <c r="U73" i="5" s="1"/>
  <c r="V155" i="5"/>
  <c r="V26" i="5"/>
  <c r="R127" i="5"/>
  <c r="T52" i="5"/>
  <c r="R169" i="5"/>
  <c r="S91" i="5"/>
  <c r="S103" i="5" s="1"/>
  <c r="V77" i="5"/>
  <c r="V91" i="5" s="1"/>
  <c r="R91" i="5"/>
  <c r="R103" i="5" s="1"/>
  <c r="V66" i="5"/>
  <c r="V118" i="5"/>
  <c r="V49" i="5"/>
  <c r="R51" i="5"/>
  <c r="Q52" i="5"/>
  <c r="Q73" i="5" s="1"/>
  <c r="V69" i="5"/>
  <c r="R143" i="5"/>
  <c r="S128" i="5"/>
  <c r="V106" i="5"/>
  <c r="R116" i="5"/>
  <c r="T67" i="5"/>
  <c r="R36" i="5"/>
  <c r="V150" i="5"/>
  <c r="R30" i="5"/>
  <c r="V102" i="5"/>
  <c r="V51" i="5"/>
  <c r="V158" i="5"/>
  <c r="R60" i="5"/>
  <c r="R67" i="5" s="1"/>
  <c r="V54" i="5"/>
  <c r="V140" i="5"/>
  <c r="V131" i="5"/>
  <c r="R136" i="5"/>
  <c r="Q91" i="5"/>
  <c r="S52" i="5"/>
  <c r="S73" i="5" s="1"/>
  <c r="V22" i="5"/>
  <c r="V39" i="5"/>
  <c r="R52" i="5" l="1"/>
  <c r="V169" i="5"/>
  <c r="R37" i="5"/>
  <c r="U152" i="5"/>
  <c r="U171" i="5" s="1"/>
  <c r="V36" i="5"/>
  <c r="T73" i="5"/>
  <c r="T152" i="5" s="1"/>
  <c r="T171" i="5" s="1"/>
  <c r="Q103" i="5"/>
  <c r="Q152" i="5" s="1"/>
  <c r="Q171" i="5" s="1"/>
  <c r="S152" i="5"/>
  <c r="S171" i="5" s="1"/>
  <c r="R128" i="5"/>
  <c r="V60" i="5"/>
  <c r="V67" i="5" s="1"/>
  <c r="V116" i="5"/>
  <c r="R73" i="5"/>
  <c r="R152" i="5" s="1"/>
  <c r="R171" i="5" s="1"/>
  <c r="V45" i="5"/>
  <c r="V52" i="5" s="1"/>
  <c r="V136" i="5"/>
  <c r="V103" i="5"/>
  <c r="V127" i="5"/>
  <c r="V143" i="5"/>
  <c r="V30" i="5"/>
  <c r="V12" i="5"/>
  <c r="W12" i="5"/>
  <c r="X12" i="5"/>
  <c r="Y12" i="5"/>
  <c r="W16" i="5"/>
  <c r="W158" i="5" s="1"/>
  <c r="X16" i="5"/>
  <c r="X54" i="5" s="1"/>
  <c r="AE158" i="5"/>
  <c r="AE161" i="5"/>
  <c r="AI161" i="5" s="1"/>
  <c r="M47" i="2"/>
  <c r="V37" i="5" l="1"/>
  <c r="W140" i="5"/>
  <c r="W26" i="5"/>
  <c r="X26" i="5"/>
  <c r="Y26" i="5" s="1"/>
  <c r="X61" i="5"/>
  <c r="X69" i="5"/>
  <c r="W69" i="5"/>
  <c r="X55" i="5"/>
  <c r="X60" i="5" s="1"/>
  <c r="X140" i="5"/>
  <c r="W25" i="5"/>
  <c r="W84" i="5"/>
  <c r="W162" i="5"/>
  <c r="W78" i="5"/>
  <c r="W113" i="5"/>
  <c r="W167" i="5"/>
  <c r="W108" i="5"/>
  <c r="W27" i="5"/>
  <c r="W85" i="5"/>
  <c r="W100" i="5"/>
  <c r="W111" i="5"/>
  <c r="W82" i="5"/>
  <c r="W94" i="5"/>
  <c r="W88" i="5"/>
  <c r="W43" i="5"/>
  <c r="W115" i="5"/>
  <c r="W120" i="5"/>
  <c r="W157" i="5"/>
  <c r="W90" i="5"/>
  <c r="W109" i="5"/>
  <c r="W72" i="5"/>
  <c r="W101" i="5"/>
  <c r="W70" i="5"/>
  <c r="W126" i="5"/>
  <c r="W62" i="5"/>
  <c r="W50" i="5"/>
  <c r="W29" i="5"/>
  <c r="W81" i="5"/>
  <c r="W79" i="5"/>
  <c r="W135" i="5"/>
  <c r="W21" i="5"/>
  <c r="W23" i="5"/>
  <c r="W40" i="5"/>
  <c r="W28" i="5"/>
  <c r="W42" i="5"/>
  <c r="W125" i="5"/>
  <c r="W142" i="5"/>
  <c r="W166" i="5"/>
  <c r="W63" i="5"/>
  <c r="W122" i="5"/>
  <c r="W59" i="5"/>
  <c r="W93" i="5"/>
  <c r="W57" i="5"/>
  <c r="W97" i="5"/>
  <c r="W160" i="5"/>
  <c r="W31" i="5"/>
  <c r="W89" i="5"/>
  <c r="W20" i="5"/>
  <c r="W161" i="5"/>
  <c r="W64" i="5"/>
  <c r="W110" i="5"/>
  <c r="W41" i="5"/>
  <c r="W99" i="5"/>
  <c r="W119" i="5"/>
  <c r="W47" i="5"/>
  <c r="W112" i="5"/>
  <c r="W121" i="5"/>
  <c r="W92" i="5"/>
  <c r="W58" i="5"/>
  <c r="W156" i="5"/>
  <c r="W86" i="5"/>
  <c r="W98" i="5"/>
  <c r="W35" i="5"/>
  <c r="W164" i="5"/>
  <c r="W33" i="5"/>
  <c r="W148" i="5"/>
  <c r="W83" i="5"/>
  <c r="W133" i="5"/>
  <c r="W159" i="5"/>
  <c r="W80" i="5"/>
  <c r="W48" i="5"/>
  <c r="W155" i="5"/>
  <c r="W95" i="5"/>
  <c r="W149" i="5"/>
  <c r="W96" i="5"/>
  <c r="W44" i="5"/>
  <c r="W107" i="5"/>
  <c r="W168" i="5"/>
  <c r="W87" i="5"/>
  <c r="W114" i="5"/>
  <c r="W56" i="5"/>
  <c r="W139" i="5"/>
  <c r="W132" i="5"/>
  <c r="W124" i="5"/>
  <c r="W65" i="5"/>
  <c r="W61" i="5"/>
  <c r="W24" i="5"/>
  <c r="W147" i="5"/>
  <c r="W71" i="5"/>
  <c r="W34" i="5"/>
  <c r="W46" i="5"/>
  <c r="W141" i="5"/>
  <c r="W76" i="5"/>
  <c r="W163" i="5"/>
  <c r="W134" i="5"/>
  <c r="W117" i="5"/>
  <c r="W146" i="5"/>
  <c r="W165" i="5"/>
  <c r="W123" i="5"/>
  <c r="X131" i="5"/>
  <c r="W118" i="5"/>
  <c r="W131" i="5"/>
  <c r="X106" i="5"/>
  <c r="W106" i="5"/>
  <c r="X32" i="5"/>
  <c r="W49" i="5"/>
  <c r="W39" i="5"/>
  <c r="V128" i="5"/>
  <c r="W32" i="5"/>
  <c r="W55" i="5"/>
  <c r="X65" i="5"/>
  <c r="X84" i="5"/>
  <c r="Y84" i="5" s="1"/>
  <c r="X162" i="5"/>
  <c r="Y162" i="5" s="1"/>
  <c r="X110" i="5"/>
  <c r="Y110" i="5" s="1"/>
  <c r="X95" i="5"/>
  <c r="X92" i="5"/>
  <c r="X159" i="5"/>
  <c r="Y159" i="5" s="1"/>
  <c r="X23" i="5"/>
  <c r="Y23" i="5" s="1"/>
  <c r="X28" i="5"/>
  <c r="Y28" i="5" s="1"/>
  <c r="X82" i="5"/>
  <c r="X149" i="5"/>
  <c r="X27" i="5"/>
  <c r="Y27" i="5" s="1"/>
  <c r="X111" i="5"/>
  <c r="Y111" i="5" s="1"/>
  <c r="X109" i="5"/>
  <c r="X70" i="5"/>
  <c r="X99" i="5"/>
  <c r="X34" i="5"/>
  <c r="X141" i="5"/>
  <c r="X50" i="5"/>
  <c r="X100" i="5"/>
  <c r="X117" i="5"/>
  <c r="Y117" i="5" s="1"/>
  <c r="X79" i="5"/>
  <c r="X101" i="5"/>
  <c r="X81" i="5"/>
  <c r="Y81" i="5" s="1"/>
  <c r="X85" i="5"/>
  <c r="Y85" i="5" s="1"/>
  <c r="X107" i="5"/>
  <c r="X124" i="5"/>
  <c r="X97" i="5"/>
  <c r="X87" i="5"/>
  <c r="X98" i="5"/>
  <c r="X135" i="5"/>
  <c r="X31" i="5"/>
  <c r="X89" i="5"/>
  <c r="Y89" i="5" s="1"/>
  <c r="X80" i="5"/>
  <c r="X41" i="5"/>
  <c r="X96" i="5"/>
  <c r="Y96" i="5" s="1"/>
  <c r="X25" i="5"/>
  <c r="Y25" i="5" s="1"/>
  <c r="X114" i="5"/>
  <c r="Y114" i="5" s="1"/>
  <c r="X112" i="5"/>
  <c r="Y112" i="5" s="1"/>
  <c r="X33" i="5"/>
  <c r="Y33" i="5" s="1"/>
  <c r="X42" i="5"/>
  <c r="Y42" i="5" s="1"/>
  <c r="X161" i="5"/>
  <c r="Y161" i="5" s="1"/>
  <c r="X148" i="5"/>
  <c r="Y148" i="5" s="1"/>
  <c r="X108" i="5"/>
  <c r="X63" i="5"/>
  <c r="X120" i="5"/>
  <c r="Y120" i="5" s="1"/>
  <c r="X72" i="5"/>
  <c r="X64" i="5"/>
  <c r="X93" i="5"/>
  <c r="X125" i="5"/>
  <c r="X164" i="5"/>
  <c r="Y164" i="5" s="1"/>
  <c r="X71" i="5"/>
  <c r="Y71" i="5" s="1"/>
  <c r="X58" i="5"/>
  <c r="Y58" i="5" s="1"/>
  <c r="X47" i="5"/>
  <c r="X122" i="5"/>
  <c r="X142" i="5"/>
  <c r="X143" i="5" s="1"/>
  <c r="X156" i="5"/>
  <c r="Y156" i="5" s="1"/>
  <c r="X160" i="5"/>
  <c r="X133" i="5"/>
  <c r="X48" i="5"/>
  <c r="X29" i="5"/>
  <c r="Y29" i="5" s="1"/>
  <c r="X88" i="5"/>
  <c r="X35" i="5"/>
  <c r="X59" i="5"/>
  <c r="X83" i="5"/>
  <c r="Y83" i="5" s="1"/>
  <c r="X24" i="5"/>
  <c r="X56" i="5"/>
  <c r="Y56" i="5" s="1"/>
  <c r="X86" i="5"/>
  <c r="X165" i="5"/>
  <c r="X157" i="5"/>
  <c r="X147" i="5"/>
  <c r="Y147" i="5" s="1"/>
  <c r="X126" i="5"/>
  <c r="X134" i="5"/>
  <c r="Y134" i="5" s="1"/>
  <c r="X123" i="5"/>
  <c r="X119" i="5"/>
  <c r="X115" i="5"/>
  <c r="Y115" i="5" s="1"/>
  <c r="X146" i="5"/>
  <c r="X21" i="5"/>
  <c r="X94" i="5"/>
  <c r="Y94" i="5" s="1"/>
  <c r="X121" i="5"/>
  <c r="X113" i="5"/>
  <c r="X168" i="5"/>
  <c r="X20" i="5"/>
  <c r="X132" i="5"/>
  <c r="Y132" i="5" s="1"/>
  <c r="X90" i="5"/>
  <c r="Y90" i="5" s="1"/>
  <c r="X78" i="5"/>
  <c r="Y78" i="5" s="1"/>
  <c r="X57" i="5"/>
  <c r="Y57" i="5" s="1"/>
  <c r="X163" i="5"/>
  <c r="Y163" i="5" s="1"/>
  <c r="X46" i="5"/>
  <c r="Y46" i="5" s="1"/>
  <c r="X166" i="5"/>
  <c r="X62" i="5"/>
  <c r="Y62" i="5" s="1"/>
  <c r="X43" i="5"/>
  <c r="X167" i="5"/>
  <c r="X139" i="5"/>
  <c r="Y139" i="5" s="1"/>
  <c r="X76" i="5"/>
  <c r="X40" i="5"/>
  <c r="Y40" i="5" s="1"/>
  <c r="X44" i="5"/>
  <c r="Y44" i="5" s="1"/>
  <c r="X158" i="5"/>
  <c r="Y158" i="5" s="1"/>
  <c r="X118" i="5"/>
  <c r="X49" i="5"/>
  <c r="X39" i="5"/>
  <c r="W54" i="5"/>
  <c r="W77" i="5"/>
  <c r="X77" i="5"/>
  <c r="Y77" i="5" s="1"/>
  <c r="X22" i="5"/>
  <c r="Y22" i="5" s="1"/>
  <c r="X155" i="5"/>
  <c r="W22" i="5"/>
  <c r="Y140" i="5"/>
  <c r="Y39" i="5"/>
  <c r="Y54" i="5"/>
  <c r="Y49" i="5"/>
  <c r="V73" i="5"/>
  <c r="V152" i="5" s="1"/>
  <c r="V171" i="5" s="1"/>
  <c r="V177" i="5" s="1"/>
  <c r="AI158" i="5"/>
  <c r="Z12" i="5"/>
  <c r="G13" i="13"/>
  <c r="G15" i="13" s="1"/>
  <c r="M45" i="2" s="1"/>
  <c r="X116" i="5" l="1"/>
  <c r="X127" i="5"/>
  <c r="Y88" i="5"/>
  <c r="Y79" i="5"/>
  <c r="Y87" i="5"/>
  <c r="W136" i="5"/>
  <c r="Y97" i="5"/>
  <c r="Y93" i="5"/>
  <c r="Y35" i="5"/>
  <c r="Y135" i="5"/>
  <c r="Y69" i="5"/>
  <c r="Y98" i="5"/>
  <c r="Y131" i="5"/>
  <c r="Y43" i="5"/>
  <c r="Y118" i="5"/>
  <c r="Y133" i="5"/>
  <c r="W60" i="5"/>
  <c r="Y168" i="5"/>
  <c r="Y160" i="5"/>
  <c r="Y141" i="5"/>
  <c r="Y82" i="5"/>
  <c r="Y108" i="5"/>
  <c r="W102" i="5"/>
  <c r="Y48" i="5"/>
  <c r="X51" i="5"/>
  <c r="W30" i="5"/>
  <c r="Y119" i="5"/>
  <c r="Y124" i="5"/>
  <c r="Y149" i="5"/>
  <c r="Y32" i="5"/>
  <c r="Y155" i="5"/>
  <c r="X169" i="5"/>
  <c r="Y166" i="5"/>
  <c r="Y107" i="5"/>
  <c r="W116" i="5"/>
  <c r="W169" i="5"/>
  <c r="Y122" i="5"/>
  <c r="Y126" i="5"/>
  <c r="Y142" i="5"/>
  <c r="Y143" i="5" s="1"/>
  <c r="Y45" i="5"/>
  <c r="Y95" i="5"/>
  <c r="Y123" i="5"/>
  <c r="W127" i="5"/>
  <c r="Y92" i="5"/>
  <c r="X102" i="5"/>
  <c r="Y100" i="5"/>
  <c r="Y165" i="5"/>
  <c r="Y157" i="5"/>
  <c r="W66" i="5"/>
  <c r="W67" i="5" s="1"/>
  <c r="Y47" i="5"/>
  <c r="Y41" i="5"/>
  <c r="W150" i="5"/>
  <c r="Y20" i="5"/>
  <c r="X30" i="5"/>
  <c r="X136" i="5"/>
  <c r="Y24" i="5"/>
  <c r="Y125" i="5"/>
  <c r="Y80" i="5"/>
  <c r="X45" i="5"/>
  <c r="X52" i="5" s="1"/>
  <c r="Y50" i="5"/>
  <c r="Y113" i="5"/>
  <c r="Y34" i="5"/>
  <c r="Y65" i="5"/>
  <c r="Y21" i="5"/>
  <c r="Y55" i="5"/>
  <c r="Y101" i="5"/>
  <c r="Y86" i="5"/>
  <c r="Y121" i="5"/>
  <c r="Y59" i="5"/>
  <c r="Y64" i="5"/>
  <c r="Y31" i="5"/>
  <c r="X36" i="5"/>
  <c r="Y99" i="5"/>
  <c r="W36" i="5"/>
  <c r="Y106" i="5"/>
  <c r="Y72" i="5"/>
  <c r="Y70" i="5"/>
  <c r="W91" i="5"/>
  <c r="W103" i="5" s="1"/>
  <c r="W143" i="5"/>
  <c r="Y109" i="5"/>
  <c r="Y76" i="5"/>
  <c r="X91" i="5"/>
  <c r="Y167" i="5"/>
  <c r="Y146" i="5"/>
  <c r="X150" i="5"/>
  <c r="Y63" i="5"/>
  <c r="W45" i="5"/>
  <c r="W51" i="5"/>
  <c r="Y61" i="5"/>
  <c r="X66" i="5"/>
  <c r="X67" i="5" s="1"/>
  <c r="X128" i="5"/>
  <c r="G13" i="10"/>
  <c r="G17" i="10" s="1"/>
  <c r="G21" i="10" s="1"/>
  <c r="G23" i="10" s="1"/>
  <c r="G25" i="10" s="1"/>
  <c r="M38" i="2" s="1"/>
  <c r="Y169" i="5" l="1"/>
  <c r="Y51" i="5"/>
  <c r="Y52" i="5" s="1"/>
  <c r="Y102" i="5"/>
  <c r="Y136" i="5"/>
  <c r="Y116" i="5"/>
  <c r="Y127" i="5"/>
  <c r="Y128" i="5" s="1"/>
  <c r="Y30" i="5"/>
  <c r="Y60" i="5"/>
  <c r="W52" i="5"/>
  <c r="W37" i="5"/>
  <c r="Y36" i="5"/>
  <c r="Y150" i="5"/>
  <c r="X37" i="5"/>
  <c r="X73" i="5" s="1"/>
  <c r="X152" i="5" s="1"/>
  <c r="X171" i="5" s="1"/>
  <c r="Y66" i="5"/>
  <c r="Y67" i="5" s="1"/>
  <c r="X103" i="5"/>
  <c r="Y91" i="5"/>
  <c r="Y103" i="5" s="1"/>
  <c r="W128" i="5"/>
  <c r="G13" i="9"/>
  <c r="M67" i="2" s="1"/>
  <c r="G13" i="8"/>
  <c r="G15" i="8" s="1"/>
  <c r="M66" i="2" s="1"/>
  <c r="O67" i="2"/>
  <c r="O66" i="2"/>
  <c r="Y37" i="5" l="1"/>
  <c r="Y73" i="5" s="1"/>
  <c r="Y152" i="5" s="1"/>
  <c r="Y171" i="5" s="1"/>
  <c r="W174" i="5" s="1"/>
  <c r="W173" i="5" s="1"/>
  <c r="W175" i="5" s="1"/>
  <c r="W73" i="5"/>
  <c r="W152" i="5" s="1"/>
  <c r="W171" i="5" s="1"/>
  <c r="G17" i="6"/>
  <c r="G21" i="6"/>
  <c r="G13" i="6"/>
  <c r="G15" i="6" s="1"/>
  <c r="G19" i="6" s="1"/>
  <c r="G23" i="6" s="1"/>
  <c r="G27" i="6" s="1"/>
  <c r="M51" i="2" s="1"/>
  <c r="Y174" i="5" l="1"/>
  <c r="K17" i="7"/>
  <c r="I15" i="7"/>
  <c r="I19" i="7" s="1"/>
  <c r="G15" i="7"/>
  <c r="G19" i="7" s="1"/>
  <c r="G23" i="7" s="1"/>
  <c r="K11" i="7"/>
  <c r="G21" i="7"/>
  <c r="I21" i="7"/>
  <c r="K21" i="7"/>
  <c r="I23" i="7" l="1"/>
  <c r="K15" i="7"/>
  <c r="K19" i="7" s="1"/>
  <c r="K23" i="7" s="1"/>
  <c r="K27" i="7" l="1"/>
  <c r="M59" i="2"/>
  <c r="O83" i="2"/>
  <c r="M83" i="2"/>
  <c r="O82" i="2"/>
  <c r="M82" i="2"/>
  <c r="O81" i="2"/>
  <c r="M81" i="2"/>
  <c r="O80" i="2"/>
  <c r="M80" i="2"/>
  <c r="O79" i="2"/>
  <c r="M79" i="2"/>
  <c r="O78" i="2"/>
  <c r="M78" i="2"/>
  <c r="O77" i="2"/>
  <c r="O76" i="2"/>
  <c r="M76" i="2"/>
  <c r="O75" i="2"/>
  <c r="M75" i="2"/>
  <c r="O74" i="2"/>
  <c r="O73" i="2"/>
  <c r="O72" i="2"/>
  <c r="M72" i="2"/>
  <c r="O71" i="2"/>
  <c r="M71" i="2"/>
  <c r="O65" i="2"/>
  <c r="M65" i="2"/>
  <c r="O64" i="2"/>
  <c r="M64" i="2"/>
  <c r="O63" i="2"/>
  <c r="O62" i="2"/>
  <c r="M62" i="2"/>
  <c r="O61" i="2"/>
  <c r="M61" i="2"/>
  <c r="O60" i="2"/>
  <c r="M60" i="2"/>
  <c r="O59" i="2"/>
  <c r="O58" i="2"/>
  <c r="M58" i="2"/>
  <c r="O57" i="2"/>
  <c r="M57" i="2"/>
  <c r="O56" i="2"/>
  <c r="M56" i="2"/>
  <c r="O55" i="2"/>
  <c r="M55" i="2"/>
  <c r="O54" i="2"/>
  <c r="M54" i="2"/>
  <c r="O53" i="2"/>
  <c r="O52" i="2"/>
  <c r="M52" i="2"/>
  <c r="O51" i="2"/>
  <c r="O50" i="2"/>
  <c r="M50" i="2"/>
  <c r="O49" i="2"/>
  <c r="M49" i="2"/>
  <c r="O48" i="2"/>
  <c r="M48" i="2"/>
  <c r="O47" i="2"/>
  <c r="O46" i="2"/>
  <c r="O45" i="2"/>
  <c r="O44" i="2"/>
  <c r="O43" i="2"/>
  <c r="M43" i="2"/>
  <c r="O42" i="2"/>
  <c r="M42" i="2"/>
  <c r="O41" i="2"/>
  <c r="M41" i="2"/>
  <c r="O40" i="2"/>
  <c r="M40" i="2"/>
  <c r="O39" i="2"/>
  <c r="M39" i="2"/>
  <c r="O38" i="2"/>
  <c r="I36" i="2"/>
  <c r="I69" i="2" s="1"/>
  <c r="I85" i="2" s="1"/>
  <c r="G36" i="2"/>
  <c r="O35" i="2"/>
  <c r="M35" i="2"/>
  <c r="O34" i="2"/>
  <c r="M34" i="2"/>
  <c r="O33" i="2"/>
  <c r="M33" i="2"/>
  <c r="O32" i="2"/>
  <c r="M32" i="2"/>
  <c r="O31" i="2"/>
  <c r="M31" i="2"/>
  <c r="O30" i="2"/>
  <c r="M30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K18" i="3"/>
  <c r="I18" i="3"/>
  <c r="M18" i="3" s="1"/>
  <c r="E17" i="3"/>
  <c r="E19" i="3" s="1"/>
  <c r="K13" i="3"/>
  <c r="I13" i="3"/>
  <c r="M13" i="3" s="1"/>
  <c r="E12" i="3"/>
  <c r="E14" i="3" s="1"/>
  <c r="G69" i="2" l="1"/>
  <c r="E30" i="1"/>
  <c r="I12" i="3"/>
  <c r="M12" i="3" s="1"/>
  <c r="M14" i="3" s="1"/>
  <c r="E19" i="1"/>
  <c r="I17" i="3"/>
  <c r="G85" i="2" l="1"/>
  <c r="E36" i="1" s="1"/>
  <c r="I14" i="3"/>
  <c r="E13" i="1"/>
  <c r="E15" i="1"/>
  <c r="K11" i="2"/>
  <c r="E32" i="1"/>
  <c r="E34" i="1" s="1"/>
  <c r="I19" i="3"/>
  <c r="M17" i="3"/>
  <c r="M19" i="3" s="1"/>
  <c r="M21" i="3" s="1"/>
  <c r="E38" i="1" l="1"/>
  <c r="E42" i="1" s="1"/>
  <c r="I21" i="3"/>
  <c r="Q11" i="2"/>
  <c r="G32" i="1"/>
  <c r="G15" i="1"/>
  <c r="K64" i="2"/>
  <c r="K72" i="2"/>
  <c r="K82" i="2"/>
  <c r="K39" i="2"/>
  <c r="K15" i="2"/>
  <c r="K13" i="2"/>
  <c r="K16" i="2"/>
  <c r="K50" i="2"/>
  <c r="K33" i="2"/>
  <c r="K71" i="2"/>
  <c r="K55" i="2"/>
  <c r="K31" i="2"/>
  <c r="K21" i="2"/>
  <c r="K48" i="2"/>
  <c r="K58" i="2"/>
  <c r="K27" i="2"/>
  <c r="K57" i="2"/>
  <c r="K28" i="2"/>
  <c r="K76" i="2"/>
  <c r="K83" i="2"/>
  <c r="K24" i="2"/>
  <c r="K42" i="2"/>
  <c r="K73" i="2"/>
  <c r="K22" i="2"/>
  <c r="K34" i="2"/>
  <c r="K75" i="2"/>
  <c r="K20" i="2"/>
  <c r="K79" i="2"/>
  <c r="K18" i="2"/>
  <c r="K51" i="2"/>
  <c r="K23" i="2"/>
  <c r="K35" i="2"/>
  <c r="K47" i="2"/>
  <c r="K65" i="2"/>
  <c r="K29" i="2"/>
  <c r="K45" i="2"/>
  <c r="K61" i="2"/>
  <c r="K78" i="2"/>
  <c r="K26" i="2"/>
  <c r="K74" i="2"/>
  <c r="K59" i="2"/>
  <c r="K46" i="2"/>
  <c r="K30" i="2"/>
  <c r="K41" i="2"/>
  <c r="K17" i="2"/>
  <c r="K77" i="2"/>
  <c r="K40" i="2"/>
  <c r="K56" i="2"/>
  <c r="K25" i="2"/>
  <c r="K43" i="2"/>
  <c r="K14" i="2"/>
  <c r="K62" i="2"/>
  <c r="K44" i="2"/>
  <c r="K49" i="2"/>
  <c r="K32" i="2"/>
  <c r="K19" i="2"/>
  <c r="K80" i="2"/>
  <c r="K38" i="2"/>
  <c r="K53" i="2"/>
  <c r="K81" i="2"/>
  <c r="K52" i="2"/>
  <c r="K60" i="2"/>
  <c r="K54" i="2"/>
  <c r="K12" i="2"/>
  <c r="K63" i="2"/>
  <c r="Q68" i="2" l="1"/>
  <c r="U68" i="2" s="1"/>
  <c r="Q84" i="2"/>
  <c r="U84" i="2" s="1"/>
  <c r="K36" i="2"/>
  <c r="K69" i="2" s="1"/>
  <c r="K85" i="2" s="1"/>
  <c r="Q18" i="2"/>
  <c r="Q66" i="2"/>
  <c r="U66" i="2" s="1"/>
  <c r="G17" i="8" s="1"/>
  <c r="Q67" i="2"/>
  <c r="U67" i="2" s="1"/>
  <c r="G15" i="9" s="1"/>
  <c r="Q52" i="2"/>
  <c r="U52" i="2" s="1"/>
  <c r="Q41" i="2"/>
  <c r="U41" i="2" s="1"/>
  <c r="Q57" i="2"/>
  <c r="U57" i="2" s="1"/>
  <c r="Q56" i="2"/>
  <c r="U56" i="2" s="1"/>
  <c r="Q43" i="2"/>
  <c r="U43" i="2" s="1"/>
  <c r="Q62" i="2"/>
  <c r="U62" i="2" s="1"/>
  <c r="Q28" i="2"/>
  <c r="U28" i="2" s="1"/>
  <c r="Q63" i="2"/>
  <c r="U63" i="2" s="1"/>
  <c r="Q71" i="2"/>
  <c r="U71" i="2" s="1"/>
  <c r="Q60" i="2"/>
  <c r="U60" i="2" s="1"/>
  <c r="Q76" i="2"/>
  <c r="U76" i="2" s="1"/>
  <c r="Q49" i="2"/>
  <c r="U49" i="2" s="1"/>
  <c r="Q33" i="2"/>
  <c r="U33" i="2" s="1"/>
  <c r="Q51" i="2"/>
  <c r="U51" i="2" s="1"/>
  <c r="Q74" i="2"/>
  <c r="U74" i="2" s="1"/>
  <c r="Q48" i="2"/>
  <c r="U48" i="2" s="1"/>
  <c r="Q78" i="2"/>
  <c r="U78" i="2" s="1"/>
  <c r="Q31" i="2"/>
  <c r="U31" i="2" s="1"/>
  <c r="Q46" i="2"/>
  <c r="U46" i="2" s="1"/>
  <c r="Q17" i="2"/>
  <c r="U17" i="2" s="1"/>
  <c r="Q26" i="2"/>
  <c r="U26" i="2" s="1"/>
  <c r="Q35" i="2"/>
  <c r="U35" i="2" s="1"/>
  <c r="Q81" i="2"/>
  <c r="U81" i="2" s="1"/>
  <c r="Q59" i="2"/>
  <c r="U59" i="2" s="1"/>
  <c r="Q39" i="2"/>
  <c r="U39" i="2" s="1"/>
  <c r="Q72" i="2"/>
  <c r="U72" i="2" s="1"/>
  <c r="Q14" i="2"/>
  <c r="U14" i="2" s="1"/>
  <c r="Q42" i="2"/>
  <c r="U42" i="2" s="1"/>
  <c r="Q22" i="2"/>
  <c r="U22" i="2" s="1"/>
  <c r="Q34" i="2"/>
  <c r="U34" i="2" s="1"/>
  <c r="Q79" i="2"/>
  <c r="U79" i="2" s="1"/>
  <c r="Q19" i="2"/>
  <c r="U19" i="2" s="1"/>
  <c r="Q54" i="2"/>
  <c r="U54" i="2" s="1"/>
  <c r="Q16" i="2"/>
  <c r="Q23" i="2"/>
  <c r="U23" i="2" s="1"/>
  <c r="Q20" i="2"/>
  <c r="U20" i="2" s="1"/>
  <c r="Q25" i="2"/>
  <c r="U25" i="2" s="1"/>
  <c r="Q83" i="2"/>
  <c r="U83" i="2" s="1"/>
  <c r="Q50" i="2"/>
  <c r="U50" i="2" s="1"/>
  <c r="Q82" i="2"/>
  <c r="U82" i="2" s="1"/>
  <c r="Q61" i="2"/>
  <c r="U61" i="2" s="1"/>
  <c r="Q40" i="2"/>
  <c r="U40" i="2" s="1"/>
  <c r="Q47" i="2"/>
  <c r="U47" i="2" s="1"/>
  <c r="Q75" i="2"/>
  <c r="U75" i="2" s="1"/>
  <c r="Q64" i="2"/>
  <c r="U64" i="2" s="1"/>
  <c r="Q21" i="2"/>
  <c r="U21" i="2" s="1"/>
  <c r="Q45" i="2"/>
  <c r="U45" i="2" s="1"/>
  <c r="Q55" i="2"/>
  <c r="U55" i="2" s="1"/>
  <c r="Q38" i="2"/>
  <c r="U38" i="2" s="1"/>
  <c r="Q32" i="2"/>
  <c r="U32" i="2" s="1"/>
  <c r="Q15" i="2"/>
  <c r="U15" i="2" s="1"/>
  <c r="Q80" i="2"/>
  <c r="U80" i="2" s="1"/>
  <c r="Q24" i="2"/>
  <c r="U24" i="2" s="1"/>
  <c r="Q29" i="2"/>
  <c r="U29" i="2" s="1"/>
  <c r="Q30" i="2"/>
  <c r="U30" i="2" s="1"/>
  <c r="Q58" i="2"/>
  <c r="U58" i="2" s="1"/>
  <c r="Q65" i="2"/>
  <c r="U65" i="2" s="1"/>
  <c r="Q27" i="2"/>
  <c r="U27" i="2" s="1"/>
  <c r="U18" i="2"/>
  <c r="K29" i="7" l="1"/>
  <c r="G29" i="6"/>
  <c r="K86" i="2"/>
  <c r="M53" i="2" l="1"/>
  <c r="Q53" i="2" s="1"/>
  <c r="U53" i="2" s="1"/>
  <c r="G11" i="5"/>
  <c r="G13" i="5" s="1"/>
  <c r="G15" i="5" s="1"/>
  <c r="G17" i="5" l="1"/>
  <c r="M77" i="2"/>
  <c r="Q77" i="2" s="1"/>
  <c r="U77" i="2" s="1"/>
  <c r="G19" i="5"/>
  <c r="G21" i="5" s="1"/>
  <c r="G23" i="5" s="1"/>
  <c r="G25" i="5" l="1"/>
  <c r="Q44" i="2"/>
  <c r="Y44" i="2" s="1"/>
  <c r="U44" i="2" l="1"/>
  <c r="Q73" i="2"/>
  <c r="U73" i="2" s="1"/>
  <c r="O13" i="2" l="1"/>
  <c r="M13" i="2"/>
  <c r="O12" i="2"/>
  <c r="M12" i="2"/>
  <c r="M36" i="2" s="1"/>
  <c r="M69" i="2" s="1"/>
  <c r="M85" i="2" s="1"/>
  <c r="E17" i="1"/>
  <c r="E21" i="1" s="1"/>
  <c r="E25" i="1" s="1"/>
  <c r="Q13" i="2" l="1"/>
  <c r="U13" i="2" s="1"/>
  <c r="G19" i="1"/>
  <c r="G36" i="1"/>
  <c r="O36" i="2"/>
  <c r="O69" i="2" s="1"/>
  <c r="O85" i="2" s="1"/>
  <c r="Q12" i="2"/>
  <c r="U12" i="2" s="1"/>
  <c r="U16" i="2"/>
  <c r="Q36" i="2" l="1"/>
  <c r="Q69" i="2" s="1"/>
  <c r="Q85" i="2" s="1"/>
  <c r="U36" i="2"/>
  <c r="U69" i="2" s="1"/>
  <c r="U85" i="2" s="1"/>
  <c r="G13" i="1"/>
  <c r="G17" i="1" s="1"/>
  <c r="G21" i="1" s="1"/>
  <c r="G25" i="1" s="1"/>
  <c r="G30" i="1"/>
  <c r="G34" i="1" s="1"/>
  <c r="G38" i="1" s="1"/>
  <c r="G42" i="1" s="1"/>
  <c r="Q86" i="2" l="1"/>
  <c r="U86" i="2"/>
</calcChain>
</file>

<file path=xl/sharedStrings.xml><?xml version="1.0" encoding="utf-8"?>
<sst xmlns="http://schemas.openxmlformats.org/spreadsheetml/2006/main" count="901" uniqueCount="590">
  <si>
    <t>Line</t>
  </si>
  <si>
    <t>No.</t>
  </si>
  <si>
    <t>Description</t>
  </si>
  <si>
    <t>Amount</t>
  </si>
  <si>
    <t>Per Company</t>
  </si>
  <si>
    <t>Per PC</t>
  </si>
  <si>
    <t>Adjusted Rate Base</t>
  </si>
  <si>
    <t>Rate of Return, per Settlement</t>
  </si>
  <si>
    <t>Net Operating Income Requirement</t>
  </si>
  <si>
    <t>Adjusted Net Operating Income</t>
  </si>
  <si>
    <t>Net Operating Income Deficiency/(Sufficiency)</t>
  </si>
  <si>
    <t>Revenue Conversion Factor</t>
  </si>
  <si>
    <t>Revenue Requirement</t>
  </si>
  <si>
    <t>Public Counsel Adjustments</t>
  </si>
  <si>
    <t>Public Counsel</t>
  </si>
  <si>
    <t>Rev. Req.</t>
  </si>
  <si>
    <t>Avista</t>
  </si>
  <si>
    <t>and/or PC Neutral in Direct</t>
  </si>
  <si>
    <t>Position on Avista's</t>
  </si>
  <si>
    <t>Impact of</t>
  </si>
  <si>
    <t>Adj. #</t>
  </si>
  <si>
    <t>Adjustment Description</t>
  </si>
  <si>
    <t xml:space="preserve">NOI   </t>
  </si>
  <si>
    <t>Rate Base</t>
  </si>
  <si>
    <t>Rev Req</t>
  </si>
  <si>
    <t>Revised Position</t>
  </si>
  <si>
    <t>Differences</t>
  </si>
  <si>
    <t>Results of Operations</t>
  </si>
  <si>
    <t>Deferred FIT Rate Base</t>
  </si>
  <si>
    <t>PC Neutral in Direct</t>
  </si>
  <si>
    <t>Deferred Debits and Credits</t>
  </si>
  <si>
    <t>Working Capital</t>
  </si>
  <si>
    <t>Eliminate B &amp; O Taxes</t>
  </si>
  <si>
    <t>Restate Property Tax</t>
  </si>
  <si>
    <t>Regulatory Expense</t>
  </si>
  <si>
    <t>Injuries and Damages</t>
  </si>
  <si>
    <t>Restate Excise Taxes</t>
  </si>
  <si>
    <t>Weather Normalization</t>
  </si>
  <si>
    <t>Eliminate Adder Schedules</t>
  </si>
  <si>
    <t>Eliminate WA Power Cost Defer</t>
  </si>
  <si>
    <t>Nez Perce Settlement Adjustment</t>
  </si>
  <si>
    <t>Restate Debt Interest</t>
  </si>
  <si>
    <t xml:space="preserve">     Restated Total</t>
  </si>
  <si>
    <t>Pro Forma Power Supply</t>
  </si>
  <si>
    <t>Pro Forma Labor Non-Exec</t>
  </si>
  <si>
    <t>PC Modified</t>
  </si>
  <si>
    <t>Pro Forma Labor Exec</t>
  </si>
  <si>
    <t>Pro Forma Employee Benefits</t>
  </si>
  <si>
    <t>Pro Forma Insurance Expense</t>
  </si>
  <si>
    <t>Pro Forma Property Tax</t>
  </si>
  <si>
    <t>PC Opposes</t>
  </si>
  <si>
    <t>Pro Forma Revenue Normalization</t>
  </si>
  <si>
    <t>Common Equity</t>
  </si>
  <si>
    <t>Long-Term Debt</t>
  </si>
  <si>
    <t>Component</t>
  </si>
  <si>
    <t>Capital</t>
  </si>
  <si>
    <t>Structure</t>
  </si>
  <si>
    <t>Cost</t>
  </si>
  <si>
    <t>Weighted</t>
  </si>
  <si>
    <t>Pre-Tax</t>
  </si>
  <si>
    <t>Factor</t>
  </si>
  <si>
    <t>Avista Requested Cost of Capital</t>
  </si>
  <si>
    <t>Totals</t>
  </si>
  <si>
    <t>Public Counsel Return on Equity Adjustment</t>
  </si>
  <si>
    <t>Public Counsel Proposed Return on Equity</t>
  </si>
  <si>
    <t>Pro Forma Adjustments - 07.2023-12.2025</t>
  </si>
  <si>
    <t>Other</t>
  </si>
  <si>
    <t>Pro Forma Adjustments - 12.2025-12.2026</t>
  </si>
  <si>
    <t>Remove Colstrip</t>
  </si>
  <si>
    <t>Uncollectible Expense</t>
  </si>
  <si>
    <t>FIT/DFIT/ ITC Expense</t>
  </si>
  <si>
    <t>Office Space Charges to Non-Utility</t>
  </si>
  <si>
    <t>Net Gains &amp; Losses</t>
  </si>
  <si>
    <t>Restating Incentives Expense</t>
  </si>
  <si>
    <t>Restate Capital 06.2023 EOP</t>
  </si>
  <si>
    <t>Normalize CS2 Major Maint</t>
  </si>
  <si>
    <t>Authorized Power Supply</t>
  </si>
  <si>
    <t>Pro Forma Transmission Revenue/Expense</t>
  </si>
  <si>
    <t>Pro Forma Def. Debits, Credits &amp; Regulatory Amorts</t>
  </si>
  <si>
    <t>Pro Forma EDIT (RSGM)</t>
  </si>
  <si>
    <t>Pro Forma AMI Amortization</t>
  </si>
  <si>
    <t>Pro Forma Incentives</t>
  </si>
  <si>
    <t>Pro Forma LIRAP Labor</t>
  </si>
  <si>
    <t>Pro Forma CCA Labor</t>
  </si>
  <si>
    <t>Pro Forma IS/IT Expense</t>
  </si>
  <si>
    <t>Pro Forma Misc O&amp;M Exp</t>
  </si>
  <si>
    <t>Pro Forma Capital Additions to 12.31.2023 EOP</t>
  </si>
  <si>
    <t>Pro Forma Depreciation Expense</t>
  </si>
  <si>
    <t>Pro Forma Capital Additions to 12.31.2024 EOP</t>
  </si>
  <si>
    <t>Pro Forma New Regulatory Amortizations</t>
  </si>
  <si>
    <t>Pro Forma Nucleus/ETRM Expense</t>
  </si>
  <si>
    <t>PF Transportation Electrification Return (Kicker)</t>
  </si>
  <si>
    <t>Pro Forma Remove Normalize CS2 Major Maint</t>
  </si>
  <si>
    <t>Pro Forma PPA Interest</t>
  </si>
  <si>
    <t>Pro Forma Wildfire Expense</t>
  </si>
  <si>
    <t>Provisional Capital Additions to 12.31.2025 AMA</t>
  </si>
  <si>
    <t>2024-2025 Capital Adds O&amp;M &amp; Revenue Offsets</t>
  </si>
  <si>
    <t xml:space="preserve">     Pro Forma Study Ending 12.2025</t>
  </si>
  <si>
    <t>Pro Forma Power Supply - Remove Colstrip</t>
  </si>
  <si>
    <t>Provisional Capital Adds to 12.31.2026 AMA</t>
  </si>
  <si>
    <t>2026 Capital Adds O&amp;M &amp; Revenue Offsets</t>
  </si>
  <si>
    <t>Pro Forma EDIT</t>
  </si>
  <si>
    <t>Pro Forma CS2 Amortization</t>
  </si>
  <si>
    <t xml:space="preserve">     Pro Forma Study Ending 12.2026</t>
  </si>
  <si>
    <t>Incremental 12.2026</t>
  </si>
  <si>
    <t>Avista Adjustments - Washington Electric</t>
  </si>
  <si>
    <t>5.00P</t>
  </si>
  <si>
    <t>Total</t>
  </si>
  <si>
    <t>Income Taxes at 21%</t>
  </si>
  <si>
    <t>Reference</t>
  </si>
  <si>
    <t>Net Increase to Expenses</t>
  </si>
  <si>
    <t>CBR Adjusted O&amp;M</t>
  </si>
  <si>
    <t>Proformed Labor</t>
  </si>
  <si>
    <t>Average</t>
  </si>
  <si>
    <t>Proformed Pensions and Medical Benefits</t>
  </si>
  <si>
    <t>Annual Escalation Rate</t>
  </si>
  <si>
    <t>Proformed Insurance (Property and Liability)</t>
  </si>
  <si>
    <t>Copied From:</t>
  </si>
  <si>
    <t>Twelve Months Ended June 30, 2023 Test Year</t>
  </si>
  <si>
    <t>Proformed ISIT costs</t>
  </si>
  <si>
    <t>Twelve Months Ended December 31, 2025 Pro Forma Year 1</t>
  </si>
  <si>
    <t>Normalized Incentives</t>
  </si>
  <si>
    <t>Twelve Months Ended December 31, 2026 Pro Forma Year 2</t>
  </si>
  <si>
    <t>PT ratio</t>
  </si>
  <si>
    <t>PF 2025 Adj</t>
  </si>
  <si>
    <t>PF 2026 Adj</t>
  </si>
  <si>
    <t>Revenue Related Expenses (and FERC Reg Fees)</t>
  </si>
  <si>
    <t>Exclude Pro Formed or Normalized O&amp;M</t>
  </si>
  <si>
    <t>2025 Escalation</t>
  </si>
  <si>
    <t>2026 Escalation</t>
  </si>
  <si>
    <t>Incremental</t>
  </si>
  <si>
    <t>Admin Expense Credit (Office space charges)</t>
  </si>
  <si>
    <t>Line No.</t>
  </si>
  <si>
    <t>Account</t>
  </si>
  <si>
    <t>Per ROO</t>
  </si>
  <si>
    <t>Labor</t>
  </si>
  <si>
    <t>Power Supply</t>
  </si>
  <si>
    <t>Restating</t>
  </si>
  <si>
    <t>Test Year</t>
  </si>
  <si>
    <t>Miscellaneous Restating Adj (Add except Insurance)</t>
  </si>
  <si>
    <t>Operation &amp; Maintenance Expenses</t>
  </si>
  <si>
    <t>Production Expenses</t>
  </si>
  <si>
    <t>Proformed Power Supply Costs</t>
  </si>
  <si>
    <t>500000</t>
  </si>
  <si>
    <t>500-OP</t>
  </si>
  <si>
    <t xml:space="preserve">Steam </t>
  </si>
  <si>
    <t>Supervision &amp; Engineering</t>
  </si>
  <si>
    <t>Proformed Montana Riverbed Settlement</t>
  </si>
  <si>
    <t>501200</t>
  </si>
  <si>
    <t>501-OP</t>
  </si>
  <si>
    <t>Fuel</t>
  </si>
  <si>
    <t>Remove Colstrip Major Maintenance</t>
  </si>
  <si>
    <t>502000</t>
  </si>
  <si>
    <t>502-OP</t>
  </si>
  <si>
    <t>Steam Expenses</t>
  </si>
  <si>
    <t>Remove CS2 Major Maintenance</t>
  </si>
  <si>
    <t>505000</t>
  </si>
  <si>
    <t>503-OP</t>
  </si>
  <si>
    <t>From Other Sources</t>
  </si>
  <si>
    <t>Wildfire Non-Labor</t>
  </si>
  <si>
    <t>506000</t>
  </si>
  <si>
    <t>504-OP</t>
  </si>
  <si>
    <t>Steam Transferred-CR</t>
  </si>
  <si>
    <t>510000</t>
  </si>
  <si>
    <t>505-OP</t>
  </si>
  <si>
    <t>Electric Expenses</t>
  </si>
  <si>
    <t>511000</t>
  </si>
  <si>
    <t>506-OP</t>
  </si>
  <si>
    <t>Miscellaneous Power Exp.</t>
  </si>
  <si>
    <t>512000</t>
  </si>
  <si>
    <t>507-OP</t>
  </si>
  <si>
    <t>Rents</t>
  </si>
  <si>
    <t>513000</t>
  </si>
  <si>
    <t>508-OP</t>
  </si>
  <si>
    <t>Operation supplies and expenses (non-major)</t>
  </si>
  <si>
    <t>514000</t>
  </si>
  <si>
    <t>509-OP</t>
  </si>
  <si>
    <t>CCA Emission Expense</t>
  </si>
  <si>
    <t>535000</t>
  </si>
  <si>
    <t>Total Steam Operation</t>
  </si>
  <si>
    <t>536000</t>
  </si>
  <si>
    <t>510-MT</t>
  </si>
  <si>
    <t>537000</t>
  </si>
  <si>
    <t>511-MT</t>
  </si>
  <si>
    <t>Structures</t>
  </si>
  <si>
    <t>538000</t>
  </si>
  <si>
    <t>512-MT</t>
  </si>
  <si>
    <t>Boiler Plant</t>
  </si>
  <si>
    <t>539000</t>
  </si>
  <si>
    <t>513-MT</t>
  </si>
  <si>
    <t>Electric Plant</t>
  </si>
  <si>
    <t>541000</t>
  </si>
  <si>
    <t>514-MT</t>
  </si>
  <si>
    <t>Miscellaneous Plant</t>
  </si>
  <si>
    <t>542000</t>
  </si>
  <si>
    <t>Total Steam Maintenance</t>
  </si>
  <si>
    <t>543000</t>
  </si>
  <si>
    <t>Total Steam</t>
  </si>
  <si>
    <t>544000</t>
  </si>
  <si>
    <t>545000</t>
  </si>
  <si>
    <t>535-OP</t>
  </si>
  <si>
    <t xml:space="preserve">Hydro </t>
  </si>
  <si>
    <t>546000</t>
  </si>
  <si>
    <t>536-OP</t>
  </si>
  <si>
    <t>Water For Power</t>
  </si>
  <si>
    <t>548000</t>
  </si>
  <si>
    <t>537-OP</t>
  </si>
  <si>
    <t>Hydraulic Expenses</t>
  </si>
  <si>
    <t>549000</t>
  </si>
  <si>
    <t>538-OP</t>
  </si>
  <si>
    <t>551000</t>
  </si>
  <si>
    <t>539-OP</t>
  </si>
  <si>
    <t>552000</t>
  </si>
  <si>
    <t>540-OP</t>
  </si>
  <si>
    <t>553000</t>
  </si>
  <si>
    <t>Total Hydraulic Operation</t>
  </si>
  <si>
    <t>554000</t>
  </si>
  <si>
    <t>541-MT</t>
  </si>
  <si>
    <t>556000</t>
  </si>
  <si>
    <t>542-MT</t>
  </si>
  <si>
    <t>557000</t>
  </si>
  <si>
    <t>543-MT</t>
  </si>
  <si>
    <t>Reservoirs, Dams &amp; Waterways</t>
  </si>
  <si>
    <t>560000</t>
  </si>
  <si>
    <t>544-MT</t>
  </si>
  <si>
    <t>561000</t>
  </si>
  <si>
    <t>545-MT</t>
  </si>
  <si>
    <t>561110</t>
  </si>
  <si>
    <t>Total Hydraulic Maintenance</t>
  </si>
  <si>
    <t>561210</t>
  </si>
  <si>
    <t>Total Hydraulic</t>
  </si>
  <si>
    <t>561310</t>
  </si>
  <si>
    <t>561510</t>
  </si>
  <si>
    <t>546-OP</t>
  </si>
  <si>
    <t xml:space="preserve">Other </t>
  </si>
  <si>
    <t>547-OP</t>
  </si>
  <si>
    <t>562000</t>
  </si>
  <si>
    <t>548-OP</t>
  </si>
  <si>
    <t>Generation Expenses</t>
  </si>
  <si>
    <t>563000</t>
  </si>
  <si>
    <t>548.1-OP</t>
  </si>
  <si>
    <t>Operation of energy storage equipment</t>
  </si>
  <si>
    <t>566000</t>
  </si>
  <si>
    <t>549-OP</t>
  </si>
  <si>
    <t>568000</t>
  </si>
  <si>
    <t>550-OP</t>
  </si>
  <si>
    <t>569000</t>
  </si>
  <si>
    <t>Total Other Operation</t>
  </si>
  <si>
    <t>570000</t>
  </si>
  <si>
    <t>551-MT</t>
  </si>
  <si>
    <t>571000</t>
  </si>
  <si>
    <t>552-MT</t>
  </si>
  <si>
    <t>572000</t>
  </si>
  <si>
    <t>553-MT</t>
  </si>
  <si>
    <t>Generating &amp; Electric Plant</t>
  </si>
  <si>
    <t>573000</t>
  </si>
  <si>
    <t>553.1-MT</t>
  </si>
  <si>
    <t>Maintenance of energy storage equipment</t>
  </si>
  <si>
    <t>580000</t>
  </si>
  <si>
    <t>554-MT</t>
  </si>
  <si>
    <t>582000</t>
  </si>
  <si>
    <t>Total Other Maintenance</t>
  </si>
  <si>
    <t>583000</t>
  </si>
  <si>
    <t>Total Other</t>
  </si>
  <si>
    <t>584000</t>
  </si>
  <si>
    <t>585000</t>
  </si>
  <si>
    <t>555-OP</t>
  </si>
  <si>
    <t>Purchased Power</t>
  </si>
  <si>
    <t>586000</t>
  </si>
  <si>
    <t>555.1-OP</t>
  </si>
  <si>
    <t>Power purchased for storage operations</t>
  </si>
  <si>
    <t>587000</t>
  </si>
  <si>
    <t>556-OP</t>
  </si>
  <si>
    <t>Total System Control &amp; Load Dispatching</t>
  </si>
  <si>
    <t>588000</t>
  </si>
  <si>
    <t>557-OP</t>
  </si>
  <si>
    <t>Total Other Expenses</t>
  </si>
  <si>
    <t>590000</t>
  </si>
  <si>
    <t>Total Production Expenses</t>
  </si>
  <si>
    <t>591000</t>
  </si>
  <si>
    <t>592000</t>
  </si>
  <si>
    <t>Transmission Expenses</t>
  </si>
  <si>
    <t>593000</t>
  </si>
  <si>
    <t>560-OP</t>
  </si>
  <si>
    <t>594000</t>
  </si>
  <si>
    <t>561.1-OP</t>
  </si>
  <si>
    <t>Load dispatch—reliability</t>
  </si>
  <si>
    <t>595000</t>
  </si>
  <si>
    <t>561.2-OP</t>
  </si>
  <si>
    <t>Load dispatch—monitor and operate transmission system</t>
  </si>
  <si>
    <t>596000</t>
  </si>
  <si>
    <t>561.3-OP</t>
  </si>
  <si>
    <t>Load dispatch—transmission service and scheduling</t>
  </si>
  <si>
    <t>597000</t>
  </si>
  <si>
    <t>561.4-OP</t>
  </si>
  <si>
    <t>Scheduling, system control and dispatch services</t>
  </si>
  <si>
    <t>598000</t>
  </si>
  <si>
    <t>561.5-OP</t>
  </si>
  <si>
    <t>Reliability planning and standards development</t>
  </si>
  <si>
    <t>901000</t>
  </si>
  <si>
    <t>561.6-OP</t>
  </si>
  <si>
    <t>Transmission service studies</t>
  </si>
  <si>
    <t>902000</t>
  </si>
  <si>
    <t>561.7-OP</t>
  </si>
  <si>
    <t>Generation interconnection studies</t>
  </si>
  <si>
    <t>903000</t>
  </si>
  <si>
    <t>561.8-OP</t>
  </si>
  <si>
    <t>Reliability planning and standards development services</t>
  </si>
  <si>
    <t>905000</t>
  </si>
  <si>
    <t>562-OP</t>
  </si>
  <si>
    <t>Station Expenses</t>
  </si>
  <si>
    <t>908000</t>
  </si>
  <si>
    <t>563-OP</t>
  </si>
  <si>
    <t>Overhead Line Expenses</t>
  </si>
  <si>
    <t>909000</t>
  </si>
  <si>
    <t>564-OP</t>
  </si>
  <si>
    <t>Underground Line Expenses</t>
  </si>
  <si>
    <t>910000</t>
  </si>
  <si>
    <t>565-OP</t>
  </si>
  <si>
    <t>Transmission of Electricity By Others</t>
  </si>
  <si>
    <t>920000</t>
  </si>
  <si>
    <t>566-OP</t>
  </si>
  <si>
    <t>Miscellaneous Expenses</t>
  </si>
  <si>
    <t>921000</t>
  </si>
  <si>
    <t>567-OP</t>
  </si>
  <si>
    <t>923000</t>
  </si>
  <si>
    <t>Total Transmission Operation</t>
  </si>
  <si>
    <t>925100</t>
  </si>
  <si>
    <t>568-MT</t>
  </si>
  <si>
    <t>926100</t>
  </si>
  <si>
    <t>569-MT</t>
  </si>
  <si>
    <t>928000</t>
  </si>
  <si>
    <t>569.1-MT</t>
  </si>
  <si>
    <t>Maintenance of computer hardware</t>
  </si>
  <si>
    <t>930200</t>
  </si>
  <si>
    <t>569.2-MT</t>
  </si>
  <si>
    <t>Maintenance of computer software</t>
  </si>
  <si>
    <t>931000</t>
  </si>
  <si>
    <t>569.3-MT</t>
  </si>
  <si>
    <t>Maintenance of communication equipment</t>
  </si>
  <si>
    <t>935000</t>
  </si>
  <si>
    <t>569.4-MT</t>
  </si>
  <si>
    <t>Maintenance of miscellaneous regional transmission plant</t>
  </si>
  <si>
    <t>570-MT</t>
  </si>
  <si>
    <t>Station Equipment</t>
  </si>
  <si>
    <t>WA Electric</t>
  </si>
  <si>
    <t>571-MT</t>
  </si>
  <si>
    <t>Overhead Lines</t>
  </si>
  <si>
    <t>Non-Labor ISIT 12 ME 06.2023</t>
  </si>
  <si>
    <t>572-MT</t>
  </si>
  <si>
    <t>Underground Lines</t>
  </si>
  <si>
    <t>CDAA</t>
  </si>
  <si>
    <t>573-MT</t>
  </si>
  <si>
    <t>CDAN</t>
  </si>
  <si>
    <t>Total Transmission Maintenance</t>
  </si>
  <si>
    <t>EDAN</t>
  </si>
  <si>
    <t>Total Transmission Expenses</t>
  </si>
  <si>
    <t>EDWA</t>
  </si>
  <si>
    <t>Distribution Expenses</t>
  </si>
  <si>
    <t>580-OP</t>
  </si>
  <si>
    <t>581-OP</t>
  </si>
  <si>
    <t>Load Dispatching</t>
  </si>
  <si>
    <t>582-OP</t>
  </si>
  <si>
    <t>583-OP</t>
  </si>
  <si>
    <t xml:space="preserve"> </t>
  </si>
  <si>
    <t>584-OP</t>
  </si>
  <si>
    <t>585-OP</t>
  </si>
  <si>
    <t>Street Lighting &amp; Signal Systems</t>
  </si>
  <si>
    <t>586-OP</t>
  </si>
  <si>
    <t>Meter Expenses</t>
  </si>
  <si>
    <t>587-OP</t>
  </si>
  <si>
    <t>Customer Installations Expenses</t>
  </si>
  <si>
    <t>588-OP</t>
  </si>
  <si>
    <t>589-OP</t>
  </si>
  <si>
    <t>Total Distribution Operation</t>
  </si>
  <si>
    <t>590-MT</t>
  </si>
  <si>
    <t>591-MT</t>
  </si>
  <si>
    <t>592-MT</t>
  </si>
  <si>
    <t>592.1-MT</t>
  </si>
  <si>
    <t>593-MT</t>
  </si>
  <si>
    <t>594-MT</t>
  </si>
  <si>
    <t>595-MT</t>
  </si>
  <si>
    <t>Line Transformers</t>
  </si>
  <si>
    <t>596-MT</t>
  </si>
  <si>
    <t>597-MT</t>
  </si>
  <si>
    <t>Meters</t>
  </si>
  <si>
    <t>598-MT</t>
  </si>
  <si>
    <t>Total Distribution Maintenance</t>
  </si>
  <si>
    <t>Total Distribution Expenses</t>
  </si>
  <si>
    <t>Customer Accounting Expenses</t>
  </si>
  <si>
    <t>901-OP</t>
  </si>
  <si>
    <t>Supervision</t>
  </si>
  <si>
    <t>902-OP</t>
  </si>
  <si>
    <t>Meter Reading</t>
  </si>
  <si>
    <t>903-OP</t>
  </si>
  <si>
    <t>Customer Records &amp; Collections</t>
  </si>
  <si>
    <t>904-OP</t>
  </si>
  <si>
    <t>Uncollectible Accounts</t>
  </si>
  <si>
    <t>905-OP</t>
  </si>
  <si>
    <t>Misc Customer Accounts Expenses</t>
  </si>
  <si>
    <t>Total Customer Accounting Expenses</t>
  </si>
  <si>
    <t>Customer Information Expenses</t>
  </si>
  <si>
    <t>907-OP</t>
  </si>
  <si>
    <t>908-OP</t>
  </si>
  <si>
    <t>Customer Assistance Expenses</t>
  </si>
  <si>
    <t>909-OP</t>
  </si>
  <si>
    <t>Advertising</t>
  </si>
  <si>
    <t>910-OP</t>
  </si>
  <si>
    <t>Misc Customer Service &amp; Info Exp</t>
  </si>
  <si>
    <t>Total Customer Information Expenses</t>
  </si>
  <si>
    <t>Sales Expenses</t>
  </si>
  <si>
    <t>911-OP</t>
  </si>
  <si>
    <t>912-OP</t>
  </si>
  <si>
    <t>Demonstrating &amp; Selling Expenses</t>
  </si>
  <si>
    <t>913-OP</t>
  </si>
  <si>
    <t>Advertising Expenses</t>
  </si>
  <si>
    <t>916-OP</t>
  </si>
  <si>
    <t>Misc Sales Expenses</t>
  </si>
  <si>
    <t>Total Sales Expenses</t>
  </si>
  <si>
    <t>Subtotal Expenses</t>
  </si>
  <si>
    <t>Administrative &amp; General Expenses</t>
  </si>
  <si>
    <t>920-OP</t>
  </si>
  <si>
    <t>Admin &amp; General Salaries</t>
  </si>
  <si>
    <t>921-OP</t>
  </si>
  <si>
    <t>Office Supplies &amp; Expenses</t>
  </si>
  <si>
    <t>922-OP</t>
  </si>
  <si>
    <t>Admin Expenses Transferred - credit</t>
  </si>
  <si>
    <t xml:space="preserve">Electric </t>
  </si>
  <si>
    <t>O&amp;M</t>
  </si>
  <si>
    <t>923-OP</t>
  </si>
  <si>
    <t>Outside Services Employed</t>
  </si>
  <si>
    <t>% Change</t>
  </si>
  <si>
    <t>924-OP</t>
  </si>
  <si>
    <t>Property Insurance Premium</t>
  </si>
  <si>
    <t>925-OP</t>
  </si>
  <si>
    <t>Injuries &amp; Damages</t>
  </si>
  <si>
    <t>Natural Gas</t>
  </si>
  <si>
    <t>926-OP</t>
  </si>
  <si>
    <t>Employee Pension &amp; Benefits</t>
  </si>
  <si>
    <t>927-OP</t>
  </si>
  <si>
    <t>Franchise Requirements</t>
  </si>
  <si>
    <t>928-OP</t>
  </si>
  <si>
    <t>Regulatory Commission Expenses</t>
  </si>
  <si>
    <t>929-OP</t>
  </si>
  <si>
    <t>Duplicate charges - credit</t>
  </si>
  <si>
    <t>930.1-OP</t>
  </si>
  <si>
    <t>General advertising expenses</t>
  </si>
  <si>
    <t>930.2-OP</t>
  </si>
  <si>
    <t>Miscellaneous general expenses</t>
  </si>
  <si>
    <t>931-OP</t>
  </si>
  <si>
    <t>935-MT</t>
  </si>
  <si>
    <t>Maintenance of General Plant</t>
  </si>
  <si>
    <t>Total Administrative &amp; General Expenses</t>
  </si>
  <si>
    <t>Total Operating &amp; Maintenance Expenses</t>
  </si>
  <si>
    <t>2024</t>
  </si>
  <si>
    <t>2025</t>
  </si>
  <si>
    <t>2026</t>
  </si>
  <si>
    <t>Escalated Balances versus Total O&amp;M</t>
  </si>
  <si>
    <t>Miscellaneous O&amp;M Expense Adjustment 2024 and 2025</t>
  </si>
  <si>
    <t>Miscellaneous O&amp;M Adjustment 2026</t>
  </si>
  <si>
    <t>Derived from E-3.14,5.06 PF Misc O&amp;M:</t>
  </si>
  <si>
    <t>3.00P</t>
  </si>
  <si>
    <t>3.00T</t>
  </si>
  <si>
    <t>Ratepayer Share at 50%</t>
  </si>
  <si>
    <t>Cash</t>
  </si>
  <si>
    <t>Compensation</t>
  </si>
  <si>
    <t>Stock</t>
  </si>
  <si>
    <t>Washington Electric Utility Allocation</t>
  </si>
  <si>
    <t>Avista Proposed Ratepayer Share 2023</t>
  </si>
  <si>
    <t>Company Proposed RY1 Adjustment</t>
  </si>
  <si>
    <t>Difference</t>
  </si>
  <si>
    <t>Note 1</t>
  </si>
  <si>
    <t>Note 2</t>
  </si>
  <si>
    <t>Note 3</t>
  </si>
  <si>
    <t>From E-3.20 PF BOD, cells O7 and O9.</t>
  </si>
  <si>
    <t>From E-3.20 PF BOD, cell B11 * B12.</t>
  </si>
  <si>
    <t>From E-3.20 PF BOD, cell G12.</t>
  </si>
  <si>
    <t>Projected 2025 D&amp;O Insurance</t>
  </si>
  <si>
    <t>Washington Electric Factor</t>
  </si>
  <si>
    <t>PC Projected Insurance Expense Adjustment</t>
  </si>
  <si>
    <t>Avista Projected Insurance Expense Adjustment</t>
  </si>
  <si>
    <t>Note 4</t>
  </si>
  <si>
    <t>PC Sharing D&amp;O Insurance</t>
  </si>
  <si>
    <t>Avista Sharing of D&amp;O Insurance</t>
  </si>
  <si>
    <t>PC Reduction to Ratepayer Share of D&amp;O Insurance</t>
  </si>
  <si>
    <t>Investor Relations Expense</t>
  </si>
  <si>
    <t>PC Adjustment to Share Investor Relations Expense</t>
  </si>
  <si>
    <t>Test Year Investor Relations Expense</t>
  </si>
  <si>
    <t>PC-DR-194 Attachment A.</t>
  </si>
  <si>
    <t>Association Dues</t>
  </si>
  <si>
    <t>Test Year Industry Association Dues</t>
  </si>
  <si>
    <t>Adjustment to Exclude Industry Association Dues</t>
  </si>
  <si>
    <t>PC-DR-169.</t>
  </si>
  <si>
    <t>Exh. CGK-3, ln. 62</t>
  </si>
  <si>
    <t>Public Counsel Adjustment to Exclude the Forecast to Market Sales Adjustment</t>
  </si>
  <si>
    <t>Jurisdictional Factor</t>
  </si>
  <si>
    <t>Public Counsel Jurisdictional Adjustment to Rate Year 1 Power Adjustment</t>
  </si>
  <si>
    <t>Income Tax Impact</t>
  </si>
  <si>
    <t>Adjustment to Net Income</t>
  </si>
  <si>
    <t>Avista Rate Year 1 Pro Forma Power Supply Adjustment</t>
  </si>
  <si>
    <t>Public Counsel Rate Year 1 Power Supply Adjustment to Taxable Income</t>
  </si>
  <si>
    <t>E-2.19,3.00P,5.00P Auth &amp; PF PS, cell M11</t>
  </si>
  <si>
    <t>ADJ DETAIL-IMPUT, CELL ae48.</t>
  </si>
  <si>
    <t>Avista Proposed Increase to Executive Payroll</t>
  </si>
  <si>
    <t>PC Adjustment to Exclude Executive Pay Increases</t>
  </si>
  <si>
    <t>PC Recommended Pro Forma Adjustment to Executive Payroll</t>
  </si>
  <si>
    <t>Pro Forma Bd. of Directors' Comp. Expense</t>
  </si>
  <si>
    <t>Avista Corporation</t>
  </si>
  <si>
    <t>Electric Docket UE-240006</t>
  </si>
  <si>
    <t>Calculation of Electric Revenue Requirement</t>
  </si>
  <si>
    <t>Test Year Ended June 30, 2023</t>
  </si>
  <si>
    <t>Summary of Electric Utility Adjustments</t>
  </si>
  <si>
    <t>($ Thousands)</t>
  </si>
  <si>
    <t>Miscellaneous O&amp;M Escalation Adjustment</t>
  </si>
  <si>
    <t>Add Misc.</t>
  </si>
  <si>
    <t>Misc. O&amp;M</t>
  </si>
  <si>
    <t>Eliminate Adder Schedules Adj (Add O&amp;M Elim)</t>
  </si>
  <si>
    <t>Directors &amp; Officers' Liability Insurance</t>
  </si>
  <si>
    <t xml:space="preserve">Board of Directors' Compensation </t>
  </si>
  <si>
    <t>Industry Association Dues</t>
  </si>
  <si>
    <t>Pro Forma Power Supply Expense Adjustment</t>
  </si>
  <si>
    <t>Pro Forma Executive Payroll Adjustment</t>
  </si>
  <si>
    <t>Electric Utility Cost of Capital</t>
  </si>
  <si>
    <t>Board of Directors' Compensation</t>
  </si>
  <si>
    <t>PC's Recommended Ratepayer Share</t>
  </si>
  <si>
    <t>PC's Recommended Sharing Percentage</t>
  </si>
  <si>
    <t>PC's Total Company RY1 Adjustment</t>
  </si>
  <si>
    <t>PC's Proposed Jurisdictional Adjustment, RY1</t>
  </si>
  <si>
    <t>Avista Forecast to Actual Market Sales Adjustment</t>
  </si>
  <si>
    <t>Ref.</t>
  </si>
  <si>
    <t>Misc. Restating Non-Util / Non-Rec Exp</t>
  </si>
  <si>
    <t xml:space="preserve">Public Counsel's Workpapers - O&amp;M Expense Escalation </t>
  </si>
  <si>
    <t>Pro Forma Miscellaneous O&amp;M Expense</t>
  </si>
  <si>
    <t>Rate Year 2 - Ending December 2025</t>
  </si>
  <si>
    <t>Rate Year 1 - December 2024</t>
  </si>
  <si>
    <t xml:space="preserve">Cost of Capital %  </t>
  </si>
  <si>
    <t>WP MEG-3.4 - Miscellaneous O&amp;M</t>
  </si>
  <si>
    <t>240006-07-AVA-Exh-KJS-2-Elec RR Model AMA 2024-2026-Long</t>
  </si>
  <si>
    <t>TAB:</t>
  </si>
  <si>
    <t>E-3.05,5.02 PF NE Labor</t>
  </si>
  <si>
    <t>Column:</t>
  </si>
  <si>
    <t>Q</t>
  </si>
  <si>
    <t>240006-07-AVA-Exh-KJS-2-Elec RR Model AMA 2024-2026-Long, Tab: E-3.06 PF Exec Labor, cell F51.</t>
  </si>
  <si>
    <t>Revenue Requirement Impact ($ thousands)</t>
  </si>
  <si>
    <t>Revenue Requirement Impact - YR 1 ($ thousands)</t>
  </si>
  <si>
    <t>Revenue Requirement Impact - YR 2 ($ thousands)</t>
  </si>
  <si>
    <t>Revenue Requirment Impact ($ thousands)</t>
  </si>
  <si>
    <t>240006-07-AVA-Exh-KJS-2-Elec RR Model AMA 2025-2026-Long, Tab: E-3.12 PF Ins,  cell AW13.</t>
  </si>
  <si>
    <t>Id., Tab: E-3.12 PF Ins, cell A16 * A17.</t>
  </si>
  <si>
    <t>Id., Tab: E-3.12 PF Ins, cell AW25.</t>
  </si>
  <si>
    <t>Id., Tab: E-3.12 PF Ins, cell J17.</t>
  </si>
  <si>
    <t>Employee Benefits Expense Adjustment</t>
  </si>
  <si>
    <t>Employee Benefits Update Adjustment, Rate Year 1</t>
  </si>
  <si>
    <t>Employee Benefits Update Adjustment, Rate Year 2</t>
  </si>
  <si>
    <t>PC Updated</t>
  </si>
  <si>
    <t>See the Responsive Testimony of Brandly G. Mullins, page 22, Table 4.</t>
  </si>
  <si>
    <t>Rent From Electric Property</t>
  </si>
  <si>
    <t>Rent from Electric Property Adjustment, Rate Year 1</t>
  </si>
  <si>
    <t>See the Responsive Testimony of Brandly G. Mullins, page 26, Table 6.</t>
  </si>
  <si>
    <t>Rent from Electric Property</t>
  </si>
  <si>
    <t>PC modified</t>
  </si>
  <si>
    <t>Rent from Electric Property Adjustment, Rate Year 2</t>
  </si>
  <si>
    <t>Exhibit MEG-10</t>
  </si>
  <si>
    <t>Schedule 10.1</t>
  </si>
  <si>
    <t>Schedule 10.2</t>
  </si>
  <si>
    <t>Exh. MEG-10</t>
  </si>
  <si>
    <t>Sch. 10.10</t>
  </si>
  <si>
    <t>Schedule 10.3</t>
  </si>
  <si>
    <t>Schedule 10.5</t>
  </si>
  <si>
    <t>Schedule 10.4</t>
  </si>
  <si>
    <t>Exhibit MEG-10 Sch. 10.2</t>
  </si>
  <si>
    <t>WP MEG-10.4</t>
  </si>
  <si>
    <t>Exhibit MEG 10 Sch. 10.2</t>
  </si>
  <si>
    <t>Sch 10.12</t>
  </si>
  <si>
    <t>Sch. 10.4</t>
  </si>
  <si>
    <t>Sch. 10.12</t>
  </si>
  <si>
    <t>Sch. 10.8</t>
  </si>
  <si>
    <t>Sch. 10.7</t>
  </si>
  <si>
    <t>Sch. 10.6</t>
  </si>
  <si>
    <t>Sch. 10.5</t>
  </si>
  <si>
    <t>Sch. 10.11</t>
  </si>
  <si>
    <t>Sch. 10.3</t>
  </si>
  <si>
    <t>Sch. 10.9</t>
  </si>
  <si>
    <t>Schedule 10.6</t>
  </si>
  <si>
    <t>Schedule 10.7</t>
  </si>
  <si>
    <t>Schedule 10.8</t>
  </si>
  <si>
    <t>Schedule 10.9</t>
  </si>
  <si>
    <t>Schedule 10.10</t>
  </si>
  <si>
    <t>Schedule 10.11</t>
  </si>
  <si>
    <t>Schedule 10.12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</si>
</sst>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0.000%"/>
    <numFmt numFmtId="169" formatCode="0.0%"/>
    <numFmt numFmtId="170" formatCode="&quot;$&quot;#,##0"/>
    <numFmt numFmtId="171" formatCode="#,##0\ ;\(#,##0\)"/>
    <numFmt numFmtId="172" formatCode="0.00000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3" tint="0.49998474074526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167" fontId="0" fillId="0" borderId="0" xfId="2" applyNumberFormat="1" applyFont="1"/>
    <xf numFmtId="167" fontId="0" fillId="0" borderId="2" xfId="2" applyNumberFormat="1" applyFont="1" applyBorder="1"/>
    <xf numFmtId="0" fontId="0" fillId="0" borderId="0" xfId="0" quotePrefix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2" fontId="0" fillId="0" borderId="0" xfId="0" applyNumberFormat="1"/>
    <xf numFmtId="0" fontId="0" fillId="0" borderId="1" xfId="0" applyBorder="1"/>
    <xf numFmtId="3" fontId="0" fillId="0" borderId="0" xfId="0" applyNumberFormat="1"/>
    <xf numFmtId="37" fontId="0" fillId="0" borderId="0" xfId="0" applyNumberFormat="1"/>
    <xf numFmtId="5" fontId="0" fillId="0" borderId="0" xfId="0" applyNumberFormat="1"/>
    <xf numFmtId="6" fontId="0" fillId="0" borderId="0" xfId="0" applyNumberFormat="1"/>
    <xf numFmtId="0" fontId="2" fillId="0" borderId="0" xfId="0" applyFont="1"/>
    <xf numFmtId="10" fontId="0" fillId="0" borderId="0" xfId="3" applyNumberFormat="1" applyFont="1"/>
    <xf numFmtId="0" fontId="0" fillId="0" borderId="0" xfId="3" applyNumberFormat="1" applyFont="1"/>
    <xf numFmtId="10" fontId="0" fillId="0" borderId="1" xfId="3" applyNumberFormat="1" applyFont="1" applyBorder="1"/>
    <xf numFmtId="10" fontId="0" fillId="0" borderId="2" xfId="0" applyNumberFormat="1" applyBorder="1"/>
    <xf numFmtId="167" fontId="0" fillId="0" borderId="0" xfId="2" applyNumberFormat="1" applyFont="1" applyFill="1"/>
    <xf numFmtId="10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1" xfId="1" applyNumberFormat="1" applyFont="1" applyBorder="1"/>
    <xf numFmtId="167" fontId="0" fillId="0" borderId="3" xfId="2" applyNumberFormat="1" applyFont="1" applyBorder="1"/>
    <xf numFmtId="0" fontId="0" fillId="2" borderId="0" xfId="0" applyFill="1"/>
    <xf numFmtId="0" fontId="0" fillId="0" borderId="0" xfId="0" applyAlignment="1">
      <alignment horizontal="left"/>
    </xf>
    <xf numFmtId="170" fontId="0" fillId="0" borderId="0" xfId="0" applyNumberFormat="1"/>
    <xf numFmtId="9" fontId="0" fillId="0" borderId="0" xfId="0" applyNumberFormat="1"/>
    <xf numFmtId="169" fontId="0" fillId="0" borderId="0" xfId="0" applyNumberFormat="1"/>
    <xf numFmtId="1" fontId="0" fillId="0" borderId="0" xfId="0" applyNumberFormat="1"/>
    <xf numFmtId="171" fontId="0" fillId="0" borderId="0" xfId="0" applyNumberFormat="1"/>
    <xf numFmtId="172" fontId="0" fillId="0" borderId="0" xfId="0" applyNumberFormat="1"/>
    <xf numFmtId="166" fontId="0" fillId="0" borderId="0" xfId="0" applyNumberFormat="1"/>
    <xf numFmtId="167" fontId="0" fillId="0" borderId="2" xfId="0" applyNumberFormat="1" applyBorder="1"/>
    <xf numFmtId="168" fontId="0" fillId="0" borderId="0" xfId="3" applyNumberFormat="1" applyFont="1"/>
    <xf numFmtId="167" fontId="0" fillId="0" borderId="1" xfId="2" applyNumberFormat="1" applyFont="1" applyBorder="1"/>
    <xf numFmtId="10" fontId="6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167" fontId="0" fillId="0" borderId="0" xfId="2" applyNumberFormat="1" applyFont="1" applyBorder="1"/>
    <xf numFmtId="167" fontId="0" fillId="0" borderId="1" xfId="0" applyNumberFormat="1" applyBorder="1"/>
    <xf numFmtId="0" fontId="6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0" fontId="6" fillId="0" borderId="0" xfId="3" applyNumberFormat="1" applyFont="1"/>
    <xf numFmtId="0" fontId="8" fillId="2" borderId="0" xfId="0" applyFont="1" applyFill="1"/>
    <xf numFmtId="165" fontId="0" fillId="0" borderId="0" xfId="0" applyNumberFormat="1"/>
    <xf numFmtId="167" fontId="6" fillId="0" borderId="2" xfId="2" applyNumberFormat="1" applyFont="1" applyBorder="1"/>
    <xf numFmtId="167" fontId="6" fillId="0" borderId="0" xfId="2" applyNumberFormat="1" applyFont="1" applyFill="1"/>
    <xf numFmtId="167" fontId="6" fillId="0" borderId="0" xfId="2" applyNumberFormat="1" applyFont="1"/>
    <xf numFmtId="0" fontId="6" fillId="0" borderId="0" xfId="0" applyFont="1" applyAlignment="1">
      <alignment horizontal="right"/>
    </xf>
    <xf numFmtId="0" fontId="10" fillId="0" borderId="0" xfId="0" applyFont="1"/>
    <xf numFmtId="0" fontId="0" fillId="3" borderId="0" xfId="0" applyFill="1"/>
    <xf numFmtId="0" fontId="0" fillId="0" borderId="0" xfId="3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7" fontId="6" fillId="0" borderId="2" xfId="2" applyNumberFormat="1" applyFont="1" applyBorder="1" applyAlignment="1">
      <alignment vertical="center"/>
    </xf>
    <xf numFmtId="167" fontId="6" fillId="0" borderId="2" xfId="0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Fill="1" applyBorder="1"/>
  </cellXfs>
  <cellStyles count="7">
    <cellStyle name="Comma" xfId="1" builtinId="3"/>
    <cellStyle name="Comma 2 5" xfId="5" xr:uid="{1498B58F-F7B2-416A-BBFB-DC1AD5BCE9B0}"/>
    <cellStyle name="Currency" xfId="2" builtinId="4"/>
    <cellStyle name="Currency 3 2" xfId="4" xr:uid="{3ADD58AD-0BE0-4D55-9FDB-30BB2947B880}"/>
    <cellStyle name="Normal" xfId="0" builtinId="0"/>
    <cellStyle name="Percent" xfId="3" builtinId="5"/>
    <cellStyle name="Percent 8" xfId="6" xr:uid="{36370BFB-77CD-4BBE-BBB3-A16D7A674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B466-CDE4-4FD6-A20C-74F3A5BB3387}">
  <sheetPr>
    <tabColor theme="3" tint="0.89999084444715716"/>
    <pageSetUpPr fitToPage="1"/>
  </sheetPr>
  <dimension ref="A1:I56"/>
  <sheetViews>
    <sheetView workbookViewId="0">
      <selection activeCell="G2" sqref="G2"/>
    </sheetView>
  </sheetViews>
  <sheetFormatPr defaultRowHeight="15.5" x14ac:dyDescent="0.35"/>
  <cols>
    <col min="1" max="1" width="5.83203125" customWidth="1"/>
    <col min="2" max="2" width="1.5" customWidth="1"/>
    <col min="3" max="3" width="53" customWidth="1"/>
    <col min="4" max="4" width="1.83203125" customWidth="1"/>
    <col min="5" max="5" width="12.25" customWidth="1"/>
    <col min="6" max="6" width="4.75" customWidth="1"/>
    <col min="7" max="7" width="13.25" customWidth="1"/>
    <col min="8" max="8" width="4.58203125" customWidth="1"/>
    <col min="16" max="16" width="20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563</v>
      </c>
    </row>
    <row r="3" spans="1:7" x14ac:dyDescent="0.35">
      <c r="A3" s="52" t="s">
        <v>509</v>
      </c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B8" s="2"/>
      <c r="C8" s="2"/>
      <c r="D8" s="2"/>
      <c r="E8" s="2" t="s">
        <v>3</v>
      </c>
      <c r="F8" s="2"/>
      <c r="G8" s="2" t="s">
        <v>3</v>
      </c>
    </row>
    <row r="9" spans="1:7" x14ac:dyDescent="0.35">
      <c r="A9" s="3" t="s">
        <v>1</v>
      </c>
      <c r="B9" s="2"/>
      <c r="C9" s="3" t="s">
        <v>2</v>
      </c>
      <c r="D9" s="2"/>
      <c r="E9" s="3" t="s">
        <v>4</v>
      </c>
      <c r="F9" s="2"/>
      <c r="G9" s="3" t="s">
        <v>5</v>
      </c>
    </row>
    <row r="11" spans="1:7" x14ac:dyDescent="0.35">
      <c r="A11" s="2">
        <v>1</v>
      </c>
      <c r="C11" s="53" t="s">
        <v>534</v>
      </c>
    </row>
    <row r="12" spans="1:7" x14ac:dyDescent="0.35">
      <c r="A12" s="2"/>
      <c r="C12" s="17"/>
    </row>
    <row r="13" spans="1:7" x14ac:dyDescent="0.35">
      <c r="A13" s="2">
        <v>2</v>
      </c>
      <c r="C13" t="s">
        <v>6</v>
      </c>
      <c r="E13" s="22">
        <f>+'10.2 Summary'!I69</f>
        <v>2309816.7807339807</v>
      </c>
      <c r="F13" s="22"/>
      <c r="G13" s="22">
        <f>+'10.2 Summary'!O69</f>
        <v>2309816.7807339807</v>
      </c>
    </row>
    <row r="14" spans="1:7" x14ac:dyDescent="0.35">
      <c r="A14" s="2"/>
      <c r="E14" s="22"/>
      <c r="F14" s="22"/>
      <c r="G14" s="22"/>
    </row>
    <row r="15" spans="1:7" x14ac:dyDescent="0.35">
      <c r="A15" s="2">
        <v>3</v>
      </c>
      <c r="C15" t="s">
        <v>7</v>
      </c>
      <c r="E15" s="23">
        <f>+'10.10 Cost of Capital'!I14</f>
        <v>7.6100000000000001E-2</v>
      </c>
      <c r="F15" s="5"/>
      <c r="G15" s="23">
        <f>+'10.10 Cost of Capital'!I19</f>
        <v>6.8599999999999994E-2</v>
      </c>
    </row>
    <row r="16" spans="1:7" x14ac:dyDescent="0.35">
      <c r="A16" s="2"/>
      <c r="E16" s="5"/>
      <c r="F16" s="5"/>
      <c r="G16" s="5"/>
    </row>
    <row r="17" spans="1:7" x14ac:dyDescent="0.35">
      <c r="A17" s="2">
        <v>4</v>
      </c>
      <c r="C17" t="s">
        <v>8</v>
      </c>
      <c r="E17" s="6">
        <f>+E13*E15</f>
        <v>175777.05701385593</v>
      </c>
      <c r="F17" s="22"/>
      <c r="G17" s="6">
        <f>+G13*G15</f>
        <v>158453.43115835107</v>
      </c>
    </row>
    <row r="18" spans="1:7" x14ac:dyDescent="0.35">
      <c r="A18" s="2"/>
    </row>
    <row r="19" spans="1:7" x14ac:dyDescent="0.35">
      <c r="A19" s="2">
        <v>5</v>
      </c>
      <c r="C19" t="s">
        <v>9</v>
      </c>
      <c r="E19" s="24">
        <f>+'10.2 Summary'!G69</f>
        <v>117785.79962002143</v>
      </c>
      <c r="F19" s="4"/>
      <c r="G19" s="24">
        <f>+'10.2 Summary'!M69</f>
        <v>159721.65115724862</v>
      </c>
    </row>
    <row r="20" spans="1:7" x14ac:dyDescent="0.35">
      <c r="A20" s="2"/>
      <c r="E20" s="4"/>
      <c r="F20" s="4"/>
      <c r="G20" s="4"/>
    </row>
    <row r="21" spans="1:7" x14ac:dyDescent="0.35">
      <c r="A21" s="2">
        <v>6</v>
      </c>
      <c r="C21" t="s">
        <v>10</v>
      </c>
      <c r="E21" s="6">
        <f>+E17-E19</f>
        <v>57991.257393834501</v>
      </c>
      <c r="F21" s="22"/>
      <c r="G21" s="6">
        <f>+G17-G19</f>
        <v>-1268.2199988975481</v>
      </c>
    </row>
    <row r="22" spans="1:7" x14ac:dyDescent="0.35">
      <c r="A22" s="2"/>
      <c r="E22" s="4"/>
      <c r="F22" s="4"/>
      <c r="G22" s="4"/>
    </row>
    <row r="23" spans="1:7" x14ac:dyDescent="0.35">
      <c r="A23" s="2">
        <v>7</v>
      </c>
      <c r="C23" t="s">
        <v>11</v>
      </c>
      <c r="E23" s="25">
        <v>0.75248000000000004</v>
      </c>
      <c r="F23" s="4"/>
      <c r="G23" s="25">
        <v>0.75248000000000004</v>
      </c>
    </row>
    <row r="24" spans="1:7" x14ac:dyDescent="0.35">
      <c r="A24" s="2"/>
      <c r="E24" s="58"/>
      <c r="F24" s="4"/>
      <c r="G24" s="58"/>
    </row>
    <row r="25" spans="1:7" ht="16" thickBot="1" x14ac:dyDescent="0.4">
      <c r="A25" s="2">
        <v>8</v>
      </c>
      <c r="C25" s="52" t="s">
        <v>12</v>
      </c>
      <c r="E25" s="59">
        <f>+E21/E23</f>
        <v>77066.842167013732</v>
      </c>
      <c r="F25" s="60"/>
      <c r="G25" s="59">
        <f>+G21/G23</f>
        <v>-1685.3869855644641</v>
      </c>
    </row>
    <row r="26" spans="1:7" ht="16" thickTop="1" x14ac:dyDescent="0.35">
      <c r="A26" s="2"/>
    </row>
    <row r="27" spans="1:7" x14ac:dyDescent="0.35">
      <c r="A27" s="2"/>
    </row>
    <row r="28" spans="1:7" x14ac:dyDescent="0.35">
      <c r="A28" s="2">
        <v>9</v>
      </c>
      <c r="C28" s="53" t="s">
        <v>533</v>
      </c>
    </row>
    <row r="29" spans="1:7" x14ac:dyDescent="0.35">
      <c r="A29" s="2"/>
      <c r="C29" s="17"/>
    </row>
    <row r="30" spans="1:7" x14ac:dyDescent="0.35">
      <c r="A30" s="2">
        <v>10</v>
      </c>
      <c r="C30" t="s">
        <v>6</v>
      </c>
      <c r="E30" s="22">
        <f>+'10.2 Summary'!I85</f>
        <v>2400060.8807339808</v>
      </c>
      <c r="F30" s="22"/>
      <c r="G30" s="22">
        <f>+'10.2 Summary'!O85</f>
        <v>2400060.8807339808</v>
      </c>
    </row>
    <row r="31" spans="1:7" x14ac:dyDescent="0.35">
      <c r="A31" s="2"/>
      <c r="E31" s="22"/>
      <c r="F31" s="22"/>
      <c r="G31" s="22"/>
    </row>
    <row r="32" spans="1:7" x14ac:dyDescent="0.35">
      <c r="A32" s="2">
        <v>11</v>
      </c>
      <c r="C32" t="s">
        <v>7</v>
      </c>
      <c r="E32" s="23">
        <f>+'10.10 Cost of Capital'!I14</f>
        <v>7.6100000000000001E-2</v>
      </c>
      <c r="F32" s="5"/>
      <c r="G32" s="23">
        <f>+'10.10 Cost of Capital'!I19</f>
        <v>6.8599999999999994E-2</v>
      </c>
    </row>
    <row r="33" spans="1:9" x14ac:dyDescent="0.35">
      <c r="A33" s="2"/>
      <c r="E33" s="5"/>
      <c r="F33" s="5"/>
      <c r="G33" s="5"/>
    </row>
    <row r="34" spans="1:9" x14ac:dyDescent="0.35">
      <c r="A34" s="2">
        <v>12</v>
      </c>
      <c r="C34" t="s">
        <v>8</v>
      </c>
      <c r="E34" s="6">
        <f>+E30*E32</f>
        <v>182644.63302385595</v>
      </c>
      <c r="F34" s="22"/>
      <c r="G34" s="6">
        <f>+G30*G32</f>
        <v>164644.17641835107</v>
      </c>
    </row>
    <row r="35" spans="1:9" x14ac:dyDescent="0.35">
      <c r="A35" s="2"/>
    </row>
    <row r="36" spans="1:9" x14ac:dyDescent="0.35">
      <c r="A36" s="2">
        <v>13</v>
      </c>
      <c r="C36" t="s">
        <v>9</v>
      </c>
      <c r="E36" s="24">
        <f>+'10.2 Summary'!G85</f>
        <v>65862.556897721428</v>
      </c>
      <c r="F36" s="4"/>
      <c r="G36" s="24">
        <f>+'10.2 Summary'!M85</f>
        <v>110003.17252436854</v>
      </c>
    </row>
    <row r="37" spans="1:9" x14ac:dyDescent="0.35">
      <c r="A37" s="2"/>
      <c r="E37" s="4"/>
      <c r="F37" s="4"/>
      <c r="G37" s="4"/>
    </row>
    <row r="38" spans="1:9" x14ac:dyDescent="0.35">
      <c r="A38" s="2">
        <v>14</v>
      </c>
      <c r="C38" t="s">
        <v>10</v>
      </c>
      <c r="E38" s="6">
        <f>+E34-E36</f>
        <v>116782.07612613452</v>
      </c>
      <c r="F38" s="22"/>
      <c r="G38" s="6">
        <f>+G34-G36</f>
        <v>54641.003893982532</v>
      </c>
    </row>
    <row r="39" spans="1:9" x14ac:dyDescent="0.35">
      <c r="A39" s="2"/>
      <c r="E39" s="4"/>
      <c r="F39" s="4"/>
      <c r="G39" s="4"/>
    </row>
    <row r="40" spans="1:9" x14ac:dyDescent="0.35">
      <c r="A40" s="2">
        <v>15</v>
      </c>
      <c r="C40" t="s">
        <v>11</v>
      </c>
      <c r="E40" s="25">
        <v>0.75248000000000004</v>
      </c>
      <c r="F40" s="4"/>
      <c r="G40" s="25">
        <v>0.75248000000000004</v>
      </c>
    </row>
    <row r="41" spans="1:9" x14ac:dyDescent="0.35">
      <c r="A41" s="2"/>
      <c r="E41" s="58"/>
      <c r="F41" s="4"/>
      <c r="G41" s="58"/>
    </row>
    <row r="42" spans="1:9" ht="16" thickBot="1" x14ac:dyDescent="0.4">
      <c r="A42" s="2">
        <v>16</v>
      </c>
      <c r="C42" s="52" t="s">
        <v>12</v>
      </c>
      <c r="E42" s="59">
        <f>+E38/E40</f>
        <v>155196.25255971521</v>
      </c>
      <c r="F42" s="61"/>
      <c r="G42" s="59">
        <f>+G38/G40</f>
        <v>72614.559714520685</v>
      </c>
      <c r="I42" s="30"/>
    </row>
    <row r="43" spans="1:9" ht="16" thickTop="1" x14ac:dyDescent="0.35">
      <c r="A43" s="2"/>
    </row>
    <row r="44" spans="1:9" x14ac:dyDescent="0.35">
      <c r="A44" s="2"/>
    </row>
    <row r="45" spans="1:9" x14ac:dyDescent="0.35">
      <c r="A45" s="2"/>
    </row>
    <row r="46" spans="1:9" x14ac:dyDescent="0.35">
      <c r="A46" s="2"/>
    </row>
    <row r="47" spans="1:9" x14ac:dyDescent="0.35">
      <c r="A47" s="2"/>
    </row>
    <row r="48" spans="1:9" x14ac:dyDescent="0.35">
      <c r="A48" s="2"/>
    </row>
    <row r="49" spans="1:1" x14ac:dyDescent="0.35">
      <c r="A49" s="2"/>
    </row>
    <row r="50" spans="1:1" x14ac:dyDescent="0.35">
      <c r="A50" s="2"/>
    </row>
    <row r="51" spans="1:1" x14ac:dyDescent="0.35">
      <c r="A51" s="2"/>
    </row>
    <row r="52" spans="1:1" x14ac:dyDescent="0.35">
      <c r="A52" s="2"/>
    </row>
    <row r="53" spans="1:1" x14ac:dyDescent="0.35">
      <c r="A53" s="2"/>
    </row>
    <row r="54" spans="1:1" x14ac:dyDescent="0.35">
      <c r="A54" s="2"/>
    </row>
    <row r="55" spans="1:1" x14ac:dyDescent="0.35">
      <c r="A55" s="2"/>
    </row>
    <row r="56" spans="1:1" x14ac:dyDescent="0.35">
      <c r="A56" s="2"/>
    </row>
  </sheetData>
  <pageMargins left="0.7" right="0.7" top="0.75" bottom="0.75" header="0.3" footer="0.3"/>
  <pageSetup scale="8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7301-3DC1-4718-9273-7A5BFFCF179B}">
  <sheetPr>
    <tabColor theme="3" tint="0.89999084444715716"/>
    <pageSetUpPr fitToPage="1"/>
  </sheetPr>
  <dimension ref="A1:M22"/>
  <sheetViews>
    <sheetView workbookViewId="0">
      <selection activeCell="P16" sqref="P16"/>
    </sheetView>
  </sheetViews>
  <sheetFormatPr defaultRowHeight="15.5" x14ac:dyDescent="0.35"/>
  <cols>
    <col min="1" max="1" width="6" customWidth="1"/>
    <col min="2" max="2" width="1.58203125" customWidth="1"/>
    <col min="3" max="3" width="45.08203125" customWidth="1"/>
    <col min="4" max="4" width="1.33203125" customWidth="1"/>
    <col min="5" max="5" width="10.75" customWidth="1"/>
    <col min="6" max="6" width="1.5" customWidth="1"/>
    <col min="7" max="7" width="9.5" customWidth="1"/>
    <col min="8" max="8" width="1.25" customWidth="1"/>
    <col min="9" max="9" width="9.75" customWidth="1"/>
    <col min="10" max="10" width="1.08203125" customWidth="1"/>
    <col min="11" max="11" width="8.58203125" customWidth="1"/>
    <col min="12" max="12" width="1.33203125" customWidth="1"/>
    <col min="13" max="13" width="10.08203125" customWidth="1"/>
    <col min="14" max="14" width="8.83203125" customWidth="1"/>
    <col min="15" max="15" width="9.58203125" customWidth="1"/>
    <col min="16" max="16" width="8.83203125" customWidth="1"/>
    <col min="17" max="17" width="8.25" customWidth="1"/>
    <col min="18" max="18" width="11.25" customWidth="1"/>
    <col min="19" max="19" width="11" customWidth="1"/>
    <col min="20" max="21" width="9.58203125" customWidth="1"/>
  </cols>
  <sheetData>
    <row r="1" spans="1:13" x14ac:dyDescent="0.35">
      <c r="A1" t="s">
        <v>507</v>
      </c>
      <c r="M1" s="62" t="s">
        <v>562</v>
      </c>
    </row>
    <row r="2" spans="1:13" x14ac:dyDescent="0.35">
      <c r="A2" t="s">
        <v>508</v>
      </c>
      <c r="M2" s="62" t="s">
        <v>587</v>
      </c>
    </row>
    <row r="3" spans="1:13" x14ac:dyDescent="0.35">
      <c r="A3" s="52" t="s">
        <v>522</v>
      </c>
      <c r="M3" s="1"/>
    </row>
    <row r="4" spans="1:13" x14ac:dyDescent="0.35">
      <c r="A4" t="s">
        <v>510</v>
      </c>
      <c r="M4" s="1"/>
    </row>
    <row r="8" spans="1:13" x14ac:dyDescent="0.35">
      <c r="A8" t="s">
        <v>0</v>
      </c>
      <c r="E8" t="s">
        <v>55</v>
      </c>
      <c r="I8" t="s">
        <v>58</v>
      </c>
      <c r="K8" t="s">
        <v>59</v>
      </c>
      <c r="M8" t="s">
        <v>59</v>
      </c>
    </row>
    <row r="9" spans="1:13" x14ac:dyDescent="0.35">
      <c r="A9" s="12" t="s">
        <v>1</v>
      </c>
      <c r="B9" s="12"/>
      <c r="C9" s="12" t="s">
        <v>54</v>
      </c>
      <c r="D9" s="12"/>
      <c r="E9" s="12" t="s">
        <v>56</v>
      </c>
      <c r="F9" s="12"/>
      <c r="G9" s="12" t="s">
        <v>57</v>
      </c>
      <c r="H9" s="12"/>
      <c r="I9" s="12" t="s">
        <v>57</v>
      </c>
      <c r="J9" s="12"/>
      <c r="K9" s="12" t="s">
        <v>60</v>
      </c>
      <c r="L9" s="12"/>
      <c r="M9" s="12" t="s">
        <v>57</v>
      </c>
    </row>
    <row r="11" spans="1:13" ht="25" customHeight="1" x14ac:dyDescent="0.35">
      <c r="A11" s="2">
        <v>1</v>
      </c>
      <c r="C11" s="53" t="s">
        <v>61</v>
      </c>
    </row>
    <row r="12" spans="1:13" ht="25" customHeight="1" x14ac:dyDescent="0.35">
      <c r="A12" s="2">
        <v>2</v>
      </c>
      <c r="C12" t="s">
        <v>53</v>
      </c>
      <c r="E12" s="18">
        <f>100%-E13</f>
        <v>0.51500000000000001</v>
      </c>
      <c r="F12" s="18"/>
      <c r="G12" s="18">
        <v>4.99E-2</v>
      </c>
      <c r="H12" s="18"/>
      <c r="I12" s="18">
        <f>+ROUND(E12*G12,4)</f>
        <v>2.5700000000000001E-2</v>
      </c>
      <c r="J12" s="18"/>
      <c r="K12" s="65">
        <v>1</v>
      </c>
      <c r="L12" s="18"/>
      <c r="M12" s="18">
        <f>I12*K12</f>
        <v>2.5700000000000001E-2</v>
      </c>
    </row>
    <row r="13" spans="1:13" ht="25" customHeight="1" x14ac:dyDescent="0.35">
      <c r="A13" s="2">
        <v>3</v>
      </c>
      <c r="C13" t="s">
        <v>52</v>
      </c>
      <c r="E13" s="20">
        <v>0.48499999999999999</v>
      </c>
      <c r="F13" s="18"/>
      <c r="G13" s="18">
        <v>0.104</v>
      </c>
      <c r="H13" s="18"/>
      <c r="I13" s="20">
        <f>+ROUND(E13*G13,4)</f>
        <v>5.04E-2</v>
      </c>
      <c r="J13" s="18"/>
      <c r="K13" s="19">
        <f>1/0.79</f>
        <v>1.2658227848101264</v>
      </c>
      <c r="L13" s="18"/>
      <c r="M13" s="20">
        <f>I13*K13</f>
        <v>6.379746835443037E-2</v>
      </c>
    </row>
    <row r="14" spans="1:13" ht="25" customHeight="1" x14ac:dyDescent="0.35">
      <c r="A14" s="2">
        <v>4</v>
      </c>
      <c r="C14" t="s">
        <v>62</v>
      </c>
      <c r="E14" s="18">
        <f>SUM(E12:E13)</f>
        <v>1</v>
      </c>
      <c r="F14" s="18"/>
      <c r="G14" s="18"/>
      <c r="H14" s="18"/>
      <c r="I14" s="56">
        <f>+I12+I13</f>
        <v>7.6100000000000001E-2</v>
      </c>
      <c r="J14" s="18"/>
      <c r="K14" s="18"/>
      <c r="L14" s="18"/>
      <c r="M14" s="18">
        <f>+M12+M13</f>
        <v>8.9497468354430371E-2</v>
      </c>
    </row>
    <row r="15" spans="1:13" ht="25" customHeight="1" x14ac:dyDescent="0.35">
      <c r="A15" s="2"/>
    </row>
    <row r="16" spans="1:13" ht="25" customHeight="1" x14ac:dyDescent="0.35">
      <c r="A16" s="2">
        <v>5</v>
      </c>
      <c r="C16" s="53" t="s">
        <v>64</v>
      </c>
    </row>
    <row r="17" spans="1:13" ht="25" customHeight="1" x14ac:dyDescent="0.35">
      <c r="A17" s="2">
        <v>6</v>
      </c>
      <c r="C17" t="s">
        <v>53</v>
      </c>
      <c r="E17" s="18">
        <f>100%-E18</f>
        <v>0.51500000000000001</v>
      </c>
      <c r="F17" s="18"/>
      <c r="G17" s="18">
        <v>4.99E-2</v>
      </c>
      <c r="H17" s="18"/>
      <c r="I17" s="18">
        <f>+ROUND(E17*G17,4)</f>
        <v>2.5700000000000001E-2</v>
      </c>
      <c r="J17" s="18"/>
      <c r="K17" s="65">
        <v>1</v>
      </c>
      <c r="L17" s="18"/>
      <c r="M17" s="18">
        <f>I17*K17</f>
        <v>2.5700000000000001E-2</v>
      </c>
    </row>
    <row r="18" spans="1:13" ht="25" customHeight="1" x14ac:dyDescent="0.35">
      <c r="A18" s="2">
        <v>7</v>
      </c>
      <c r="C18" t="s">
        <v>52</v>
      </c>
      <c r="E18" s="20">
        <v>0.48499999999999999</v>
      </c>
      <c r="F18" s="18"/>
      <c r="G18" s="18">
        <v>8.8499999999999995E-2</v>
      </c>
      <c r="H18" s="18"/>
      <c r="I18" s="20">
        <f>+ROUND(E18*G18,4)</f>
        <v>4.2900000000000001E-2</v>
      </c>
      <c r="J18" s="18"/>
      <c r="K18" s="19">
        <f>1/0.79</f>
        <v>1.2658227848101264</v>
      </c>
      <c r="L18" s="18"/>
      <c r="M18" s="20">
        <f>I18*K18</f>
        <v>5.4303797468354426E-2</v>
      </c>
    </row>
    <row r="19" spans="1:13" ht="25" customHeight="1" x14ac:dyDescent="0.35">
      <c r="A19" s="2">
        <v>8</v>
      </c>
      <c r="C19" t="s">
        <v>62</v>
      </c>
      <c r="E19" s="18">
        <f>SUM(E17:E18)</f>
        <v>1</v>
      </c>
      <c r="F19" s="18"/>
      <c r="G19" s="18"/>
      <c r="H19" s="18"/>
      <c r="I19" s="56">
        <f>+I17+I18</f>
        <v>6.8599999999999994E-2</v>
      </c>
      <c r="J19" s="18"/>
      <c r="K19" s="18"/>
      <c r="L19" s="18"/>
      <c r="M19" s="18">
        <f>+M17+M18</f>
        <v>8.0003797468354426E-2</v>
      </c>
    </row>
    <row r="20" spans="1:13" ht="25" customHeight="1" x14ac:dyDescent="0.35">
      <c r="A20" s="2"/>
    </row>
    <row r="21" spans="1:13" ht="25" customHeight="1" thickBot="1" x14ac:dyDescent="0.4">
      <c r="A21" s="2">
        <v>9</v>
      </c>
      <c r="C21" t="s">
        <v>63</v>
      </c>
      <c r="I21" s="21">
        <f>+I19-I14</f>
        <v>-7.5000000000000067E-3</v>
      </c>
      <c r="M21" s="21">
        <f>+M19-M14</f>
        <v>-9.4936708860759444E-3</v>
      </c>
    </row>
    <row r="22" spans="1:13" ht="16" thickTop="1" x14ac:dyDescent="0.35"/>
  </sheetData>
  <pageMargins left="0.7" right="0.7" top="0.75" bottom="0.75" header="0.3" footer="0.3"/>
  <pageSetup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10F3-9222-41B9-8160-AB985600D000}">
  <sheetPr>
    <tabColor theme="3" tint="0.89999084444715716"/>
  </sheetPr>
  <dimension ref="A1:G16"/>
  <sheetViews>
    <sheetView workbookViewId="0">
      <selection activeCell="L26" sqref="L26"/>
    </sheetView>
  </sheetViews>
  <sheetFormatPr defaultRowHeight="15.5" x14ac:dyDescent="0.35"/>
  <cols>
    <col min="1" max="1" width="5.08203125" customWidth="1"/>
    <col min="2" max="2" width="1.58203125" customWidth="1"/>
    <col min="3" max="3" width="65" customWidth="1"/>
    <col min="4" max="4" width="1.25" customWidth="1"/>
    <col min="5" max="5" width="16.33203125" bestFit="1" customWidth="1"/>
    <col min="6" max="6" width="1.5" customWidth="1"/>
    <col min="7" max="7" width="12.5820312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588</v>
      </c>
    </row>
    <row r="3" spans="1:7" x14ac:dyDescent="0.35">
      <c r="A3" s="52" t="s">
        <v>551</v>
      </c>
      <c r="G3" s="1"/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B8" s="2"/>
      <c r="C8" s="2"/>
      <c r="D8" s="2"/>
      <c r="E8" s="2"/>
      <c r="F8" s="2"/>
      <c r="G8" s="2"/>
    </row>
    <row r="9" spans="1:7" x14ac:dyDescent="0.35">
      <c r="A9" s="3" t="s">
        <v>1</v>
      </c>
      <c r="B9" s="2"/>
      <c r="C9" s="3" t="s">
        <v>2</v>
      </c>
      <c r="D9" s="2"/>
      <c r="E9" s="3" t="s">
        <v>109</v>
      </c>
      <c r="F9" s="2"/>
      <c r="G9" s="3" t="s">
        <v>3</v>
      </c>
    </row>
    <row r="10" spans="1:7" x14ac:dyDescent="0.35">
      <c r="E10" s="2"/>
    </row>
    <row r="11" spans="1:7" x14ac:dyDescent="0.35">
      <c r="A11" s="2">
        <v>1</v>
      </c>
      <c r="C11" t="s">
        <v>552</v>
      </c>
      <c r="E11" s="2" t="s">
        <v>471</v>
      </c>
      <c r="G11" s="6">
        <v>-1224.078</v>
      </c>
    </row>
    <row r="13" spans="1:7" x14ac:dyDescent="0.35">
      <c r="A13" s="2">
        <v>2</v>
      </c>
      <c r="C13" t="s">
        <v>553</v>
      </c>
      <c r="E13" s="2" t="s">
        <v>471</v>
      </c>
      <c r="G13" s="6">
        <v>-303.209</v>
      </c>
    </row>
    <row r="16" spans="1:7" x14ac:dyDescent="0.35">
      <c r="A16" t="s">
        <v>471</v>
      </c>
      <c r="C16" t="s">
        <v>555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F117-9A2C-49DE-84E5-30A46DF6F379}">
  <dimension ref="A1:G16"/>
  <sheetViews>
    <sheetView tabSelected="1" workbookViewId="0">
      <selection activeCell="E6" sqref="E6"/>
    </sheetView>
  </sheetViews>
  <sheetFormatPr defaultRowHeight="15.5" x14ac:dyDescent="0.35"/>
  <cols>
    <col min="1" max="1" width="5.08203125" customWidth="1"/>
    <col min="2" max="2" width="1.58203125" customWidth="1"/>
    <col min="3" max="3" width="65" customWidth="1"/>
    <col min="4" max="4" width="1.25" customWidth="1"/>
    <col min="5" max="5" width="16.33203125" bestFit="1" customWidth="1"/>
    <col min="6" max="6" width="1.5" customWidth="1"/>
    <col min="7" max="7" width="12.5820312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589</v>
      </c>
    </row>
    <row r="3" spans="1:7" x14ac:dyDescent="0.35">
      <c r="A3" s="52" t="s">
        <v>556</v>
      </c>
      <c r="G3" s="1"/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B8" s="2"/>
      <c r="C8" s="2"/>
      <c r="D8" s="2"/>
      <c r="E8" s="2"/>
      <c r="F8" s="2"/>
      <c r="G8" s="2"/>
    </row>
    <row r="9" spans="1:7" x14ac:dyDescent="0.35">
      <c r="A9" s="3" t="s">
        <v>1</v>
      </c>
      <c r="B9" s="2"/>
      <c r="C9" s="3" t="s">
        <v>2</v>
      </c>
      <c r="D9" s="2"/>
      <c r="E9" s="3" t="s">
        <v>109</v>
      </c>
      <c r="F9" s="2"/>
      <c r="G9" s="3" t="s">
        <v>3</v>
      </c>
    </row>
    <row r="10" spans="1:7" x14ac:dyDescent="0.35">
      <c r="E10" s="2"/>
    </row>
    <row r="11" spans="1:7" x14ac:dyDescent="0.35">
      <c r="A11" s="2">
        <v>1</v>
      </c>
      <c r="C11" t="s">
        <v>557</v>
      </c>
      <c r="E11" s="2" t="s">
        <v>471</v>
      </c>
      <c r="G11" s="6">
        <v>2100.393</v>
      </c>
    </row>
    <row r="13" spans="1:7" x14ac:dyDescent="0.35">
      <c r="A13" s="2">
        <v>2</v>
      </c>
      <c r="C13" t="s">
        <v>561</v>
      </c>
      <c r="E13" s="2" t="s">
        <v>471</v>
      </c>
      <c r="G13" s="6">
        <v>272.58999999999997</v>
      </c>
    </row>
    <row r="16" spans="1:7" x14ac:dyDescent="0.35">
      <c r="A16" t="s">
        <v>471</v>
      </c>
      <c r="C16" t="s">
        <v>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DD01-75FA-4098-BFAC-3036579F0FA9}">
  <sheetPr>
    <tabColor theme="3" tint="0.89999084444715716"/>
    <pageSetUpPr fitToPage="1"/>
  </sheetPr>
  <dimension ref="A1:AA93"/>
  <sheetViews>
    <sheetView topLeftCell="A12" workbookViewId="0">
      <selection activeCell="E55" sqref="E55"/>
    </sheetView>
  </sheetViews>
  <sheetFormatPr defaultRowHeight="15.5" x14ac:dyDescent="0.35"/>
  <cols>
    <col min="1" max="1" width="6" customWidth="1"/>
    <col min="2" max="2" width="0.5" customWidth="1"/>
    <col min="4" max="4" width="0.75" customWidth="1"/>
    <col min="5" max="5" width="32.25" customWidth="1"/>
    <col min="6" max="6" width="1.75" customWidth="1"/>
    <col min="7" max="7" width="10.75" customWidth="1"/>
    <col min="8" max="8" width="1.25" customWidth="1"/>
    <col min="9" max="9" width="12" customWidth="1"/>
    <col min="10" max="10" width="1.08203125" customWidth="1"/>
    <col min="11" max="11" width="10.08203125" bestFit="1" customWidth="1"/>
    <col min="12" max="12" width="1.58203125" customWidth="1"/>
    <col min="13" max="13" width="10.75" bestFit="1" customWidth="1"/>
    <col min="14" max="14" width="1.08203125" customWidth="1"/>
    <col min="15" max="15" width="11.83203125" customWidth="1"/>
    <col min="16" max="16" width="1.33203125" customWidth="1"/>
    <col min="17" max="17" width="10.08203125" bestFit="1" customWidth="1"/>
    <col min="18" max="18" width="1.5" customWidth="1"/>
    <col min="19" max="19" width="18.58203125" customWidth="1"/>
    <col min="20" max="20" width="0.75" customWidth="1"/>
    <col min="21" max="21" width="9.58203125" customWidth="1"/>
    <col min="25" max="25" width="14.33203125" bestFit="1" customWidth="1"/>
    <col min="26" max="26" width="10.75" bestFit="1" customWidth="1"/>
    <col min="27" max="27" width="9.58203125" bestFit="1" customWidth="1"/>
  </cols>
  <sheetData>
    <row r="1" spans="1:21" x14ac:dyDescent="0.35">
      <c r="A1" t="s">
        <v>507</v>
      </c>
      <c r="U1" s="62" t="s">
        <v>562</v>
      </c>
    </row>
    <row r="2" spans="1:21" x14ac:dyDescent="0.35">
      <c r="A2" t="s">
        <v>508</v>
      </c>
      <c r="U2" s="62" t="s">
        <v>564</v>
      </c>
    </row>
    <row r="3" spans="1:21" x14ac:dyDescent="0.35">
      <c r="A3" s="52" t="s">
        <v>511</v>
      </c>
      <c r="U3" s="1"/>
    </row>
    <row r="4" spans="1:21" x14ac:dyDescent="0.35">
      <c r="A4" t="s">
        <v>510</v>
      </c>
      <c r="U4" s="1"/>
    </row>
    <row r="5" spans="1:21" x14ac:dyDescent="0.35">
      <c r="A5" t="s">
        <v>512</v>
      </c>
      <c r="B5" s="8"/>
      <c r="C5" s="8"/>
      <c r="D5" s="8"/>
      <c r="K5" s="14"/>
    </row>
    <row r="6" spans="1:21" x14ac:dyDescent="0.35">
      <c r="A6" s="8"/>
      <c r="B6" s="8"/>
      <c r="C6" s="8"/>
      <c r="D6" s="8"/>
    </row>
    <row r="7" spans="1:21" x14ac:dyDescent="0.35">
      <c r="C7" s="2"/>
      <c r="M7" s="9" t="s">
        <v>13</v>
      </c>
      <c r="N7" s="9"/>
      <c r="O7" s="9"/>
      <c r="P7" s="9"/>
      <c r="Q7" s="9"/>
      <c r="S7" s="2" t="s">
        <v>14</v>
      </c>
      <c r="U7" s="2" t="s">
        <v>15</v>
      </c>
    </row>
    <row r="8" spans="1:21" x14ac:dyDescent="0.35">
      <c r="A8" s="2" t="s">
        <v>16</v>
      </c>
      <c r="C8" s="2"/>
      <c r="G8" s="10" t="s">
        <v>105</v>
      </c>
      <c r="H8" s="10"/>
      <c r="I8" s="10"/>
      <c r="J8" s="10"/>
      <c r="K8" s="10"/>
      <c r="M8" s="10" t="s">
        <v>17</v>
      </c>
      <c r="N8" s="10"/>
      <c r="O8" s="10"/>
      <c r="P8" s="10"/>
      <c r="Q8" s="10"/>
      <c r="S8" s="2" t="s">
        <v>18</v>
      </c>
      <c r="U8" s="2" t="s">
        <v>19</v>
      </c>
    </row>
    <row r="9" spans="1:21" x14ac:dyDescent="0.35">
      <c r="A9" s="3" t="s">
        <v>20</v>
      </c>
      <c r="B9" s="11"/>
      <c r="C9" s="55" t="s">
        <v>529</v>
      </c>
      <c r="D9" s="11"/>
      <c r="E9" s="12" t="s">
        <v>21</v>
      </c>
      <c r="G9" s="3" t="s">
        <v>22</v>
      </c>
      <c r="H9" s="2"/>
      <c r="I9" s="3" t="s">
        <v>23</v>
      </c>
      <c r="K9" s="3" t="s">
        <v>24</v>
      </c>
      <c r="M9" s="3" t="s">
        <v>22</v>
      </c>
      <c r="N9" s="2"/>
      <c r="O9" s="3" t="s">
        <v>23</v>
      </c>
      <c r="Q9" s="3" t="s">
        <v>24</v>
      </c>
      <c r="S9" s="3" t="s">
        <v>25</v>
      </c>
      <c r="U9" s="3" t="s">
        <v>26</v>
      </c>
    </row>
    <row r="10" spans="1:21" x14ac:dyDescent="0.35">
      <c r="B10" s="11"/>
      <c r="C10" s="54" t="s">
        <v>565</v>
      </c>
      <c r="D10" s="11"/>
      <c r="G10" s="2"/>
      <c r="H10" s="2"/>
      <c r="I10" s="2"/>
      <c r="K10" s="2"/>
      <c r="M10" s="2"/>
      <c r="N10" s="2"/>
      <c r="O10" s="2"/>
      <c r="Q10" s="2"/>
      <c r="S10" s="2"/>
      <c r="U10" s="2"/>
    </row>
    <row r="11" spans="1:21" x14ac:dyDescent="0.35">
      <c r="A11" s="26"/>
      <c r="C11" s="54" t="s">
        <v>566</v>
      </c>
      <c r="D11" s="11"/>
      <c r="E11" t="s">
        <v>535</v>
      </c>
      <c r="G11" s="2"/>
      <c r="H11" s="2"/>
      <c r="I11" s="2"/>
      <c r="K11" s="29">
        <f>+'10.10 Cost of Capital'!I14</f>
        <v>7.6100000000000001E-2</v>
      </c>
      <c r="M11" s="2"/>
      <c r="N11" s="2"/>
      <c r="O11" s="2"/>
      <c r="Q11" s="29">
        <f>+'10.10 Cost of Capital'!I19</f>
        <v>6.8599999999999994E-2</v>
      </c>
      <c r="S11" s="2"/>
      <c r="U11" s="2"/>
    </row>
    <row r="12" spans="1:21" x14ac:dyDescent="0.35">
      <c r="A12" s="27">
        <v>1</v>
      </c>
      <c r="B12" s="11"/>
      <c r="C12" s="11"/>
      <c r="D12" s="11"/>
      <c r="E12" s="13" t="s">
        <v>27</v>
      </c>
      <c r="G12" s="6">
        <v>125206.70000000007</v>
      </c>
      <c r="H12" s="6"/>
      <c r="I12" s="6">
        <v>2109184.7999999998</v>
      </c>
      <c r="J12" s="6"/>
      <c r="K12" s="6">
        <f>+((I12*$K$11)-G12)/0.75248</f>
        <v>46914.553582819375</v>
      </c>
      <c r="L12" s="6"/>
      <c r="M12" s="6">
        <f>G12</f>
        <v>125206.70000000007</v>
      </c>
      <c r="N12" s="6"/>
      <c r="O12" s="6">
        <f>I12</f>
        <v>2109184.7999999998</v>
      </c>
      <c r="Q12" s="6">
        <f>+((O12*$Q$11)-M12)/0.75248</f>
        <v>25892.219434403436</v>
      </c>
      <c r="S12" s="2" t="s">
        <v>45</v>
      </c>
      <c r="U12" s="30">
        <f>+Q12-K12</f>
        <v>-21022.334148415939</v>
      </c>
    </row>
    <row r="13" spans="1:21" x14ac:dyDescent="0.35">
      <c r="A13" s="27">
        <v>1.01</v>
      </c>
      <c r="B13" s="11"/>
      <c r="C13" s="11"/>
      <c r="D13" s="11"/>
      <c r="E13" s="13" t="s">
        <v>28</v>
      </c>
      <c r="G13" s="31">
        <v>15.877974000000002</v>
      </c>
      <c r="H13" s="31"/>
      <c r="I13" s="31">
        <v>2942</v>
      </c>
      <c r="J13" s="31"/>
      <c r="K13" s="31">
        <f t="shared" ref="K13:K35" si="0">+((I13*$K$11)-G13)/0.75248</f>
        <v>276.43023867743995</v>
      </c>
      <c r="L13" s="31"/>
      <c r="M13" s="31">
        <f t="shared" ref="M13" si="1">G13</f>
        <v>15.877974000000002</v>
      </c>
      <c r="N13" s="31"/>
      <c r="O13" s="31">
        <f t="shared" ref="O13" si="2">I13</f>
        <v>2942</v>
      </c>
      <c r="P13" s="31"/>
      <c r="Q13" s="31">
        <f t="shared" ref="Q13:Q35" si="3">+((O13*$Q$11)-M13)/0.75248</f>
        <v>247.10720019136718</v>
      </c>
      <c r="S13" s="2" t="s">
        <v>29</v>
      </c>
      <c r="U13" s="31">
        <f>+Q13-K13</f>
        <v>-29.323038486072761</v>
      </c>
    </row>
    <row r="14" spans="1:21" x14ac:dyDescent="0.35">
      <c r="A14" s="27">
        <v>1.02</v>
      </c>
      <c r="B14" s="11"/>
      <c r="C14" s="11"/>
      <c r="D14" s="11"/>
      <c r="E14" s="13" t="s">
        <v>30</v>
      </c>
      <c r="G14" s="31">
        <v>0</v>
      </c>
      <c r="H14" s="31"/>
      <c r="I14" s="31">
        <v>0</v>
      </c>
      <c r="J14" s="31"/>
      <c r="K14" s="31">
        <f t="shared" si="0"/>
        <v>0</v>
      </c>
      <c r="L14" s="31"/>
      <c r="M14" s="31">
        <f t="shared" ref="M14:M35" si="4">G14</f>
        <v>0</v>
      </c>
      <c r="N14" s="31"/>
      <c r="O14" s="31">
        <f t="shared" ref="O14:O35" si="5">I14</f>
        <v>0</v>
      </c>
      <c r="P14" s="31"/>
      <c r="Q14" s="31">
        <f t="shared" si="3"/>
        <v>0</v>
      </c>
      <c r="S14" s="2" t="s">
        <v>50</v>
      </c>
      <c r="U14" s="31">
        <f t="shared" ref="U14:U35" si="6">+Q14-K14</f>
        <v>0</v>
      </c>
    </row>
    <row r="15" spans="1:21" x14ac:dyDescent="0.35">
      <c r="A15" s="27">
        <v>1.03</v>
      </c>
      <c r="B15" s="11"/>
      <c r="C15" s="11"/>
      <c r="D15" s="11"/>
      <c r="E15" s="13" t="s">
        <v>31</v>
      </c>
      <c r="G15" s="31">
        <v>-17.480882999999999</v>
      </c>
      <c r="H15" s="31"/>
      <c r="I15" s="31">
        <v>-3239</v>
      </c>
      <c r="J15" s="31"/>
      <c r="K15" s="31">
        <f t="shared" si="0"/>
        <v>-304.33635046778647</v>
      </c>
      <c r="L15" s="31"/>
      <c r="M15" s="31">
        <f t="shared" si="4"/>
        <v>-17.480882999999999</v>
      </c>
      <c r="N15" s="31"/>
      <c r="O15" s="31">
        <f t="shared" si="5"/>
        <v>-3239</v>
      </c>
      <c r="P15" s="31"/>
      <c r="Q15" s="31">
        <f t="shared" si="3"/>
        <v>-272.05310041462889</v>
      </c>
      <c r="S15" s="2" t="s">
        <v>45</v>
      </c>
      <c r="U15" s="31">
        <f t="shared" si="6"/>
        <v>32.283250053157587</v>
      </c>
    </row>
    <row r="16" spans="1:21" x14ac:dyDescent="0.35">
      <c r="A16" s="27">
        <v>1.04</v>
      </c>
      <c r="B16" s="11"/>
      <c r="C16" s="11"/>
      <c r="D16" s="11"/>
      <c r="E16" t="s">
        <v>68</v>
      </c>
      <c r="G16" s="31">
        <v>-1683.4565659999998</v>
      </c>
      <c r="H16" s="31"/>
      <c r="I16" s="31">
        <v>-24878</v>
      </c>
      <c r="J16" s="31"/>
      <c r="K16" s="31">
        <f t="shared" si="0"/>
        <v>-278.75722145439096</v>
      </c>
      <c r="L16" s="31"/>
      <c r="M16" s="31">
        <f t="shared" si="4"/>
        <v>-1683.4565659999998</v>
      </c>
      <c r="N16" s="31"/>
      <c r="O16" s="31">
        <f t="shared" si="5"/>
        <v>-24878</v>
      </c>
      <c r="P16" s="31"/>
      <c r="Q16" s="31">
        <f t="shared" si="3"/>
        <v>-30.797142781203579</v>
      </c>
      <c r="S16" s="2" t="s">
        <v>45</v>
      </c>
      <c r="U16" s="31">
        <f t="shared" si="6"/>
        <v>247.96007867318738</v>
      </c>
    </row>
    <row r="17" spans="1:21" x14ac:dyDescent="0.35">
      <c r="A17" s="27">
        <v>2.0099999999999998</v>
      </c>
      <c r="B17" s="11"/>
      <c r="C17" s="11"/>
      <c r="D17" s="11"/>
      <c r="E17" t="s">
        <v>32</v>
      </c>
      <c r="G17" s="31">
        <v>50.56</v>
      </c>
      <c r="H17" s="31"/>
      <c r="I17" s="31">
        <v>0</v>
      </c>
      <c r="J17" s="31"/>
      <c r="K17" s="31">
        <f t="shared" si="0"/>
        <v>-67.191154582181582</v>
      </c>
      <c r="L17" s="31"/>
      <c r="M17" s="31">
        <f t="shared" si="4"/>
        <v>50.56</v>
      </c>
      <c r="N17" s="31"/>
      <c r="O17" s="31">
        <f t="shared" si="5"/>
        <v>0</v>
      </c>
      <c r="P17" s="31"/>
      <c r="Q17" s="31">
        <f t="shared" si="3"/>
        <v>-67.191154582181582</v>
      </c>
      <c r="S17" s="2" t="s">
        <v>29</v>
      </c>
      <c r="U17" s="31">
        <f t="shared" si="6"/>
        <v>0</v>
      </c>
    </row>
    <row r="18" spans="1:21" x14ac:dyDescent="0.35">
      <c r="A18" s="27">
        <v>2.0199999999999996</v>
      </c>
      <c r="B18" s="11"/>
      <c r="C18" s="11"/>
      <c r="D18" s="11"/>
      <c r="E18" s="13" t="s">
        <v>33</v>
      </c>
      <c r="G18" s="31">
        <v>-1072.82</v>
      </c>
      <c r="H18" s="31"/>
      <c r="I18" s="31">
        <v>0</v>
      </c>
      <c r="J18" s="31"/>
      <c r="K18" s="31">
        <f t="shared" si="0"/>
        <v>1425.7123112906654</v>
      </c>
      <c r="L18" s="31"/>
      <c r="M18" s="31">
        <f t="shared" si="4"/>
        <v>-1072.82</v>
      </c>
      <c r="N18" s="31"/>
      <c r="O18" s="31">
        <f t="shared" si="5"/>
        <v>0</v>
      </c>
      <c r="P18" s="31"/>
      <c r="Q18" s="31">
        <f t="shared" si="3"/>
        <v>1425.7123112906654</v>
      </c>
      <c r="S18" s="2" t="s">
        <v>29</v>
      </c>
      <c r="U18" s="31">
        <f t="shared" si="6"/>
        <v>0</v>
      </c>
    </row>
    <row r="19" spans="1:21" x14ac:dyDescent="0.35">
      <c r="A19" s="27">
        <v>2.0299999999999994</v>
      </c>
      <c r="B19" s="11"/>
      <c r="C19" s="11"/>
      <c r="D19" s="11"/>
      <c r="E19" s="13" t="s">
        <v>69</v>
      </c>
      <c r="G19" s="31">
        <v>-720.48</v>
      </c>
      <c r="H19" s="31"/>
      <c r="I19" s="31">
        <v>0</v>
      </c>
      <c r="J19" s="31"/>
      <c r="K19" s="31">
        <f t="shared" si="0"/>
        <v>957.47395279608759</v>
      </c>
      <c r="L19" s="31"/>
      <c r="M19" s="31">
        <f t="shared" si="4"/>
        <v>-720.48</v>
      </c>
      <c r="N19" s="31"/>
      <c r="O19" s="31">
        <f t="shared" si="5"/>
        <v>0</v>
      </c>
      <c r="P19" s="31"/>
      <c r="Q19" s="31">
        <f t="shared" si="3"/>
        <v>957.47395279608759</v>
      </c>
      <c r="S19" s="2" t="s">
        <v>29</v>
      </c>
      <c r="U19" s="31">
        <f t="shared" si="6"/>
        <v>0</v>
      </c>
    </row>
    <row r="20" spans="1:21" x14ac:dyDescent="0.35">
      <c r="A20" s="27">
        <v>2.0399999999999991</v>
      </c>
      <c r="B20" s="11"/>
      <c r="C20" s="11"/>
      <c r="D20" s="11"/>
      <c r="E20" s="13" t="s">
        <v>34</v>
      </c>
      <c r="G20" s="31">
        <v>-658.86</v>
      </c>
      <c r="H20" s="31"/>
      <c r="I20" s="31">
        <v>0</v>
      </c>
      <c r="J20" s="31"/>
      <c r="K20" s="31">
        <f t="shared" si="0"/>
        <v>875.58473314905382</v>
      </c>
      <c r="L20" s="31"/>
      <c r="M20" s="31">
        <f t="shared" si="4"/>
        <v>-658.86</v>
      </c>
      <c r="N20" s="31"/>
      <c r="O20" s="31">
        <f t="shared" si="5"/>
        <v>0</v>
      </c>
      <c r="P20" s="31"/>
      <c r="Q20" s="31">
        <f t="shared" si="3"/>
        <v>875.58473314905382</v>
      </c>
      <c r="S20" s="2" t="s">
        <v>29</v>
      </c>
      <c r="U20" s="31">
        <f t="shared" si="6"/>
        <v>0</v>
      </c>
    </row>
    <row r="21" spans="1:21" x14ac:dyDescent="0.35">
      <c r="A21" s="27">
        <v>2.0499999999999989</v>
      </c>
      <c r="B21" s="11"/>
      <c r="C21" s="11"/>
      <c r="D21" s="11"/>
      <c r="E21" s="13" t="s">
        <v>35</v>
      </c>
      <c r="G21" s="31">
        <v>248.85000000000002</v>
      </c>
      <c r="H21" s="31"/>
      <c r="I21" s="31">
        <v>0</v>
      </c>
      <c r="J21" s="31"/>
      <c r="K21" s="31">
        <f t="shared" si="0"/>
        <v>-330.70646395917498</v>
      </c>
      <c r="L21" s="31"/>
      <c r="M21" s="31">
        <f t="shared" si="4"/>
        <v>248.85000000000002</v>
      </c>
      <c r="N21" s="31"/>
      <c r="O21" s="31">
        <f t="shared" si="5"/>
        <v>0</v>
      </c>
      <c r="P21" s="31"/>
      <c r="Q21" s="31">
        <f t="shared" si="3"/>
        <v>-330.70646395917498</v>
      </c>
      <c r="S21" s="2" t="s">
        <v>29</v>
      </c>
      <c r="U21" s="31">
        <f t="shared" si="6"/>
        <v>0</v>
      </c>
    </row>
    <row r="22" spans="1:21" x14ac:dyDescent="0.35">
      <c r="A22" s="27">
        <v>2.0599999999999987</v>
      </c>
      <c r="B22" s="11"/>
      <c r="C22" s="11"/>
      <c r="D22" s="11"/>
      <c r="E22" s="13" t="s">
        <v>70</v>
      </c>
      <c r="G22" s="31">
        <v>209</v>
      </c>
      <c r="H22" s="31"/>
      <c r="I22" s="31">
        <v>0</v>
      </c>
      <c r="J22" s="31"/>
      <c r="K22" s="31">
        <f t="shared" si="0"/>
        <v>-277.74824580055281</v>
      </c>
      <c r="L22" s="31"/>
      <c r="M22" s="31">
        <f t="shared" si="4"/>
        <v>209</v>
      </c>
      <c r="N22" s="31"/>
      <c r="O22" s="31">
        <f t="shared" si="5"/>
        <v>0</v>
      </c>
      <c r="P22" s="31"/>
      <c r="Q22" s="31">
        <f t="shared" si="3"/>
        <v>-277.74824580055281</v>
      </c>
      <c r="S22" s="2" t="s">
        <v>29</v>
      </c>
      <c r="U22" s="31">
        <f t="shared" si="6"/>
        <v>0</v>
      </c>
    </row>
    <row r="23" spans="1:21" x14ac:dyDescent="0.35">
      <c r="A23" s="27">
        <v>2.0699999999999985</v>
      </c>
      <c r="B23" s="11"/>
      <c r="C23" s="11"/>
      <c r="D23" s="11"/>
      <c r="E23" s="13" t="s">
        <v>71</v>
      </c>
      <c r="G23" s="31">
        <v>26.07</v>
      </c>
      <c r="H23" s="31"/>
      <c r="I23" s="31">
        <v>0</v>
      </c>
      <c r="J23" s="31"/>
      <c r="K23" s="31">
        <f t="shared" si="0"/>
        <v>-34.645439081437381</v>
      </c>
      <c r="L23" s="31"/>
      <c r="M23" s="31">
        <f t="shared" si="4"/>
        <v>26.07</v>
      </c>
      <c r="N23" s="31"/>
      <c r="O23" s="31">
        <f t="shared" si="5"/>
        <v>0</v>
      </c>
      <c r="P23" s="31"/>
      <c r="Q23" s="31">
        <f t="shared" si="3"/>
        <v>-34.645439081437381</v>
      </c>
      <c r="S23" s="2" t="s">
        <v>29</v>
      </c>
      <c r="U23" s="31">
        <f t="shared" si="6"/>
        <v>0</v>
      </c>
    </row>
    <row r="24" spans="1:21" x14ac:dyDescent="0.35">
      <c r="A24" s="27">
        <v>2.0799999999999983</v>
      </c>
      <c r="B24" s="11"/>
      <c r="C24" s="11"/>
      <c r="D24" s="11"/>
      <c r="E24" s="13" t="s">
        <v>36</v>
      </c>
      <c r="G24" s="31">
        <v>45.82</v>
      </c>
      <c r="H24" s="31"/>
      <c r="I24" s="31">
        <v>0</v>
      </c>
      <c r="J24" s="31"/>
      <c r="K24" s="31">
        <f t="shared" si="0"/>
        <v>-60.891983840102057</v>
      </c>
      <c r="L24" s="31"/>
      <c r="M24" s="31">
        <f t="shared" si="4"/>
        <v>45.82</v>
      </c>
      <c r="N24" s="31"/>
      <c r="O24" s="31">
        <f t="shared" si="5"/>
        <v>0</v>
      </c>
      <c r="P24" s="31"/>
      <c r="Q24" s="31">
        <f t="shared" si="3"/>
        <v>-60.891983840102057</v>
      </c>
      <c r="S24" s="2" t="s">
        <v>29</v>
      </c>
      <c r="U24" s="31">
        <f t="shared" si="6"/>
        <v>0</v>
      </c>
    </row>
    <row r="25" spans="1:21" x14ac:dyDescent="0.35">
      <c r="A25" s="27">
        <v>2.0899999999999981</v>
      </c>
      <c r="B25" s="11"/>
      <c r="C25" s="11"/>
      <c r="D25" s="11"/>
      <c r="E25" s="13" t="s">
        <v>72</v>
      </c>
      <c r="G25" s="31">
        <v>53.72</v>
      </c>
      <c r="H25" s="31"/>
      <c r="I25" s="31">
        <v>0</v>
      </c>
      <c r="J25" s="31"/>
      <c r="K25" s="31">
        <f t="shared" si="0"/>
        <v>-71.390601743567927</v>
      </c>
      <c r="L25" s="31"/>
      <c r="M25" s="31">
        <f t="shared" si="4"/>
        <v>53.72</v>
      </c>
      <c r="N25" s="31"/>
      <c r="O25" s="31">
        <f t="shared" si="5"/>
        <v>0</v>
      </c>
      <c r="P25" s="31"/>
      <c r="Q25" s="31">
        <f t="shared" si="3"/>
        <v>-71.390601743567927</v>
      </c>
      <c r="S25" s="2" t="s">
        <v>29</v>
      </c>
      <c r="U25" s="31">
        <f t="shared" si="6"/>
        <v>0</v>
      </c>
    </row>
    <row r="26" spans="1:21" x14ac:dyDescent="0.35">
      <c r="A26" s="27">
        <v>2.0999999999999979</v>
      </c>
      <c r="B26" s="11"/>
      <c r="C26" s="11"/>
      <c r="D26" s="11"/>
      <c r="E26" s="13" t="s">
        <v>37</v>
      </c>
      <c r="G26" s="31">
        <v>-1101.26</v>
      </c>
      <c r="H26" s="31"/>
      <c r="I26" s="31">
        <v>0</v>
      </c>
      <c r="J26" s="31"/>
      <c r="K26" s="31">
        <f t="shared" si="0"/>
        <v>1463.5073357431427</v>
      </c>
      <c r="L26" s="31"/>
      <c r="M26" s="31">
        <f t="shared" si="4"/>
        <v>-1101.26</v>
      </c>
      <c r="N26" s="31"/>
      <c r="O26" s="31">
        <f t="shared" si="5"/>
        <v>0</v>
      </c>
      <c r="P26" s="31"/>
      <c r="Q26" s="31">
        <f t="shared" si="3"/>
        <v>1463.5073357431427</v>
      </c>
      <c r="S26" s="2" t="s">
        <v>29</v>
      </c>
      <c r="U26" s="31">
        <f t="shared" si="6"/>
        <v>0</v>
      </c>
    </row>
    <row r="27" spans="1:21" x14ac:dyDescent="0.35">
      <c r="A27" s="27">
        <v>2.1099999999999977</v>
      </c>
      <c r="B27" s="11"/>
      <c r="C27" s="11"/>
      <c r="D27" s="11"/>
      <c r="E27" s="13" t="s">
        <v>38</v>
      </c>
      <c r="G27" s="31">
        <v>2.3699999999989814</v>
      </c>
      <c r="H27" s="31"/>
      <c r="I27" s="31">
        <v>0</v>
      </c>
      <c r="J27" s="31"/>
      <c r="K27" s="31">
        <f t="shared" si="0"/>
        <v>-3.1495853710384081</v>
      </c>
      <c r="L27" s="31"/>
      <c r="M27" s="31">
        <f t="shared" si="4"/>
        <v>2.3699999999989814</v>
      </c>
      <c r="N27" s="31"/>
      <c r="O27" s="31">
        <f t="shared" si="5"/>
        <v>0</v>
      </c>
      <c r="P27" s="31"/>
      <c r="Q27" s="31">
        <f t="shared" si="3"/>
        <v>-3.1495853710384081</v>
      </c>
      <c r="S27" s="2" t="s">
        <v>29</v>
      </c>
      <c r="U27" s="31">
        <f t="shared" si="6"/>
        <v>0</v>
      </c>
    </row>
    <row r="28" spans="1:21" x14ac:dyDescent="0.35">
      <c r="A28" s="27">
        <v>2.1199999999999974</v>
      </c>
      <c r="B28" s="11"/>
      <c r="C28" s="11"/>
      <c r="D28" s="11"/>
      <c r="E28" s="13" t="s">
        <v>530</v>
      </c>
      <c r="G28" s="31">
        <v>1024.6300000000001</v>
      </c>
      <c r="H28" s="31"/>
      <c r="I28" s="31">
        <v>0</v>
      </c>
      <c r="J28" s="31"/>
      <c r="K28" s="31">
        <f t="shared" si="0"/>
        <v>-1361.6707420795237</v>
      </c>
      <c r="L28" s="31"/>
      <c r="M28" s="31">
        <f t="shared" si="4"/>
        <v>1024.6300000000001</v>
      </c>
      <c r="N28" s="31"/>
      <c r="O28" s="31">
        <f t="shared" si="5"/>
        <v>0</v>
      </c>
      <c r="P28" s="31"/>
      <c r="Q28" s="31">
        <f t="shared" si="3"/>
        <v>-1361.6707420795237</v>
      </c>
      <c r="S28" s="2" t="s">
        <v>29</v>
      </c>
      <c r="U28" s="31">
        <f t="shared" si="6"/>
        <v>0</v>
      </c>
    </row>
    <row r="29" spans="1:21" x14ac:dyDescent="0.35">
      <c r="A29" s="27">
        <v>2.1299999999999972</v>
      </c>
      <c r="B29" s="11"/>
      <c r="C29" s="11"/>
      <c r="D29" s="11"/>
      <c r="E29" s="13" t="s">
        <v>73</v>
      </c>
      <c r="G29" s="31">
        <v>-624.62535000000003</v>
      </c>
      <c r="H29" s="31"/>
      <c r="I29" s="31">
        <v>0</v>
      </c>
      <c r="J29" s="31"/>
      <c r="K29" s="31">
        <f t="shared" si="0"/>
        <v>830.08897246438448</v>
      </c>
      <c r="L29" s="31"/>
      <c r="M29" s="31">
        <f t="shared" si="4"/>
        <v>-624.62535000000003</v>
      </c>
      <c r="N29" s="31"/>
      <c r="O29" s="31">
        <f t="shared" si="5"/>
        <v>0</v>
      </c>
      <c r="P29" s="31"/>
      <c r="Q29" s="31">
        <f t="shared" si="3"/>
        <v>830.08897246438448</v>
      </c>
      <c r="S29" s="2" t="s">
        <v>29</v>
      </c>
      <c r="U29" s="31">
        <f t="shared" si="6"/>
        <v>0</v>
      </c>
    </row>
    <row r="30" spans="1:21" x14ac:dyDescent="0.35">
      <c r="A30" s="27">
        <v>2.139999999999997</v>
      </c>
      <c r="B30" s="11"/>
      <c r="C30" s="11"/>
      <c r="D30" s="11"/>
      <c r="E30" s="13" t="s">
        <v>41</v>
      </c>
      <c r="G30" s="31">
        <v>-226</v>
      </c>
      <c r="H30" s="31"/>
      <c r="I30" s="31">
        <v>0</v>
      </c>
      <c r="J30" s="31"/>
      <c r="K30" s="31">
        <f t="shared" si="0"/>
        <v>300.34020837763126</v>
      </c>
      <c r="L30" s="31"/>
      <c r="M30" s="31">
        <f t="shared" si="4"/>
        <v>-226</v>
      </c>
      <c r="N30" s="31"/>
      <c r="O30" s="31">
        <f t="shared" si="5"/>
        <v>0</v>
      </c>
      <c r="P30" s="31"/>
      <c r="Q30" s="31">
        <f t="shared" si="3"/>
        <v>300.34020837763126</v>
      </c>
      <c r="S30" s="2" t="s">
        <v>29</v>
      </c>
      <c r="U30" s="31">
        <f t="shared" si="6"/>
        <v>0</v>
      </c>
    </row>
    <row r="31" spans="1:21" x14ac:dyDescent="0.35">
      <c r="A31" s="27">
        <v>2.1499999999999968</v>
      </c>
      <c r="B31" s="11"/>
      <c r="C31" s="11"/>
      <c r="D31" s="11"/>
      <c r="E31" s="13" t="s">
        <v>74</v>
      </c>
      <c r="G31" s="31">
        <v>291.05805119999997</v>
      </c>
      <c r="H31" s="31"/>
      <c r="I31" s="31">
        <v>53929.599999999999</v>
      </c>
      <c r="J31" s="31"/>
      <c r="K31" s="31">
        <f t="shared" si="0"/>
        <v>5067.223725281734</v>
      </c>
      <c r="L31" s="31"/>
      <c r="M31" s="31">
        <f t="shared" si="4"/>
        <v>291.05805119999997</v>
      </c>
      <c r="N31" s="31"/>
      <c r="O31" s="31">
        <f t="shared" si="5"/>
        <v>53929.599999999999</v>
      </c>
      <c r="P31" s="31"/>
      <c r="Q31" s="31">
        <f t="shared" si="3"/>
        <v>4529.7051201360828</v>
      </c>
      <c r="S31" s="2" t="s">
        <v>45</v>
      </c>
      <c r="U31" s="31">
        <f t="shared" si="6"/>
        <v>-537.51860514565124</v>
      </c>
    </row>
    <row r="32" spans="1:21" x14ac:dyDescent="0.35">
      <c r="A32" s="27">
        <v>2.1599999999999966</v>
      </c>
      <c r="B32" s="11"/>
      <c r="C32" s="11"/>
      <c r="D32" s="11"/>
      <c r="E32" s="13" t="s">
        <v>39</v>
      </c>
      <c r="G32" s="31">
        <v>-31140</v>
      </c>
      <c r="H32" s="31"/>
      <c r="I32" s="31">
        <v>0</v>
      </c>
      <c r="J32" s="31"/>
      <c r="K32" s="31">
        <f t="shared" si="0"/>
        <v>41383.159685307248</v>
      </c>
      <c r="L32" s="31"/>
      <c r="M32" s="31">
        <f t="shared" si="4"/>
        <v>-31140</v>
      </c>
      <c r="N32" s="31"/>
      <c r="O32" s="31">
        <f t="shared" si="5"/>
        <v>0</v>
      </c>
      <c r="P32" s="31"/>
      <c r="Q32" s="31">
        <f t="shared" si="3"/>
        <v>41383.159685307248</v>
      </c>
      <c r="S32" s="2" t="s">
        <v>29</v>
      </c>
      <c r="U32" s="31">
        <f t="shared" si="6"/>
        <v>0</v>
      </c>
    </row>
    <row r="33" spans="1:25" x14ac:dyDescent="0.35">
      <c r="A33" s="27">
        <v>2.1699999999999964</v>
      </c>
      <c r="B33" s="11"/>
      <c r="C33" s="11"/>
      <c r="D33" s="11"/>
      <c r="E33" s="13" t="s">
        <v>40</v>
      </c>
      <c r="G33" s="31">
        <v>11.85</v>
      </c>
      <c r="H33" s="31"/>
      <c r="I33" s="31">
        <v>0</v>
      </c>
      <c r="J33" s="31"/>
      <c r="K33" s="31">
        <f t="shared" si="0"/>
        <v>-15.747926855198807</v>
      </c>
      <c r="L33" s="31"/>
      <c r="M33" s="31">
        <f t="shared" si="4"/>
        <v>11.85</v>
      </c>
      <c r="N33" s="31"/>
      <c r="O33" s="31">
        <f t="shared" si="5"/>
        <v>0</v>
      </c>
      <c r="P33" s="31"/>
      <c r="Q33" s="31">
        <f t="shared" si="3"/>
        <v>-15.747926855198807</v>
      </c>
      <c r="S33" s="2" t="s">
        <v>29</v>
      </c>
      <c r="U33" s="31">
        <f t="shared" si="6"/>
        <v>0</v>
      </c>
    </row>
    <row r="34" spans="1:25" x14ac:dyDescent="0.35">
      <c r="A34" s="27">
        <v>2.1799999999999962</v>
      </c>
      <c r="B34" s="11"/>
      <c r="C34" s="11"/>
      <c r="D34" s="11"/>
      <c r="E34" s="13" t="s">
        <v>75</v>
      </c>
      <c r="G34" s="31">
        <v>-263.86</v>
      </c>
      <c r="H34" s="31"/>
      <c r="I34" s="31">
        <v>0</v>
      </c>
      <c r="J34" s="31"/>
      <c r="K34" s="31">
        <f t="shared" si="0"/>
        <v>350.65383797576015</v>
      </c>
      <c r="L34" s="31"/>
      <c r="M34" s="31">
        <f t="shared" si="4"/>
        <v>-263.86</v>
      </c>
      <c r="N34" s="31"/>
      <c r="O34" s="31">
        <f t="shared" si="5"/>
        <v>0</v>
      </c>
      <c r="P34" s="31"/>
      <c r="Q34" s="31">
        <f t="shared" si="3"/>
        <v>350.65383797576015</v>
      </c>
      <c r="S34" s="2" t="s">
        <v>29</v>
      </c>
      <c r="U34" s="31">
        <f t="shared" si="6"/>
        <v>0</v>
      </c>
    </row>
    <row r="35" spans="1:25" x14ac:dyDescent="0.35">
      <c r="A35" s="27">
        <v>2.1899999999999959</v>
      </c>
      <c r="B35" s="11"/>
      <c r="C35" s="11"/>
      <c r="D35" s="11"/>
      <c r="E35" s="13" t="s">
        <v>76</v>
      </c>
      <c r="G35" s="33">
        <v>46581.56</v>
      </c>
      <c r="H35" s="32"/>
      <c r="I35" s="33">
        <v>0</v>
      </c>
      <c r="J35" s="32"/>
      <c r="K35" s="33">
        <f t="shared" si="0"/>
        <v>-61904.05060599617</v>
      </c>
      <c r="L35" s="32"/>
      <c r="M35" s="33">
        <f t="shared" si="4"/>
        <v>46581.56</v>
      </c>
      <c r="N35" s="32"/>
      <c r="O35" s="33">
        <f t="shared" si="5"/>
        <v>0</v>
      </c>
      <c r="P35" s="32"/>
      <c r="Q35" s="33">
        <f t="shared" si="3"/>
        <v>-61904.05060599617</v>
      </c>
      <c r="S35" s="2" t="s">
        <v>29</v>
      </c>
      <c r="U35" s="33">
        <f t="shared" si="6"/>
        <v>0</v>
      </c>
    </row>
    <row r="36" spans="1:25" x14ac:dyDescent="0.35">
      <c r="A36" s="28"/>
      <c r="B36" s="11"/>
      <c r="C36" s="11"/>
      <c r="D36" s="11"/>
      <c r="E36" t="s">
        <v>42</v>
      </c>
      <c r="G36" s="6">
        <f>SUM(G12:G35)</f>
        <v>136259.22322620009</v>
      </c>
      <c r="H36" s="6"/>
      <c r="I36" s="6">
        <f>SUM(I12:I35)</f>
        <v>2137939.4</v>
      </c>
      <c r="J36" s="6"/>
      <c r="K36" s="6">
        <f>SUM(K12:K35)</f>
        <v>35134.442262651392</v>
      </c>
      <c r="L36" s="6"/>
      <c r="M36" s="6">
        <f>SUM(M12:M35)</f>
        <v>136259.22322620009</v>
      </c>
      <c r="N36" s="6"/>
      <c r="O36" s="6">
        <f>SUM(O12:O35)</f>
        <v>2137939.4</v>
      </c>
      <c r="P36" s="6"/>
      <c r="Q36" s="6">
        <f>SUM(Q12:Q35)</f>
        <v>13825.509799330081</v>
      </c>
      <c r="R36" s="6"/>
      <c r="S36" s="6"/>
      <c r="T36" s="6"/>
      <c r="U36" s="6">
        <f>SUM(U12:U35)</f>
        <v>-21308.932463321318</v>
      </c>
    </row>
    <row r="37" spans="1:25" x14ac:dyDescent="0.35">
      <c r="A37" s="48" t="s">
        <v>65</v>
      </c>
      <c r="B37" s="11"/>
      <c r="C37" s="11"/>
      <c r="D37" s="11"/>
      <c r="G37" s="16"/>
      <c r="H37" s="16"/>
      <c r="I37" s="15"/>
      <c r="U37" s="31"/>
    </row>
    <row r="38" spans="1:25" x14ac:dyDescent="0.35">
      <c r="A38" s="27" t="s">
        <v>461</v>
      </c>
      <c r="B38" s="11"/>
      <c r="C38" s="54" t="s">
        <v>582</v>
      </c>
      <c r="D38" s="11"/>
      <c r="E38" s="13" t="s">
        <v>43</v>
      </c>
      <c r="G38" s="6">
        <v>-16488.88</v>
      </c>
      <c r="H38" s="6"/>
      <c r="I38" s="6">
        <v>0</v>
      </c>
      <c r="J38" s="6"/>
      <c r="K38" s="6">
        <f t="shared" ref="K38:K65" si="7">+((I38*$K$11)-G38)/0.75248</f>
        <v>21912.71528811397</v>
      </c>
      <c r="L38" s="6"/>
      <c r="M38" s="6">
        <f>+'10.9 Power Supply'!G25</f>
        <v>16965.14256</v>
      </c>
      <c r="N38" s="6"/>
      <c r="O38" s="6">
        <f t="shared" ref="O38:O65" si="8">I38</f>
        <v>0</v>
      </c>
      <c r="P38" s="6"/>
      <c r="Q38" s="6">
        <f t="shared" ref="Q38:Q65" si="9">+((O38*$Q$11)-M38)/0.75248</f>
        <v>-22545.639166489473</v>
      </c>
      <c r="R38" s="6"/>
      <c r="S38" s="2" t="s">
        <v>45</v>
      </c>
      <c r="T38" s="6"/>
      <c r="U38" s="31">
        <f t="shared" ref="U38:U67" si="10">+Q38-K38</f>
        <v>-44458.354454603439</v>
      </c>
    </row>
    <row r="39" spans="1:25" x14ac:dyDescent="0.35">
      <c r="A39" s="27" t="s">
        <v>462</v>
      </c>
      <c r="B39" s="11"/>
      <c r="C39" s="54"/>
      <c r="D39" s="11"/>
      <c r="E39" s="13" t="s">
        <v>77</v>
      </c>
      <c r="G39" s="31">
        <v>2563.5500000000002</v>
      </c>
      <c r="H39" s="31"/>
      <c r="I39" s="31">
        <v>0</v>
      </c>
      <c r="J39" s="31"/>
      <c r="K39" s="31">
        <f t="shared" si="7"/>
        <v>-3406.8015096746758</v>
      </c>
      <c r="M39" s="31">
        <f t="shared" ref="M39:M65" si="11">G39</f>
        <v>2563.5500000000002</v>
      </c>
      <c r="N39" s="31"/>
      <c r="O39" s="31">
        <f t="shared" si="8"/>
        <v>0</v>
      </c>
      <c r="P39" s="31"/>
      <c r="Q39" s="31">
        <f t="shared" si="9"/>
        <v>-3406.8015096746758</v>
      </c>
      <c r="S39" s="2" t="s">
        <v>29</v>
      </c>
      <c r="U39" s="31">
        <f t="shared" si="10"/>
        <v>0</v>
      </c>
    </row>
    <row r="40" spans="1:25" x14ac:dyDescent="0.35">
      <c r="A40" s="27">
        <v>3.01</v>
      </c>
      <c r="B40" s="11"/>
      <c r="C40" s="54"/>
      <c r="D40" s="11"/>
      <c r="E40" s="13" t="s">
        <v>51</v>
      </c>
      <c r="G40" s="31">
        <v>25155.97</v>
      </c>
      <c r="H40" s="31"/>
      <c r="I40" s="31">
        <v>0</v>
      </c>
      <c r="J40" s="31"/>
      <c r="K40" s="31">
        <f t="shared" si="7"/>
        <v>-33430.748990006381</v>
      </c>
      <c r="M40" s="31">
        <f t="shared" si="11"/>
        <v>25155.97</v>
      </c>
      <c r="N40" s="31"/>
      <c r="O40" s="31">
        <f t="shared" si="8"/>
        <v>0</v>
      </c>
      <c r="P40" s="31"/>
      <c r="Q40" s="31">
        <f t="shared" si="9"/>
        <v>-33430.748990006381</v>
      </c>
      <c r="S40" s="2" t="s">
        <v>29</v>
      </c>
      <c r="U40" s="31">
        <f t="shared" si="10"/>
        <v>0</v>
      </c>
    </row>
    <row r="41" spans="1:25" x14ac:dyDescent="0.35">
      <c r="A41" s="27">
        <v>3.0199999999999996</v>
      </c>
      <c r="B41" s="11"/>
      <c r="C41" s="54"/>
      <c r="D41" s="11"/>
      <c r="E41" s="13" t="s">
        <v>78</v>
      </c>
      <c r="G41" s="31">
        <v>-4912.6149999999998</v>
      </c>
      <c r="H41" s="31"/>
      <c r="I41" s="31">
        <v>0</v>
      </c>
      <c r="J41" s="31"/>
      <c r="K41" s="31">
        <f t="shared" si="7"/>
        <v>6528.5655432702524</v>
      </c>
      <c r="M41" s="31">
        <f t="shared" si="11"/>
        <v>-4912.6149999999998</v>
      </c>
      <c r="N41" s="31"/>
      <c r="O41" s="31">
        <f t="shared" si="8"/>
        <v>0</v>
      </c>
      <c r="P41" s="31"/>
      <c r="Q41" s="31">
        <f t="shared" si="9"/>
        <v>6528.5655432702524</v>
      </c>
      <c r="S41" s="2" t="s">
        <v>29</v>
      </c>
      <c r="U41" s="31">
        <f t="shared" si="10"/>
        <v>0</v>
      </c>
    </row>
    <row r="42" spans="1:25" x14ac:dyDescent="0.35">
      <c r="A42" s="27">
        <v>3.0299999999999994</v>
      </c>
      <c r="B42" s="11"/>
      <c r="C42" s="54"/>
      <c r="D42" s="11"/>
      <c r="E42" s="13" t="s">
        <v>79</v>
      </c>
      <c r="G42" s="31">
        <v>-92</v>
      </c>
      <c r="H42" s="31"/>
      <c r="I42" s="31">
        <v>0</v>
      </c>
      <c r="J42" s="31"/>
      <c r="K42" s="31">
        <f t="shared" si="7"/>
        <v>122.26238571124813</v>
      </c>
      <c r="M42" s="31">
        <f t="shared" si="11"/>
        <v>-92</v>
      </c>
      <c r="N42" s="31"/>
      <c r="O42" s="31">
        <f t="shared" si="8"/>
        <v>0</v>
      </c>
      <c r="P42" s="31"/>
      <c r="Q42" s="31">
        <f t="shared" si="9"/>
        <v>122.26238571124813</v>
      </c>
      <c r="S42" s="2" t="s">
        <v>29</v>
      </c>
      <c r="U42" s="31">
        <f t="shared" si="10"/>
        <v>0</v>
      </c>
    </row>
    <row r="43" spans="1:25" x14ac:dyDescent="0.35">
      <c r="A43" s="27">
        <v>3.0399999999999991</v>
      </c>
      <c r="B43" s="11"/>
      <c r="C43" s="54"/>
      <c r="D43" s="11"/>
      <c r="E43" s="13" t="s">
        <v>80</v>
      </c>
      <c r="G43" s="31">
        <v>1792.755987</v>
      </c>
      <c r="H43" s="31"/>
      <c r="I43" s="31">
        <v>-7529</v>
      </c>
      <c r="J43" s="31"/>
      <c r="K43" s="31">
        <f t="shared" si="7"/>
        <v>-3143.8880594833086</v>
      </c>
      <c r="M43" s="31">
        <f t="shared" si="11"/>
        <v>1792.755987</v>
      </c>
      <c r="N43" s="31"/>
      <c r="O43" s="31">
        <f t="shared" si="8"/>
        <v>-7529</v>
      </c>
      <c r="P43" s="31"/>
      <c r="Q43" s="31">
        <f t="shared" si="9"/>
        <v>-3068.8461979055919</v>
      </c>
      <c r="S43" s="2" t="s">
        <v>45</v>
      </c>
      <c r="U43" s="31">
        <f t="shared" si="10"/>
        <v>75.041861577716645</v>
      </c>
    </row>
    <row r="44" spans="1:25" x14ac:dyDescent="0.35">
      <c r="A44" s="27">
        <v>3.0499999999999989</v>
      </c>
      <c r="B44" s="11"/>
      <c r="C44" s="54"/>
      <c r="D44" s="11"/>
      <c r="E44" s="13" t="s">
        <v>44</v>
      </c>
      <c r="G44" s="31">
        <v>-5209.8130000000001</v>
      </c>
      <c r="H44" s="31"/>
      <c r="I44" s="31">
        <v>0</v>
      </c>
      <c r="J44" s="31"/>
      <c r="K44" s="31">
        <f t="shared" si="7"/>
        <v>6923.5235487986392</v>
      </c>
      <c r="M44" s="31">
        <f>+G44</f>
        <v>-5209.8130000000001</v>
      </c>
      <c r="N44" s="31"/>
      <c r="O44" s="31">
        <f t="shared" si="8"/>
        <v>0</v>
      </c>
      <c r="P44" s="31"/>
      <c r="Q44" s="31">
        <f t="shared" si="9"/>
        <v>6923.5235487986392</v>
      </c>
      <c r="S44" s="2" t="s">
        <v>29</v>
      </c>
      <c r="U44" s="31">
        <f>+Q44-K44</f>
        <v>0</v>
      </c>
      <c r="Y44" s="4">
        <f>+K44-Q44</f>
        <v>0</v>
      </c>
    </row>
    <row r="45" spans="1:25" x14ac:dyDescent="0.35">
      <c r="A45" s="27">
        <v>3.0599999999999987</v>
      </c>
      <c r="B45" s="11"/>
      <c r="C45" s="54" t="s">
        <v>581</v>
      </c>
      <c r="D45" s="11"/>
      <c r="E45" s="13" t="s">
        <v>46</v>
      </c>
      <c r="G45" s="31">
        <v>-47.429230000000004</v>
      </c>
      <c r="H45" s="31"/>
      <c r="I45" s="31">
        <v>0</v>
      </c>
      <c r="J45" s="31"/>
      <c r="K45" s="31">
        <f t="shared" si="7"/>
        <v>63.030552307038064</v>
      </c>
      <c r="M45" s="31">
        <f>+'10.3 Executive Payroll'!G15</f>
        <v>0</v>
      </c>
      <c r="N45" s="31"/>
      <c r="O45" s="31">
        <f t="shared" si="8"/>
        <v>0</v>
      </c>
      <c r="P45" s="31"/>
      <c r="Q45" s="31">
        <f t="shared" si="9"/>
        <v>0</v>
      </c>
      <c r="S45" s="2" t="s">
        <v>29</v>
      </c>
      <c r="U45" s="31">
        <f t="shared" si="10"/>
        <v>-63.030552307038064</v>
      </c>
    </row>
    <row r="46" spans="1:25" x14ac:dyDescent="0.35">
      <c r="A46" s="27">
        <v>3.0699999999999985</v>
      </c>
      <c r="B46" s="11"/>
      <c r="C46" s="54" t="s">
        <v>580</v>
      </c>
      <c r="D46" s="11"/>
      <c r="E46" s="13" t="s">
        <v>47</v>
      </c>
      <c r="G46" s="31">
        <v>4288.5940000000001</v>
      </c>
      <c r="H46" s="31"/>
      <c r="I46" s="31">
        <v>0</v>
      </c>
      <c r="J46" s="31"/>
      <c r="K46" s="31">
        <f t="shared" si="7"/>
        <v>-5699.2797150754832</v>
      </c>
      <c r="M46" s="31">
        <f>G46-'10.11 Benefits'!G11*0.79</f>
        <v>5255.6156200000005</v>
      </c>
      <c r="N46" s="31"/>
      <c r="O46" s="31">
        <f t="shared" si="8"/>
        <v>0</v>
      </c>
      <c r="P46" s="31"/>
      <c r="Q46" s="31">
        <f t="shared" si="9"/>
        <v>-6984.3924356793541</v>
      </c>
      <c r="S46" s="2" t="s">
        <v>554</v>
      </c>
      <c r="U46" s="76">
        <f t="shared" si="10"/>
        <v>-1285.1127206038709</v>
      </c>
    </row>
    <row r="47" spans="1:25" x14ac:dyDescent="0.35">
      <c r="A47" s="27">
        <v>3.0799999999999983</v>
      </c>
      <c r="B47" s="11"/>
      <c r="C47" s="54"/>
      <c r="D47" s="11"/>
      <c r="E47" s="13" t="s">
        <v>81</v>
      </c>
      <c r="G47" s="31">
        <v>-919.32300000000009</v>
      </c>
      <c r="H47" s="31"/>
      <c r="I47" s="31">
        <v>0</v>
      </c>
      <c r="J47" s="31"/>
      <c r="K47" s="31">
        <f t="shared" si="7"/>
        <v>1221.7241654263237</v>
      </c>
      <c r="M47" s="31">
        <f>+G47</f>
        <v>-919.32300000000009</v>
      </c>
      <c r="N47" s="31"/>
      <c r="O47" s="31">
        <f t="shared" si="8"/>
        <v>0</v>
      </c>
      <c r="P47" s="31"/>
      <c r="Q47" s="31">
        <f t="shared" si="9"/>
        <v>1221.7241654263237</v>
      </c>
      <c r="S47" s="2" t="s">
        <v>29</v>
      </c>
      <c r="U47" s="31">
        <f t="shared" si="10"/>
        <v>0</v>
      </c>
    </row>
    <row r="48" spans="1:25" x14ac:dyDescent="0.35">
      <c r="A48" s="27">
        <v>3.0899999999999981</v>
      </c>
      <c r="B48" s="11"/>
      <c r="C48" s="54"/>
      <c r="D48" s="11"/>
      <c r="E48" s="13" t="s">
        <v>82</v>
      </c>
      <c r="G48" s="31">
        <v>-206.98000000000002</v>
      </c>
      <c r="H48" s="31"/>
      <c r="I48" s="31">
        <v>0</v>
      </c>
      <c r="J48" s="31"/>
      <c r="K48" s="31">
        <f t="shared" si="7"/>
        <v>275.06378907080585</v>
      </c>
      <c r="M48" s="31">
        <f t="shared" si="11"/>
        <v>-206.98000000000002</v>
      </c>
      <c r="N48" s="31"/>
      <c r="O48" s="31">
        <f t="shared" si="8"/>
        <v>0</v>
      </c>
      <c r="P48" s="31"/>
      <c r="Q48" s="31">
        <f t="shared" si="9"/>
        <v>275.06378907080585</v>
      </c>
      <c r="S48" s="2" t="s">
        <v>29</v>
      </c>
      <c r="U48" s="31">
        <f t="shared" si="10"/>
        <v>0</v>
      </c>
    </row>
    <row r="49" spans="1:27" x14ac:dyDescent="0.35">
      <c r="A49" s="27">
        <v>3.0999999999999979</v>
      </c>
      <c r="B49" s="11"/>
      <c r="C49" s="54"/>
      <c r="D49" s="11"/>
      <c r="E49" s="13" t="s">
        <v>83</v>
      </c>
      <c r="G49" s="31">
        <v>-300.99</v>
      </c>
      <c r="H49" s="31"/>
      <c r="I49" s="31">
        <v>0</v>
      </c>
      <c r="J49" s="31"/>
      <c r="K49" s="31">
        <f t="shared" si="7"/>
        <v>399.99734212204976</v>
      </c>
      <c r="M49" s="31">
        <f t="shared" si="11"/>
        <v>-300.99</v>
      </c>
      <c r="N49" s="31"/>
      <c r="O49" s="31">
        <f t="shared" si="8"/>
        <v>0</v>
      </c>
      <c r="P49" s="31"/>
      <c r="Q49" s="31">
        <f t="shared" si="9"/>
        <v>399.99734212204976</v>
      </c>
      <c r="S49" s="2" t="s">
        <v>29</v>
      </c>
      <c r="U49" s="31">
        <f t="shared" si="10"/>
        <v>0</v>
      </c>
    </row>
    <row r="50" spans="1:27" x14ac:dyDescent="0.35">
      <c r="A50" s="27">
        <v>3.1099999999999977</v>
      </c>
      <c r="B50" s="11"/>
      <c r="C50" s="54"/>
      <c r="D50" s="11"/>
      <c r="E50" s="13" t="s">
        <v>49</v>
      </c>
      <c r="G50" s="31">
        <v>146.15</v>
      </c>
      <c r="H50" s="31"/>
      <c r="I50" s="31">
        <v>0</v>
      </c>
      <c r="J50" s="31"/>
      <c r="K50" s="31">
        <f t="shared" si="7"/>
        <v>-194.22443121411865</v>
      </c>
      <c r="M50" s="31">
        <f t="shared" si="11"/>
        <v>146.15</v>
      </c>
      <c r="N50" s="31"/>
      <c r="O50" s="31">
        <f t="shared" si="8"/>
        <v>0</v>
      </c>
      <c r="P50" s="31"/>
      <c r="Q50" s="31">
        <f t="shared" si="9"/>
        <v>-194.22443121411865</v>
      </c>
      <c r="S50" s="2" t="s">
        <v>29</v>
      </c>
      <c r="U50" s="31">
        <f t="shared" si="10"/>
        <v>0</v>
      </c>
      <c r="Z50" s="2"/>
      <c r="AA50" s="2"/>
    </row>
    <row r="51" spans="1:27" x14ac:dyDescent="0.35">
      <c r="A51" s="27">
        <v>3.1199999999999974</v>
      </c>
      <c r="B51" s="11"/>
      <c r="C51" s="54" t="s">
        <v>579</v>
      </c>
      <c r="D51" s="11"/>
      <c r="E51" s="13" t="s">
        <v>48</v>
      </c>
      <c r="G51" s="31">
        <v>-4155.3999999999996</v>
      </c>
      <c r="H51" s="31"/>
      <c r="I51" s="31">
        <v>0</v>
      </c>
      <c r="J51" s="31"/>
      <c r="K51" s="31">
        <f t="shared" si="7"/>
        <v>5522.2730172230486</v>
      </c>
      <c r="M51" s="31">
        <f>-'10.5 D&amp;O Ins.'!G27*0.79/1000</f>
        <v>-3977.2253123179403</v>
      </c>
      <c r="N51" s="31"/>
      <c r="O51" s="31">
        <f t="shared" si="8"/>
        <v>0</v>
      </c>
      <c r="P51" s="31"/>
      <c r="Q51" s="31">
        <f t="shared" si="9"/>
        <v>5285.4897303821235</v>
      </c>
      <c r="S51" s="2" t="s">
        <v>29</v>
      </c>
      <c r="U51" s="31">
        <f t="shared" si="10"/>
        <v>-236.78328684092503</v>
      </c>
      <c r="Z51" s="4"/>
      <c r="AA51" s="30"/>
    </row>
    <row r="52" spans="1:27" x14ac:dyDescent="0.35">
      <c r="A52" s="27">
        <v>3.1299999999999972</v>
      </c>
      <c r="B52" s="11"/>
      <c r="C52" s="54"/>
      <c r="D52" s="11"/>
      <c r="E52" s="13" t="s">
        <v>84</v>
      </c>
      <c r="G52" s="31">
        <v>-80.185000000000002</v>
      </c>
      <c r="H52" s="31"/>
      <c r="I52" s="31">
        <v>0</v>
      </c>
      <c r="J52" s="31"/>
      <c r="K52" s="31">
        <f t="shared" si="7"/>
        <v>106.56097172017861</v>
      </c>
      <c r="M52" s="31">
        <f t="shared" si="11"/>
        <v>-80.185000000000002</v>
      </c>
      <c r="N52" s="31"/>
      <c r="O52" s="31">
        <f t="shared" si="8"/>
        <v>0</v>
      </c>
      <c r="P52" s="31"/>
      <c r="Q52" s="31">
        <f t="shared" si="9"/>
        <v>106.56097172017861</v>
      </c>
      <c r="S52" s="2" t="s">
        <v>29</v>
      </c>
      <c r="U52" s="31">
        <f t="shared" si="10"/>
        <v>0</v>
      </c>
    </row>
    <row r="53" spans="1:27" x14ac:dyDescent="0.35">
      <c r="A53" s="27">
        <v>3.139999999999997</v>
      </c>
      <c r="B53" s="11"/>
      <c r="C53" s="54" t="s">
        <v>574</v>
      </c>
      <c r="D53" s="11"/>
      <c r="E53" s="13" t="s">
        <v>85</v>
      </c>
      <c r="G53" s="31">
        <v>-7012.0004999999992</v>
      </c>
      <c r="H53" s="31"/>
      <c r="I53" s="31">
        <v>0</v>
      </c>
      <c r="J53" s="31"/>
      <c r="K53" s="31">
        <f t="shared" si="7"/>
        <v>9318.5207580267906</v>
      </c>
      <c r="M53" s="31">
        <f>-'10.4 Misc O&amp;M Escalation'!W171*0.79/1000</f>
        <v>-2780.4030514501433</v>
      </c>
      <c r="N53" s="31"/>
      <c r="O53" s="31">
        <f t="shared" si="8"/>
        <v>0</v>
      </c>
      <c r="P53" s="31"/>
      <c r="Q53" s="31">
        <f t="shared" si="9"/>
        <v>3694.9859816209641</v>
      </c>
      <c r="S53" s="2" t="s">
        <v>45</v>
      </c>
      <c r="U53" s="31">
        <f t="shared" si="10"/>
        <v>-5623.5347764058261</v>
      </c>
      <c r="Z53" s="31"/>
      <c r="AA53" s="31"/>
    </row>
    <row r="54" spans="1:27" x14ac:dyDescent="0.35">
      <c r="A54" s="27">
        <v>3.1499999999999968</v>
      </c>
      <c r="B54" s="11"/>
      <c r="C54" s="54"/>
      <c r="D54" s="11"/>
      <c r="E54" s="13" t="s">
        <v>86</v>
      </c>
      <c r="G54" s="31">
        <v>-2860.8231869129622</v>
      </c>
      <c r="H54" s="31"/>
      <c r="I54" s="31">
        <v>83421.310559021251</v>
      </c>
      <c r="J54" s="31"/>
      <c r="K54" s="31">
        <f t="shared" si="7"/>
        <v>12238.444769900168</v>
      </c>
      <c r="M54" s="31">
        <f t="shared" si="11"/>
        <v>-2860.8231869129622</v>
      </c>
      <c r="N54" s="31"/>
      <c r="O54" s="31">
        <f t="shared" si="8"/>
        <v>83421.310559021251</v>
      </c>
      <c r="P54" s="31"/>
      <c r="Q54" s="31">
        <f t="shared" si="9"/>
        <v>11406.981037717705</v>
      </c>
      <c r="S54" s="2" t="s">
        <v>45</v>
      </c>
      <c r="U54" s="31">
        <f t="shared" si="10"/>
        <v>-831.46373218246299</v>
      </c>
      <c r="Z54" s="31"/>
      <c r="AA54" s="31"/>
    </row>
    <row r="55" spans="1:27" x14ac:dyDescent="0.35">
      <c r="A55" s="27">
        <v>3.1599999999999966</v>
      </c>
      <c r="B55" s="11"/>
      <c r="C55" s="54"/>
      <c r="D55" s="11"/>
      <c r="E55" s="13" t="s">
        <v>87</v>
      </c>
      <c r="G55" s="31">
        <v>592.73699999999997</v>
      </c>
      <c r="H55" s="31"/>
      <c r="I55" s="31">
        <v>0</v>
      </c>
      <c r="J55" s="31"/>
      <c r="K55" s="31">
        <f t="shared" si="7"/>
        <v>-787.71130129704432</v>
      </c>
      <c r="M55" s="31">
        <f t="shared" si="11"/>
        <v>592.73699999999997</v>
      </c>
      <c r="N55" s="31"/>
      <c r="O55" s="31">
        <f t="shared" si="8"/>
        <v>0</v>
      </c>
      <c r="P55" s="31"/>
      <c r="Q55" s="31">
        <f t="shared" si="9"/>
        <v>-787.71130129704432</v>
      </c>
      <c r="S55" s="2" t="s">
        <v>29</v>
      </c>
      <c r="U55" s="31">
        <f t="shared" si="10"/>
        <v>0</v>
      </c>
      <c r="Z55" s="32"/>
      <c r="AA55" s="32"/>
    </row>
    <row r="56" spans="1:27" x14ac:dyDescent="0.35">
      <c r="A56" s="27">
        <v>3.1699999999999964</v>
      </c>
      <c r="B56" s="11"/>
      <c r="C56" s="54"/>
      <c r="D56" s="11"/>
      <c r="E56" s="13" t="s">
        <v>88</v>
      </c>
      <c r="G56" s="31">
        <v>-3292.1299926000002</v>
      </c>
      <c r="H56" s="31"/>
      <c r="I56" s="31">
        <v>70224.200000000012</v>
      </c>
      <c r="J56" s="31"/>
      <c r="K56" s="31">
        <f t="shared" si="7"/>
        <v>11476.971630608125</v>
      </c>
      <c r="M56" s="31">
        <f t="shared" si="11"/>
        <v>-3292.1299926000002</v>
      </c>
      <c r="N56" s="31"/>
      <c r="O56" s="31">
        <f t="shared" si="8"/>
        <v>70224.200000000012</v>
      </c>
      <c r="P56" s="31"/>
      <c r="Q56" s="31">
        <f t="shared" si="9"/>
        <v>10777.044057782266</v>
      </c>
      <c r="S56" s="2" t="s">
        <v>45</v>
      </c>
      <c r="U56" s="31">
        <f t="shared" si="10"/>
        <v>-699.92757282585808</v>
      </c>
      <c r="Z56" s="4"/>
    </row>
    <row r="57" spans="1:27" x14ac:dyDescent="0.35">
      <c r="A57" s="27">
        <v>3.1799999999999962</v>
      </c>
      <c r="B57" s="11"/>
      <c r="C57" s="54"/>
      <c r="D57" s="11"/>
      <c r="E57" t="s">
        <v>89</v>
      </c>
      <c r="G57" s="31">
        <v>-3616.4619999999995</v>
      </c>
      <c r="H57" s="31"/>
      <c r="I57" s="31">
        <v>0</v>
      </c>
      <c r="J57" s="31"/>
      <c r="K57" s="31">
        <f t="shared" si="7"/>
        <v>4806.0573038486064</v>
      </c>
      <c r="M57" s="31">
        <f t="shared" si="11"/>
        <v>-3616.4619999999995</v>
      </c>
      <c r="N57" s="31"/>
      <c r="O57" s="31">
        <f t="shared" si="8"/>
        <v>0</v>
      </c>
      <c r="P57" s="31"/>
      <c r="Q57" s="31">
        <f t="shared" si="9"/>
        <v>4806.0573038486064</v>
      </c>
      <c r="S57" s="2" t="s">
        <v>29</v>
      </c>
      <c r="U57" s="31">
        <f t="shared" si="10"/>
        <v>0</v>
      </c>
      <c r="Z57" s="4"/>
    </row>
    <row r="58" spans="1:27" x14ac:dyDescent="0.35">
      <c r="A58" s="27">
        <v>3.1899999999999959</v>
      </c>
      <c r="B58" s="11"/>
      <c r="C58" s="54"/>
      <c r="D58" s="11"/>
      <c r="E58" t="s">
        <v>90</v>
      </c>
      <c r="G58" s="31">
        <v>-444.77</v>
      </c>
      <c r="H58" s="31"/>
      <c r="I58" s="31">
        <v>0</v>
      </c>
      <c r="J58" s="31"/>
      <c r="K58" s="31">
        <f t="shared" si="7"/>
        <v>591.07218796512859</v>
      </c>
      <c r="M58" s="31">
        <f t="shared" si="11"/>
        <v>-444.77</v>
      </c>
      <c r="N58" s="31"/>
      <c r="O58" s="31">
        <f t="shared" si="8"/>
        <v>0</v>
      </c>
      <c r="P58" s="31"/>
      <c r="Q58" s="31">
        <f t="shared" si="9"/>
        <v>591.07218796512859</v>
      </c>
      <c r="S58" s="2" t="s">
        <v>29</v>
      </c>
      <c r="U58" s="31">
        <f t="shared" si="10"/>
        <v>0</v>
      </c>
      <c r="Z58" s="31"/>
      <c r="AA58" s="31"/>
    </row>
    <row r="59" spans="1:27" x14ac:dyDescent="0.35">
      <c r="A59" s="27">
        <v>3.1999999999999957</v>
      </c>
      <c r="C59" s="54" t="s">
        <v>578</v>
      </c>
      <c r="E59" t="s">
        <v>506</v>
      </c>
      <c r="G59" s="31">
        <v>-374.38099999999997</v>
      </c>
      <c r="H59" s="31"/>
      <c r="I59" s="31">
        <v>0</v>
      </c>
      <c r="J59" s="31"/>
      <c r="K59" s="31">
        <f t="shared" si="7"/>
        <v>497.52950244524766</v>
      </c>
      <c r="M59" s="31">
        <f>-'10.6 BoD Comp.'!K23*0.79/1000</f>
        <v>241.88300099528502</v>
      </c>
      <c r="N59" s="31"/>
      <c r="O59" s="31">
        <f t="shared" si="8"/>
        <v>0</v>
      </c>
      <c r="P59" s="31"/>
      <c r="Q59" s="31">
        <f t="shared" si="9"/>
        <v>-321.44774744217125</v>
      </c>
      <c r="S59" s="2" t="s">
        <v>29</v>
      </c>
      <c r="U59" s="31">
        <f t="shared" si="10"/>
        <v>-818.97724988741891</v>
      </c>
      <c r="V59" s="4"/>
    </row>
    <row r="60" spans="1:27" x14ac:dyDescent="0.35">
      <c r="A60" s="27">
        <v>3.2099999999999955</v>
      </c>
      <c r="C60" s="54"/>
      <c r="E60" t="s">
        <v>91</v>
      </c>
      <c r="G60" s="31">
        <v>-104.28</v>
      </c>
      <c r="H60" s="31"/>
      <c r="I60" s="31">
        <v>0</v>
      </c>
      <c r="J60" s="31"/>
      <c r="K60" s="31">
        <f t="shared" si="7"/>
        <v>138.58175632574952</v>
      </c>
      <c r="M60" s="31">
        <f t="shared" si="11"/>
        <v>-104.28</v>
      </c>
      <c r="N60" s="31"/>
      <c r="O60" s="31">
        <f t="shared" si="8"/>
        <v>0</v>
      </c>
      <c r="P60" s="31"/>
      <c r="Q60" s="31">
        <f t="shared" si="9"/>
        <v>138.58175632574952</v>
      </c>
      <c r="S60" s="2" t="s">
        <v>29</v>
      </c>
      <c r="U60" s="31">
        <f t="shared" si="10"/>
        <v>0</v>
      </c>
    </row>
    <row r="61" spans="1:27" x14ac:dyDescent="0.35">
      <c r="A61" s="27">
        <v>3.2199999999999953</v>
      </c>
      <c r="C61" s="54"/>
      <c r="E61" t="s">
        <v>92</v>
      </c>
      <c r="G61" s="31">
        <v>263.86</v>
      </c>
      <c r="H61" s="31"/>
      <c r="I61" s="31">
        <v>0</v>
      </c>
      <c r="J61" s="31"/>
      <c r="K61" s="31">
        <f t="shared" si="7"/>
        <v>-350.65383797576015</v>
      </c>
      <c r="M61" s="31">
        <f t="shared" si="11"/>
        <v>263.86</v>
      </c>
      <c r="N61" s="31"/>
      <c r="O61" s="31">
        <f t="shared" si="8"/>
        <v>0</v>
      </c>
      <c r="P61" s="31"/>
      <c r="Q61" s="31">
        <f t="shared" si="9"/>
        <v>-350.65383797576015</v>
      </c>
      <c r="S61" s="2" t="s">
        <v>29</v>
      </c>
      <c r="U61" s="31">
        <f t="shared" si="10"/>
        <v>0</v>
      </c>
    </row>
    <row r="62" spans="1:27" x14ac:dyDescent="0.35">
      <c r="A62" s="27">
        <v>3.2299999999999951</v>
      </c>
      <c r="C62" s="54"/>
      <c r="E62" t="s">
        <v>93</v>
      </c>
      <c r="G62" s="31">
        <v>-1705.6100000000001</v>
      </c>
      <c r="H62" s="31"/>
      <c r="I62" s="31">
        <v>0</v>
      </c>
      <c r="J62" s="31"/>
      <c r="K62" s="31">
        <f t="shared" si="7"/>
        <v>2266.6516053582818</v>
      </c>
      <c r="M62" s="31">
        <f t="shared" si="11"/>
        <v>-1705.6100000000001</v>
      </c>
      <c r="N62" s="31"/>
      <c r="O62" s="31">
        <f t="shared" si="8"/>
        <v>0</v>
      </c>
      <c r="P62" s="31"/>
      <c r="Q62" s="31">
        <f t="shared" si="9"/>
        <v>2266.6516053582818</v>
      </c>
      <c r="S62" s="2" t="s">
        <v>29</v>
      </c>
      <c r="U62" s="31">
        <f t="shared" si="10"/>
        <v>0</v>
      </c>
    </row>
    <row r="63" spans="1:27" x14ac:dyDescent="0.35">
      <c r="A63" s="27">
        <v>3.2399999999999949</v>
      </c>
      <c r="C63" s="54"/>
      <c r="E63" t="s">
        <v>94</v>
      </c>
      <c r="G63" s="31">
        <v>-3204.24</v>
      </c>
      <c r="H63" s="31"/>
      <c r="I63" s="31">
        <v>0</v>
      </c>
      <c r="J63" s="31"/>
      <c r="K63" s="31">
        <f t="shared" si="7"/>
        <v>4258.2394216457578</v>
      </c>
      <c r="M63" s="31">
        <f>+G63</f>
        <v>-3204.24</v>
      </c>
      <c r="N63" s="31"/>
      <c r="O63" s="31">
        <f t="shared" si="8"/>
        <v>0</v>
      </c>
      <c r="P63" s="31"/>
      <c r="Q63" s="31">
        <f t="shared" si="9"/>
        <v>4258.2394216457578</v>
      </c>
      <c r="S63" s="2" t="s">
        <v>29</v>
      </c>
      <c r="U63" s="31">
        <f>+Q63-K63</f>
        <v>0</v>
      </c>
      <c r="X63" s="4"/>
    </row>
    <row r="64" spans="1:27" x14ac:dyDescent="0.35">
      <c r="A64" s="27">
        <v>4.01</v>
      </c>
      <c r="C64" s="54"/>
      <c r="E64" t="s">
        <v>95</v>
      </c>
      <c r="G64" s="31">
        <v>-4014.7885836657433</v>
      </c>
      <c r="H64" s="31"/>
      <c r="I64" s="31">
        <v>25760.870174959498</v>
      </c>
      <c r="J64" s="31"/>
      <c r="K64" s="31">
        <f t="shared" si="7"/>
        <v>7940.6639432013617</v>
      </c>
      <c r="M64" s="31">
        <f t="shared" si="11"/>
        <v>-4014.7885836657433</v>
      </c>
      <c r="N64" s="31"/>
      <c r="O64" s="31">
        <f t="shared" si="8"/>
        <v>25760.870174959498</v>
      </c>
      <c r="P64" s="31"/>
      <c r="Q64" s="31">
        <f t="shared" si="9"/>
        <v>7683.9042601371002</v>
      </c>
      <c r="S64" s="2" t="s">
        <v>45</v>
      </c>
      <c r="U64" s="31">
        <f t="shared" si="10"/>
        <v>-256.75968306426148</v>
      </c>
    </row>
    <row r="65" spans="1:25" x14ac:dyDescent="0.35">
      <c r="A65" s="27">
        <v>4.0199999999999996</v>
      </c>
      <c r="C65" s="54"/>
      <c r="E65" t="s">
        <v>96</v>
      </c>
      <c r="G65" s="32">
        <v>5766.0599000000002</v>
      </c>
      <c r="H65" s="32"/>
      <c r="I65" s="32">
        <v>0</v>
      </c>
      <c r="J65" s="32"/>
      <c r="K65" s="32">
        <f t="shared" si="7"/>
        <v>-7662.7417339995745</v>
      </c>
      <c r="M65" s="32">
        <f t="shared" si="11"/>
        <v>5766.0599000000002</v>
      </c>
      <c r="N65" s="32"/>
      <c r="O65" s="32">
        <f t="shared" si="8"/>
        <v>0</v>
      </c>
      <c r="P65" s="32"/>
      <c r="Q65" s="32">
        <f t="shared" si="9"/>
        <v>-7662.7417339995745</v>
      </c>
      <c r="S65" s="2" t="s">
        <v>29</v>
      </c>
      <c r="U65" s="32">
        <f t="shared" si="10"/>
        <v>0</v>
      </c>
    </row>
    <row r="66" spans="1:25" x14ac:dyDescent="0.35">
      <c r="A66" s="27"/>
      <c r="C66" s="54" t="s">
        <v>577</v>
      </c>
      <c r="E66" t="s">
        <v>485</v>
      </c>
      <c r="G66" s="32"/>
      <c r="H66" s="31"/>
      <c r="I66" s="32"/>
      <c r="J66" s="31"/>
      <c r="K66" s="32"/>
      <c r="M66" s="32">
        <f>-'10.7 Investor Relations '!G15*0.79/1000</f>
        <v>151.18783000000002</v>
      </c>
      <c r="N66" s="31"/>
      <c r="O66" s="32">
        <f t="shared" ref="O66:O67" si="12">I66</f>
        <v>0</v>
      </c>
      <c r="P66" s="31"/>
      <c r="Q66" s="32">
        <f t="shared" ref="Q66:Q67" si="13">+((O66*$Q$11)-M66)/0.75248</f>
        <v>-200.91939985115886</v>
      </c>
      <c r="S66" s="2" t="s">
        <v>45</v>
      </c>
      <c r="U66" s="32">
        <f>+Q66-K66</f>
        <v>-200.91939985115886</v>
      </c>
    </row>
    <row r="67" spans="1:25" x14ac:dyDescent="0.35">
      <c r="A67" s="27"/>
      <c r="C67" s="54" t="s">
        <v>576</v>
      </c>
      <c r="E67" t="s">
        <v>489</v>
      </c>
      <c r="G67" s="32"/>
      <c r="H67" s="31"/>
      <c r="I67" s="32"/>
      <c r="J67" s="31"/>
      <c r="K67" s="32"/>
      <c r="M67" s="32">
        <f>-'10.8 Industry Dues'!G13*0.79/1000</f>
        <v>189.76115999999999</v>
      </c>
      <c r="N67" s="31"/>
      <c r="O67" s="32">
        <f t="shared" si="12"/>
        <v>0</v>
      </c>
      <c r="P67" s="31"/>
      <c r="Q67" s="32">
        <f t="shared" si="13"/>
        <v>-252.18100148841162</v>
      </c>
      <c r="S67" s="2" t="s">
        <v>45</v>
      </c>
      <c r="U67" s="32">
        <f t="shared" si="10"/>
        <v>-252.18100148841162</v>
      </c>
      <c r="Y67" s="4"/>
    </row>
    <row r="68" spans="1:25" x14ac:dyDescent="0.35">
      <c r="A68" s="27"/>
      <c r="C68" s="54" t="s">
        <v>575</v>
      </c>
      <c r="E68" t="s">
        <v>559</v>
      </c>
      <c r="G68" s="33"/>
      <c r="H68" s="31"/>
      <c r="I68" s="33"/>
      <c r="J68" s="31"/>
      <c r="K68" s="33"/>
      <c r="M68" s="33">
        <f>+'10.12 Rent for Electric Prop'!G11</f>
        <v>2100.393</v>
      </c>
      <c r="N68" s="31"/>
      <c r="O68" s="33">
        <f t="shared" ref="O68" si="14">I68</f>
        <v>0</v>
      </c>
      <c r="P68" s="31"/>
      <c r="Q68" s="33">
        <f t="shared" ref="Q68" si="15">+((O68*$Q$11)-M68)/0.75248</f>
        <v>-2791.2941207739741</v>
      </c>
      <c r="S68" s="2" t="s">
        <v>45</v>
      </c>
      <c r="U68" s="77">
        <f t="shared" ref="U68" si="16">+Q68-K68</f>
        <v>-2791.2941207739741</v>
      </c>
      <c r="Y68" s="4"/>
    </row>
    <row r="69" spans="1:25" x14ac:dyDescent="0.35">
      <c r="A69" s="27"/>
      <c r="C69" s="54"/>
      <c r="E69" t="s">
        <v>97</v>
      </c>
      <c r="G69" s="31">
        <f>SUM(G36:G68)</f>
        <v>117785.79962002143</v>
      </c>
      <c r="H69" s="31"/>
      <c r="I69" s="31">
        <f>SUM(I36:I68)</f>
        <v>2309816.7807339807</v>
      </c>
      <c r="J69" s="31"/>
      <c r="K69" s="31">
        <f>SUM(K36:K68)</f>
        <v>77066.84216701382</v>
      </c>
      <c r="M69" s="31">
        <f>SUM(M36:M68)</f>
        <v>159721.65115724862</v>
      </c>
      <c r="N69" s="31"/>
      <c r="O69" s="31">
        <f>SUM(O36:O68)</f>
        <v>2309816.7807339807</v>
      </c>
      <c r="P69" s="31"/>
      <c r="Q69" s="31">
        <f>SUM(Q36:Q68)</f>
        <v>-1685.3869855644243</v>
      </c>
      <c r="U69" s="31">
        <f>SUM(U36:U68)</f>
        <v>-78752.229152578264</v>
      </c>
      <c r="V69" s="4"/>
      <c r="X69" s="4"/>
    </row>
    <row r="70" spans="1:25" x14ac:dyDescent="0.35">
      <c r="A70" s="49" t="s">
        <v>67</v>
      </c>
      <c r="C70" s="54"/>
      <c r="Q70" s="4"/>
      <c r="U70" s="31"/>
      <c r="V70" s="4"/>
    </row>
    <row r="71" spans="1:25" x14ac:dyDescent="0.35">
      <c r="A71" s="27" t="s">
        <v>106</v>
      </c>
      <c r="C71" s="54"/>
      <c r="E71" t="s">
        <v>98</v>
      </c>
      <c r="G71" s="6">
        <v>-44781.35</v>
      </c>
      <c r="H71" s="6"/>
      <c r="I71" s="6">
        <v>0</v>
      </c>
      <c r="J71" s="6"/>
      <c r="K71" s="31">
        <f t="shared" ref="K71:K83" si="17">+((I71*$K$11)-G71)/0.75248</f>
        <v>59511.681373591317</v>
      </c>
      <c r="L71" s="6"/>
      <c r="M71" s="6">
        <f t="shared" ref="M71:M83" si="18">G71</f>
        <v>-44781.35</v>
      </c>
      <c r="N71" s="6"/>
      <c r="O71" s="6">
        <f t="shared" ref="O71:O83" si="19">I71</f>
        <v>0</v>
      </c>
      <c r="P71" s="6"/>
      <c r="Q71" s="6">
        <f t="shared" ref="Q71:Q83" si="20">+((O71*$Q$11)-M71)/0.75248</f>
        <v>59511.681373591317</v>
      </c>
      <c r="R71" s="6"/>
      <c r="S71" s="2" t="s">
        <v>29</v>
      </c>
      <c r="T71" s="6"/>
      <c r="U71" s="31">
        <f t="shared" ref="U71:U83" si="21">+Q71-K71</f>
        <v>0</v>
      </c>
    </row>
    <row r="72" spans="1:25" x14ac:dyDescent="0.35">
      <c r="A72" s="27">
        <v>5.01</v>
      </c>
      <c r="C72" s="54"/>
      <c r="E72" t="s">
        <v>80</v>
      </c>
      <c r="G72" s="31">
        <v>231.712176</v>
      </c>
      <c r="H72" s="31"/>
      <c r="I72" s="31">
        <v>-2992</v>
      </c>
      <c r="J72" s="31"/>
      <c r="K72" s="31">
        <f t="shared" si="17"/>
        <v>-610.5190516691473</v>
      </c>
      <c r="L72" s="31"/>
      <c r="M72" s="31">
        <f t="shared" si="18"/>
        <v>231.712176</v>
      </c>
      <c r="N72" s="31"/>
      <c r="O72" s="31">
        <f t="shared" si="19"/>
        <v>-2992</v>
      </c>
      <c r="P72" s="31"/>
      <c r="Q72" s="31">
        <f t="shared" si="20"/>
        <v>-580.69766106740371</v>
      </c>
      <c r="R72" s="31"/>
      <c r="S72" s="2" t="s">
        <v>45</v>
      </c>
      <c r="T72" s="31"/>
      <c r="U72" s="31">
        <f t="shared" si="21"/>
        <v>29.821390601743587</v>
      </c>
    </row>
    <row r="73" spans="1:25" x14ac:dyDescent="0.35">
      <c r="A73" s="28">
        <v>5.0199999999999996</v>
      </c>
      <c r="C73" s="54"/>
      <c r="E73" t="s">
        <v>44</v>
      </c>
      <c r="G73" s="31">
        <v>-2087.1800000000003</v>
      </c>
      <c r="H73" s="31"/>
      <c r="I73" s="31">
        <v>0</v>
      </c>
      <c r="J73" s="31"/>
      <c r="K73" s="31">
        <f t="shared" si="17"/>
        <v>2773.7348500956837</v>
      </c>
      <c r="L73" s="31"/>
      <c r="M73" s="31">
        <f>+G73</f>
        <v>-2087.1800000000003</v>
      </c>
      <c r="N73" s="31"/>
      <c r="O73" s="31">
        <f t="shared" si="19"/>
        <v>0</v>
      </c>
      <c r="P73" s="31"/>
      <c r="Q73" s="31">
        <f t="shared" si="20"/>
        <v>2773.7348500956837</v>
      </c>
      <c r="R73" s="31"/>
      <c r="S73" s="2" t="s">
        <v>29</v>
      </c>
      <c r="T73" s="31"/>
      <c r="U73" s="31">
        <f t="shared" si="21"/>
        <v>0</v>
      </c>
    </row>
    <row r="74" spans="1:25" x14ac:dyDescent="0.35">
      <c r="A74" s="28">
        <v>5.0299999999999994</v>
      </c>
      <c r="C74" s="54"/>
      <c r="E74" t="s">
        <v>47</v>
      </c>
      <c r="G74" s="31">
        <v>-366.32299999999998</v>
      </c>
      <c r="H74" s="31"/>
      <c r="I74" s="31">
        <v>0</v>
      </c>
      <c r="J74" s="31"/>
      <c r="K74" s="31">
        <f t="shared" si="17"/>
        <v>486.82091218371249</v>
      </c>
      <c r="L74" s="31"/>
      <c r="M74" s="31">
        <f>G74-'10.11 Benefits'!G13*0.79</f>
        <v>-126.78788999999998</v>
      </c>
      <c r="N74" s="31"/>
      <c r="O74" s="31">
        <f t="shared" si="19"/>
        <v>0</v>
      </c>
      <c r="P74" s="31"/>
      <c r="Q74" s="31">
        <f t="shared" si="20"/>
        <v>168.4933685945141</v>
      </c>
      <c r="R74" s="31"/>
      <c r="S74" s="2" t="s">
        <v>554</v>
      </c>
      <c r="T74" s="76"/>
      <c r="U74" s="76">
        <f t="shared" si="21"/>
        <v>-318.3275435891984</v>
      </c>
    </row>
    <row r="75" spans="1:25" x14ac:dyDescent="0.35">
      <c r="A75" s="28">
        <v>5.0399999999999991</v>
      </c>
      <c r="C75" s="54"/>
      <c r="E75" t="s">
        <v>49</v>
      </c>
      <c r="G75" s="31">
        <v>-590.13</v>
      </c>
      <c r="H75" s="31"/>
      <c r="I75" s="31">
        <v>0</v>
      </c>
      <c r="J75" s="31"/>
      <c r="K75" s="31">
        <f t="shared" si="17"/>
        <v>784.24675738890062</v>
      </c>
      <c r="L75" s="31"/>
      <c r="M75" s="31">
        <f t="shared" si="18"/>
        <v>-590.13</v>
      </c>
      <c r="N75" s="31"/>
      <c r="O75" s="31">
        <f t="shared" si="19"/>
        <v>0</v>
      </c>
      <c r="P75" s="31"/>
      <c r="Q75" s="31">
        <f t="shared" si="20"/>
        <v>784.24675738890062</v>
      </c>
      <c r="R75" s="31"/>
      <c r="S75" s="2" t="s">
        <v>29</v>
      </c>
      <c r="T75" s="31"/>
      <c r="U75" s="31">
        <f t="shared" si="21"/>
        <v>0</v>
      </c>
    </row>
    <row r="76" spans="1:25" x14ac:dyDescent="0.35">
      <c r="A76" s="28">
        <v>5.0499999999999989</v>
      </c>
      <c r="C76" s="54"/>
      <c r="E76" t="s">
        <v>90</v>
      </c>
      <c r="G76" s="31">
        <v>163.53</v>
      </c>
      <c r="H76" s="31"/>
      <c r="I76" s="31">
        <v>0</v>
      </c>
      <c r="J76" s="31"/>
      <c r="K76" s="31">
        <f t="shared" si="17"/>
        <v>-217.32139060174356</v>
      </c>
      <c r="L76" s="31"/>
      <c r="M76" s="31">
        <f t="shared" si="18"/>
        <v>163.53</v>
      </c>
      <c r="N76" s="31"/>
      <c r="O76" s="31">
        <f t="shared" si="19"/>
        <v>0</v>
      </c>
      <c r="P76" s="31"/>
      <c r="Q76" s="31">
        <f t="shared" si="20"/>
        <v>-217.32139060174356</v>
      </c>
      <c r="R76" s="31"/>
      <c r="S76" s="2" t="s">
        <v>29</v>
      </c>
      <c r="T76" s="31"/>
      <c r="U76" s="31">
        <f t="shared" si="21"/>
        <v>0</v>
      </c>
    </row>
    <row r="77" spans="1:25" x14ac:dyDescent="0.35">
      <c r="A77" s="27">
        <v>5.0599999999999987</v>
      </c>
      <c r="C77" s="54" t="s">
        <v>574</v>
      </c>
      <c r="E77" t="s">
        <v>85</v>
      </c>
      <c r="G77" s="31">
        <v>-2804.8002000000001</v>
      </c>
      <c r="H77" s="31"/>
      <c r="I77" s="31">
        <v>0</v>
      </c>
      <c r="J77" s="31"/>
      <c r="K77" s="31">
        <f t="shared" si="17"/>
        <v>3727.4083032107164</v>
      </c>
      <c r="L77" s="31"/>
      <c r="M77" s="31">
        <f>-'10.4 Misc O&amp;M Escalation'!Y171*0.79/1000</f>
        <v>-1112.1612205800579</v>
      </c>
      <c r="N77" s="31"/>
      <c r="O77" s="31">
        <f t="shared" si="19"/>
        <v>0</v>
      </c>
      <c r="P77" s="31"/>
      <c r="Q77" s="31">
        <f t="shared" si="20"/>
        <v>1477.9943926483866</v>
      </c>
      <c r="R77" s="31"/>
      <c r="S77" s="2" t="s">
        <v>45</v>
      </c>
      <c r="T77" s="31"/>
      <c r="U77" s="31">
        <f t="shared" si="21"/>
        <v>-2249.4139105623299</v>
      </c>
    </row>
    <row r="78" spans="1:25" x14ac:dyDescent="0.35">
      <c r="A78" s="27">
        <v>5.0699999999999985</v>
      </c>
      <c r="C78" s="54"/>
      <c r="E78" t="s">
        <v>99</v>
      </c>
      <c r="G78" s="31">
        <v>-2479.0547683</v>
      </c>
      <c r="H78" s="31"/>
      <c r="I78" s="31">
        <v>93236.1</v>
      </c>
      <c r="J78" s="31"/>
      <c r="K78" s="31">
        <f t="shared" si="17"/>
        <v>12723.689637332554</v>
      </c>
      <c r="L78" s="31"/>
      <c r="M78" s="31">
        <f t="shared" si="18"/>
        <v>-2479.0547683</v>
      </c>
      <c r="N78" s="31"/>
      <c r="O78" s="31">
        <f t="shared" si="19"/>
        <v>93236.1</v>
      </c>
      <c r="P78" s="31"/>
      <c r="Q78" s="31">
        <f t="shared" si="20"/>
        <v>11794.401483494577</v>
      </c>
      <c r="R78" s="31"/>
      <c r="S78" s="2" t="s">
        <v>45</v>
      </c>
      <c r="T78" s="31"/>
      <c r="U78" s="31">
        <f t="shared" si="21"/>
        <v>-929.28815383797701</v>
      </c>
    </row>
    <row r="79" spans="1:25" x14ac:dyDescent="0.35">
      <c r="A79" s="27">
        <v>5.0799999999999983</v>
      </c>
      <c r="C79" s="54"/>
      <c r="E79" t="s">
        <v>100</v>
      </c>
      <c r="G79" s="31">
        <v>3037.0230700000002</v>
      </c>
      <c r="H79" s="31"/>
      <c r="I79" s="31">
        <v>0</v>
      </c>
      <c r="J79" s="31"/>
      <c r="K79" s="31">
        <f t="shared" si="17"/>
        <v>-4036.0183260684671</v>
      </c>
      <c r="L79" s="31"/>
      <c r="M79" s="31">
        <f t="shared" si="18"/>
        <v>3037.0230700000002</v>
      </c>
      <c r="N79" s="31"/>
      <c r="O79" s="31">
        <f t="shared" si="19"/>
        <v>0</v>
      </c>
      <c r="P79" s="31"/>
      <c r="Q79" s="31">
        <f t="shared" si="20"/>
        <v>-4036.0183260684671</v>
      </c>
      <c r="R79" s="31"/>
      <c r="S79" s="2" t="s">
        <v>29</v>
      </c>
      <c r="T79" s="31"/>
      <c r="U79" s="31">
        <f t="shared" si="21"/>
        <v>0</v>
      </c>
    </row>
    <row r="80" spans="1:25" x14ac:dyDescent="0.35">
      <c r="A80" s="27">
        <v>5.0899999999999981</v>
      </c>
      <c r="C80" s="54"/>
      <c r="E80" t="s">
        <v>101</v>
      </c>
      <c r="G80" s="31">
        <v>-767</v>
      </c>
      <c r="H80" s="31"/>
      <c r="I80" s="31">
        <v>0</v>
      </c>
      <c r="J80" s="31"/>
      <c r="K80" s="31">
        <f t="shared" si="17"/>
        <v>1019.2961939187752</v>
      </c>
      <c r="L80" s="31"/>
      <c r="M80" s="31">
        <f t="shared" si="18"/>
        <v>-767</v>
      </c>
      <c r="N80" s="31"/>
      <c r="O80" s="31">
        <f t="shared" si="19"/>
        <v>0</v>
      </c>
      <c r="P80" s="31"/>
      <c r="Q80" s="31">
        <f t="shared" si="20"/>
        <v>1019.2961939187752</v>
      </c>
      <c r="R80" s="31"/>
      <c r="S80" s="2" t="s">
        <v>29</v>
      </c>
      <c r="T80" s="31"/>
      <c r="U80" s="31">
        <f t="shared" si="21"/>
        <v>0</v>
      </c>
    </row>
    <row r="81" spans="1:21" x14ac:dyDescent="0.35">
      <c r="A81" s="27">
        <v>5.0999999999999979</v>
      </c>
      <c r="C81" s="54"/>
      <c r="E81" t="s">
        <v>91</v>
      </c>
      <c r="G81" s="31">
        <v>-28.44</v>
      </c>
      <c r="H81" s="31"/>
      <c r="I81" s="31">
        <v>0</v>
      </c>
      <c r="J81" s="31"/>
      <c r="K81" s="31">
        <f t="shared" si="17"/>
        <v>37.795024452477143</v>
      </c>
      <c r="L81" s="31"/>
      <c r="M81" s="31">
        <f t="shared" si="18"/>
        <v>-28.44</v>
      </c>
      <c r="N81" s="31"/>
      <c r="O81" s="31">
        <f t="shared" si="19"/>
        <v>0</v>
      </c>
      <c r="P81" s="31"/>
      <c r="Q81" s="31">
        <f t="shared" si="20"/>
        <v>37.795024452477143</v>
      </c>
      <c r="R81" s="31"/>
      <c r="S81" s="2" t="s">
        <v>29</v>
      </c>
      <c r="T81" s="31"/>
      <c r="U81" s="31">
        <f t="shared" si="21"/>
        <v>0</v>
      </c>
    </row>
    <row r="82" spans="1:21" x14ac:dyDescent="0.35">
      <c r="A82" s="27">
        <v>5.1099999999999977</v>
      </c>
      <c r="C82" s="54"/>
      <c r="E82" t="s">
        <v>102</v>
      </c>
      <c r="G82" s="31">
        <v>-1312.19</v>
      </c>
      <c r="H82" s="31"/>
      <c r="I82" s="31">
        <v>0</v>
      </c>
      <c r="J82" s="31"/>
      <c r="K82" s="31">
        <f t="shared" si="17"/>
        <v>1743.8204337656814</v>
      </c>
      <c r="L82" s="31"/>
      <c r="M82" s="31">
        <f t="shared" si="18"/>
        <v>-1312.19</v>
      </c>
      <c r="N82" s="31"/>
      <c r="O82" s="31">
        <f t="shared" si="19"/>
        <v>0</v>
      </c>
      <c r="P82" s="31"/>
      <c r="Q82" s="31">
        <f t="shared" si="20"/>
        <v>1743.8204337656814</v>
      </c>
      <c r="R82" s="31"/>
      <c r="S82" s="2" t="s">
        <v>29</v>
      </c>
      <c r="T82" s="31"/>
      <c r="U82" s="31">
        <f t="shared" si="21"/>
        <v>0</v>
      </c>
    </row>
    <row r="83" spans="1:21" x14ac:dyDescent="0.35">
      <c r="A83" s="27">
        <v>5.1199999999999974</v>
      </c>
      <c r="C83" s="54"/>
      <c r="E83" t="s">
        <v>93</v>
      </c>
      <c r="G83" s="31">
        <v>-139.04</v>
      </c>
      <c r="H83" s="31"/>
      <c r="I83" s="31">
        <v>0</v>
      </c>
      <c r="J83" s="31"/>
      <c r="K83" s="31">
        <f t="shared" si="17"/>
        <v>184.77567510099934</v>
      </c>
      <c r="L83" s="31"/>
      <c r="M83" s="31">
        <f t="shared" si="18"/>
        <v>-139.04</v>
      </c>
      <c r="N83" s="31"/>
      <c r="O83" s="31">
        <f t="shared" si="19"/>
        <v>0</v>
      </c>
      <c r="P83" s="31"/>
      <c r="Q83" s="31">
        <f t="shared" si="20"/>
        <v>184.77567510099934</v>
      </c>
      <c r="R83" s="31"/>
      <c r="S83" s="2" t="s">
        <v>29</v>
      </c>
      <c r="T83" s="31"/>
      <c r="U83" s="31">
        <f t="shared" si="21"/>
        <v>0</v>
      </c>
    </row>
    <row r="84" spans="1:21" x14ac:dyDescent="0.35">
      <c r="A84" s="27"/>
      <c r="C84" s="54" t="s">
        <v>573</v>
      </c>
      <c r="E84" t="s">
        <v>559</v>
      </c>
      <c r="G84" s="33"/>
      <c r="H84" s="31"/>
      <c r="I84" s="33"/>
      <c r="J84" s="31"/>
      <c r="K84" s="33"/>
      <c r="M84" s="33">
        <f>+'10.12 Rent for Electric Prop'!G13</f>
        <v>272.58999999999997</v>
      </c>
      <c r="N84" s="31"/>
      <c r="O84" s="33">
        <f t="shared" ref="O84" si="22">I84</f>
        <v>0</v>
      </c>
      <c r="P84" s="31"/>
      <c r="Q84" s="33">
        <f t="shared" ref="Q84" si="23">+((O84*$Q$11)-M84)/0.75248</f>
        <v>-362.25547522857744</v>
      </c>
      <c r="R84" s="31"/>
      <c r="S84" s="2" t="s">
        <v>560</v>
      </c>
      <c r="T84" s="76"/>
      <c r="U84" s="77">
        <f t="shared" ref="U84" si="24">+Q84-K84</f>
        <v>-362.25547522857744</v>
      </c>
    </row>
    <row r="85" spans="1:21" x14ac:dyDescent="0.35">
      <c r="A85" s="27"/>
      <c r="C85" s="54"/>
      <c r="E85" t="s">
        <v>103</v>
      </c>
      <c r="G85" s="6">
        <f>SUM(G69:G84)</f>
        <v>65862.556897721428</v>
      </c>
      <c r="H85" s="6"/>
      <c r="I85" s="6">
        <f>SUM(I69:I84)</f>
        <v>2400060.8807339808</v>
      </c>
      <c r="J85" s="6"/>
      <c r="K85" s="34">
        <f>SUM(K69:K84)</f>
        <v>155196.25255971524</v>
      </c>
      <c r="L85" s="6"/>
      <c r="M85" s="6">
        <f>SUM(M69:M84)</f>
        <v>110003.17252436854</v>
      </c>
      <c r="N85" s="6"/>
      <c r="O85" s="6">
        <f>SUM(O69:O84)</f>
        <v>2400060.8807339808</v>
      </c>
      <c r="P85" s="6"/>
      <c r="Q85" s="34">
        <f>SUM(Q69:Q84)</f>
        <v>72614.559714520714</v>
      </c>
      <c r="R85" s="31"/>
      <c r="S85" s="31"/>
      <c r="T85" s="31"/>
      <c r="U85" s="34">
        <f>SUM(U69:U84)</f>
        <v>-82581.692845194601</v>
      </c>
    </row>
    <row r="86" spans="1:21" x14ac:dyDescent="0.35">
      <c r="A86" s="27"/>
      <c r="C86" s="54"/>
      <c r="E86" s="1" t="s">
        <v>104</v>
      </c>
      <c r="K86" s="4">
        <f>+K85-K69</f>
        <v>78129.410392701422</v>
      </c>
      <c r="Q86" s="4">
        <f>+Q85-Q69</f>
        <v>74299.946700085144</v>
      </c>
      <c r="U86" s="4">
        <f>+U85-U69</f>
        <v>-3829.4636926163366</v>
      </c>
    </row>
    <row r="87" spans="1:21" x14ac:dyDescent="0.35">
      <c r="A87" s="27"/>
      <c r="C87" s="54"/>
      <c r="Q87" s="4"/>
    </row>
    <row r="88" spans="1:21" x14ac:dyDescent="0.35">
      <c r="A88" s="27"/>
      <c r="C88" s="54"/>
    </row>
    <row r="89" spans="1:21" x14ac:dyDescent="0.35">
      <c r="A89" s="27"/>
      <c r="C89" s="54"/>
    </row>
    <row r="90" spans="1:21" x14ac:dyDescent="0.35">
      <c r="A90" s="27"/>
      <c r="C90" s="54"/>
      <c r="S90" s="30"/>
    </row>
    <row r="91" spans="1:21" x14ac:dyDescent="0.35">
      <c r="A91" s="27"/>
      <c r="C91" s="54"/>
    </row>
    <row r="92" spans="1:21" x14ac:dyDescent="0.35">
      <c r="A92" s="28"/>
    </row>
    <row r="93" spans="1:21" x14ac:dyDescent="0.35">
      <c r="A93" s="26"/>
    </row>
  </sheetData>
  <printOptions horizontalCentered="1" verticalCentered="1"/>
  <pageMargins left="0.45" right="0.45" top="0.75" bottom="0.5" header="0.05" footer="0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1BD51-56C3-4EAC-A2A1-C695564BC7B6}">
  <sheetPr>
    <tabColor theme="3" tint="0.89999084444715716"/>
    <pageSetUpPr fitToPage="1"/>
  </sheetPr>
  <dimension ref="A1:G18"/>
  <sheetViews>
    <sheetView workbookViewId="0">
      <selection activeCell="C8" sqref="C8"/>
    </sheetView>
  </sheetViews>
  <sheetFormatPr defaultRowHeight="15.5" x14ac:dyDescent="0.35"/>
  <cols>
    <col min="1" max="1" width="5.08203125" customWidth="1"/>
    <col min="2" max="2" width="1.58203125" customWidth="1"/>
    <col min="3" max="3" width="58.83203125" customWidth="1"/>
    <col min="4" max="4" width="1.25" customWidth="1"/>
    <col min="5" max="5" width="9" bestFit="1" customWidth="1"/>
    <col min="6" max="6" width="1.5" customWidth="1"/>
    <col min="7" max="7" width="12.5820312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567</v>
      </c>
    </row>
    <row r="3" spans="1:7" x14ac:dyDescent="0.35">
      <c r="A3" s="52" t="s">
        <v>521</v>
      </c>
      <c r="G3" s="1"/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B8" s="2"/>
      <c r="C8" s="2"/>
      <c r="D8" s="2"/>
      <c r="E8" s="2"/>
      <c r="F8" s="2"/>
      <c r="G8" s="2"/>
    </row>
    <row r="9" spans="1:7" x14ac:dyDescent="0.35">
      <c r="A9" s="3" t="s">
        <v>1</v>
      </c>
      <c r="B9" s="2"/>
      <c r="C9" s="3" t="s">
        <v>2</v>
      </c>
      <c r="D9" s="2"/>
      <c r="E9" s="3" t="s">
        <v>109</v>
      </c>
      <c r="F9" s="2"/>
      <c r="G9" s="3" t="s">
        <v>3</v>
      </c>
    </row>
    <row r="11" spans="1:7" x14ac:dyDescent="0.35">
      <c r="A11" s="2">
        <v>1</v>
      </c>
      <c r="C11" t="s">
        <v>503</v>
      </c>
      <c r="E11" s="2" t="s">
        <v>471</v>
      </c>
      <c r="G11" s="6">
        <v>60</v>
      </c>
    </row>
    <row r="12" spans="1:7" x14ac:dyDescent="0.35">
      <c r="A12" s="2"/>
    </row>
    <row r="13" spans="1:7" x14ac:dyDescent="0.35">
      <c r="A13" s="2">
        <v>2</v>
      </c>
      <c r="C13" t="s">
        <v>504</v>
      </c>
      <c r="G13" s="51">
        <f>-G11</f>
        <v>-60</v>
      </c>
    </row>
    <row r="14" spans="1:7" x14ac:dyDescent="0.35">
      <c r="A14" s="2"/>
    </row>
    <row r="15" spans="1:7" ht="16" thickBot="1" x14ac:dyDescent="0.4">
      <c r="A15" s="2">
        <v>3</v>
      </c>
      <c r="C15" t="s">
        <v>505</v>
      </c>
      <c r="G15" s="44">
        <f>+G11+G13</f>
        <v>0</v>
      </c>
    </row>
    <row r="16" spans="1:7" ht="16" thickTop="1" x14ac:dyDescent="0.35"/>
    <row r="18" spans="1:3" ht="31" x14ac:dyDescent="0.35">
      <c r="A18" s="72" t="s">
        <v>471</v>
      </c>
      <c r="B18" s="72"/>
      <c r="C18" s="73" t="s">
        <v>542</v>
      </c>
    </row>
  </sheetData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33AC-23AB-437A-AC3A-89154264537D}">
  <sheetPr>
    <tabColor theme="3" tint="0.89999084444715716"/>
    <pageSetUpPr fitToPage="1"/>
  </sheetPr>
  <dimension ref="A1:AK180"/>
  <sheetViews>
    <sheetView workbookViewId="0">
      <selection activeCell="J26" sqref="J26"/>
    </sheetView>
  </sheetViews>
  <sheetFormatPr defaultRowHeight="15.5" x14ac:dyDescent="0.35"/>
  <cols>
    <col min="1" max="1" width="5.08203125" customWidth="1"/>
    <col min="2" max="2" width="1.58203125" customWidth="1"/>
    <col min="3" max="3" width="58.58203125" customWidth="1"/>
    <col min="4" max="4" width="1.25" customWidth="1"/>
    <col min="5" max="5" width="10.83203125" customWidth="1"/>
    <col min="6" max="6" width="1.5" customWidth="1"/>
    <col min="7" max="7" width="11.33203125" customWidth="1"/>
    <col min="8" max="8" width="4" customWidth="1"/>
    <col min="9" max="9" width="11.08203125" bestFit="1" customWidth="1"/>
    <col min="12" max="12" width="4.75" customWidth="1"/>
    <col min="14" max="14" width="9.08203125" customWidth="1"/>
    <col min="15" max="15" width="7.83203125" customWidth="1"/>
    <col min="16" max="16" width="37.08203125" customWidth="1"/>
    <col min="17" max="17" width="13.5" customWidth="1"/>
    <col min="18" max="18" width="12.75" customWidth="1"/>
    <col min="19" max="19" width="15.5" customWidth="1"/>
    <col min="20" max="21" width="11.75" customWidth="1"/>
    <col min="22" max="22" width="14.08203125" customWidth="1"/>
    <col min="23" max="23" width="13.08203125" customWidth="1"/>
    <col min="24" max="24" width="13.25" customWidth="1"/>
    <col min="25" max="25" width="12.25" customWidth="1"/>
    <col min="26" max="26" width="15.33203125" bestFit="1" customWidth="1"/>
    <col min="27" max="27" width="9.33203125" bestFit="1" customWidth="1"/>
    <col min="28" max="28" width="11.5" customWidth="1"/>
    <col min="29" max="29" width="9.83203125" customWidth="1"/>
    <col min="30" max="30" width="9.5" customWidth="1"/>
    <col min="31" max="31" width="9.33203125" customWidth="1"/>
    <col min="32" max="32" width="10.33203125" customWidth="1"/>
    <col min="33" max="33" width="13.5" customWidth="1"/>
    <col min="34" max="34" width="9.58203125" customWidth="1"/>
    <col min="35" max="35" width="10.08203125" bestFit="1" customWidth="1"/>
  </cols>
  <sheetData>
    <row r="1" spans="1:33" x14ac:dyDescent="0.35">
      <c r="A1" t="s">
        <v>507</v>
      </c>
      <c r="G1" s="62" t="s">
        <v>562</v>
      </c>
      <c r="H1" s="1"/>
      <c r="I1" s="1"/>
      <c r="J1" s="1"/>
      <c r="K1" s="1"/>
      <c r="M1" s="64" t="s">
        <v>507</v>
      </c>
      <c r="N1" s="35"/>
      <c r="O1" s="35"/>
      <c r="P1" s="35"/>
      <c r="Y1" s="1"/>
    </row>
    <row r="2" spans="1:33" x14ac:dyDescent="0.35">
      <c r="A2" t="s">
        <v>508</v>
      </c>
      <c r="G2" s="62" t="s">
        <v>569</v>
      </c>
      <c r="H2" s="1"/>
      <c r="I2" s="1"/>
      <c r="J2" s="1"/>
      <c r="K2" s="1"/>
      <c r="M2" s="35" t="s">
        <v>508</v>
      </c>
      <c r="N2" s="35"/>
      <c r="O2" s="35"/>
      <c r="P2" s="35"/>
    </row>
    <row r="3" spans="1:33" x14ac:dyDescent="0.35">
      <c r="A3" s="52" t="s">
        <v>513</v>
      </c>
      <c r="G3" s="1"/>
      <c r="H3" s="1"/>
      <c r="I3" s="1"/>
      <c r="J3" s="1"/>
      <c r="K3" s="1"/>
      <c r="M3" s="35" t="s">
        <v>531</v>
      </c>
      <c r="N3" s="35"/>
      <c r="O3" s="35"/>
      <c r="P3" s="35"/>
    </row>
    <row r="4" spans="1:33" x14ac:dyDescent="0.35">
      <c r="A4" t="s">
        <v>510</v>
      </c>
      <c r="G4" s="1"/>
      <c r="H4" s="1"/>
      <c r="I4" s="1"/>
      <c r="J4" s="1"/>
      <c r="K4" s="1"/>
      <c r="M4" s="35" t="s">
        <v>510</v>
      </c>
      <c r="N4" s="35"/>
      <c r="O4" s="35"/>
      <c r="P4" s="35"/>
    </row>
    <row r="5" spans="1:33" x14ac:dyDescent="0.35">
      <c r="M5" s="35" t="s">
        <v>512</v>
      </c>
      <c r="N5" s="35"/>
      <c r="O5" s="35"/>
      <c r="P5" s="35"/>
    </row>
    <row r="6" spans="1:33" x14ac:dyDescent="0.35">
      <c r="M6" s="35"/>
      <c r="N6" s="35"/>
      <c r="O6" s="35"/>
      <c r="P6" s="35"/>
    </row>
    <row r="7" spans="1:33" x14ac:dyDescent="0.35">
      <c r="M7" s="57" t="s">
        <v>536</v>
      </c>
      <c r="N7" s="57"/>
      <c r="O7" s="57"/>
      <c r="P7" s="57"/>
    </row>
    <row r="8" spans="1:33" x14ac:dyDescent="0.35">
      <c r="A8" s="2" t="s">
        <v>0</v>
      </c>
      <c r="C8" s="2"/>
      <c r="D8" s="2"/>
      <c r="E8" s="2"/>
      <c r="F8" s="2"/>
      <c r="G8" s="2"/>
      <c r="H8" s="2"/>
      <c r="I8" s="2"/>
      <c r="J8" s="2"/>
      <c r="K8" s="2"/>
      <c r="M8" t="s">
        <v>460</v>
      </c>
    </row>
    <row r="9" spans="1:33" x14ac:dyDescent="0.35">
      <c r="A9" s="3" t="s">
        <v>1</v>
      </c>
      <c r="C9" s="3" t="s">
        <v>2</v>
      </c>
      <c r="D9" s="2"/>
      <c r="E9" s="3" t="s">
        <v>109</v>
      </c>
      <c r="F9" s="2"/>
      <c r="G9" s="3" t="s">
        <v>3</v>
      </c>
      <c r="H9" s="2"/>
      <c r="I9" s="2"/>
      <c r="J9" s="2"/>
      <c r="K9" s="2"/>
      <c r="V9" t="s">
        <v>111</v>
      </c>
      <c r="AA9" t="s">
        <v>112</v>
      </c>
    </row>
    <row r="10" spans="1:33" x14ac:dyDescent="0.35">
      <c r="U10">
        <v>2018</v>
      </c>
      <c r="V10">
        <v>2019</v>
      </c>
      <c r="W10">
        <v>2020</v>
      </c>
      <c r="X10">
        <v>2021</v>
      </c>
      <c r="Y10">
        <v>2022</v>
      </c>
      <c r="Z10" t="s">
        <v>113</v>
      </c>
      <c r="AA10" t="s">
        <v>114</v>
      </c>
    </row>
    <row r="11" spans="1:33" x14ac:dyDescent="0.35">
      <c r="A11" s="2">
        <v>1</v>
      </c>
      <c r="C11" t="s">
        <v>458</v>
      </c>
      <c r="E11" s="63" t="s">
        <v>571</v>
      </c>
      <c r="G11" s="30">
        <f>+'10.4 Misc O&amp;M Escalation'!W171</f>
        <v>3519497.5334811937</v>
      </c>
      <c r="H11" s="30"/>
      <c r="I11" s="30"/>
      <c r="J11" s="30"/>
      <c r="K11" s="30"/>
      <c r="M11" t="s">
        <v>532</v>
      </c>
      <c r="R11" t="s">
        <v>115</v>
      </c>
      <c r="T11" s="47">
        <v>2.5000000000000001E-2</v>
      </c>
      <c r="U11" s="30">
        <v>146848</v>
      </c>
      <c r="V11" s="30">
        <v>155757</v>
      </c>
      <c r="W11" s="30">
        <v>162760</v>
      </c>
      <c r="X11" s="30">
        <v>169898.77100000001</v>
      </c>
      <c r="Y11" s="30">
        <v>187348</v>
      </c>
      <c r="Z11" s="30"/>
      <c r="AA11" t="s">
        <v>116</v>
      </c>
      <c r="AG11" t="s">
        <v>117</v>
      </c>
    </row>
    <row r="12" spans="1:33" x14ac:dyDescent="0.35">
      <c r="A12" s="2"/>
      <c r="M12" t="s">
        <v>118</v>
      </c>
      <c r="U12" s="5"/>
      <c r="V12" s="5">
        <f>(V11-U11)/U11</f>
        <v>6.0668173894094575E-2</v>
      </c>
      <c r="W12" s="5">
        <f>(W11-V11)/V11</f>
        <v>4.4961061140109275E-2</v>
      </c>
      <c r="X12" s="5">
        <f>(X11-W11)/W11</f>
        <v>4.3860721307446594E-2</v>
      </c>
      <c r="Y12" s="5">
        <f>(Y11-X11)/X11</f>
        <v>0.10270367994598378</v>
      </c>
      <c r="Z12" s="5">
        <f>AVERAGE(V12:Y12)</f>
        <v>6.3048409071908562E-2</v>
      </c>
      <c r="AA12" t="s">
        <v>119</v>
      </c>
      <c r="AG12" t="s">
        <v>537</v>
      </c>
    </row>
    <row r="13" spans="1:33" x14ac:dyDescent="0.35">
      <c r="A13" s="2">
        <v>2</v>
      </c>
      <c r="C13" t="s">
        <v>108</v>
      </c>
      <c r="G13" s="33">
        <f>-G11*0.21</f>
        <v>-739094.4820310506</v>
      </c>
      <c r="H13" s="32"/>
      <c r="I13" s="32"/>
      <c r="J13" s="32"/>
      <c r="K13" s="32"/>
      <c r="M13" t="s">
        <v>120</v>
      </c>
      <c r="X13" s="5"/>
      <c r="Z13" s="39"/>
      <c r="AA13" t="s">
        <v>121</v>
      </c>
      <c r="AF13" t="s">
        <v>538</v>
      </c>
      <c r="AG13" t="s">
        <v>539</v>
      </c>
    </row>
    <row r="14" spans="1:33" x14ac:dyDescent="0.35">
      <c r="A14" s="2"/>
      <c r="M14" t="s">
        <v>122</v>
      </c>
      <c r="Q14">
        <v>0.64400000000000002</v>
      </c>
      <c r="R14" t="s">
        <v>123</v>
      </c>
      <c r="W14" t="s">
        <v>124</v>
      </c>
      <c r="Y14" t="s">
        <v>125</v>
      </c>
      <c r="AA14" t="s">
        <v>126</v>
      </c>
      <c r="AF14" t="s">
        <v>540</v>
      </c>
      <c r="AG14" t="s">
        <v>541</v>
      </c>
    </row>
    <row r="15" spans="1:33" ht="16" thickBot="1" x14ac:dyDescent="0.4">
      <c r="A15" s="2">
        <v>3</v>
      </c>
      <c r="C15" t="s">
        <v>110</v>
      </c>
      <c r="G15" s="44">
        <f>+G11+G13</f>
        <v>2780403.0514501431</v>
      </c>
      <c r="H15" s="30"/>
      <c r="I15" s="30"/>
      <c r="J15" s="30"/>
      <c r="K15" s="30"/>
      <c r="R15" t="s">
        <v>127</v>
      </c>
      <c r="U15" t="s">
        <v>514</v>
      </c>
      <c r="V15" t="s">
        <v>515</v>
      </c>
      <c r="W15" t="s">
        <v>128</v>
      </c>
      <c r="X15" t="s">
        <v>129</v>
      </c>
      <c r="Y15" t="s">
        <v>130</v>
      </c>
      <c r="AA15" t="s">
        <v>131</v>
      </c>
    </row>
    <row r="16" spans="1:33" ht="16" thickTop="1" x14ac:dyDescent="0.35">
      <c r="A16" s="2"/>
      <c r="M16" t="s">
        <v>132</v>
      </c>
      <c r="N16" t="s">
        <v>133</v>
      </c>
      <c r="O16" t="s">
        <v>2</v>
      </c>
      <c r="Q16" t="s">
        <v>134</v>
      </c>
      <c r="R16" t="s">
        <v>135</v>
      </c>
      <c r="S16" t="s">
        <v>136</v>
      </c>
      <c r="T16" t="s">
        <v>66</v>
      </c>
      <c r="U16" t="s">
        <v>137</v>
      </c>
      <c r="V16" t="s">
        <v>138</v>
      </c>
      <c r="W16" s="5">
        <f>T11*2.5</f>
        <v>6.25E-2</v>
      </c>
      <c r="X16" s="5">
        <f>T11*3.5</f>
        <v>8.7500000000000008E-2</v>
      </c>
      <c r="Y16">
        <v>2026</v>
      </c>
      <c r="AA16" t="s">
        <v>139</v>
      </c>
      <c r="AF16" t="s">
        <v>133</v>
      </c>
      <c r="AG16" t="s">
        <v>107</v>
      </c>
    </row>
    <row r="17" spans="1:37" ht="26.5" thickBot="1" x14ac:dyDescent="0.4">
      <c r="A17" s="69">
        <v>4</v>
      </c>
      <c r="B17" s="66"/>
      <c r="C17" s="70" t="s">
        <v>544</v>
      </c>
      <c r="D17" s="66"/>
      <c r="E17" s="67" t="s">
        <v>572</v>
      </c>
      <c r="F17" s="66"/>
      <c r="G17" s="68">
        <f>+'10.2 Summary'!U53</f>
        <v>-5623.5347764058261</v>
      </c>
      <c r="I17" s="30"/>
      <c r="W17" s="5"/>
      <c r="X17" s="5"/>
    </row>
    <row r="18" spans="1:37" ht="16" thickTop="1" x14ac:dyDescent="0.35">
      <c r="A18" s="2"/>
      <c r="M18">
        <v>1</v>
      </c>
      <c r="N18" t="s">
        <v>140</v>
      </c>
      <c r="AA18" t="s">
        <v>516</v>
      </c>
    </row>
    <row r="19" spans="1:37" x14ac:dyDescent="0.35">
      <c r="A19" s="2">
        <v>5</v>
      </c>
      <c r="C19" t="s">
        <v>459</v>
      </c>
      <c r="E19" s="63" t="s">
        <v>571</v>
      </c>
      <c r="G19" s="30">
        <f>+'10.4 Misc O&amp;M Escalation'!Y171</f>
        <v>1407799.0133924782</v>
      </c>
      <c r="H19" s="30"/>
      <c r="I19" s="30"/>
      <c r="J19" s="30"/>
      <c r="K19" s="30"/>
      <c r="M19">
        <v>2</v>
      </c>
      <c r="O19" t="s">
        <v>141</v>
      </c>
      <c r="AA19" t="s">
        <v>142</v>
      </c>
      <c r="AF19" s="40" t="s">
        <v>143</v>
      </c>
      <c r="AG19" s="4">
        <v>100285.75368000002</v>
      </c>
      <c r="AH19">
        <v>500000</v>
      </c>
      <c r="AI19" s="4"/>
      <c r="AJ19" s="40"/>
      <c r="AK19" s="4"/>
    </row>
    <row r="20" spans="1:37" x14ac:dyDescent="0.35">
      <c r="A20" s="2"/>
      <c r="M20">
        <v>3</v>
      </c>
      <c r="N20" t="s">
        <v>144</v>
      </c>
      <c r="O20" t="s">
        <v>145</v>
      </c>
      <c r="P20" t="s">
        <v>146</v>
      </c>
      <c r="Q20" s="41">
        <v>147926</v>
      </c>
      <c r="R20" s="41">
        <f>AG19</f>
        <v>100285.75368000002</v>
      </c>
      <c r="T20" s="41">
        <f>64555*Q14</f>
        <v>41573.42</v>
      </c>
      <c r="V20" s="41">
        <f t="shared" ref="V20:V29" si="0">Q20-SUM(R20:T20)+U20</f>
        <v>6066.8263199999928</v>
      </c>
      <c r="W20" s="41">
        <f t="shared" ref="W20:X29" si="1">$V20*W$16</f>
        <v>379.17664499999955</v>
      </c>
      <c r="X20" s="41">
        <f t="shared" si="1"/>
        <v>530.84730299999944</v>
      </c>
      <c r="Y20" s="41">
        <f t="shared" ref="Y20:Y29" si="2">X20-W20</f>
        <v>151.67065799999989</v>
      </c>
      <c r="AA20" t="s">
        <v>147</v>
      </c>
      <c r="AF20" s="40" t="s">
        <v>148</v>
      </c>
      <c r="AG20" s="4">
        <v>656944.76707999979</v>
      </c>
      <c r="AH20">
        <v>501200</v>
      </c>
      <c r="AI20" s="4"/>
      <c r="AJ20" s="40"/>
      <c r="AK20" s="4"/>
    </row>
    <row r="21" spans="1:37" x14ac:dyDescent="0.35">
      <c r="A21" s="2">
        <v>6</v>
      </c>
      <c r="C21" t="s">
        <v>108</v>
      </c>
      <c r="G21" s="33">
        <f>-G19*0.21</f>
        <v>-295637.7928124204</v>
      </c>
      <c r="H21" s="32"/>
      <c r="I21" s="32"/>
      <c r="J21" s="32"/>
      <c r="K21" s="32"/>
      <c r="M21">
        <v>4</v>
      </c>
      <c r="N21" t="s">
        <v>149</v>
      </c>
      <c r="O21" t="s">
        <v>145</v>
      </c>
      <c r="P21" t="s">
        <v>150</v>
      </c>
      <c r="Q21" s="41">
        <v>28367365</v>
      </c>
      <c r="R21" s="41">
        <f>AG20</f>
        <v>656944.76707999979</v>
      </c>
      <c r="S21" s="41">
        <f>42550238*Q14</f>
        <v>27402353.272</v>
      </c>
      <c r="T21" s="41">
        <f>340882*Q14</f>
        <v>219528.008</v>
      </c>
      <c r="V21" s="41">
        <f t="shared" si="0"/>
        <v>88538.952919997275</v>
      </c>
      <c r="W21" s="41">
        <f t="shared" si="1"/>
        <v>5533.6845574998297</v>
      </c>
      <c r="X21" s="41">
        <f t="shared" si="1"/>
        <v>7747.1583804997626</v>
      </c>
      <c r="Y21" s="41">
        <f t="shared" si="2"/>
        <v>2213.473822999933</v>
      </c>
      <c r="AA21" t="s">
        <v>151</v>
      </c>
      <c r="AF21" s="40" t="s">
        <v>152</v>
      </c>
      <c r="AG21" s="4">
        <v>370723.9323200002</v>
      </c>
      <c r="AH21">
        <v>502000</v>
      </c>
      <c r="AI21" s="4"/>
      <c r="AJ21" s="40"/>
      <c r="AK21" s="4"/>
    </row>
    <row r="22" spans="1:37" x14ac:dyDescent="0.35">
      <c r="A22" s="2"/>
      <c r="M22">
        <v>5</v>
      </c>
      <c r="N22" t="s">
        <v>153</v>
      </c>
      <c r="O22" t="s">
        <v>145</v>
      </c>
      <c r="P22" t="s">
        <v>154</v>
      </c>
      <c r="Q22" s="41">
        <v>2544582</v>
      </c>
      <c r="R22" s="41">
        <f>AG21</f>
        <v>370723.9323200002</v>
      </c>
      <c r="T22" s="41">
        <f>(1383019+1969075)*Q14</f>
        <v>2158748.5359999998</v>
      </c>
      <c r="V22" s="41">
        <f t="shared" si="0"/>
        <v>15109.531680000015</v>
      </c>
      <c r="W22" s="41">
        <f t="shared" si="1"/>
        <v>944.34573000000091</v>
      </c>
      <c r="X22" s="41">
        <f t="shared" si="1"/>
        <v>1322.0840220000014</v>
      </c>
      <c r="Y22" s="41">
        <f t="shared" si="2"/>
        <v>377.73829200000046</v>
      </c>
      <c r="AA22" t="s">
        <v>155</v>
      </c>
      <c r="AF22" s="40" t="s">
        <v>156</v>
      </c>
      <c r="AG22" s="4">
        <v>414521.32260000019</v>
      </c>
      <c r="AH22">
        <v>505000</v>
      </c>
      <c r="AI22" s="4"/>
      <c r="AJ22" s="40"/>
      <c r="AK22" s="4"/>
    </row>
    <row r="23" spans="1:37" ht="16" thickBot="1" x14ac:dyDescent="0.4">
      <c r="A23" s="2">
        <v>7</v>
      </c>
      <c r="C23" t="s">
        <v>110</v>
      </c>
      <c r="G23" s="44">
        <f>+G19+G21</f>
        <v>1112161.2205800577</v>
      </c>
      <c r="H23" s="30"/>
      <c r="I23" s="30"/>
      <c r="J23" s="30"/>
      <c r="K23" s="30"/>
      <c r="M23">
        <v>6</v>
      </c>
      <c r="N23" t="s">
        <v>157</v>
      </c>
      <c r="O23" t="s">
        <v>145</v>
      </c>
      <c r="P23" t="s">
        <v>158</v>
      </c>
      <c r="Q23" s="41">
        <v>0</v>
      </c>
      <c r="R23" s="41">
        <v>0</v>
      </c>
      <c r="T23" s="41"/>
      <c r="V23" s="41">
        <f t="shared" si="0"/>
        <v>0</v>
      </c>
      <c r="W23" s="41">
        <f t="shared" si="1"/>
        <v>0</v>
      </c>
      <c r="X23" s="41">
        <f t="shared" si="1"/>
        <v>0</v>
      </c>
      <c r="Y23" s="41">
        <f t="shared" si="2"/>
        <v>0</v>
      </c>
      <c r="AA23" t="s">
        <v>159</v>
      </c>
      <c r="AF23" s="40" t="s">
        <v>160</v>
      </c>
      <c r="AG23" s="4">
        <v>147237.96472000011</v>
      </c>
      <c r="AH23">
        <v>506000</v>
      </c>
      <c r="AI23" s="4"/>
      <c r="AJ23" s="40"/>
      <c r="AK23" s="4"/>
    </row>
    <row r="24" spans="1:37" ht="16" thickTop="1" x14ac:dyDescent="0.35">
      <c r="M24">
        <v>7</v>
      </c>
      <c r="N24" t="s">
        <v>161</v>
      </c>
      <c r="O24" t="s">
        <v>145</v>
      </c>
      <c r="P24" t="s">
        <v>162</v>
      </c>
      <c r="Q24" s="41">
        <v>0</v>
      </c>
      <c r="R24" s="41">
        <v>0</v>
      </c>
      <c r="T24" s="41"/>
      <c r="V24" s="41">
        <f t="shared" si="0"/>
        <v>0</v>
      </c>
      <c r="W24" s="41">
        <f t="shared" si="1"/>
        <v>0</v>
      </c>
      <c r="X24" s="41">
        <f t="shared" si="1"/>
        <v>0</v>
      </c>
      <c r="Y24" s="41">
        <f t="shared" si="2"/>
        <v>0</v>
      </c>
      <c r="AF24" s="40" t="s">
        <v>163</v>
      </c>
      <c r="AG24" s="4">
        <v>78335.213319999966</v>
      </c>
      <c r="AH24">
        <v>510000</v>
      </c>
      <c r="AI24" s="4"/>
      <c r="AJ24" s="40"/>
      <c r="AK24" s="4"/>
    </row>
    <row r="25" spans="1:37" ht="26.5" thickBot="1" x14ac:dyDescent="0.4">
      <c r="A25" s="69">
        <v>8</v>
      </c>
      <c r="B25" s="66"/>
      <c r="C25" s="70" t="s">
        <v>545</v>
      </c>
      <c r="D25" s="66"/>
      <c r="E25" s="67" t="s">
        <v>570</v>
      </c>
      <c r="F25" s="66"/>
      <c r="G25" s="68">
        <f>+'10.2 Summary'!U77</f>
        <v>-2249.4139105623299</v>
      </c>
      <c r="M25">
        <v>8</v>
      </c>
      <c r="N25" t="s">
        <v>164</v>
      </c>
      <c r="O25" t="s">
        <v>145</v>
      </c>
      <c r="P25" t="s">
        <v>165</v>
      </c>
      <c r="Q25" s="41">
        <v>455112</v>
      </c>
      <c r="R25" s="41">
        <f>AG22</f>
        <v>414521.32260000019</v>
      </c>
      <c r="T25" s="41">
        <f>-186186*Q14</f>
        <v>-119903.784</v>
      </c>
      <c r="V25" s="41">
        <f t="shared" si="0"/>
        <v>160494.4613999998</v>
      </c>
      <c r="W25" s="41">
        <f t="shared" si="1"/>
        <v>10030.903837499987</v>
      </c>
      <c r="X25" s="41">
        <f t="shared" si="1"/>
        <v>14043.265372499984</v>
      </c>
      <c r="Y25" s="41">
        <f t="shared" si="2"/>
        <v>4012.3615349999964</v>
      </c>
      <c r="AF25" s="40" t="s">
        <v>166</v>
      </c>
      <c r="AG25" s="4">
        <v>8904.8971199999996</v>
      </c>
      <c r="AH25">
        <v>511000</v>
      </c>
      <c r="AI25" s="4"/>
      <c r="AJ25" s="40"/>
      <c r="AK25" s="4"/>
    </row>
    <row r="26" spans="1:37" ht="16" thickTop="1" x14ac:dyDescent="0.35">
      <c r="A26" s="66"/>
      <c r="B26" s="66"/>
      <c r="C26" s="66"/>
      <c r="D26" s="66"/>
      <c r="E26" s="66"/>
      <c r="F26" s="66"/>
      <c r="G26" s="66"/>
      <c r="M26">
        <v>9</v>
      </c>
      <c r="N26" t="s">
        <v>167</v>
      </c>
      <c r="O26" t="s">
        <v>145</v>
      </c>
      <c r="P26" t="s">
        <v>168</v>
      </c>
      <c r="Q26" s="41">
        <v>3777834</v>
      </c>
      <c r="R26" s="41">
        <f>AG23</f>
        <v>147237.96472000011</v>
      </c>
      <c r="T26" s="41">
        <f>(5433960-99722)*Q14</f>
        <v>3435249.2719999999</v>
      </c>
      <c r="V26" s="41">
        <f t="shared" si="0"/>
        <v>195346.76328000007</v>
      </c>
      <c r="W26" s="41">
        <f t="shared" si="1"/>
        <v>12209.172705000004</v>
      </c>
      <c r="X26" s="41">
        <f t="shared" si="1"/>
        <v>17092.841787000008</v>
      </c>
      <c r="Y26" s="41">
        <f t="shared" si="2"/>
        <v>4883.669082000004</v>
      </c>
      <c r="AF26" s="40" t="s">
        <v>169</v>
      </c>
      <c r="AG26" s="4">
        <v>430872.16060000018</v>
      </c>
      <c r="AH26">
        <v>512000</v>
      </c>
      <c r="AI26" s="4"/>
      <c r="AJ26" s="40"/>
      <c r="AK26" s="4"/>
    </row>
    <row r="27" spans="1:37" x14ac:dyDescent="0.35">
      <c r="M27">
        <v>10</v>
      </c>
      <c r="N27" t="s">
        <v>170</v>
      </c>
      <c r="O27" t="s">
        <v>145</v>
      </c>
      <c r="P27" t="s">
        <v>171</v>
      </c>
      <c r="Q27" s="41">
        <v>0</v>
      </c>
      <c r="R27" s="41">
        <v>0</v>
      </c>
      <c r="T27" s="41"/>
      <c r="V27" s="41">
        <f t="shared" si="0"/>
        <v>0</v>
      </c>
      <c r="W27" s="41">
        <f t="shared" si="1"/>
        <v>0</v>
      </c>
      <c r="X27" s="41">
        <f t="shared" si="1"/>
        <v>0</v>
      </c>
      <c r="Y27" s="41">
        <f t="shared" si="2"/>
        <v>0</v>
      </c>
      <c r="AF27" s="40" t="s">
        <v>172</v>
      </c>
      <c r="AG27" s="4">
        <v>71697.209080000001</v>
      </c>
      <c r="AH27">
        <v>513000</v>
      </c>
      <c r="AI27" s="4"/>
      <c r="AJ27" s="40"/>
      <c r="AK27" s="4"/>
    </row>
    <row r="28" spans="1:37" x14ac:dyDescent="0.35">
      <c r="M28">
        <v>11</v>
      </c>
      <c r="N28" t="s">
        <v>173</v>
      </c>
      <c r="O28" t="s">
        <v>145</v>
      </c>
      <c r="P28" t="s">
        <v>174</v>
      </c>
      <c r="Q28" s="41">
        <v>0</v>
      </c>
      <c r="R28" s="41">
        <v>0</v>
      </c>
      <c r="T28" s="41"/>
      <c r="V28" s="41">
        <f t="shared" si="0"/>
        <v>0</v>
      </c>
      <c r="W28" s="41">
        <f t="shared" si="1"/>
        <v>0</v>
      </c>
      <c r="X28" s="41">
        <f t="shared" si="1"/>
        <v>0</v>
      </c>
      <c r="Y28" s="41">
        <f t="shared" si="2"/>
        <v>0</v>
      </c>
      <c r="AF28" s="40" t="s">
        <v>175</v>
      </c>
      <c r="AG28" s="4">
        <v>74253.122720000014</v>
      </c>
      <c r="AH28">
        <v>514000</v>
      </c>
      <c r="AI28" s="4"/>
      <c r="AJ28" s="40"/>
      <c r="AK28" s="4"/>
    </row>
    <row r="29" spans="1:37" x14ac:dyDescent="0.35">
      <c r="M29">
        <v>12</v>
      </c>
      <c r="N29" t="s">
        <v>176</v>
      </c>
      <c r="O29" t="s">
        <v>145</v>
      </c>
      <c r="P29" t="s">
        <v>177</v>
      </c>
      <c r="Q29" s="41">
        <v>768363</v>
      </c>
      <c r="R29" s="41">
        <v>0</v>
      </c>
      <c r="S29" s="41">
        <v>768363</v>
      </c>
      <c r="T29" s="41"/>
      <c r="V29" s="41">
        <f t="shared" si="0"/>
        <v>0</v>
      </c>
      <c r="W29" s="41">
        <f t="shared" si="1"/>
        <v>0</v>
      </c>
      <c r="X29" s="41">
        <f t="shared" si="1"/>
        <v>0</v>
      </c>
      <c r="Y29" s="41">
        <f t="shared" si="2"/>
        <v>0</v>
      </c>
      <c r="AF29" s="40" t="s">
        <v>178</v>
      </c>
      <c r="AG29" s="4">
        <v>1195230.85332</v>
      </c>
      <c r="AH29">
        <v>535000</v>
      </c>
      <c r="AI29" s="4"/>
      <c r="AJ29" s="40"/>
      <c r="AK29" s="4"/>
    </row>
    <row r="30" spans="1:37" x14ac:dyDescent="0.35">
      <c r="M30">
        <v>13</v>
      </c>
      <c r="O30" t="s">
        <v>179</v>
      </c>
      <c r="Q30" s="41">
        <f>SUM(Q20:Q29)</f>
        <v>36061182</v>
      </c>
      <c r="R30" s="41">
        <f>SUM(R20:R29)</f>
        <v>1689713.7404</v>
      </c>
      <c r="S30" s="41">
        <f>SUM(S20:S29)</f>
        <v>28170716.272</v>
      </c>
      <c r="T30" s="41">
        <f t="shared" ref="T30:Y30" si="3">SUM(T20:T28)</f>
        <v>5735195.4519999996</v>
      </c>
      <c r="U30" s="41">
        <f t="shared" si="3"/>
        <v>0</v>
      </c>
      <c r="V30" s="41">
        <f t="shared" si="3"/>
        <v>465556.53559999715</v>
      </c>
      <c r="W30" s="41">
        <f t="shared" si="3"/>
        <v>29097.283474999822</v>
      </c>
      <c r="X30" s="41">
        <f t="shared" si="3"/>
        <v>40736.196864999758</v>
      </c>
      <c r="Y30" s="41">
        <f t="shared" si="3"/>
        <v>11638.913389999934</v>
      </c>
      <c r="AA30" s="41"/>
      <c r="AF30" s="40" t="s">
        <v>180</v>
      </c>
      <c r="AG30" s="4">
        <v>13570.155479999999</v>
      </c>
      <c r="AH30">
        <v>536000</v>
      </c>
      <c r="AI30" s="4"/>
      <c r="AJ30" s="40"/>
      <c r="AK30" s="4"/>
    </row>
    <row r="31" spans="1:37" x14ac:dyDescent="0.35">
      <c r="M31">
        <v>14</v>
      </c>
      <c r="N31" t="s">
        <v>181</v>
      </c>
      <c r="O31" t="s">
        <v>145</v>
      </c>
      <c r="P31" t="s">
        <v>146</v>
      </c>
      <c r="Q31" s="41">
        <v>338667</v>
      </c>
      <c r="R31" s="41">
        <f>AG24</f>
        <v>78335.213319999966</v>
      </c>
      <c r="T31" s="41">
        <f>387849*Q14</f>
        <v>249774.75599999999</v>
      </c>
      <c r="V31" s="41">
        <f>Q31-SUM(R31:T31)+U31</f>
        <v>10557.030680000025</v>
      </c>
      <c r="W31" s="41">
        <f t="shared" ref="W31:X35" si="4">$V31*W$16</f>
        <v>659.81441750000158</v>
      </c>
      <c r="X31" s="41">
        <f t="shared" si="4"/>
        <v>923.74018450000233</v>
      </c>
      <c r="Y31" s="41">
        <f>X31-W31</f>
        <v>263.92576700000075</v>
      </c>
      <c r="AF31" s="40" t="s">
        <v>182</v>
      </c>
      <c r="AG31" s="4">
        <v>376397.54655999999</v>
      </c>
      <c r="AH31">
        <v>537000</v>
      </c>
      <c r="AI31" s="4"/>
      <c r="AJ31" s="40"/>
      <c r="AK31" s="4"/>
    </row>
    <row r="32" spans="1:37" x14ac:dyDescent="0.35">
      <c r="M32">
        <v>15</v>
      </c>
      <c r="N32" t="s">
        <v>183</v>
      </c>
      <c r="O32" t="s">
        <v>145</v>
      </c>
      <c r="P32" t="s">
        <v>184</v>
      </c>
      <c r="Q32" s="41">
        <v>550776</v>
      </c>
      <c r="R32" s="41">
        <f>AG25</f>
        <v>8904.8971199999996</v>
      </c>
      <c r="T32" s="41">
        <f>750676*Q14</f>
        <v>483435.34400000004</v>
      </c>
      <c r="V32" s="41">
        <f>Q32-SUM(R32:T32)+U32</f>
        <v>58435.758879999979</v>
      </c>
      <c r="W32" s="41">
        <f t="shared" si="4"/>
        <v>3652.2349299999987</v>
      </c>
      <c r="X32" s="41">
        <f t="shared" si="4"/>
        <v>5113.1289019999986</v>
      </c>
      <c r="Y32" s="41">
        <f>X32-W32</f>
        <v>1460.8939719999998</v>
      </c>
      <c r="AF32" s="40" t="s">
        <v>185</v>
      </c>
      <c r="AG32" s="4">
        <v>4342140.7302000197</v>
      </c>
      <c r="AH32">
        <v>538000</v>
      </c>
      <c r="AI32" s="4"/>
      <c r="AJ32" s="40"/>
      <c r="AK32" s="4"/>
    </row>
    <row r="33" spans="13:37" x14ac:dyDescent="0.35">
      <c r="M33">
        <v>16</v>
      </c>
      <c r="N33" t="s">
        <v>186</v>
      </c>
      <c r="O33" t="s">
        <v>145</v>
      </c>
      <c r="P33" t="s">
        <v>187</v>
      </c>
      <c r="Q33" s="41">
        <v>4421653</v>
      </c>
      <c r="R33" s="41">
        <f>AG26</f>
        <v>430872.16060000018</v>
      </c>
      <c r="T33" s="41">
        <f>4765299*Q14</f>
        <v>3068852.5559999999</v>
      </c>
      <c r="V33" s="41">
        <f>Q33-SUM(R33:T33)+U33</f>
        <v>921928.28340000007</v>
      </c>
      <c r="W33" s="41">
        <f t="shared" si="4"/>
        <v>57620.517712500005</v>
      </c>
      <c r="X33" s="41">
        <f t="shared" si="4"/>
        <v>80668.724797500021</v>
      </c>
      <c r="Y33" s="41">
        <f>X33-W33</f>
        <v>23048.207085000016</v>
      </c>
      <c r="AF33" s="40" t="s">
        <v>188</v>
      </c>
      <c r="AG33" s="4">
        <v>252853.59119999976</v>
      </c>
      <c r="AH33">
        <v>539000</v>
      </c>
      <c r="AI33" s="4"/>
      <c r="AJ33" s="40"/>
      <c r="AK33" s="4"/>
    </row>
    <row r="34" spans="13:37" x14ac:dyDescent="0.35">
      <c r="M34">
        <v>17</v>
      </c>
      <c r="N34" t="s">
        <v>189</v>
      </c>
      <c r="O34" t="s">
        <v>145</v>
      </c>
      <c r="P34" t="s">
        <v>190</v>
      </c>
      <c r="Q34" s="41">
        <v>572773</v>
      </c>
      <c r="R34" s="41">
        <f>AG27</f>
        <v>71697.209080000001</v>
      </c>
      <c r="T34" s="41">
        <f>661906*Q14</f>
        <v>426267.46400000004</v>
      </c>
      <c r="V34" s="41">
        <f>Q34-SUM(R34:T34)+U34</f>
        <v>74808.326919999963</v>
      </c>
      <c r="W34" s="41">
        <f t="shared" si="4"/>
        <v>4675.5204324999977</v>
      </c>
      <c r="X34" s="41">
        <f t="shared" si="4"/>
        <v>6545.7286054999977</v>
      </c>
      <c r="Y34" s="41">
        <f>X34-W34</f>
        <v>1870.208173</v>
      </c>
      <c r="AF34" s="40" t="s">
        <v>191</v>
      </c>
      <c r="AG34" s="4">
        <v>385292.42303999997</v>
      </c>
      <c r="AH34">
        <v>541000</v>
      </c>
      <c r="AI34" s="4"/>
      <c r="AJ34" s="40"/>
      <c r="AK34" s="4"/>
    </row>
    <row r="35" spans="13:37" x14ac:dyDescent="0.35">
      <c r="M35">
        <v>18</v>
      </c>
      <c r="N35" t="s">
        <v>192</v>
      </c>
      <c r="O35" t="s">
        <v>145</v>
      </c>
      <c r="P35" t="s">
        <v>193</v>
      </c>
      <c r="Q35" s="41">
        <v>813718</v>
      </c>
      <c r="R35" s="41">
        <f>AG28</f>
        <v>74253.122720000014</v>
      </c>
      <c r="T35" s="41">
        <f>(665193+233943)*Q14</f>
        <v>579043.58400000003</v>
      </c>
      <c r="V35" s="41">
        <f>Q35-SUM(R35:T35)+U35</f>
        <v>160421.29327999998</v>
      </c>
      <c r="W35" s="41">
        <f t="shared" si="4"/>
        <v>10026.330829999999</v>
      </c>
      <c r="X35" s="41">
        <f t="shared" si="4"/>
        <v>14036.863162</v>
      </c>
      <c r="Y35" s="41">
        <f>X35-W35</f>
        <v>4010.5323320000007</v>
      </c>
      <c r="AF35" s="40" t="s">
        <v>194</v>
      </c>
      <c r="AG35" s="4">
        <v>157975.26724000002</v>
      </c>
      <c r="AH35">
        <v>542000</v>
      </c>
      <c r="AI35" s="4"/>
      <c r="AJ35" s="40"/>
      <c r="AK35" s="4"/>
    </row>
    <row r="36" spans="13:37" x14ac:dyDescent="0.35">
      <c r="M36">
        <v>19</v>
      </c>
      <c r="O36" t="s">
        <v>195</v>
      </c>
      <c r="Q36" s="41">
        <f t="shared" ref="Q36:Y36" si="5">SUM(Q31:Q35)</f>
        <v>6697587</v>
      </c>
      <c r="R36" s="41">
        <f t="shared" si="5"/>
        <v>664062.60284000018</v>
      </c>
      <c r="S36" s="41">
        <f t="shared" si="5"/>
        <v>0</v>
      </c>
      <c r="T36" s="41">
        <f t="shared" si="5"/>
        <v>4807373.7039999999</v>
      </c>
      <c r="U36" s="41">
        <f t="shared" si="5"/>
        <v>0</v>
      </c>
      <c r="V36" s="41">
        <f t="shared" si="5"/>
        <v>1226150.6931599998</v>
      </c>
      <c r="W36" s="41">
        <f t="shared" si="5"/>
        <v>76634.418322499987</v>
      </c>
      <c r="X36" s="41">
        <f t="shared" si="5"/>
        <v>107288.18565150001</v>
      </c>
      <c r="Y36" s="41">
        <f t="shared" si="5"/>
        <v>30653.767329000017</v>
      </c>
      <c r="AF36" s="40" t="s">
        <v>196</v>
      </c>
      <c r="AG36" s="4">
        <v>137130.24948000003</v>
      </c>
      <c r="AH36">
        <v>543000</v>
      </c>
      <c r="AI36" s="4"/>
      <c r="AJ36" s="40"/>
      <c r="AK36" s="4"/>
    </row>
    <row r="37" spans="13:37" x14ac:dyDescent="0.35">
      <c r="M37">
        <v>20</v>
      </c>
      <c r="O37" t="s">
        <v>197</v>
      </c>
      <c r="Q37" s="41">
        <f t="shared" ref="Q37:Y37" si="6">Q30+Q36</f>
        <v>42758769</v>
      </c>
      <c r="R37" s="41">
        <f t="shared" si="6"/>
        <v>2353776.3432400003</v>
      </c>
      <c r="S37" s="41">
        <f t="shared" si="6"/>
        <v>28170716.272</v>
      </c>
      <c r="T37" s="41">
        <f t="shared" si="6"/>
        <v>10542569.155999999</v>
      </c>
      <c r="U37" s="41">
        <f t="shared" si="6"/>
        <v>0</v>
      </c>
      <c r="V37" s="41">
        <f t="shared" si="6"/>
        <v>1691707.2287599971</v>
      </c>
      <c r="W37" s="41">
        <f t="shared" si="6"/>
        <v>105731.70179749982</v>
      </c>
      <c r="X37" s="41">
        <f t="shared" si="6"/>
        <v>148024.38251649978</v>
      </c>
      <c r="Y37" s="41">
        <f t="shared" si="6"/>
        <v>42292.680718999953</v>
      </c>
      <c r="AF37" s="40" t="s">
        <v>198</v>
      </c>
      <c r="AG37" s="4">
        <v>1439735.4803999979</v>
      </c>
      <c r="AH37">
        <v>544000</v>
      </c>
      <c r="AI37" s="4"/>
      <c r="AJ37" s="40"/>
      <c r="AK37" s="4"/>
    </row>
    <row r="38" spans="13:37" x14ac:dyDescent="0.35">
      <c r="M38">
        <v>21</v>
      </c>
      <c r="R38" s="41"/>
      <c r="AF38" s="40" t="s">
        <v>199</v>
      </c>
      <c r="AG38" s="4">
        <v>277188.75407999993</v>
      </c>
      <c r="AH38">
        <v>545000</v>
      </c>
      <c r="AI38" s="4"/>
      <c r="AJ38" s="40"/>
      <c r="AK38" s="4"/>
    </row>
    <row r="39" spans="13:37" x14ac:dyDescent="0.35">
      <c r="M39">
        <v>22</v>
      </c>
      <c r="N39" t="s">
        <v>200</v>
      </c>
      <c r="O39" t="s">
        <v>201</v>
      </c>
      <c r="P39" t="s">
        <v>146</v>
      </c>
      <c r="Q39" s="41">
        <v>1884611</v>
      </c>
      <c r="R39" s="41">
        <f>AG29</f>
        <v>1195230.85332</v>
      </c>
      <c r="V39" s="41">
        <f t="shared" ref="V39:V44" si="7">Q39-SUM(R39:T39)+U39</f>
        <v>689380.14668000001</v>
      </c>
      <c r="W39" s="41">
        <f t="shared" ref="W39:X44" si="8">$V39*W$16</f>
        <v>43086.2591675</v>
      </c>
      <c r="X39" s="41">
        <f t="shared" si="8"/>
        <v>60320.762834500005</v>
      </c>
      <c r="Y39" s="41">
        <f t="shared" ref="Y39:Y44" si="9">X39-W39</f>
        <v>17234.503667000004</v>
      </c>
      <c r="AF39" s="40" t="s">
        <v>202</v>
      </c>
      <c r="AG39" s="4">
        <v>184391.67711999998</v>
      </c>
      <c r="AH39">
        <v>546000</v>
      </c>
      <c r="AI39" s="4"/>
      <c r="AJ39" s="40"/>
      <c r="AK39" s="4"/>
    </row>
    <row r="40" spans="13:37" x14ac:dyDescent="0.35">
      <c r="M40">
        <v>23</v>
      </c>
      <c r="N40" t="s">
        <v>203</v>
      </c>
      <c r="O40" t="s">
        <v>201</v>
      </c>
      <c r="P40" t="s">
        <v>204</v>
      </c>
      <c r="Q40" s="41">
        <v>909742</v>
      </c>
      <c r="R40" s="41">
        <f>AG30</f>
        <v>13570.155479999999</v>
      </c>
      <c r="V40" s="41">
        <f t="shared" si="7"/>
        <v>896171.84452000004</v>
      </c>
      <c r="W40" s="41">
        <f t="shared" si="8"/>
        <v>56010.740282500003</v>
      </c>
      <c r="X40" s="41">
        <f t="shared" si="8"/>
        <v>78415.036395500007</v>
      </c>
      <c r="Y40" s="41">
        <f t="shared" si="9"/>
        <v>22404.296113000004</v>
      </c>
      <c r="AF40" s="40" t="s">
        <v>205</v>
      </c>
      <c r="AG40" s="4">
        <v>226296.29987999995</v>
      </c>
      <c r="AH40">
        <v>548000</v>
      </c>
      <c r="AI40" s="4"/>
      <c r="AJ40" s="40"/>
      <c r="AK40" s="4"/>
    </row>
    <row r="41" spans="13:37" x14ac:dyDescent="0.35">
      <c r="M41">
        <v>24</v>
      </c>
      <c r="N41" t="s">
        <v>206</v>
      </c>
      <c r="O41" t="s">
        <v>201</v>
      </c>
      <c r="P41" t="s">
        <v>207</v>
      </c>
      <c r="Q41" s="41">
        <v>6064389</v>
      </c>
      <c r="R41" s="41">
        <f>AG31</f>
        <v>376397.54655999999</v>
      </c>
      <c r="V41" s="41">
        <f t="shared" si="7"/>
        <v>5687991.4534400003</v>
      </c>
      <c r="W41" s="41">
        <f t="shared" si="8"/>
        <v>355499.46584000002</v>
      </c>
      <c r="X41" s="41">
        <f t="shared" si="8"/>
        <v>497699.2521760001</v>
      </c>
      <c r="Y41" s="41">
        <f t="shared" si="9"/>
        <v>142199.78633600008</v>
      </c>
      <c r="AF41" s="40" t="s">
        <v>208</v>
      </c>
      <c r="AG41" s="4">
        <v>50059.111760000029</v>
      </c>
      <c r="AH41">
        <v>549000</v>
      </c>
      <c r="AI41" s="4"/>
      <c r="AJ41" s="40"/>
      <c r="AK41" s="4"/>
    </row>
    <row r="42" spans="13:37" x14ac:dyDescent="0.35">
      <c r="M42">
        <v>25</v>
      </c>
      <c r="N42" t="s">
        <v>209</v>
      </c>
      <c r="O42" t="s">
        <v>201</v>
      </c>
      <c r="P42" t="s">
        <v>165</v>
      </c>
      <c r="Q42" s="41">
        <v>4640705</v>
      </c>
      <c r="R42" s="41">
        <f>AG32</f>
        <v>4342140.7302000197</v>
      </c>
      <c r="V42" s="41">
        <f t="shared" si="7"/>
        <v>298564.26979998033</v>
      </c>
      <c r="W42" s="41">
        <f t="shared" si="8"/>
        <v>18660.266862498771</v>
      </c>
      <c r="X42" s="41">
        <f t="shared" si="8"/>
        <v>26124.373607498281</v>
      </c>
      <c r="Y42" s="41">
        <f t="shared" si="9"/>
        <v>7464.1067449995098</v>
      </c>
      <c r="AF42" s="40" t="s">
        <v>210</v>
      </c>
      <c r="AG42" s="4">
        <v>217933.05184</v>
      </c>
      <c r="AH42">
        <v>551000</v>
      </c>
      <c r="AI42" s="4"/>
      <c r="AJ42" s="40"/>
      <c r="AK42" s="4"/>
    </row>
    <row r="43" spans="13:37" x14ac:dyDescent="0.35">
      <c r="M43">
        <v>26</v>
      </c>
      <c r="N43" t="s">
        <v>211</v>
      </c>
      <c r="O43" t="s">
        <v>201</v>
      </c>
      <c r="P43" t="s">
        <v>168</v>
      </c>
      <c r="Q43" s="41">
        <v>1170997</v>
      </c>
      <c r="R43" s="41">
        <f>AG33</f>
        <v>252853.59119999976</v>
      </c>
      <c r="V43" s="41">
        <f t="shared" si="7"/>
        <v>918143.40880000021</v>
      </c>
      <c r="W43" s="41">
        <f t="shared" si="8"/>
        <v>57383.963050000013</v>
      </c>
      <c r="X43" s="41">
        <f t="shared" si="8"/>
        <v>80337.548270000028</v>
      </c>
      <c r="Y43" s="41">
        <f t="shared" si="9"/>
        <v>22953.585220000015</v>
      </c>
      <c r="AF43" s="40" t="s">
        <v>212</v>
      </c>
      <c r="AG43" s="4">
        <v>21277.0838</v>
      </c>
      <c r="AH43">
        <v>552000</v>
      </c>
      <c r="AI43" s="4"/>
      <c r="AJ43" s="40"/>
      <c r="AK43" s="4"/>
    </row>
    <row r="44" spans="13:37" x14ac:dyDescent="0.35">
      <c r="M44">
        <v>27</v>
      </c>
      <c r="N44" t="s">
        <v>213</v>
      </c>
      <c r="O44" t="s">
        <v>201</v>
      </c>
      <c r="P44" t="s">
        <v>171</v>
      </c>
      <c r="Q44" s="41">
        <f>1077102+3724087</f>
        <v>4801189</v>
      </c>
      <c r="R44" s="41">
        <v>0</v>
      </c>
      <c r="T44" s="41">
        <v>3724087</v>
      </c>
      <c r="V44" s="41">
        <f t="shared" si="7"/>
        <v>1077102</v>
      </c>
      <c r="W44" s="41">
        <f t="shared" si="8"/>
        <v>67318.875</v>
      </c>
      <c r="X44" s="41">
        <f t="shared" si="8"/>
        <v>94246.425000000003</v>
      </c>
      <c r="Y44" s="41">
        <f t="shared" si="9"/>
        <v>26927.550000000003</v>
      </c>
      <c r="AF44" s="40" t="s">
        <v>214</v>
      </c>
      <c r="AG44" s="4">
        <v>323154.25407999993</v>
      </c>
      <c r="AH44">
        <v>553000</v>
      </c>
      <c r="AI44" s="4"/>
      <c r="AJ44" s="40"/>
      <c r="AK44" s="4"/>
    </row>
    <row r="45" spans="13:37" x14ac:dyDescent="0.35">
      <c r="M45">
        <v>28</v>
      </c>
      <c r="O45" t="s">
        <v>215</v>
      </c>
      <c r="Q45" s="41">
        <f t="shared" ref="Q45:Y45" si="10">SUM(Q39:Q44)</f>
        <v>19471633</v>
      </c>
      <c r="R45" s="41">
        <f t="shared" si="10"/>
        <v>6180192.876760019</v>
      </c>
      <c r="S45" s="41">
        <f t="shared" si="10"/>
        <v>0</v>
      </c>
      <c r="T45" s="41">
        <f t="shared" si="10"/>
        <v>3724087</v>
      </c>
      <c r="U45" s="41">
        <f t="shared" si="10"/>
        <v>0</v>
      </c>
      <c r="V45" s="41">
        <f t="shared" si="10"/>
        <v>9567353.123239981</v>
      </c>
      <c r="W45" s="41">
        <f t="shared" si="10"/>
        <v>597959.57020249881</v>
      </c>
      <c r="X45" s="41">
        <f t="shared" si="10"/>
        <v>837143.39828349836</v>
      </c>
      <c r="Y45" s="41">
        <f t="shared" si="10"/>
        <v>239183.82808099961</v>
      </c>
      <c r="AF45" s="40" t="s">
        <v>216</v>
      </c>
      <c r="AG45" s="4">
        <v>127950.43519999996</v>
      </c>
      <c r="AH45">
        <v>554000</v>
      </c>
      <c r="AI45" s="4"/>
      <c r="AJ45" s="40"/>
      <c r="AK45" s="4"/>
    </row>
    <row r="46" spans="13:37" x14ac:dyDescent="0.35">
      <c r="M46">
        <v>29</v>
      </c>
      <c r="N46" t="s">
        <v>217</v>
      </c>
      <c r="O46" t="s">
        <v>201</v>
      </c>
      <c r="P46" t="s">
        <v>146</v>
      </c>
      <c r="Q46" s="41">
        <v>517043</v>
      </c>
      <c r="R46" s="41">
        <f>AG34</f>
        <v>385292.42303999997</v>
      </c>
      <c r="V46" s="41">
        <f>Q46-SUM(R46:T46)+U46</f>
        <v>131750.57696000003</v>
      </c>
      <c r="W46" s="41">
        <f t="shared" ref="W46:X50" si="11">$V46*W$16</f>
        <v>8234.4110600000022</v>
      </c>
      <c r="X46" s="41">
        <f t="shared" si="11"/>
        <v>11528.175484000005</v>
      </c>
      <c r="Y46" s="41">
        <f>X46-W46</f>
        <v>3293.7644240000027</v>
      </c>
      <c r="AF46" s="40" t="s">
        <v>218</v>
      </c>
      <c r="AG46" s="4">
        <v>162520.14267999999</v>
      </c>
      <c r="AH46">
        <v>556000</v>
      </c>
      <c r="AI46" s="4"/>
      <c r="AJ46" s="40"/>
      <c r="AK46" s="4"/>
    </row>
    <row r="47" spans="13:37" x14ac:dyDescent="0.35">
      <c r="M47">
        <v>30</v>
      </c>
      <c r="N47" t="s">
        <v>219</v>
      </c>
      <c r="O47" t="s">
        <v>201</v>
      </c>
      <c r="P47" t="s">
        <v>184</v>
      </c>
      <c r="Q47" s="41">
        <v>684483</v>
      </c>
      <c r="R47" s="41">
        <f>AG35</f>
        <v>157975.26724000002</v>
      </c>
      <c r="V47" s="41">
        <f>Q47-SUM(R47:T47)+U47</f>
        <v>526507.73276000004</v>
      </c>
      <c r="W47" s="41">
        <f t="shared" si="11"/>
        <v>32906.733297500003</v>
      </c>
      <c r="X47" s="41">
        <f t="shared" si="11"/>
        <v>46069.426616500008</v>
      </c>
      <c r="Y47" s="41">
        <f>X47-W47</f>
        <v>13162.693319000005</v>
      </c>
      <c r="AF47" s="40" t="s">
        <v>220</v>
      </c>
      <c r="AG47" s="4">
        <v>3327020.69924</v>
      </c>
      <c r="AH47">
        <v>557000</v>
      </c>
      <c r="AI47" s="4"/>
      <c r="AJ47" s="40"/>
      <c r="AK47" s="4"/>
    </row>
    <row r="48" spans="13:37" x14ac:dyDescent="0.35">
      <c r="M48">
        <v>31</v>
      </c>
      <c r="N48" t="s">
        <v>221</v>
      </c>
      <c r="O48" t="s">
        <v>201</v>
      </c>
      <c r="P48" t="s">
        <v>222</v>
      </c>
      <c r="Q48" s="41">
        <v>558309</v>
      </c>
      <c r="R48" s="41">
        <f>AG36</f>
        <v>137130.24948000003</v>
      </c>
      <c r="V48" s="41">
        <f>Q48-SUM(R48:T48)+U48</f>
        <v>421178.75052</v>
      </c>
      <c r="W48" s="41">
        <f t="shared" si="11"/>
        <v>26323.6719075</v>
      </c>
      <c r="X48" s="41">
        <f t="shared" si="11"/>
        <v>36853.140670500004</v>
      </c>
      <c r="Y48" s="41">
        <f>X48-W48</f>
        <v>10529.468763000004</v>
      </c>
      <c r="AF48" s="40" t="s">
        <v>223</v>
      </c>
      <c r="AG48" s="4">
        <v>1129485.0349999999</v>
      </c>
      <c r="AH48">
        <v>560000</v>
      </c>
      <c r="AI48" s="4"/>
      <c r="AJ48" s="40"/>
      <c r="AK48" s="4"/>
    </row>
    <row r="49" spans="13:37" x14ac:dyDescent="0.35">
      <c r="M49">
        <v>32</v>
      </c>
      <c r="N49" t="s">
        <v>224</v>
      </c>
      <c r="O49" t="s">
        <v>201</v>
      </c>
      <c r="P49" t="s">
        <v>190</v>
      </c>
      <c r="Q49" s="41">
        <v>2055791</v>
      </c>
      <c r="R49" s="41">
        <f>AG37</f>
        <v>1439735.4803999979</v>
      </c>
      <c r="V49" s="41">
        <f>Q49-SUM(R49:T49)+U49</f>
        <v>616055.5196000021</v>
      </c>
      <c r="W49" s="41">
        <f t="shared" si="11"/>
        <v>38503.469975000131</v>
      </c>
      <c r="X49" s="41">
        <f t="shared" si="11"/>
        <v>53904.857965000192</v>
      </c>
      <c r="Y49" s="41">
        <f>X49-W49</f>
        <v>15401.387990000061</v>
      </c>
      <c r="AF49" s="40" t="s">
        <v>225</v>
      </c>
      <c r="AG49" s="4">
        <v>14529.283999999996</v>
      </c>
      <c r="AH49">
        <v>561000</v>
      </c>
      <c r="AI49" s="4"/>
      <c r="AJ49" s="40"/>
      <c r="AK49" s="4"/>
    </row>
    <row r="50" spans="13:37" x14ac:dyDescent="0.35">
      <c r="M50">
        <v>33</v>
      </c>
      <c r="N50" t="s">
        <v>226</v>
      </c>
      <c r="O50" t="s">
        <v>201</v>
      </c>
      <c r="P50" t="s">
        <v>193</v>
      </c>
      <c r="Q50" s="41">
        <v>491333</v>
      </c>
      <c r="R50" s="41">
        <f>AG38</f>
        <v>277188.75407999993</v>
      </c>
      <c r="V50" s="41">
        <f>Q50-SUM(R50:T50)+U50</f>
        <v>214144.24592000007</v>
      </c>
      <c r="W50" s="41">
        <f t="shared" si="11"/>
        <v>13384.015370000005</v>
      </c>
      <c r="X50" s="41">
        <f t="shared" si="11"/>
        <v>18737.621518000007</v>
      </c>
      <c r="Y50" s="41">
        <f>X50-W50</f>
        <v>5353.6061480000026</v>
      </c>
      <c r="AF50" s="40" t="s">
        <v>227</v>
      </c>
      <c r="AG50" s="4">
        <v>16644.502</v>
      </c>
      <c r="AH50">
        <v>561110</v>
      </c>
      <c r="AI50" s="4"/>
      <c r="AJ50" s="40"/>
      <c r="AK50" s="4"/>
    </row>
    <row r="51" spans="13:37" x14ac:dyDescent="0.35">
      <c r="M51">
        <v>34</v>
      </c>
      <c r="O51" t="s">
        <v>228</v>
      </c>
      <c r="Q51" s="41">
        <f t="shared" ref="Q51:Y51" si="12">SUM(Q46:Q50)</f>
        <v>4306959</v>
      </c>
      <c r="R51" s="41">
        <f t="shared" si="12"/>
        <v>2397322.1742399978</v>
      </c>
      <c r="S51" s="41">
        <f t="shared" si="12"/>
        <v>0</v>
      </c>
      <c r="T51" s="41">
        <f t="shared" si="12"/>
        <v>0</v>
      </c>
      <c r="U51" s="41">
        <f t="shared" si="12"/>
        <v>0</v>
      </c>
      <c r="V51" s="41">
        <f t="shared" si="12"/>
        <v>1909636.8257600022</v>
      </c>
      <c r="W51" s="41">
        <f t="shared" si="12"/>
        <v>119352.30161000014</v>
      </c>
      <c r="X51" s="41">
        <f t="shared" si="12"/>
        <v>167093.22225400023</v>
      </c>
      <c r="Y51" s="41">
        <f t="shared" si="12"/>
        <v>47740.920644000071</v>
      </c>
      <c r="AF51" s="40" t="s">
        <v>229</v>
      </c>
      <c r="AG51" s="4">
        <v>526176.54852000042</v>
      </c>
      <c r="AH51">
        <v>561210</v>
      </c>
      <c r="AI51" s="4"/>
      <c r="AJ51" s="40"/>
      <c r="AK51" s="4"/>
    </row>
    <row r="52" spans="13:37" x14ac:dyDescent="0.35">
      <c r="M52">
        <v>35</v>
      </c>
      <c r="O52" t="s">
        <v>230</v>
      </c>
      <c r="Q52" s="41">
        <f t="shared" ref="Q52:Y52" si="13">Q45+Q51</f>
        <v>23778592</v>
      </c>
      <c r="R52" s="41">
        <f t="shared" si="13"/>
        <v>8577515.0510000177</v>
      </c>
      <c r="S52" s="41">
        <f t="shared" si="13"/>
        <v>0</v>
      </c>
      <c r="T52" s="41">
        <f t="shared" si="13"/>
        <v>3724087</v>
      </c>
      <c r="U52" s="41">
        <f t="shared" si="13"/>
        <v>0</v>
      </c>
      <c r="V52" s="41">
        <f t="shared" si="13"/>
        <v>11476989.948999982</v>
      </c>
      <c r="W52" s="41">
        <f t="shared" si="13"/>
        <v>717311.8718124989</v>
      </c>
      <c r="X52" s="41">
        <f t="shared" si="13"/>
        <v>1004236.6205374986</v>
      </c>
      <c r="Y52" s="41">
        <f t="shared" si="13"/>
        <v>286924.74872499966</v>
      </c>
      <c r="AF52" s="40" t="s">
        <v>231</v>
      </c>
      <c r="AG52" s="4">
        <v>627258.58887999994</v>
      </c>
      <c r="AH52">
        <v>561310</v>
      </c>
      <c r="AI52" s="4"/>
      <c r="AJ52" s="40"/>
      <c r="AK52" s="4"/>
    </row>
    <row r="53" spans="13:37" x14ac:dyDescent="0.35">
      <c r="M53">
        <v>36</v>
      </c>
      <c r="Q53" s="41"/>
      <c r="R53" s="41"/>
      <c r="AF53" s="40" t="s">
        <v>232</v>
      </c>
      <c r="AG53" s="4">
        <v>335017.33299999998</v>
      </c>
      <c r="AH53">
        <v>561510</v>
      </c>
      <c r="AI53" s="4"/>
      <c r="AJ53" s="40"/>
      <c r="AK53" s="4"/>
    </row>
    <row r="54" spans="13:37" x14ac:dyDescent="0.35">
      <c r="M54">
        <v>37</v>
      </c>
      <c r="N54" t="s">
        <v>233</v>
      </c>
      <c r="O54" t="s">
        <v>234</v>
      </c>
      <c r="P54" t="s">
        <v>146</v>
      </c>
      <c r="Q54" s="41">
        <v>555094</v>
      </c>
      <c r="R54" s="41">
        <f>AG39</f>
        <v>184391.67711999998</v>
      </c>
      <c r="V54" s="41">
        <f t="shared" ref="V54:V59" si="14">Q54-SUM(R54:T54)+U54</f>
        <v>370702.32287999999</v>
      </c>
      <c r="W54" s="41">
        <f t="shared" ref="W54:X59" si="15">$V54*W$16</f>
        <v>23168.89518</v>
      </c>
      <c r="X54" s="41">
        <f t="shared" si="15"/>
        <v>32436.453252000003</v>
      </c>
      <c r="Y54" s="41">
        <f t="shared" ref="Y54:Y59" si="16">X54-W54</f>
        <v>9267.5580720000034</v>
      </c>
      <c r="AF54" s="40">
        <v>561710</v>
      </c>
      <c r="AG54" s="4">
        <v>3432.6616800000002</v>
      </c>
      <c r="AH54">
        <v>561710</v>
      </c>
      <c r="AI54" s="4"/>
      <c r="AJ54" s="40"/>
      <c r="AK54" s="4"/>
    </row>
    <row r="55" spans="13:37" x14ac:dyDescent="0.35">
      <c r="M55">
        <v>38</v>
      </c>
      <c r="N55" t="s">
        <v>235</v>
      </c>
      <c r="O55" t="s">
        <v>234</v>
      </c>
      <c r="P55" t="s">
        <v>150</v>
      </c>
      <c r="Q55" s="41">
        <v>103127060</v>
      </c>
      <c r="R55" s="41">
        <v>0</v>
      </c>
      <c r="S55" s="41">
        <f>(160135186*Q14)</f>
        <v>103127059.78400001</v>
      </c>
      <c r="V55" s="41">
        <f t="shared" si="14"/>
        <v>0.21599999070167542</v>
      </c>
      <c r="W55" s="41">
        <f t="shared" si="15"/>
        <v>1.3499999418854713E-2</v>
      </c>
      <c r="X55" s="41">
        <f t="shared" si="15"/>
        <v>1.88999991863966E-2</v>
      </c>
      <c r="Y55" s="41">
        <f t="shared" si="16"/>
        <v>5.3999997675418868E-3</v>
      </c>
      <c r="AF55" s="40" t="s">
        <v>236</v>
      </c>
      <c r="AG55" s="4">
        <v>92342.63192</v>
      </c>
      <c r="AH55">
        <v>562000</v>
      </c>
      <c r="AI55" s="4"/>
      <c r="AJ55" s="40"/>
      <c r="AK55" s="4"/>
    </row>
    <row r="56" spans="13:37" x14ac:dyDescent="0.35">
      <c r="M56">
        <v>39</v>
      </c>
      <c r="N56" t="s">
        <v>237</v>
      </c>
      <c r="O56" t="s">
        <v>234</v>
      </c>
      <c r="P56" t="s">
        <v>238</v>
      </c>
      <c r="Q56" s="41">
        <v>1976882</v>
      </c>
      <c r="R56" s="41">
        <f>AG40</f>
        <v>226296.29987999995</v>
      </c>
      <c r="V56" s="41">
        <f t="shared" si="14"/>
        <v>1750585.7001200002</v>
      </c>
      <c r="W56" s="41">
        <f t="shared" si="15"/>
        <v>109411.60625750001</v>
      </c>
      <c r="X56" s="41">
        <f t="shared" si="15"/>
        <v>153176.24876050002</v>
      </c>
      <c r="Y56" s="41">
        <f t="shared" si="16"/>
        <v>43764.64250300001</v>
      </c>
      <c r="AF56" s="40" t="s">
        <v>239</v>
      </c>
      <c r="AG56" s="4">
        <v>39145.224440000005</v>
      </c>
      <c r="AH56">
        <v>563000</v>
      </c>
      <c r="AI56" s="4"/>
      <c r="AJ56" s="40"/>
      <c r="AK56" s="4"/>
    </row>
    <row r="57" spans="13:37" x14ac:dyDescent="0.35">
      <c r="M57">
        <v>40</v>
      </c>
      <c r="N57" t="s">
        <v>240</v>
      </c>
      <c r="O57" t="s">
        <v>234</v>
      </c>
      <c r="P57" t="s">
        <v>241</v>
      </c>
      <c r="Q57" s="41">
        <v>0</v>
      </c>
      <c r="R57" s="41">
        <v>0</v>
      </c>
      <c r="V57" s="41">
        <f t="shared" si="14"/>
        <v>0</v>
      </c>
      <c r="W57" s="41">
        <f t="shared" si="15"/>
        <v>0</v>
      </c>
      <c r="X57" s="41">
        <f t="shared" si="15"/>
        <v>0</v>
      </c>
      <c r="Y57" s="41">
        <f t="shared" si="16"/>
        <v>0</v>
      </c>
      <c r="AF57" s="40" t="s">
        <v>242</v>
      </c>
      <c r="AG57" s="4">
        <v>1279046.26192</v>
      </c>
      <c r="AH57">
        <v>566000</v>
      </c>
      <c r="AI57" s="4"/>
      <c r="AJ57" s="40"/>
      <c r="AK57" s="4"/>
    </row>
    <row r="58" spans="13:37" x14ac:dyDescent="0.35">
      <c r="M58">
        <v>41</v>
      </c>
      <c r="N58" t="s">
        <v>243</v>
      </c>
      <c r="O58" t="s">
        <v>234</v>
      </c>
      <c r="P58" t="s">
        <v>168</v>
      </c>
      <c r="Q58" s="41">
        <v>563897</v>
      </c>
      <c r="R58" s="41">
        <f>AG41</f>
        <v>50059.111760000029</v>
      </c>
      <c r="V58" s="41">
        <f t="shared" si="14"/>
        <v>513837.88824</v>
      </c>
      <c r="W58" s="41">
        <f t="shared" si="15"/>
        <v>32114.868015</v>
      </c>
      <c r="X58" s="41">
        <f t="shared" si="15"/>
        <v>44960.815221000004</v>
      </c>
      <c r="Y58" s="41">
        <f t="shared" si="16"/>
        <v>12845.947206000004</v>
      </c>
      <c r="AF58" s="40" t="s">
        <v>244</v>
      </c>
      <c r="AG58" s="4">
        <v>250014.8714</v>
      </c>
      <c r="AH58">
        <v>568000</v>
      </c>
      <c r="AI58" s="4"/>
      <c r="AJ58" s="40"/>
      <c r="AK58" s="4"/>
    </row>
    <row r="59" spans="13:37" x14ac:dyDescent="0.35">
      <c r="M59">
        <v>42</v>
      </c>
      <c r="N59" t="s">
        <v>245</v>
      </c>
      <c r="O59" t="s">
        <v>234</v>
      </c>
      <c r="P59" t="s">
        <v>171</v>
      </c>
      <c r="Q59" s="41">
        <v>56107</v>
      </c>
      <c r="R59" s="41">
        <v>0</v>
      </c>
      <c r="V59" s="41">
        <f t="shared" si="14"/>
        <v>56107</v>
      </c>
      <c r="W59" s="41">
        <f t="shared" si="15"/>
        <v>3506.6875</v>
      </c>
      <c r="X59" s="41">
        <f t="shared" si="15"/>
        <v>4909.3625000000002</v>
      </c>
      <c r="Y59" s="41">
        <f t="shared" si="16"/>
        <v>1402.6750000000002</v>
      </c>
      <c r="AF59" s="40" t="s">
        <v>246</v>
      </c>
      <c r="AG59" s="4">
        <v>258136.85711999994</v>
      </c>
      <c r="AH59">
        <v>569000</v>
      </c>
      <c r="AI59" s="4"/>
      <c r="AJ59" s="40"/>
      <c r="AK59" s="4"/>
    </row>
    <row r="60" spans="13:37" x14ac:dyDescent="0.35">
      <c r="M60">
        <v>43</v>
      </c>
      <c r="O60" t="s">
        <v>247</v>
      </c>
      <c r="Q60" s="41">
        <f t="shared" ref="Q60:Y60" si="17">SUM(Q54:Q59)</f>
        <v>106279040</v>
      </c>
      <c r="R60" s="41">
        <f t="shared" si="17"/>
        <v>460747.08875999996</v>
      </c>
      <c r="S60" s="41">
        <f t="shared" si="17"/>
        <v>103127059.78400001</v>
      </c>
      <c r="T60" s="41">
        <f t="shared" si="17"/>
        <v>0</v>
      </c>
      <c r="U60" s="41">
        <f t="shared" si="17"/>
        <v>0</v>
      </c>
      <c r="V60" s="41">
        <f t="shared" si="17"/>
        <v>2691233.127239991</v>
      </c>
      <c r="W60" s="41">
        <f t="shared" si="17"/>
        <v>168202.07045249944</v>
      </c>
      <c r="X60" s="41">
        <f t="shared" si="17"/>
        <v>235482.89863349919</v>
      </c>
      <c r="Y60" s="41">
        <f t="shared" si="17"/>
        <v>67280.828180999786</v>
      </c>
      <c r="AF60" s="40" t="s">
        <v>248</v>
      </c>
      <c r="AG60" s="4">
        <v>262992.2506400001</v>
      </c>
      <c r="AH60">
        <v>570000</v>
      </c>
      <c r="AI60" s="4"/>
      <c r="AJ60" s="40"/>
      <c r="AK60" s="4"/>
    </row>
    <row r="61" spans="13:37" x14ac:dyDescent="0.35">
      <c r="M61">
        <v>44</v>
      </c>
      <c r="N61" t="s">
        <v>249</v>
      </c>
      <c r="O61" t="s">
        <v>234</v>
      </c>
      <c r="P61" t="s">
        <v>146</v>
      </c>
      <c r="Q61" s="41">
        <v>494345</v>
      </c>
      <c r="R61" s="41">
        <f>AG42</f>
        <v>217933.05184</v>
      </c>
      <c r="S61" s="41"/>
      <c r="T61" s="41"/>
      <c r="U61" s="41"/>
      <c r="V61" s="41">
        <f>Q61-SUM(R61:T61)+U61</f>
        <v>276411.94816000003</v>
      </c>
      <c r="W61" s="41">
        <f t="shared" ref="W61:X65" si="18">$V61*W$16</f>
        <v>17275.746760000002</v>
      </c>
      <c r="X61" s="41">
        <f t="shared" si="18"/>
        <v>24186.045464000006</v>
      </c>
      <c r="Y61" s="41">
        <f>X61-W61</f>
        <v>6910.2987040000044</v>
      </c>
      <c r="AF61" s="40" t="s">
        <v>250</v>
      </c>
      <c r="AG61" s="4">
        <v>11043.090599999998</v>
      </c>
      <c r="AH61">
        <v>571000</v>
      </c>
      <c r="AI61" s="4"/>
      <c r="AJ61" s="40"/>
      <c r="AK61" s="4"/>
    </row>
    <row r="62" spans="13:37" x14ac:dyDescent="0.35">
      <c r="M62">
        <v>45</v>
      </c>
      <c r="N62" t="s">
        <v>251</v>
      </c>
      <c r="O62" t="s">
        <v>234</v>
      </c>
      <c r="P62" t="s">
        <v>184</v>
      </c>
      <c r="Q62" s="41">
        <v>96669</v>
      </c>
      <c r="R62" s="41">
        <f>AG43</f>
        <v>21277.0838</v>
      </c>
      <c r="S62" s="41"/>
      <c r="T62" s="41"/>
      <c r="U62" s="41"/>
      <c r="V62" s="41">
        <f>Q62-SUM(R62:T62)+U62</f>
        <v>75391.916200000007</v>
      </c>
      <c r="W62" s="41">
        <f t="shared" si="18"/>
        <v>4711.9947625000004</v>
      </c>
      <c r="X62" s="41">
        <f t="shared" si="18"/>
        <v>6596.7926675000008</v>
      </c>
      <c r="Y62" s="41">
        <f>X62-W62</f>
        <v>1884.7979050000004</v>
      </c>
      <c r="AF62" s="40" t="s">
        <v>252</v>
      </c>
      <c r="AG62" s="4">
        <v>536.92856000000006</v>
      </c>
      <c r="AH62">
        <v>572000</v>
      </c>
      <c r="AI62" s="4"/>
      <c r="AJ62" s="40"/>
      <c r="AK62" s="4"/>
    </row>
    <row r="63" spans="13:37" x14ac:dyDescent="0.35">
      <c r="M63">
        <v>46</v>
      </c>
      <c r="N63" t="s">
        <v>253</v>
      </c>
      <c r="O63" t="s">
        <v>234</v>
      </c>
      <c r="P63" t="s">
        <v>254</v>
      </c>
      <c r="Q63" s="41">
        <v>2000215</v>
      </c>
      <c r="R63" s="41">
        <f>AG44</f>
        <v>323154.25407999993</v>
      </c>
      <c r="S63" s="41"/>
      <c r="U63" s="41"/>
      <c r="V63" s="41">
        <f>Q63-SUM(R63:T63)+U63</f>
        <v>1677060.7459200001</v>
      </c>
      <c r="W63" s="41">
        <f t="shared" si="18"/>
        <v>104816.29662000001</v>
      </c>
      <c r="X63" s="41">
        <f t="shared" si="18"/>
        <v>146742.81526800003</v>
      </c>
      <c r="Y63" s="41">
        <f>X63-W63</f>
        <v>41926.518648000027</v>
      </c>
      <c r="AF63" s="40" t="s">
        <v>255</v>
      </c>
      <c r="AG63" s="4">
        <v>8685.2300000000014</v>
      </c>
      <c r="AH63">
        <v>573000</v>
      </c>
      <c r="AI63" s="4"/>
      <c r="AJ63" s="40"/>
      <c r="AK63" s="4"/>
    </row>
    <row r="64" spans="13:37" x14ac:dyDescent="0.35">
      <c r="M64">
        <v>47</v>
      </c>
      <c r="N64" t="s">
        <v>256</v>
      </c>
      <c r="O64" t="s">
        <v>234</v>
      </c>
      <c r="P64" t="s">
        <v>257</v>
      </c>
      <c r="Q64" s="41">
        <v>0</v>
      </c>
      <c r="R64" s="41">
        <v>0</v>
      </c>
      <c r="S64" s="41"/>
      <c r="T64" s="41"/>
      <c r="U64" s="41"/>
      <c r="V64" s="41">
        <f>Q64-SUM(R64:T64)+U64</f>
        <v>0</v>
      </c>
      <c r="W64" s="41">
        <f t="shared" si="18"/>
        <v>0</v>
      </c>
      <c r="X64" s="41">
        <f t="shared" si="18"/>
        <v>0</v>
      </c>
      <c r="Y64" s="41">
        <f>X64-W64</f>
        <v>0</v>
      </c>
      <c r="AF64" s="40" t="s">
        <v>258</v>
      </c>
      <c r="AG64" s="4">
        <v>2253818.9402659987</v>
      </c>
      <c r="AH64">
        <v>580000</v>
      </c>
      <c r="AI64" s="4"/>
      <c r="AJ64" s="40"/>
      <c r="AK64" s="4"/>
    </row>
    <row r="65" spans="13:37" x14ac:dyDescent="0.35">
      <c r="M65">
        <v>48</v>
      </c>
      <c r="N65" t="s">
        <v>259</v>
      </c>
      <c r="O65" t="s">
        <v>234</v>
      </c>
      <c r="P65" t="s">
        <v>193</v>
      </c>
      <c r="Q65" s="41">
        <v>316649</v>
      </c>
      <c r="R65" s="41">
        <f>AG45</f>
        <v>127950.43519999996</v>
      </c>
      <c r="S65" s="41"/>
      <c r="T65" s="41"/>
      <c r="U65" s="41"/>
      <c r="V65" s="41">
        <f>Q65-SUM(R65:T65)+U65</f>
        <v>188698.56480000005</v>
      </c>
      <c r="W65" s="41">
        <f t="shared" si="18"/>
        <v>11793.660300000003</v>
      </c>
      <c r="X65" s="41">
        <f t="shared" si="18"/>
        <v>16511.124420000007</v>
      </c>
      <c r="Y65" s="41">
        <f>X65-W65</f>
        <v>4717.4641200000042</v>
      </c>
      <c r="AF65" s="40" t="s">
        <v>260</v>
      </c>
      <c r="AG65" s="4">
        <v>390241.6703828001</v>
      </c>
      <c r="AH65">
        <v>582000</v>
      </c>
      <c r="AI65" s="4"/>
      <c r="AJ65" s="40"/>
      <c r="AK65" s="4"/>
    </row>
    <row r="66" spans="13:37" x14ac:dyDescent="0.35">
      <c r="M66">
        <v>49</v>
      </c>
      <c r="O66" t="s">
        <v>261</v>
      </c>
      <c r="Q66" s="41">
        <f t="shared" ref="Q66:Y66" si="19">SUM(Q61:Q65)</f>
        <v>2907878</v>
      </c>
      <c r="R66" s="41">
        <f t="shared" si="19"/>
        <v>690314.82491999981</v>
      </c>
      <c r="S66" s="41">
        <f t="shared" si="19"/>
        <v>0</v>
      </c>
      <c r="T66" s="41">
        <f t="shared" si="19"/>
        <v>0</v>
      </c>
      <c r="U66" s="41">
        <f t="shared" si="19"/>
        <v>0</v>
      </c>
      <c r="V66" s="41">
        <f t="shared" si="19"/>
        <v>2217563.1750800004</v>
      </c>
      <c r="W66" s="41">
        <f t="shared" si="19"/>
        <v>138597.69844250003</v>
      </c>
      <c r="X66" s="41">
        <f t="shared" si="19"/>
        <v>194036.77781950004</v>
      </c>
      <c r="Y66" s="41">
        <f t="shared" si="19"/>
        <v>55439.079377000031</v>
      </c>
      <c r="AF66" s="40" t="s">
        <v>262</v>
      </c>
      <c r="AG66" s="4">
        <v>913142.68452180037</v>
      </c>
      <c r="AH66">
        <v>583000</v>
      </c>
      <c r="AI66" s="4"/>
      <c r="AJ66" s="40"/>
      <c r="AK66" s="4"/>
    </row>
    <row r="67" spans="13:37" x14ac:dyDescent="0.35">
      <c r="M67">
        <v>50</v>
      </c>
      <c r="O67" t="s">
        <v>263</v>
      </c>
      <c r="Q67" s="41">
        <f t="shared" ref="Q67:Y67" si="20">Q60+Q66</f>
        <v>109186918</v>
      </c>
      <c r="R67" s="41">
        <f t="shared" si="20"/>
        <v>1151061.9136799998</v>
      </c>
      <c r="S67" s="41">
        <f t="shared" si="20"/>
        <v>103127059.78400001</v>
      </c>
      <c r="T67" s="41">
        <f t="shared" si="20"/>
        <v>0</v>
      </c>
      <c r="U67" s="41">
        <f t="shared" si="20"/>
        <v>0</v>
      </c>
      <c r="V67" s="41">
        <f t="shared" si="20"/>
        <v>4908796.3023199914</v>
      </c>
      <c r="W67" s="41">
        <f t="shared" si="20"/>
        <v>306799.76889499946</v>
      </c>
      <c r="X67" s="41">
        <f t="shared" si="20"/>
        <v>429519.67645299924</v>
      </c>
      <c r="Y67" s="41">
        <f t="shared" si="20"/>
        <v>122719.90755799982</v>
      </c>
      <c r="AF67" s="40" t="s">
        <v>264</v>
      </c>
      <c r="AG67" s="4">
        <v>322896.45000000024</v>
      </c>
      <c r="AH67">
        <v>584000</v>
      </c>
      <c r="AI67" s="4"/>
      <c r="AJ67" s="40"/>
      <c r="AK67" s="4"/>
    </row>
    <row r="68" spans="13:37" x14ac:dyDescent="0.35">
      <c r="M68">
        <v>51</v>
      </c>
      <c r="Q68" s="41"/>
      <c r="R68" s="41"/>
      <c r="S68" s="41"/>
      <c r="T68" s="41"/>
      <c r="U68" s="41"/>
      <c r="V68" s="41"/>
      <c r="AF68" s="40" t="s">
        <v>265</v>
      </c>
      <c r="AG68" s="4">
        <v>923.16</v>
      </c>
      <c r="AH68">
        <v>585000</v>
      </c>
      <c r="AI68" s="4"/>
      <c r="AJ68" s="40"/>
      <c r="AK68" s="4"/>
    </row>
    <row r="69" spans="13:37" x14ac:dyDescent="0.35">
      <c r="M69">
        <v>52</v>
      </c>
      <c r="N69" t="s">
        <v>266</v>
      </c>
      <c r="O69" t="s">
        <v>267</v>
      </c>
      <c r="Q69" s="41">
        <f>133893059-Q70</f>
        <v>135539767</v>
      </c>
      <c r="R69" s="41">
        <v>0</v>
      </c>
      <c r="S69" s="41">
        <f>Q69</f>
        <v>135539767</v>
      </c>
      <c r="T69" s="41"/>
      <c r="U69" s="41"/>
      <c r="V69" s="41">
        <f>Q69-SUM(R69:T69)+U69</f>
        <v>0</v>
      </c>
      <c r="W69" s="41">
        <f t="shared" ref="W69:X72" si="21">$V69*W$16</f>
        <v>0</v>
      </c>
      <c r="X69" s="41">
        <f t="shared" si="21"/>
        <v>0</v>
      </c>
      <c r="Y69" s="41">
        <f>X69-W69</f>
        <v>0</v>
      </c>
      <c r="AF69" s="40" t="s">
        <v>268</v>
      </c>
      <c r="AG69" s="4">
        <v>1381318.0451226002</v>
      </c>
      <c r="AH69">
        <v>586000</v>
      </c>
      <c r="AI69" s="4"/>
      <c r="AJ69" s="40"/>
      <c r="AK69" s="4"/>
    </row>
    <row r="70" spans="13:37" x14ac:dyDescent="0.35">
      <c r="M70">
        <v>53</v>
      </c>
      <c r="N70" t="s">
        <v>269</v>
      </c>
      <c r="O70" t="s">
        <v>270</v>
      </c>
      <c r="Q70" s="41">
        <f>-2557000*Q14</f>
        <v>-1646708</v>
      </c>
      <c r="R70" s="41">
        <v>0</v>
      </c>
      <c r="S70" s="41">
        <f>Q70</f>
        <v>-1646708</v>
      </c>
      <c r="T70" s="41"/>
      <c r="U70" s="41"/>
      <c r="V70" s="41">
        <f>Q70-SUM(R70:T70)+U70</f>
        <v>0</v>
      </c>
      <c r="W70" s="41">
        <f t="shared" si="21"/>
        <v>0</v>
      </c>
      <c r="X70" s="41">
        <f t="shared" si="21"/>
        <v>0</v>
      </c>
      <c r="Y70" s="41">
        <f>X70-W70</f>
        <v>0</v>
      </c>
      <c r="AF70" s="40" t="s">
        <v>271</v>
      </c>
      <c r="AG70" s="4">
        <v>447444.52768520103</v>
      </c>
      <c r="AH70">
        <v>587000</v>
      </c>
      <c r="AI70" s="4"/>
      <c r="AJ70" s="40"/>
      <c r="AK70" s="4"/>
    </row>
    <row r="71" spans="13:37" x14ac:dyDescent="0.35">
      <c r="M71">
        <v>54</v>
      </c>
      <c r="N71" t="s">
        <v>272</v>
      </c>
      <c r="O71" t="s">
        <v>273</v>
      </c>
      <c r="Q71" s="41">
        <v>527060</v>
      </c>
      <c r="R71" s="41">
        <f>AG46</f>
        <v>162520.14267999999</v>
      </c>
      <c r="S71" s="41"/>
      <c r="T71" s="41"/>
      <c r="U71" s="41"/>
      <c r="V71" s="41">
        <f>Q71-SUM(R71:T71)+U71</f>
        <v>364539.85732000001</v>
      </c>
      <c r="W71" s="41">
        <f t="shared" si="21"/>
        <v>22783.741082500001</v>
      </c>
      <c r="X71" s="41">
        <f t="shared" si="21"/>
        <v>31897.237515500005</v>
      </c>
      <c r="Y71" s="41">
        <f>X71-W71</f>
        <v>9113.4964330000039</v>
      </c>
      <c r="AF71" s="40" t="s">
        <v>274</v>
      </c>
      <c r="AG71" s="4">
        <v>4530128.0675309952</v>
      </c>
      <c r="AH71">
        <v>588000</v>
      </c>
      <c r="AI71" s="4"/>
      <c r="AJ71" s="40"/>
      <c r="AK71" s="4"/>
    </row>
    <row r="72" spans="13:37" x14ac:dyDescent="0.35">
      <c r="M72">
        <v>55</v>
      </c>
      <c r="N72" t="s">
        <v>275</v>
      </c>
      <c r="O72" t="s">
        <v>276</v>
      </c>
      <c r="Q72" s="41">
        <v>-5450296</v>
      </c>
      <c r="R72" s="41">
        <f>AG47</f>
        <v>3327020.69924</v>
      </c>
      <c r="S72" s="41">
        <f>(48913167*Q14)+497496-42842411</f>
        <v>-10844835.452</v>
      </c>
      <c r="T72" s="41"/>
      <c r="U72" s="41">
        <v>-8809</v>
      </c>
      <c r="V72" s="41">
        <f>Q72-SUM(R72:T72)+U72</f>
        <v>2058709.7527599996</v>
      </c>
      <c r="W72" s="41">
        <f t="shared" si="21"/>
        <v>128669.35954749997</v>
      </c>
      <c r="X72" s="41">
        <f t="shared" si="21"/>
        <v>180137.10336649997</v>
      </c>
      <c r="Y72" s="41">
        <f>X72-W72</f>
        <v>51467.743818999996</v>
      </c>
      <c r="AF72" s="40" t="s">
        <v>277</v>
      </c>
      <c r="AG72" s="4">
        <v>584233.00510139973</v>
      </c>
      <c r="AH72">
        <v>590000</v>
      </c>
      <c r="AI72" s="4"/>
      <c r="AJ72" s="40"/>
      <c r="AK72" s="4"/>
    </row>
    <row r="73" spans="13:37" x14ac:dyDescent="0.35">
      <c r="M73">
        <v>56</v>
      </c>
      <c r="P73" t="s">
        <v>278</v>
      </c>
      <c r="Q73" s="41">
        <f t="shared" ref="Q73:Y73" si="22">Q37+Q70+Q52+Q67+Q69+Q71+Q72</f>
        <v>304694102</v>
      </c>
      <c r="R73" s="41">
        <f t="shared" si="22"/>
        <v>15571894.14984002</v>
      </c>
      <c r="S73" s="41">
        <f t="shared" si="22"/>
        <v>254345999.604</v>
      </c>
      <c r="T73" s="41">
        <f t="shared" si="22"/>
        <v>14266656.155999999</v>
      </c>
      <c r="U73" s="41">
        <f t="shared" si="22"/>
        <v>-8809</v>
      </c>
      <c r="V73" s="41">
        <f t="shared" si="22"/>
        <v>20500743.090159971</v>
      </c>
      <c r="W73" s="41">
        <f t="shared" si="22"/>
        <v>1281296.4431349982</v>
      </c>
      <c r="X73" s="41">
        <f t="shared" si="22"/>
        <v>1793815.0203889976</v>
      </c>
      <c r="Y73" s="41">
        <f t="shared" si="22"/>
        <v>512518.57725399942</v>
      </c>
      <c r="AF73" s="40" t="s">
        <v>279</v>
      </c>
      <c r="AG73" s="4">
        <v>151607.78480579995</v>
      </c>
      <c r="AH73">
        <v>591000</v>
      </c>
      <c r="AI73" s="4"/>
      <c r="AJ73" s="40"/>
      <c r="AK73" s="4"/>
    </row>
    <row r="74" spans="13:37" x14ac:dyDescent="0.35">
      <c r="M74">
        <v>57</v>
      </c>
      <c r="Q74" s="41"/>
      <c r="R74" s="41"/>
      <c r="S74" s="40"/>
      <c r="AF74" s="40" t="s">
        <v>280</v>
      </c>
      <c r="AG74" s="4">
        <v>317275.51996179996</v>
      </c>
      <c r="AH74">
        <v>592000</v>
      </c>
      <c r="AI74" s="4"/>
      <c r="AJ74" s="40"/>
      <c r="AK74" s="4"/>
    </row>
    <row r="75" spans="13:37" x14ac:dyDescent="0.35">
      <c r="M75">
        <v>58</v>
      </c>
      <c r="O75" t="s">
        <v>281</v>
      </c>
      <c r="AF75" s="40" t="s">
        <v>282</v>
      </c>
      <c r="AG75" s="4">
        <v>1658650.4400000016</v>
      </c>
      <c r="AH75">
        <v>593000</v>
      </c>
      <c r="AI75" s="4"/>
      <c r="AJ75" s="40"/>
      <c r="AK75" s="4"/>
    </row>
    <row r="76" spans="13:37" x14ac:dyDescent="0.35">
      <c r="M76">
        <v>59</v>
      </c>
      <c r="N76" t="s">
        <v>283</v>
      </c>
      <c r="O76" t="s">
        <v>146</v>
      </c>
      <c r="Q76" s="41">
        <v>1267349</v>
      </c>
      <c r="R76" s="41">
        <f>AG48</f>
        <v>1129485.0349999999</v>
      </c>
      <c r="T76" s="41"/>
      <c r="V76" s="41">
        <f t="shared" ref="V76:V90" si="23">Q76-SUM(R76:T76)+U76</f>
        <v>137863.96500000008</v>
      </c>
      <c r="W76" s="41">
        <f t="shared" ref="W76:X90" si="24">$V76*W$16</f>
        <v>8616.4978125000052</v>
      </c>
      <c r="X76" s="41">
        <f t="shared" si="24"/>
        <v>12063.096937500008</v>
      </c>
      <c r="Y76" s="41">
        <f t="shared" ref="Y76:Y90" si="25">X76-W76</f>
        <v>3446.5991250000025</v>
      </c>
      <c r="AF76" s="40" t="s">
        <v>284</v>
      </c>
      <c r="AG76" s="4">
        <v>499277.38000000076</v>
      </c>
      <c r="AH76">
        <v>594000</v>
      </c>
      <c r="AI76" s="4"/>
      <c r="AJ76" s="40"/>
      <c r="AK76" s="4"/>
    </row>
    <row r="77" spans="13:37" x14ac:dyDescent="0.35">
      <c r="M77">
        <v>60</v>
      </c>
      <c r="N77" t="s">
        <v>285</v>
      </c>
      <c r="O77" t="s">
        <v>286</v>
      </c>
      <c r="Q77" s="41">
        <f>2000227-SUM(Q78:Q84)</f>
        <v>2000227</v>
      </c>
      <c r="R77" s="41">
        <f>AG49+AG50</f>
        <v>31173.785999999996</v>
      </c>
      <c r="V77" s="41">
        <f t="shared" si="23"/>
        <v>1969053.2139999999</v>
      </c>
      <c r="W77" s="41">
        <f t="shared" si="24"/>
        <v>123065.82587499999</v>
      </c>
      <c r="X77" s="41">
        <f t="shared" si="24"/>
        <v>172292.15622500001</v>
      </c>
      <c r="Y77" s="41">
        <f t="shared" si="25"/>
        <v>49226.330350000018</v>
      </c>
      <c r="AF77" s="40" t="s">
        <v>287</v>
      </c>
      <c r="AG77" s="4">
        <v>308860.24000000022</v>
      </c>
      <c r="AH77">
        <v>595000</v>
      </c>
      <c r="AI77" s="4"/>
      <c r="AJ77" s="40"/>
      <c r="AK77" s="4"/>
    </row>
    <row r="78" spans="13:37" x14ac:dyDescent="0.35">
      <c r="M78">
        <v>61</v>
      </c>
      <c r="N78" t="s">
        <v>288</v>
      </c>
      <c r="O78" t="s">
        <v>289</v>
      </c>
      <c r="Q78" s="41"/>
      <c r="R78" s="41">
        <f>AG51</f>
        <v>526176.54852000042</v>
      </c>
      <c r="V78" s="41">
        <f t="shared" si="23"/>
        <v>-526176.54852000042</v>
      </c>
      <c r="W78" s="41">
        <f t="shared" si="24"/>
        <v>-32886.034282500026</v>
      </c>
      <c r="X78" s="41">
        <f t="shared" si="24"/>
        <v>-46040.447995500042</v>
      </c>
      <c r="Y78" s="41">
        <f t="shared" si="25"/>
        <v>-13154.413713000016</v>
      </c>
      <c r="AF78" s="40" t="s">
        <v>290</v>
      </c>
      <c r="AG78" s="4">
        <v>61122.309999999983</v>
      </c>
      <c r="AH78">
        <v>596000</v>
      </c>
      <c r="AI78" s="4"/>
      <c r="AJ78" s="40"/>
      <c r="AK78" s="4"/>
    </row>
    <row r="79" spans="13:37" x14ac:dyDescent="0.35">
      <c r="M79">
        <v>62</v>
      </c>
      <c r="N79" t="s">
        <v>291</v>
      </c>
      <c r="O79" t="s">
        <v>292</v>
      </c>
      <c r="Q79" s="41"/>
      <c r="R79" s="41">
        <f>AG52</f>
        <v>627258.58887999994</v>
      </c>
      <c r="V79" s="41">
        <f t="shared" si="23"/>
        <v>-627258.58887999994</v>
      </c>
      <c r="W79" s="41">
        <f t="shared" si="24"/>
        <v>-39203.661804999996</v>
      </c>
      <c r="X79" s="41">
        <f t="shared" si="24"/>
        <v>-54885.126527</v>
      </c>
      <c r="Y79" s="41">
        <f t="shared" si="25"/>
        <v>-15681.464722000004</v>
      </c>
      <c r="AF79" s="40" t="s">
        <v>293</v>
      </c>
      <c r="AG79" s="4">
        <v>30628.919999999973</v>
      </c>
      <c r="AH79">
        <v>597000</v>
      </c>
      <c r="AI79" s="4"/>
      <c r="AJ79" s="40"/>
      <c r="AK79" s="4"/>
    </row>
    <row r="80" spans="13:37" x14ac:dyDescent="0.35">
      <c r="M80">
        <v>63</v>
      </c>
      <c r="N80" t="s">
        <v>294</v>
      </c>
      <c r="O80" t="s">
        <v>295</v>
      </c>
      <c r="Q80" s="41"/>
      <c r="R80" s="41">
        <v>0</v>
      </c>
      <c r="V80" s="41">
        <f t="shared" si="23"/>
        <v>0</v>
      </c>
      <c r="W80" s="41">
        <f t="shared" si="24"/>
        <v>0</v>
      </c>
      <c r="X80" s="41">
        <f t="shared" si="24"/>
        <v>0</v>
      </c>
      <c r="Y80" s="41">
        <f t="shared" si="25"/>
        <v>0</v>
      </c>
      <c r="AF80" s="40" t="s">
        <v>296</v>
      </c>
      <c r="AG80" s="4">
        <v>451352.59551259998</v>
      </c>
      <c r="AH80">
        <v>598000</v>
      </c>
      <c r="AI80" s="4"/>
      <c r="AJ80" s="40"/>
      <c r="AK80" s="4"/>
    </row>
    <row r="81" spans="13:37" x14ac:dyDescent="0.35">
      <c r="M81">
        <v>64</v>
      </c>
      <c r="N81" t="s">
        <v>297</v>
      </c>
      <c r="O81" t="s">
        <v>298</v>
      </c>
      <c r="Q81" s="41"/>
      <c r="R81" s="41">
        <f>AG53</f>
        <v>335017.33299999998</v>
      </c>
      <c r="V81" s="41">
        <f t="shared" si="23"/>
        <v>-335017.33299999998</v>
      </c>
      <c r="W81" s="41">
        <f t="shared" si="24"/>
        <v>-20938.583312499999</v>
      </c>
      <c r="X81" s="41">
        <f t="shared" si="24"/>
        <v>-29314.016637500001</v>
      </c>
      <c r="Y81" s="41">
        <f t="shared" si="25"/>
        <v>-8375.4333250000018</v>
      </c>
      <c r="AF81" s="40" t="s">
        <v>299</v>
      </c>
      <c r="AG81" s="4">
        <v>80581.460230799974</v>
      </c>
      <c r="AH81">
        <v>901000</v>
      </c>
      <c r="AI81" s="4"/>
      <c r="AJ81" s="40"/>
      <c r="AK81" s="4"/>
    </row>
    <row r="82" spans="13:37" x14ac:dyDescent="0.35">
      <c r="M82">
        <v>65</v>
      </c>
      <c r="N82" t="s">
        <v>300</v>
      </c>
      <c r="O82" t="s">
        <v>301</v>
      </c>
      <c r="Q82" s="41"/>
      <c r="R82" s="41">
        <v>0</v>
      </c>
      <c r="V82" s="41">
        <f t="shared" si="23"/>
        <v>0</v>
      </c>
      <c r="W82" s="41">
        <f t="shared" si="24"/>
        <v>0</v>
      </c>
      <c r="X82" s="41">
        <f t="shared" si="24"/>
        <v>0</v>
      </c>
      <c r="Y82" s="41">
        <f t="shared" si="25"/>
        <v>0</v>
      </c>
      <c r="AF82" s="40" t="s">
        <v>302</v>
      </c>
      <c r="AG82" s="4">
        <v>344421.41413240007</v>
      </c>
      <c r="AH82">
        <v>902000</v>
      </c>
      <c r="AI82" s="4"/>
      <c r="AJ82" s="40"/>
      <c r="AK82" s="4"/>
    </row>
    <row r="83" spans="13:37" x14ac:dyDescent="0.35">
      <c r="M83">
        <v>66</v>
      </c>
      <c r="N83" t="s">
        <v>303</v>
      </c>
      <c r="O83" t="s">
        <v>304</v>
      </c>
      <c r="Q83" s="41"/>
      <c r="R83" s="41">
        <f>AG54</f>
        <v>3432.6616800000002</v>
      </c>
      <c r="V83" s="41">
        <f t="shared" si="23"/>
        <v>-3432.6616800000002</v>
      </c>
      <c r="W83" s="41">
        <f t="shared" si="24"/>
        <v>-214.54135500000001</v>
      </c>
      <c r="X83" s="41">
        <f t="shared" si="24"/>
        <v>-300.35789700000004</v>
      </c>
      <c r="Y83" s="41">
        <f t="shared" si="25"/>
        <v>-85.816542000000027</v>
      </c>
      <c r="AF83" s="40" t="s">
        <v>305</v>
      </c>
      <c r="AG83" s="4">
        <v>2960688.2777215969</v>
      </c>
      <c r="AH83">
        <v>903000</v>
      </c>
      <c r="AI83" s="4"/>
      <c r="AJ83" s="40"/>
      <c r="AK83" s="4"/>
    </row>
    <row r="84" spans="13:37" x14ac:dyDescent="0.35">
      <c r="M84">
        <v>67</v>
      </c>
      <c r="N84" t="s">
        <v>306</v>
      </c>
      <c r="O84" t="s">
        <v>307</v>
      </c>
      <c r="Q84" s="41"/>
      <c r="R84" s="41">
        <v>0</v>
      </c>
      <c r="V84" s="41">
        <f t="shared" si="23"/>
        <v>0</v>
      </c>
      <c r="W84" s="41">
        <f t="shared" si="24"/>
        <v>0</v>
      </c>
      <c r="X84" s="41">
        <f t="shared" si="24"/>
        <v>0</v>
      </c>
      <c r="Y84" s="41">
        <f t="shared" si="25"/>
        <v>0</v>
      </c>
      <c r="AF84" s="40" t="s">
        <v>308</v>
      </c>
      <c r="AG84" s="4">
        <v>197494.26894119981</v>
      </c>
      <c r="AH84">
        <v>905000</v>
      </c>
      <c r="AI84" s="4"/>
      <c r="AJ84" s="40"/>
      <c r="AK84" s="4"/>
    </row>
    <row r="85" spans="13:37" x14ac:dyDescent="0.35">
      <c r="M85">
        <v>68</v>
      </c>
      <c r="N85" t="s">
        <v>309</v>
      </c>
      <c r="O85" t="s">
        <v>310</v>
      </c>
      <c r="Q85" s="41">
        <v>283742</v>
      </c>
      <c r="R85" s="41">
        <f>AG55</f>
        <v>92342.63192</v>
      </c>
      <c r="V85" s="41">
        <f t="shared" si="23"/>
        <v>191399.36807999999</v>
      </c>
      <c r="W85" s="41">
        <f t="shared" si="24"/>
        <v>11962.460504999999</v>
      </c>
      <c r="X85" s="41">
        <f t="shared" si="24"/>
        <v>16747.444706999999</v>
      </c>
      <c r="Y85" s="41">
        <f t="shared" si="25"/>
        <v>4784.9842019999996</v>
      </c>
      <c r="AF85" s="40" t="s">
        <v>311</v>
      </c>
      <c r="AG85" s="4">
        <v>197529.90062040003</v>
      </c>
      <c r="AH85">
        <v>908000</v>
      </c>
      <c r="AI85" s="4"/>
      <c r="AJ85" s="40"/>
      <c r="AK85" s="4"/>
    </row>
    <row r="86" spans="13:37" x14ac:dyDescent="0.35">
      <c r="M86">
        <v>69</v>
      </c>
      <c r="N86" t="s">
        <v>312</v>
      </c>
      <c r="O86" t="s">
        <v>313</v>
      </c>
      <c r="Q86" s="41">
        <v>366901</v>
      </c>
      <c r="R86" s="41">
        <f>AG56</f>
        <v>39145.224440000005</v>
      </c>
      <c r="V86" s="41">
        <f t="shared" si="23"/>
        <v>327755.77555999998</v>
      </c>
      <c r="W86" s="41">
        <f t="shared" si="24"/>
        <v>20484.735972499999</v>
      </c>
      <c r="X86" s="41">
        <f t="shared" si="24"/>
        <v>28678.6303615</v>
      </c>
      <c r="Y86" s="41">
        <f t="shared" si="25"/>
        <v>8193.894389000001</v>
      </c>
      <c r="AF86" s="40" t="s">
        <v>314</v>
      </c>
      <c r="AG86" s="4">
        <v>18156.3941424</v>
      </c>
      <c r="AH86">
        <v>909000</v>
      </c>
      <c r="AI86" s="4"/>
      <c r="AJ86" s="40"/>
      <c r="AK86" s="4"/>
    </row>
    <row r="87" spans="13:37" x14ac:dyDescent="0.35">
      <c r="M87">
        <v>70</v>
      </c>
      <c r="N87" t="s">
        <v>315</v>
      </c>
      <c r="O87" t="s">
        <v>316</v>
      </c>
      <c r="Q87" s="41">
        <v>0</v>
      </c>
      <c r="R87" s="41">
        <v>0</v>
      </c>
      <c r="V87" s="41">
        <f t="shared" si="23"/>
        <v>0</v>
      </c>
      <c r="W87" s="41">
        <f t="shared" si="24"/>
        <v>0</v>
      </c>
      <c r="X87" s="41">
        <f t="shared" si="24"/>
        <v>0</v>
      </c>
      <c r="Y87" s="41">
        <f t="shared" si="25"/>
        <v>0</v>
      </c>
      <c r="AF87" s="40" t="s">
        <v>317</v>
      </c>
      <c r="AG87" s="4">
        <v>30694.790310799995</v>
      </c>
      <c r="AH87">
        <v>910000</v>
      </c>
      <c r="AI87" s="4"/>
      <c r="AJ87" s="40"/>
      <c r="AK87" s="4"/>
    </row>
    <row r="88" spans="13:37" x14ac:dyDescent="0.35">
      <c r="M88">
        <v>71</v>
      </c>
      <c r="N88" t="s">
        <v>318</v>
      </c>
      <c r="O88" t="s">
        <v>319</v>
      </c>
      <c r="Q88" s="41">
        <v>13164986</v>
      </c>
      <c r="R88" s="41">
        <v>0</v>
      </c>
      <c r="S88" s="41">
        <f>(20442524*Q14)+1</f>
        <v>13164986.456</v>
      </c>
      <c r="T88" s="41"/>
      <c r="V88" s="41">
        <f t="shared" si="23"/>
        <v>-0.45600000023841858</v>
      </c>
      <c r="W88" s="41">
        <f t="shared" si="24"/>
        <v>-2.8500000014901161E-2</v>
      </c>
      <c r="X88" s="41">
        <f t="shared" si="24"/>
        <v>-3.990000002086163E-2</v>
      </c>
      <c r="Y88" s="41">
        <f t="shared" si="25"/>
        <v>-1.1400000005960469E-2</v>
      </c>
      <c r="AF88" s="40" t="s">
        <v>320</v>
      </c>
      <c r="AG88" s="4">
        <v>20001221.511191618</v>
      </c>
      <c r="AH88">
        <v>920000</v>
      </c>
      <c r="AI88" s="4"/>
      <c r="AJ88" s="40"/>
      <c r="AK88" s="4"/>
    </row>
    <row r="89" spans="13:37" x14ac:dyDescent="0.35">
      <c r="M89">
        <v>72</v>
      </c>
      <c r="N89" t="s">
        <v>321</v>
      </c>
      <c r="O89" t="s">
        <v>322</v>
      </c>
      <c r="Q89" s="41">
        <v>2882108</v>
      </c>
      <c r="R89" s="41">
        <f>AG57</f>
        <v>1279046.26192</v>
      </c>
      <c r="T89" s="41">
        <v>1420126</v>
      </c>
      <c r="V89" s="41">
        <f t="shared" si="23"/>
        <v>182935.73808000004</v>
      </c>
      <c r="W89" s="41">
        <f t="shared" si="24"/>
        <v>11433.483630000002</v>
      </c>
      <c r="X89" s="41">
        <f t="shared" si="24"/>
        <v>16006.877082000005</v>
      </c>
      <c r="Y89" s="41">
        <f t="shared" si="25"/>
        <v>4573.3934520000021</v>
      </c>
      <c r="AF89" s="40" t="s">
        <v>323</v>
      </c>
      <c r="AG89" s="4">
        <v>133088.88961610134</v>
      </c>
      <c r="AH89">
        <v>921000</v>
      </c>
      <c r="AI89" s="4"/>
      <c r="AJ89" s="40"/>
      <c r="AK89" s="4"/>
    </row>
    <row r="90" spans="13:37" x14ac:dyDescent="0.35">
      <c r="M90">
        <v>73</v>
      </c>
      <c r="N90" t="s">
        <v>324</v>
      </c>
      <c r="O90" t="s">
        <v>171</v>
      </c>
      <c r="Q90" s="41">
        <v>63744</v>
      </c>
      <c r="R90" s="41">
        <v>0</v>
      </c>
      <c r="V90" s="41">
        <f t="shared" si="23"/>
        <v>63744</v>
      </c>
      <c r="W90" s="41">
        <f t="shared" si="24"/>
        <v>3984</v>
      </c>
      <c r="X90" s="41">
        <f t="shared" si="24"/>
        <v>5577.6</v>
      </c>
      <c r="Y90" s="41">
        <f t="shared" si="25"/>
        <v>1593.6000000000004</v>
      </c>
      <c r="AF90" s="40" t="s">
        <v>325</v>
      </c>
      <c r="AG90" s="4">
        <v>12250.5198451</v>
      </c>
      <c r="AH90">
        <v>923000</v>
      </c>
      <c r="AI90" s="4"/>
      <c r="AJ90" s="40"/>
      <c r="AK90" s="4"/>
    </row>
    <row r="91" spans="13:37" x14ac:dyDescent="0.35">
      <c r="M91">
        <v>74</v>
      </c>
      <c r="O91" t="s">
        <v>326</v>
      </c>
      <c r="Q91" s="41">
        <f t="shared" ref="Q91:Y91" si="26">SUM(Q76:Q90)</f>
        <v>20029057</v>
      </c>
      <c r="R91" s="41">
        <f t="shared" si="26"/>
        <v>4063078.0713600004</v>
      </c>
      <c r="S91" s="41">
        <f t="shared" si="26"/>
        <v>13164986.456</v>
      </c>
      <c r="T91" s="41">
        <f t="shared" si="26"/>
        <v>1420126</v>
      </c>
      <c r="U91" s="41">
        <f t="shared" si="26"/>
        <v>0</v>
      </c>
      <c r="V91" s="41">
        <f t="shared" si="26"/>
        <v>1380866.4726399994</v>
      </c>
      <c r="W91" s="41">
        <f t="shared" si="26"/>
        <v>86304.15453999996</v>
      </c>
      <c r="X91" s="41">
        <f t="shared" si="26"/>
        <v>120825.81635599997</v>
      </c>
      <c r="Y91" s="41">
        <f t="shared" si="26"/>
        <v>34521.661815999993</v>
      </c>
      <c r="AF91" s="40" t="s">
        <v>327</v>
      </c>
      <c r="AG91" s="4">
        <v>58.561736399999994</v>
      </c>
      <c r="AH91">
        <v>925100</v>
      </c>
      <c r="AI91" s="4"/>
      <c r="AJ91" s="40"/>
      <c r="AK91" s="4"/>
    </row>
    <row r="92" spans="13:37" x14ac:dyDescent="0.35">
      <c r="M92">
        <v>75</v>
      </c>
      <c r="N92" t="s">
        <v>328</v>
      </c>
      <c r="O92" t="s">
        <v>146</v>
      </c>
      <c r="Q92" s="41">
        <v>281220</v>
      </c>
      <c r="R92" s="41">
        <f>AG58</f>
        <v>250014.8714</v>
      </c>
      <c r="S92" s="41"/>
      <c r="T92" s="41"/>
      <c r="U92" s="41"/>
      <c r="V92" s="41">
        <f t="shared" ref="V92:V101" si="27">Q92-SUM(R92:T92)+U92</f>
        <v>31205.128599999996</v>
      </c>
      <c r="W92" s="41">
        <f t="shared" ref="W92:X101" si="28">$V92*W$16</f>
        <v>1950.3205374999998</v>
      </c>
      <c r="X92" s="41">
        <f t="shared" si="28"/>
        <v>2730.4487525</v>
      </c>
      <c r="Y92" s="41">
        <f t="shared" ref="Y92:Y101" si="29">X92-W92</f>
        <v>780.12821500000018</v>
      </c>
      <c r="AF92" s="40" t="s">
        <v>329</v>
      </c>
      <c r="AG92" s="4">
        <v>276600.36818400008</v>
      </c>
      <c r="AH92">
        <v>926100</v>
      </c>
      <c r="AI92" s="4"/>
      <c r="AJ92" s="40"/>
      <c r="AK92" s="4"/>
    </row>
    <row r="93" spans="13:37" x14ac:dyDescent="0.35">
      <c r="M93">
        <v>76</v>
      </c>
      <c r="N93" t="s">
        <v>330</v>
      </c>
      <c r="O93" t="s">
        <v>184</v>
      </c>
      <c r="Q93" s="41">
        <f>422412-SUM(Q94:Q97)</f>
        <v>422412</v>
      </c>
      <c r="R93" s="41">
        <f>AG59</f>
        <v>258136.85711999994</v>
      </c>
      <c r="S93" s="41"/>
      <c r="T93" s="41"/>
      <c r="U93" s="41"/>
      <c r="V93" s="41">
        <f t="shared" si="27"/>
        <v>164275.14288000006</v>
      </c>
      <c r="W93" s="41">
        <f t="shared" si="28"/>
        <v>10267.196430000004</v>
      </c>
      <c r="X93" s="41">
        <f t="shared" si="28"/>
        <v>14374.075002000007</v>
      </c>
      <c r="Y93" s="41">
        <f t="shared" si="29"/>
        <v>4106.8785720000033</v>
      </c>
      <c r="AF93" s="40" t="s">
        <v>331</v>
      </c>
      <c r="AG93" s="4">
        <v>765339.5902383998</v>
      </c>
      <c r="AH93">
        <v>928000</v>
      </c>
      <c r="AI93" s="4"/>
      <c r="AJ93" s="40"/>
      <c r="AK93" s="4"/>
    </row>
    <row r="94" spans="13:37" x14ac:dyDescent="0.35">
      <c r="M94">
        <v>77</v>
      </c>
      <c r="N94" t="s">
        <v>332</v>
      </c>
      <c r="O94" t="s">
        <v>333</v>
      </c>
      <c r="Q94" s="41">
        <v>0</v>
      </c>
      <c r="R94" s="41">
        <v>0</v>
      </c>
      <c r="S94" s="41"/>
      <c r="T94" s="41"/>
      <c r="U94" s="41"/>
      <c r="V94" s="41">
        <f t="shared" si="27"/>
        <v>0</v>
      </c>
      <c r="W94" s="41">
        <f t="shared" si="28"/>
        <v>0</v>
      </c>
      <c r="X94" s="41">
        <f t="shared" si="28"/>
        <v>0</v>
      </c>
      <c r="Y94" s="41">
        <f t="shared" si="29"/>
        <v>0</v>
      </c>
      <c r="AF94" s="40" t="s">
        <v>334</v>
      </c>
      <c r="AG94" s="4">
        <v>324991.62917639996</v>
      </c>
      <c r="AH94">
        <v>930200</v>
      </c>
      <c r="AI94" s="4"/>
      <c r="AJ94" s="40"/>
      <c r="AK94" s="4"/>
    </row>
    <row r="95" spans="13:37" x14ac:dyDescent="0.35">
      <c r="M95">
        <v>78</v>
      </c>
      <c r="N95" t="s">
        <v>335</v>
      </c>
      <c r="O95" t="s">
        <v>336</v>
      </c>
      <c r="Q95" s="41">
        <v>0</v>
      </c>
      <c r="R95" s="41">
        <v>0</v>
      </c>
      <c r="S95" s="41"/>
      <c r="T95" s="41"/>
      <c r="U95" s="41"/>
      <c r="V95" s="41">
        <f t="shared" si="27"/>
        <v>0</v>
      </c>
      <c r="W95" s="41">
        <f t="shared" si="28"/>
        <v>0</v>
      </c>
      <c r="X95" s="41">
        <f t="shared" si="28"/>
        <v>0</v>
      </c>
      <c r="Y95" s="41">
        <f t="shared" si="29"/>
        <v>0</v>
      </c>
      <c r="AF95" s="40" t="s">
        <v>337</v>
      </c>
      <c r="AG95" s="4">
        <v>536.41425900000002</v>
      </c>
      <c r="AH95">
        <v>931000</v>
      </c>
      <c r="AI95" s="4"/>
      <c r="AJ95" s="40"/>
      <c r="AK95" s="4"/>
    </row>
    <row r="96" spans="13:37" x14ac:dyDescent="0.35">
      <c r="M96">
        <v>79</v>
      </c>
      <c r="N96" t="s">
        <v>338</v>
      </c>
      <c r="O96" t="s">
        <v>339</v>
      </c>
      <c r="Q96" s="41">
        <v>0</v>
      </c>
      <c r="R96" s="41">
        <v>0</v>
      </c>
      <c r="S96" s="41"/>
      <c r="T96" s="41"/>
      <c r="U96" s="41"/>
      <c r="V96" s="41">
        <f t="shared" si="27"/>
        <v>0</v>
      </c>
      <c r="W96" s="41">
        <f t="shared" si="28"/>
        <v>0</v>
      </c>
      <c r="X96" s="41">
        <f t="shared" si="28"/>
        <v>0</v>
      </c>
      <c r="Y96" s="41">
        <f t="shared" si="29"/>
        <v>0</v>
      </c>
      <c r="AF96" s="40" t="s">
        <v>340</v>
      </c>
      <c r="AG96" s="4">
        <v>1121256.7808412996</v>
      </c>
      <c r="AH96">
        <v>935000</v>
      </c>
      <c r="AI96" s="4"/>
      <c r="AJ96" s="40"/>
      <c r="AK96" s="4"/>
    </row>
    <row r="97" spans="13:34" x14ac:dyDescent="0.35">
      <c r="M97">
        <v>80</v>
      </c>
      <c r="N97" t="s">
        <v>341</v>
      </c>
      <c r="O97" t="s">
        <v>342</v>
      </c>
      <c r="Q97" s="41">
        <v>0</v>
      </c>
      <c r="R97" s="41">
        <v>0</v>
      </c>
      <c r="S97" s="41"/>
      <c r="T97" s="41"/>
      <c r="U97" s="41"/>
      <c r="V97" s="41">
        <f t="shared" si="27"/>
        <v>0</v>
      </c>
      <c r="W97" s="41">
        <f t="shared" si="28"/>
        <v>0</v>
      </c>
      <c r="X97" s="41">
        <f t="shared" si="28"/>
        <v>0</v>
      </c>
      <c r="Y97" s="41">
        <f t="shared" si="29"/>
        <v>0</v>
      </c>
      <c r="AG97" s="37">
        <f>SUM(AG19:AG96)</f>
        <v>61194213.961598948</v>
      </c>
    </row>
    <row r="98" spans="13:34" x14ac:dyDescent="0.35">
      <c r="M98">
        <v>81</v>
      </c>
      <c r="N98" t="s">
        <v>343</v>
      </c>
      <c r="O98" t="s">
        <v>344</v>
      </c>
      <c r="Q98" s="41">
        <v>714685</v>
      </c>
      <c r="R98" s="41">
        <f>AG60</f>
        <v>262992.2506400001</v>
      </c>
      <c r="S98" s="41"/>
      <c r="T98" s="41"/>
      <c r="U98" s="41"/>
      <c r="V98" s="41">
        <f t="shared" si="27"/>
        <v>451692.7493599999</v>
      </c>
      <c r="W98" s="41">
        <f t="shared" si="28"/>
        <v>28230.796834999994</v>
      </c>
      <c r="X98" s="41">
        <f t="shared" si="28"/>
        <v>39523.115568999994</v>
      </c>
      <c r="Y98" s="41">
        <f t="shared" si="29"/>
        <v>11292.318734</v>
      </c>
      <c r="AH98" t="s">
        <v>345</v>
      </c>
    </row>
    <row r="99" spans="13:34" x14ac:dyDescent="0.35">
      <c r="M99">
        <v>82</v>
      </c>
      <c r="N99" t="s">
        <v>346</v>
      </c>
      <c r="O99" t="s">
        <v>347</v>
      </c>
      <c r="Q99" s="41">
        <v>1428390</v>
      </c>
      <c r="R99" s="41">
        <f>AG61</f>
        <v>11043.090599999998</v>
      </c>
      <c r="S99" s="41"/>
      <c r="T99" s="41"/>
      <c r="U99" s="41"/>
      <c r="V99" s="41">
        <f t="shared" si="27"/>
        <v>1417346.9094</v>
      </c>
      <c r="W99" s="41">
        <f t="shared" si="28"/>
        <v>88584.1818375</v>
      </c>
      <c r="X99" s="41">
        <f t="shared" si="28"/>
        <v>124017.85457250001</v>
      </c>
      <c r="Y99" s="41">
        <f t="shared" si="29"/>
        <v>35433.672735000015</v>
      </c>
      <c r="AE99" t="s">
        <v>348</v>
      </c>
      <c r="AH99" s="37">
        <f>AG101*AE100*AF101</f>
        <v>9069525.256069487</v>
      </c>
    </row>
    <row r="100" spans="13:34" x14ac:dyDescent="0.35">
      <c r="M100">
        <v>83</v>
      </c>
      <c r="N100" t="s">
        <v>349</v>
      </c>
      <c r="O100" t="s">
        <v>350</v>
      </c>
      <c r="Q100" s="41">
        <v>1119</v>
      </c>
      <c r="R100" s="41">
        <f>AG62</f>
        <v>536.92856000000006</v>
      </c>
      <c r="S100" s="41"/>
      <c r="T100" s="41"/>
      <c r="U100" s="41"/>
      <c r="V100" s="41">
        <f t="shared" si="27"/>
        <v>582.07143999999994</v>
      </c>
      <c r="W100" s="41">
        <f t="shared" si="28"/>
        <v>36.379464999999996</v>
      </c>
      <c r="X100" s="41">
        <f t="shared" si="28"/>
        <v>50.931250999999996</v>
      </c>
      <c r="Y100" s="41">
        <f t="shared" si="29"/>
        <v>14.551786</v>
      </c>
      <c r="AD100" t="s">
        <v>351</v>
      </c>
      <c r="AE100" s="42">
        <v>0.70111999999999997</v>
      </c>
      <c r="AG100" t="s">
        <v>107</v>
      </c>
      <c r="AH100" s="37">
        <f>AG102*AE101*AF102</f>
        <v>39463.655277226397</v>
      </c>
    </row>
    <row r="101" spans="13:34" x14ac:dyDescent="0.35">
      <c r="M101">
        <v>84</v>
      </c>
      <c r="N101" t="s">
        <v>352</v>
      </c>
      <c r="O101" t="s">
        <v>193</v>
      </c>
      <c r="Q101" s="41">
        <v>67202</v>
      </c>
      <c r="R101" s="41">
        <f>AG63</f>
        <v>8685.2300000000014</v>
      </c>
      <c r="S101" s="41"/>
      <c r="T101" s="41"/>
      <c r="U101" s="41"/>
      <c r="V101" s="41">
        <f t="shared" si="27"/>
        <v>58516.77</v>
      </c>
      <c r="W101" s="41">
        <f t="shared" si="28"/>
        <v>3657.2981249999998</v>
      </c>
      <c r="X101" s="41">
        <f t="shared" si="28"/>
        <v>5120.2173750000002</v>
      </c>
      <c r="Y101" s="41">
        <f t="shared" si="29"/>
        <v>1462.9192500000004</v>
      </c>
      <c r="AD101" t="s">
        <v>353</v>
      </c>
      <c r="AE101" s="42">
        <v>0.77144000000000001</v>
      </c>
      <c r="AF101" s="42">
        <v>0.66942999999999997</v>
      </c>
      <c r="AG101" s="37">
        <v>19323555</v>
      </c>
      <c r="AH101" s="37">
        <f>AG103*AE102*AF103</f>
        <v>795510.44620000001</v>
      </c>
    </row>
    <row r="102" spans="13:34" x14ac:dyDescent="0.35">
      <c r="M102">
        <v>85</v>
      </c>
      <c r="O102" t="s">
        <v>354</v>
      </c>
      <c r="Q102" s="41">
        <f t="shared" ref="Q102:Y102" si="30">SUM(Q92:Q101)</f>
        <v>2915028</v>
      </c>
      <c r="R102" s="41">
        <f t="shared" si="30"/>
        <v>791409.22832000011</v>
      </c>
      <c r="S102" s="41">
        <f t="shared" si="30"/>
        <v>0</v>
      </c>
      <c r="T102" s="41">
        <f t="shared" si="30"/>
        <v>0</v>
      </c>
      <c r="U102" s="41">
        <f t="shared" si="30"/>
        <v>0</v>
      </c>
      <c r="V102" s="41">
        <f t="shared" si="30"/>
        <v>2123618.7716799998</v>
      </c>
      <c r="W102" s="41">
        <f t="shared" si="30"/>
        <v>132726.17322999999</v>
      </c>
      <c r="X102" s="41">
        <f t="shared" si="30"/>
        <v>185816.64252200004</v>
      </c>
      <c r="Y102" s="41">
        <f t="shared" si="30"/>
        <v>53090.469292000023</v>
      </c>
      <c r="AD102" t="s">
        <v>355</v>
      </c>
      <c r="AE102" s="42">
        <v>1</v>
      </c>
      <c r="AF102" s="42">
        <v>0.66942999999999997</v>
      </c>
      <c r="AG102" s="37">
        <v>76417</v>
      </c>
      <c r="AH102" s="37">
        <f>AG104*AE103*AF104</f>
        <v>79655</v>
      </c>
    </row>
    <row r="103" spans="13:34" x14ac:dyDescent="0.35">
      <c r="M103">
        <v>86</v>
      </c>
      <c r="P103" t="s">
        <v>356</v>
      </c>
      <c r="Q103" s="41">
        <f t="shared" ref="Q103:Y103" si="31">Q91+Q102</f>
        <v>22944085</v>
      </c>
      <c r="R103" s="41">
        <f t="shared" si="31"/>
        <v>4854487.2996800002</v>
      </c>
      <c r="S103" s="41">
        <f t="shared" si="31"/>
        <v>13164986.456</v>
      </c>
      <c r="T103" s="41">
        <f t="shared" si="31"/>
        <v>1420126</v>
      </c>
      <c r="U103" s="41">
        <f t="shared" si="31"/>
        <v>0</v>
      </c>
      <c r="V103" s="41">
        <f t="shared" si="31"/>
        <v>3504485.2443199991</v>
      </c>
      <c r="W103" s="41">
        <f t="shared" si="31"/>
        <v>219030.32776999995</v>
      </c>
      <c r="X103" s="41">
        <f t="shared" si="31"/>
        <v>306642.45887800003</v>
      </c>
      <c r="Y103" s="41">
        <f t="shared" si="31"/>
        <v>87612.131108000016</v>
      </c>
      <c r="AD103" t="s">
        <v>357</v>
      </c>
      <c r="AE103" s="42">
        <v>1</v>
      </c>
      <c r="AF103" s="42">
        <v>0.66942999999999997</v>
      </c>
      <c r="AG103" s="37">
        <v>1188340</v>
      </c>
      <c r="AH103" s="37">
        <f>SUM(AH99:AH102)</f>
        <v>9984154.3575467132</v>
      </c>
    </row>
    <row r="104" spans="13:34" x14ac:dyDescent="0.35">
      <c r="M104">
        <v>87</v>
      </c>
      <c r="Q104" s="41"/>
      <c r="R104" s="41"/>
      <c r="AF104" s="42">
        <v>1</v>
      </c>
      <c r="AG104" s="37">
        <v>79655</v>
      </c>
    </row>
    <row r="105" spans="13:34" x14ac:dyDescent="0.35">
      <c r="M105">
        <v>88</v>
      </c>
      <c r="O105" t="s">
        <v>358</v>
      </c>
      <c r="Q105" s="41"/>
      <c r="R105" s="41"/>
    </row>
    <row r="106" spans="13:34" x14ac:dyDescent="0.35">
      <c r="M106">
        <v>89</v>
      </c>
      <c r="N106" t="s">
        <v>359</v>
      </c>
      <c r="O106" t="s">
        <v>146</v>
      </c>
      <c r="Q106" s="41">
        <v>2872733</v>
      </c>
      <c r="R106" s="41">
        <f>AG64</f>
        <v>2253818.9402659987</v>
      </c>
      <c r="V106" s="41">
        <f t="shared" ref="V106:V115" si="32">Q106-SUM(R106:T106)+U106</f>
        <v>618914.05973400129</v>
      </c>
      <c r="W106" s="41">
        <f t="shared" ref="W106:X115" si="33">$V106*W$16</f>
        <v>38682.128733375081</v>
      </c>
      <c r="X106" s="41">
        <f t="shared" si="33"/>
        <v>54154.980226725122</v>
      </c>
      <c r="Y106" s="41">
        <f t="shared" ref="Y106:Y115" si="34">X106-W106</f>
        <v>15472.851493350041</v>
      </c>
    </row>
    <row r="107" spans="13:34" x14ac:dyDescent="0.35">
      <c r="M107">
        <v>90</v>
      </c>
      <c r="N107" t="s">
        <v>360</v>
      </c>
      <c r="O107" t="s">
        <v>361</v>
      </c>
      <c r="Q107" s="41">
        <v>0</v>
      </c>
      <c r="R107" s="41">
        <v>0</v>
      </c>
      <c r="V107" s="41">
        <f t="shared" si="32"/>
        <v>0</v>
      </c>
      <c r="W107" s="41">
        <f t="shared" si="33"/>
        <v>0</v>
      </c>
      <c r="X107" s="41">
        <f t="shared" si="33"/>
        <v>0</v>
      </c>
      <c r="Y107" s="41">
        <f t="shared" si="34"/>
        <v>0</v>
      </c>
    </row>
    <row r="108" spans="13:34" x14ac:dyDescent="0.35">
      <c r="M108">
        <v>91</v>
      </c>
      <c r="N108" t="s">
        <v>362</v>
      </c>
      <c r="O108" t="s">
        <v>310</v>
      </c>
      <c r="Q108" s="41">
        <v>622440</v>
      </c>
      <c r="R108" s="41">
        <f t="shared" ref="R108:R114" si="35">AG65</f>
        <v>390241.6703828001</v>
      </c>
      <c r="V108" s="41">
        <f t="shared" si="32"/>
        <v>232198.3296171999</v>
      </c>
      <c r="W108" s="41">
        <f t="shared" si="33"/>
        <v>14512.395601074993</v>
      </c>
      <c r="X108" s="41">
        <f t="shared" si="33"/>
        <v>20317.353841504992</v>
      </c>
      <c r="Y108" s="41">
        <f t="shared" si="34"/>
        <v>5804.9582404299981</v>
      </c>
    </row>
    <row r="109" spans="13:34" x14ac:dyDescent="0.35">
      <c r="M109">
        <v>92</v>
      </c>
      <c r="N109" t="s">
        <v>363</v>
      </c>
      <c r="O109" t="s">
        <v>313</v>
      </c>
      <c r="Q109" s="41">
        <v>1987440</v>
      </c>
      <c r="R109" s="41">
        <f t="shared" si="35"/>
        <v>913142.68452180037</v>
      </c>
      <c r="V109" s="41">
        <f t="shared" si="32"/>
        <v>1074297.3154781996</v>
      </c>
      <c r="W109" s="41">
        <f t="shared" si="33"/>
        <v>67143.582217387477</v>
      </c>
      <c r="X109" s="41">
        <f t="shared" si="33"/>
        <v>94001.01510434247</v>
      </c>
      <c r="Y109" s="41">
        <f t="shared" si="34"/>
        <v>26857.432886954994</v>
      </c>
      <c r="AG109" t="s">
        <v>364</v>
      </c>
    </row>
    <row r="110" spans="13:34" x14ac:dyDescent="0.35">
      <c r="M110">
        <v>93</v>
      </c>
      <c r="N110" t="s">
        <v>365</v>
      </c>
      <c r="O110" t="s">
        <v>316</v>
      </c>
      <c r="Q110" s="41">
        <v>933391</v>
      </c>
      <c r="R110" s="41">
        <f t="shared" si="35"/>
        <v>322896.45000000024</v>
      </c>
      <c r="V110" s="41">
        <f t="shared" si="32"/>
        <v>610494.54999999981</v>
      </c>
      <c r="W110" s="41">
        <f t="shared" si="33"/>
        <v>38155.909374999988</v>
      </c>
      <c r="X110" s="41">
        <f t="shared" si="33"/>
        <v>53418.273124999985</v>
      </c>
      <c r="Y110" s="41">
        <f t="shared" si="34"/>
        <v>15262.363749999997</v>
      </c>
    </row>
    <row r="111" spans="13:34" x14ac:dyDescent="0.35">
      <c r="M111">
        <v>94</v>
      </c>
      <c r="N111" t="s">
        <v>366</v>
      </c>
      <c r="O111" t="s">
        <v>367</v>
      </c>
      <c r="Q111" s="41">
        <v>968</v>
      </c>
      <c r="R111" s="41">
        <f t="shared" si="35"/>
        <v>923.16</v>
      </c>
      <c r="V111" s="41">
        <f t="shared" si="32"/>
        <v>44.840000000000032</v>
      </c>
      <c r="W111" s="41">
        <f t="shared" si="33"/>
        <v>2.802500000000002</v>
      </c>
      <c r="X111" s="41">
        <f t="shared" si="33"/>
        <v>3.9235000000000033</v>
      </c>
      <c r="Y111" s="41">
        <f t="shared" si="34"/>
        <v>1.1210000000000013</v>
      </c>
    </row>
    <row r="112" spans="13:34" x14ac:dyDescent="0.35">
      <c r="M112">
        <v>95</v>
      </c>
      <c r="N112" t="s">
        <v>368</v>
      </c>
      <c r="O112" t="s">
        <v>369</v>
      </c>
      <c r="Q112" s="41">
        <v>1943663</v>
      </c>
      <c r="R112" s="41">
        <f t="shared" si="35"/>
        <v>1381318.0451226002</v>
      </c>
      <c r="V112" s="41">
        <f t="shared" si="32"/>
        <v>562344.95487739984</v>
      </c>
      <c r="W112" s="41">
        <f t="shared" si="33"/>
        <v>35146.55967983749</v>
      </c>
      <c r="X112" s="41">
        <f t="shared" si="33"/>
        <v>49205.18355177249</v>
      </c>
      <c r="Y112" s="41">
        <f t="shared" si="34"/>
        <v>14058.623871935</v>
      </c>
    </row>
    <row r="113" spans="13:25" x14ac:dyDescent="0.35">
      <c r="M113">
        <v>96</v>
      </c>
      <c r="N113" t="s">
        <v>370</v>
      </c>
      <c r="O113" t="s">
        <v>371</v>
      </c>
      <c r="Q113" s="41">
        <v>575819</v>
      </c>
      <c r="R113" s="41">
        <f t="shared" si="35"/>
        <v>447444.52768520103</v>
      </c>
      <c r="V113" s="41">
        <f t="shared" si="32"/>
        <v>128374.47231479897</v>
      </c>
      <c r="W113" s="41">
        <f t="shared" si="33"/>
        <v>8023.4045196749357</v>
      </c>
      <c r="X113" s="41">
        <f t="shared" si="33"/>
        <v>11232.76632754491</v>
      </c>
      <c r="Y113" s="41">
        <f t="shared" si="34"/>
        <v>3209.3618078699747</v>
      </c>
    </row>
    <row r="114" spans="13:25" x14ac:dyDescent="0.35">
      <c r="M114">
        <v>97</v>
      </c>
      <c r="N114" t="s">
        <v>372</v>
      </c>
      <c r="O114" t="s">
        <v>322</v>
      </c>
      <c r="Q114" s="41">
        <v>6613847</v>
      </c>
      <c r="R114" s="41">
        <f t="shared" si="35"/>
        <v>4530128.0675309952</v>
      </c>
      <c r="U114" s="41">
        <v>-4082</v>
      </c>
      <c r="V114" s="41">
        <f t="shared" si="32"/>
        <v>2079636.9324690048</v>
      </c>
      <c r="W114" s="41">
        <f t="shared" si="33"/>
        <v>129977.3082793128</v>
      </c>
      <c r="X114" s="41">
        <f t="shared" si="33"/>
        <v>181968.23159103794</v>
      </c>
      <c r="Y114" s="41">
        <f t="shared" si="34"/>
        <v>51990.923311725142</v>
      </c>
    </row>
    <row r="115" spans="13:25" x14ac:dyDescent="0.35">
      <c r="M115">
        <v>98</v>
      </c>
      <c r="N115" t="s">
        <v>373</v>
      </c>
      <c r="O115" t="s">
        <v>171</v>
      </c>
      <c r="Q115" s="41">
        <v>79459</v>
      </c>
      <c r="R115" s="41">
        <v>0</v>
      </c>
      <c r="V115" s="41">
        <f t="shared" si="32"/>
        <v>79459</v>
      </c>
      <c r="W115" s="41">
        <f t="shared" si="33"/>
        <v>4966.1875</v>
      </c>
      <c r="X115" s="41">
        <f t="shared" si="33"/>
        <v>6952.6625000000004</v>
      </c>
      <c r="Y115" s="41">
        <f t="shared" si="34"/>
        <v>1986.4750000000004</v>
      </c>
    </row>
    <row r="116" spans="13:25" x14ac:dyDescent="0.35">
      <c r="M116">
        <v>99</v>
      </c>
      <c r="O116" t="s">
        <v>374</v>
      </c>
      <c r="Q116" s="41">
        <f t="shared" ref="Q116:Y116" si="36">SUM(Q106:Q115)</f>
        <v>15629760</v>
      </c>
      <c r="R116" s="41">
        <f t="shared" si="36"/>
        <v>10239913.545509396</v>
      </c>
      <c r="S116" s="41">
        <f t="shared" si="36"/>
        <v>0</v>
      </c>
      <c r="T116" s="41">
        <f t="shared" si="36"/>
        <v>0</v>
      </c>
      <c r="U116" s="41">
        <f t="shared" si="36"/>
        <v>-4082</v>
      </c>
      <c r="V116" s="41">
        <f t="shared" si="36"/>
        <v>5385764.4544906039</v>
      </c>
      <c r="W116" s="41">
        <f t="shared" si="36"/>
        <v>336610.27840566274</v>
      </c>
      <c r="X116" s="41">
        <f t="shared" si="36"/>
        <v>471254.38976792793</v>
      </c>
      <c r="Y116" s="41">
        <f t="shared" si="36"/>
        <v>134644.11136226516</v>
      </c>
    </row>
    <row r="117" spans="13:25" x14ac:dyDescent="0.35">
      <c r="M117">
        <v>100</v>
      </c>
      <c r="N117" t="s">
        <v>375</v>
      </c>
      <c r="O117" t="s">
        <v>146</v>
      </c>
      <c r="Q117" s="41">
        <v>888877</v>
      </c>
      <c r="R117" s="41">
        <f>AG72</f>
        <v>584233.00510139973</v>
      </c>
      <c r="S117" s="41"/>
      <c r="T117" s="41"/>
      <c r="U117" s="41"/>
      <c r="V117" s="41">
        <f t="shared" ref="V117:V126" si="37">Q117-SUM(R117:T117)+U117</f>
        <v>304643.99489860027</v>
      </c>
      <c r="W117" s="41">
        <f t="shared" ref="W117:X126" si="38">$V117*W$16</f>
        <v>19040.249681162517</v>
      </c>
      <c r="X117" s="41">
        <f t="shared" si="38"/>
        <v>26656.349553627526</v>
      </c>
      <c r="Y117" s="41">
        <f t="shared" ref="Y117:Y126" si="39">X117-W117</f>
        <v>7616.099872465009</v>
      </c>
    </row>
    <row r="118" spans="13:25" x14ac:dyDescent="0.35">
      <c r="M118">
        <v>101</v>
      </c>
      <c r="N118" t="s">
        <v>376</v>
      </c>
      <c r="O118" t="s">
        <v>184</v>
      </c>
      <c r="Q118" s="41">
        <v>254813</v>
      </c>
      <c r="R118" s="41">
        <f>AG73</f>
        <v>151607.78480579995</v>
      </c>
      <c r="S118" s="41"/>
      <c r="T118" s="41"/>
      <c r="U118" s="41"/>
      <c r="V118" s="41">
        <f t="shared" si="37"/>
        <v>103205.21519420005</v>
      </c>
      <c r="W118" s="41">
        <f t="shared" si="38"/>
        <v>6450.3259496375031</v>
      </c>
      <c r="X118" s="41">
        <f t="shared" si="38"/>
        <v>9030.4563294925047</v>
      </c>
      <c r="Y118" s="41">
        <f t="shared" si="39"/>
        <v>2580.1303798550016</v>
      </c>
    </row>
    <row r="119" spans="13:25" x14ac:dyDescent="0.35">
      <c r="M119">
        <v>102</v>
      </c>
      <c r="N119" t="s">
        <v>377</v>
      </c>
      <c r="O119" t="s">
        <v>344</v>
      </c>
      <c r="Q119" s="41">
        <v>547812</v>
      </c>
      <c r="R119" s="41">
        <f>AG74</f>
        <v>317275.51996179996</v>
      </c>
      <c r="S119" s="41"/>
      <c r="T119" s="41"/>
      <c r="U119" s="41"/>
      <c r="V119" s="41">
        <f t="shared" si="37"/>
        <v>230536.48003820004</v>
      </c>
      <c r="W119" s="41">
        <f t="shared" si="38"/>
        <v>14408.530002387502</v>
      </c>
      <c r="X119" s="41">
        <f t="shared" si="38"/>
        <v>20171.942003342505</v>
      </c>
      <c r="Y119" s="41">
        <f t="shared" si="39"/>
        <v>5763.4120009550024</v>
      </c>
    </row>
    <row r="120" spans="13:25" x14ac:dyDescent="0.35">
      <c r="M120">
        <v>103</v>
      </c>
      <c r="N120" t="s">
        <v>378</v>
      </c>
      <c r="O120" t="s">
        <v>257</v>
      </c>
      <c r="Q120" s="41">
        <v>0</v>
      </c>
      <c r="R120" s="41">
        <v>0</v>
      </c>
      <c r="S120" s="41"/>
      <c r="T120" s="41"/>
      <c r="U120" s="41"/>
      <c r="V120" s="41">
        <f t="shared" si="37"/>
        <v>0</v>
      </c>
      <c r="W120" s="41">
        <f t="shared" si="38"/>
        <v>0</v>
      </c>
      <c r="X120" s="41">
        <f t="shared" si="38"/>
        <v>0</v>
      </c>
      <c r="Y120" s="41">
        <f t="shared" si="39"/>
        <v>0</v>
      </c>
    </row>
    <row r="121" spans="13:25" x14ac:dyDescent="0.35">
      <c r="M121">
        <v>104</v>
      </c>
      <c r="N121" t="s">
        <v>379</v>
      </c>
      <c r="O121" t="s">
        <v>347</v>
      </c>
      <c r="Q121" s="41">
        <v>15802967</v>
      </c>
      <c r="R121" s="41">
        <f t="shared" ref="R121:R126" si="40">AG75</f>
        <v>1658650.4400000016</v>
      </c>
      <c r="S121" s="41"/>
      <c r="T121" s="41">
        <v>9271246</v>
      </c>
      <c r="U121" s="41"/>
      <c r="V121" s="41">
        <f t="shared" si="37"/>
        <v>4873070.5599999987</v>
      </c>
      <c r="W121" s="41">
        <f t="shared" si="38"/>
        <v>304566.90999999992</v>
      </c>
      <c r="X121" s="41">
        <f t="shared" si="38"/>
        <v>426393.67399999994</v>
      </c>
      <c r="Y121" s="41">
        <f t="shared" si="39"/>
        <v>121826.76400000002</v>
      </c>
    </row>
    <row r="122" spans="13:25" x14ac:dyDescent="0.35">
      <c r="M122">
        <v>105</v>
      </c>
      <c r="N122" t="s">
        <v>380</v>
      </c>
      <c r="O122" t="s">
        <v>350</v>
      </c>
      <c r="Q122" s="41">
        <v>684565</v>
      </c>
      <c r="R122" s="41">
        <f t="shared" si="40"/>
        <v>499277.38000000076</v>
      </c>
      <c r="S122" s="41"/>
      <c r="T122" s="41"/>
      <c r="U122" s="41"/>
      <c r="V122" s="41">
        <f t="shared" si="37"/>
        <v>185287.61999999924</v>
      </c>
      <c r="W122" s="41">
        <f t="shared" si="38"/>
        <v>11580.476249999952</v>
      </c>
      <c r="X122" s="41">
        <f t="shared" si="38"/>
        <v>16212.666749999935</v>
      </c>
      <c r="Y122" s="41">
        <f t="shared" si="39"/>
        <v>4632.1904999999824</v>
      </c>
    </row>
    <row r="123" spans="13:25" x14ac:dyDescent="0.35">
      <c r="M123">
        <v>106</v>
      </c>
      <c r="N123" t="s">
        <v>381</v>
      </c>
      <c r="O123" t="s">
        <v>382</v>
      </c>
      <c r="Q123" s="41">
        <v>422722</v>
      </c>
      <c r="R123" s="41">
        <f t="shared" si="40"/>
        <v>308860.24000000022</v>
      </c>
      <c r="S123" s="41"/>
      <c r="T123" s="41"/>
      <c r="U123" s="41"/>
      <c r="V123" s="41">
        <f t="shared" si="37"/>
        <v>113861.75999999978</v>
      </c>
      <c r="W123" s="41">
        <f t="shared" si="38"/>
        <v>7116.359999999986</v>
      </c>
      <c r="X123" s="41">
        <f t="shared" si="38"/>
        <v>9962.9039999999823</v>
      </c>
      <c r="Y123" s="41">
        <f t="shared" si="39"/>
        <v>2846.5439999999962</v>
      </c>
    </row>
    <row r="124" spans="13:25" x14ac:dyDescent="0.35">
      <c r="M124">
        <v>107</v>
      </c>
      <c r="N124" t="s">
        <v>383</v>
      </c>
      <c r="O124" t="s">
        <v>367</v>
      </c>
      <c r="Q124" s="41">
        <v>99032</v>
      </c>
      <c r="R124" s="41">
        <f t="shared" si="40"/>
        <v>61122.309999999983</v>
      </c>
      <c r="S124" s="41"/>
      <c r="T124" s="41"/>
      <c r="U124" s="41"/>
      <c r="V124" s="41">
        <f t="shared" si="37"/>
        <v>37909.690000000017</v>
      </c>
      <c r="W124" s="41">
        <f t="shared" si="38"/>
        <v>2369.3556250000011</v>
      </c>
      <c r="X124" s="41">
        <f t="shared" si="38"/>
        <v>3317.0978750000017</v>
      </c>
      <c r="Y124" s="41">
        <f t="shared" si="39"/>
        <v>947.74225000000069</v>
      </c>
    </row>
    <row r="125" spans="13:25" x14ac:dyDescent="0.35">
      <c r="M125">
        <v>108</v>
      </c>
      <c r="N125" t="s">
        <v>384</v>
      </c>
      <c r="O125" t="s">
        <v>385</v>
      </c>
      <c r="Q125" s="41">
        <v>42349</v>
      </c>
      <c r="R125" s="41">
        <f t="shared" si="40"/>
        <v>30628.919999999973</v>
      </c>
      <c r="S125" s="41"/>
      <c r="T125" s="41"/>
      <c r="U125" s="41"/>
      <c r="V125" s="41">
        <f t="shared" si="37"/>
        <v>11720.080000000027</v>
      </c>
      <c r="W125" s="41">
        <f t="shared" si="38"/>
        <v>732.5050000000017</v>
      </c>
      <c r="X125" s="41">
        <f t="shared" si="38"/>
        <v>1025.5070000000026</v>
      </c>
      <c r="Y125" s="41">
        <f t="shared" si="39"/>
        <v>293.00200000000086</v>
      </c>
    </row>
    <row r="126" spans="13:25" x14ac:dyDescent="0.35">
      <c r="M126">
        <v>109</v>
      </c>
      <c r="N126" t="s">
        <v>386</v>
      </c>
      <c r="O126" t="s">
        <v>193</v>
      </c>
      <c r="Q126" s="41">
        <v>803278</v>
      </c>
      <c r="R126" s="41">
        <f t="shared" si="40"/>
        <v>451352.59551259998</v>
      </c>
      <c r="S126" s="41"/>
      <c r="T126" s="41"/>
      <c r="U126" s="41"/>
      <c r="V126" s="41">
        <f t="shared" si="37"/>
        <v>351925.40448740002</v>
      </c>
      <c r="W126" s="41">
        <f t="shared" si="38"/>
        <v>21995.337780462502</v>
      </c>
      <c r="X126" s="41">
        <f t="shared" si="38"/>
        <v>30793.472892647504</v>
      </c>
      <c r="Y126" s="41">
        <f t="shared" si="39"/>
        <v>8798.1351121850021</v>
      </c>
    </row>
    <row r="127" spans="13:25" x14ac:dyDescent="0.35">
      <c r="M127">
        <v>110</v>
      </c>
      <c r="O127" t="s">
        <v>387</v>
      </c>
      <c r="Q127" s="41">
        <f t="shared" ref="Q127:Y127" si="41">SUM(Q117:Q126)</f>
        <v>19546415</v>
      </c>
      <c r="R127" s="41">
        <f t="shared" si="41"/>
        <v>4063008.1953816023</v>
      </c>
      <c r="S127" s="41">
        <f t="shared" si="41"/>
        <v>0</v>
      </c>
      <c r="T127" s="41">
        <f t="shared" si="41"/>
        <v>9271246</v>
      </c>
      <c r="U127" s="41">
        <f t="shared" si="41"/>
        <v>0</v>
      </c>
      <c r="V127" s="41">
        <f t="shared" si="41"/>
        <v>6212160.8046183987</v>
      </c>
      <c r="W127" s="41">
        <f t="shared" si="41"/>
        <v>388260.05028864992</v>
      </c>
      <c r="X127" s="41">
        <f t="shared" si="41"/>
        <v>543564.07040410989</v>
      </c>
      <c r="Y127" s="41">
        <f t="shared" si="41"/>
        <v>155304.02011546004</v>
      </c>
    </row>
    <row r="128" spans="13:25" x14ac:dyDescent="0.35">
      <c r="M128">
        <v>111</v>
      </c>
      <c r="P128" t="s">
        <v>388</v>
      </c>
      <c r="Q128" s="41">
        <f t="shared" ref="Q128:Y128" si="42">Q116+Q127</f>
        <v>35176175</v>
      </c>
      <c r="R128" s="41">
        <f t="shared" si="42"/>
        <v>14302921.740890998</v>
      </c>
      <c r="S128" s="41">
        <f t="shared" si="42"/>
        <v>0</v>
      </c>
      <c r="T128" s="41">
        <f t="shared" si="42"/>
        <v>9271246</v>
      </c>
      <c r="U128" s="41">
        <f t="shared" si="42"/>
        <v>-4082</v>
      </c>
      <c r="V128" s="41">
        <f t="shared" si="42"/>
        <v>11597925.259109002</v>
      </c>
      <c r="W128" s="41">
        <f t="shared" si="42"/>
        <v>724870.3286943126</v>
      </c>
      <c r="X128" s="41">
        <f t="shared" si="42"/>
        <v>1014818.4601720378</v>
      </c>
      <c r="Y128" s="41">
        <f t="shared" si="42"/>
        <v>289948.13147772523</v>
      </c>
    </row>
    <row r="129" spans="13:25" x14ac:dyDescent="0.35">
      <c r="M129">
        <v>112</v>
      </c>
      <c r="Q129" s="41"/>
      <c r="R129" s="41"/>
    </row>
    <row r="130" spans="13:25" x14ac:dyDescent="0.35">
      <c r="M130">
        <v>113</v>
      </c>
      <c r="O130" t="s">
        <v>389</v>
      </c>
      <c r="Q130" s="41"/>
      <c r="R130" s="41"/>
    </row>
    <row r="131" spans="13:25" x14ac:dyDescent="0.35">
      <c r="M131">
        <v>114</v>
      </c>
      <c r="N131" t="s">
        <v>390</v>
      </c>
      <c r="O131" t="s">
        <v>391</v>
      </c>
      <c r="Q131" s="41">
        <v>85455</v>
      </c>
      <c r="R131" s="41">
        <f>AG81</f>
        <v>80581.460230799974</v>
      </c>
      <c r="V131" s="41">
        <f>Q131-SUM(R131:T131)+U131</f>
        <v>4873.5397692000261</v>
      </c>
      <c r="W131" s="41">
        <f t="shared" ref="W131:X135" si="43">$V131*W$16</f>
        <v>304.59623557500163</v>
      </c>
      <c r="X131" s="41">
        <f t="shared" si="43"/>
        <v>426.43472980500235</v>
      </c>
      <c r="Y131" s="41">
        <f>X131-W131</f>
        <v>121.83849423000072</v>
      </c>
    </row>
    <row r="132" spans="13:25" x14ac:dyDescent="0.35">
      <c r="M132">
        <v>115</v>
      </c>
      <c r="N132" t="s">
        <v>392</v>
      </c>
      <c r="O132" t="s">
        <v>393</v>
      </c>
      <c r="Q132" s="41">
        <v>490695</v>
      </c>
      <c r="R132" s="41">
        <f>AG82</f>
        <v>344421.41413240007</v>
      </c>
      <c r="U132" s="41"/>
      <c r="V132" s="41">
        <f>Q132-SUM(R132:T132)+U132</f>
        <v>146273.58586759993</v>
      </c>
      <c r="W132" s="41">
        <f t="shared" si="43"/>
        <v>9142.0991167249958</v>
      </c>
      <c r="X132" s="41">
        <f t="shared" si="43"/>
        <v>12798.938763414995</v>
      </c>
      <c r="Y132" s="41">
        <f>X132-W132</f>
        <v>3656.8396466899994</v>
      </c>
    </row>
    <row r="133" spans="13:25" x14ac:dyDescent="0.35">
      <c r="M133">
        <v>116</v>
      </c>
      <c r="N133" t="s">
        <v>394</v>
      </c>
      <c r="O133" t="s">
        <v>395</v>
      </c>
      <c r="Q133" s="41">
        <v>5207853</v>
      </c>
      <c r="R133" s="41">
        <f>AG83</f>
        <v>2960688.2777215969</v>
      </c>
      <c r="V133" s="41">
        <f>Q133-SUM(R133:T133)+U133</f>
        <v>2247164.7222784031</v>
      </c>
      <c r="W133" s="41">
        <f t="shared" si="43"/>
        <v>140447.79514240019</v>
      </c>
      <c r="X133" s="41">
        <f t="shared" si="43"/>
        <v>196626.91319936028</v>
      </c>
      <c r="Y133" s="41">
        <f>X133-W133</f>
        <v>56179.118056960084</v>
      </c>
    </row>
    <row r="134" spans="13:25" x14ac:dyDescent="0.35">
      <c r="M134">
        <v>117</v>
      </c>
      <c r="N134" t="s">
        <v>396</v>
      </c>
      <c r="O134" t="s">
        <v>397</v>
      </c>
      <c r="Q134" s="41">
        <v>-269148</v>
      </c>
      <c r="R134" s="41">
        <v>0</v>
      </c>
      <c r="T134" s="41">
        <v>-269148</v>
      </c>
      <c r="V134" s="41">
        <f>Q134-SUM(R134:T134)+U134</f>
        <v>0</v>
      </c>
      <c r="W134" s="41">
        <f t="shared" si="43"/>
        <v>0</v>
      </c>
      <c r="X134" s="41">
        <f t="shared" si="43"/>
        <v>0</v>
      </c>
      <c r="Y134" s="41">
        <f>X134-W134</f>
        <v>0</v>
      </c>
    </row>
    <row r="135" spans="13:25" x14ac:dyDescent="0.35">
      <c r="M135">
        <v>118</v>
      </c>
      <c r="N135" t="s">
        <v>398</v>
      </c>
      <c r="O135" t="s">
        <v>399</v>
      </c>
      <c r="Q135" s="41">
        <v>234280</v>
      </c>
      <c r="R135" s="41">
        <f>AG84</f>
        <v>197494.26894119981</v>
      </c>
      <c r="V135" s="41">
        <f>Q135-SUM(R135:T135)+U135</f>
        <v>36785.731058800186</v>
      </c>
      <c r="W135" s="41">
        <f t="shared" si="43"/>
        <v>2299.1081911750116</v>
      </c>
      <c r="X135" s="41">
        <f t="shared" si="43"/>
        <v>3218.7514676450164</v>
      </c>
      <c r="Y135" s="41">
        <f>X135-W135</f>
        <v>919.64327647000482</v>
      </c>
    </row>
    <row r="136" spans="13:25" x14ac:dyDescent="0.35">
      <c r="M136">
        <v>119</v>
      </c>
      <c r="P136" t="s">
        <v>400</v>
      </c>
      <c r="Q136" s="41">
        <f t="shared" ref="Q136:Y136" si="44">SUM(Q131:Q135)</f>
        <v>5749135</v>
      </c>
      <c r="R136" s="41">
        <f t="shared" si="44"/>
        <v>3583185.4210259966</v>
      </c>
      <c r="S136" s="41">
        <f t="shared" si="44"/>
        <v>0</v>
      </c>
      <c r="T136" s="41">
        <f t="shared" si="44"/>
        <v>-269148</v>
      </c>
      <c r="U136" s="41">
        <f t="shared" si="44"/>
        <v>0</v>
      </c>
      <c r="V136" s="41">
        <f t="shared" si="44"/>
        <v>2435097.5789740034</v>
      </c>
      <c r="W136" s="41">
        <f t="shared" si="44"/>
        <v>152193.59868587521</v>
      </c>
      <c r="X136" s="41">
        <f t="shared" si="44"/>
        <v>213071.03816022529</v>
      </c>
      <c r="Y136" s="41">
        <f t="shared" si="44"/>
        <v>60877.439474350089</v>
      </c>
    </row>
    <row r="137" spans="13:25" x14ac:dyDescent="0.35">
      <c r="M137">
        <v>120</v>
      </c>
      <c r="Q137" s="41"/>
      <c r="R137" s="41"/>
      <c r="S137" s="41"/>
      <c r="T137" s="41"/>
      <c r="U137" s="41"/>
      <c r="V137" s="41"/>
    </row>
    <row r="138" spans="13:25" x14ac:dyDescent="0.35">
      <c r="M138">
        <v>121</v>
      </c>
      <c r="O138" t="s">
        <v>401</v>
      </c>
    </row>
    <row r="139" spans="13:25" x14ac:dyDescent="0.35">
      <c r="M139">
        <v>122</v>
      </c>
      <c r="N139" t="s">
        <v>402</v>
      </c>
      <c r="O139" t="s">
        <v>391</v>
      </c>
      <c r="Q139" s="41">
        <v>0</v>
      </c>
      <c r="R139" s="41">
        <v>0</v>
      </c>
      <c r="S139" s="41"/>
      <c r="T139" s="41"/>
      <c r="U139" s="41"/>
      <c r="V139" s="41">
        <f>Q139-SUM(R139:T139)+U139</f>
        <v>0</v>
      </c>
      <c r="W139" s="41">
        <f t="shared" ref="W139:X142" si="45">$V139*W$16</f>
        <v>0</v>
      </c>
      <c r="X139" s="41">
        <f t="shared" si="45"/>
        <v>0</v>
      </c>
      <c r="Y139" s="41">
        <f>X139-W139</f>
        <v>0</v>
      </c>
    </row>
    <row r="140" spans="13:25" x14ac:dyDescent="0.35">
      <c r="M140">
        <v>123</v>
      </c>
      <c r="N140" t="s">
        <v>403</v>
      </c>
      <c r="O140" t="s">
        <v>404</v>
      </c>
      <c r="Q140" s="41">
        <v>23761803</v>
      </c>
      <c r="R140" s="41">
        <f>AG85</f>
        <v>197529.90062040003</v>
      </c>
      <c r="S140" s="41"/>
      <c r="T140" s="41"/>
      <c r="U140" s="41">
        <f>-(23225764-98000)</f>
        <v>-23127764</v>
      </c>
      <c r="V140" s="41">
        <f>Q140-SUM(R140:T140)+U140</f>
        <v>436509.09937959909</v>
      </c>
      <c r="W140" s="41">
        <f t="shared" si="45"/>
        <v>27281.818711224943</v>
      </c>
      <c r="X140" s="41">
        <f t="shared" si="45"/>
        <v>38194.546195714924</v>
      </c>
      <c r="Y140" s="41">
        <f>X140-W140</f>
        <v>10912.72748448998</v>
      </c>
    </row>
    <row r="141" spans="13:25" x14ac:dyDescent="0.35">
      <c r="M141">
        <v>124</v>
      </c>
      <c r="N141" t="s">
        <v>405</v>
      </c>
      <c r="O141" t="s">
        <v>406</v>
      </c>
      <c r="Q141" s="41">
        <v>627753</v>
      </c>
      <c r="R141" s="41">
        <f>AG86</f>
        <v>18156.3941424</v>
      </c>
      <c r="S141" s="41"/>
      <c r="T141" s="41"/>
      <c r="U141" s="41"/>
      <c r="V141" s="41">
        <f>Q141-SUM(R141:T141)+U141</f>
        <v>609596.60585759999</v>
      </c>
      <c r="W141" s="41">
        <f t="shared" si="45"/>
        <v>38099.7878661</v>
      </c>
      <c r="X141" s="41">
        <f t="shared" si="45"/>
        <v>53339.703012540005</v>
      </c>
      <c r="Y141" s="41">
        <f>X141-W141</f>
        <v>15239.915146440006</v>
      </c>
    </row>
    <row r="142" spans="13:25" x14ac:dyDescent="0.35">
      <c r="M142">
        <v>125</v>
      </c>
      <c r="N142" t="s">
        <v>407</v>
      </c>
      <c r="O142" t="s">
        <v>408</v>
      </c>
      <c r="Q142" s="41">
        <v>155262</v>
      </c>
      <c r="R142" s="41">
        <f>AG87</f>
        <v>30694.790310799995</v>
      </c>
      <c r="S142" s="41"/>
      <c r="T142" s="41"/>
      <c r="U142" s="41">
        <v>826</v>
      </c>
      <c r="V142" s="41">
        <f>Q142-SUM(R142:T142)+U142</f>
        <v>125393.20968920001</v>
      </c>
      <c r="W142" s="41">
        <f t="shared" si="45"/>
        <v>7837.0756055750007</v>
      </c>
      <c r="X142" s="41">
        <f t="shared" si="45"/>
        <v>10971.905847805003</v>
      </c>
      <c r="Y142" s="41">
        <f>X142-W142</f>
        <v>3134.8302422300021</v>
      </c>
    </row>
    <row r="143" spans="13:25" x14ac:dyDescent="0.35">
      <c r="M143">
        <v>126</v>
      </c>
      <c r="P143" t="s">
        <v>409</v>
      </c>
      <c r="Q143" s="41">
        <f t="shared" ref="Q143:Y143" si="46">SUM(Q139:Q142)</f>
        <v>24544818</v>
      </c>
      <c r="R143" s="41">
        <f t="shared" si="46"/>
        <v>246381.08507360003</v>
      </c>
      <c r="S143" s="41">
        <f t="shared" si="46"/>
        <v>0</v>
      </c>
      <c r="T143" s="41">
        <f t="shared" si="46"/>
        <v>0</v>
      </c>
      <c r="U143" s="41">
        <f t="shared" si="46"/>
        <v>-23126938</v>
      </c>
      <c r="V143" s="41">
        <f t="shared" si="46"/>
        <v>1171498.914926399</v>
      </c>
      <c r="W143" s="41">
        <f t="shared" si="46"/>
        <v>73218.682182899938</v>
      </c>
      <c r="X143" s="41">
        <f t="shared" si="46"/>
        <v>102506.15505605993</v>
      </c>
      <c r="Y143" s="41">
        <f t="shared" si="46"/>
        <v>29287.47287315999</v>
      </c>
    </row>
    <row r="144" spans="13:25" x14ac:dyDescent="0.35">
      <c r="M144">
        <v>127</v>
      </c>
      <c r="Q144" s="41"/>
      <c r="R144" s="41"/>
      <c r="S144" s="41"/>
      <c r="T144" s="41"/>
      <c r="U144" s="41"/>
      <c r="V144" s="41"/>
    </row>
    <row r="145" spans="13:35" x14ac:dyDescent="0.35">
      <c r="M145">
        <v>128</v>
      </c>
      <c r="O145" t="s">
        <v>410</v>
      </c>
      <c r="Q145" s="41"/>
      <c r="R145" s="41"/>
      <c r="S145" s="41"/>
      <c r="T145" s="41"/>
      <c r="U145" s="41"/>
      <c r="V145" s="41"/>
    </row>
    <row r="146" spans="13:35" x14ac:dyDescent="0.35">
      <c r="M146">
        <v>129</v>
      </c>
      <c r="N146" t="s">
        <v>411</v>
      </c>
      <c r="O146" t="s">
        <v>391</v>
      </c>
      <c r="Q146" s="41">
        <v>0</v>
      </c>
      <c r="R146" s="41">
        <v>0</v>
      </c>
      <c r="S146" s="41"/>
      <c r="T146" s="41"/>
      <c r="U146" s="41"/>
      <c r="V146" s="41">
        <f>Q146-SUM(R146:T146)+U146</f>
        <v>0</v>
      </c>
      <c r="W146" s="41">
        <f t="shared" ref="W146:X149" si="47">$V146*W$16</f>
        <v>0</v>
      </c>
      <c r="X146" s="41">
        <f t="shared" si="47"/>
        <v>0</v>
      </c>
      <c r="Y146" s="41">
        <f>X146-W146</f>
        <v>0</v>
      </c>
    </row>
    <row r="147" spans="13:35" x14ac:dyDescent="0.35">
      <c r="M147">
        <v>130</v>
      </c>
      <c r="N147" t="s">
        <v>412</v>
      </c>
      <c r="O147" t="s">
        <v>413</v>
      </c>
      <c r="Q147" s="41">
        <v>73461</v>
      </c>
      <c r="R147" s="41">
        <v>0</v>
      </c>
      <c r="S147" s="41"/>
      <c r="T147" s="41"/>
      <c r="U147" s="41"/>
      <c r="V147" s="41">
        <f>Q147-SUM(R147:T147)+U147</f>
        <v>73461</v>
      </c>
      <c r="W147" s="41">
        <f t="shared" si="47"/>
        <v>4591.3125</v>
      </c>
      <c r="X147" s="41">
        <f t="shared" si="47"/>
        <v>6427.8375000000005</v>
      </c>
      <c r="Y147" s="41">
        <f>X147-W147</f>
        <v>1836.5250000000005</v>
      </c>
    </row>
    <row r="148" spans="13:35" x14ac:dyDescent="0.35">
      <c r="M148">
        <v>131</v>
      </c>
      <c r="N148" t="s">
        <v>414</v>
      </c>
      <c r="O148" t="s">
        <v>415</v>
      </c>
      <c r="Q148" s="41">
        <v>0</v>
      </c>
      <c r="R148" s="41">
        <v>0</v>
      </c>
      <c r="S148" s="41"/>
      <c r="T148" s="41"/>
      <c r="U148" s="41"/>
      <c r="V148" s="41">
        <f>Q148-SUM(R148:T148)+U148</f>
        <v>0</v>
      </c>
      <c r="W148" s="41">
        <f t="shared" si="47"/>
        <v>0</v>
      </c>
      <c r="X148" s="41">
        <f t="shared" si="47"/>
        <v>0</v>
      </c>
      <c r="Y148" s="41">
        <f>X148-W148</f>
        <v>0</v>
      </c>
    </row>
    <row r="149" spans="13:35" x14ac:dyDescent="0.35">
      <c r="M149">
        <v>132</v>
      </c>
      <c r="N149" t="s">
        <v>416</v>
      </c>
      <c r="O149" t="s">
        <v>417</v>
      </c>
      <c r="Q149" s="41">
        <v>0</v>
      </c>
      <c r="R149" s="41">
        <v>0</v>
      </c>
      <c r="S149" s="41"/>
      <c r="T149" s="41"/>
      <c r="U149" s="41"/>
      <c r="V149" s="41">
        <f>Q149-SUM(R149:T149)+U149</f>
        <v>0</v>
      </c>
      <c r="W149" s="41">
        <f t="shared" si="47"/>
        <v>0</v>
      </c>
      <c r="X149" s="41">
        <f t="shared" si="47"/>
        <v>0</v>
      </c>
      <c r="Y149" s="41">
        <f>X149-W149</f>
        <v>0</v>
      </c>
    </row>
    <row r="150" spans="13:35" x14ac:dyDescent="0.35">
      <c r="M150">
        <v>133</v>
      </c>
      <c r="P150" t="s">
        <v>418</v>
      </c>
      <c r="Q150" s="41">
        <f t="shared" ref="Q150:Y150" si="48">SUM(Q146:Q149)</f>
        <v>73461</v>
      </c>
      <c r="R150" s="41">
        <f t="shared" si="48"/>
        <v>0</v>
      </c>
      <c r="S150" s="41">
        <f t="shared" si="48"/>
        <v>0</v>
      </c>
      <c r="T150" s="41">
        <f t="shared" si="48"/>
        <v>0</v>
      </c>
      <c r="U150" s="41">
        <f t="shared" si="48"/>
        <v>0</v>
      </c>
      <c r="V150" s="41">
        <f t="shared" si="48"/>
        <v>73461</v>
      </c>
      <c r="W150" s="41">
        <f t="shared" si="48"/>
        <v>4591.3125</v>
      </c>
      <c r="X150" s="41">
        <f t="shared" si="48"/>
        <v>6427.8375000000005</v>
      </c>
      <c r="Y150" s="41">
        <f t="shared" si="48"/>
        <v>1836.5250000000005</v>
      </c>
    </row>
    <row r="151" spans="13:35" x14ac:dyDescent="0.35">
      <c r="M151">
        <v>134</v>
      </c>
      <c r="Q151" s="41"/>
      <c r="R151" s="41"/>
      <c r="S151" s="41"/>
      <c r="T151" s="41"/>
      <c r="U151" s="41"/>
      <c r="V151" s="41"/>
    </row>
    <row r="152" spans="13:35" x14ac:dyDescent="0.35">
      <c r="M152">
        <v>135</v>
      </c>
      <c r="O152" t="s">
        <v>419</v>
      </c>
      <c r="Q152" s="41">
        <f t="shared" ref="Q152:Y152" si="49">Q73+Q103+Q128+Q136+Q143+Q150</f>
        <v>393181776</v>
      </c>
      <c r="R152" s="41">
        <f t="shared" si="49"/>
        <v>38558869.696510613</v>
      </c>
      <c r="S152" s="41">
        <f t="shared" si="49"/>
        <v>267510986.06</v>
      </c>
      <c r="T152" s="41">
        <f t="shared" si="49"/>
        <v>24688880.155999999</v>
      </c>
      <c r="U152" s="41">
        <f t="shared" si="49"/>
        <v>-23139829</v>
      </c>
      <c r="V152" s="41">
        <f t="shared" si="49"/>
        <v>39283211.087489374</v>
      </c>
      <c r="W152" s="41">
        <f t="shared" si="49"/>
        <v>2455200.6929680859</v>
      </c>
      <c r="X152" s="41">
        <f t="shared" si="49"/>
        <v>3437280.9701553201</v>
      </c>
      <c r="Y152" s="41">
        <f t="shared" si="49"/>
        <v>982080.27718723484</v>
      </c>
    </row>
    <row r="153" spans="13:35" x14ac:dyDescent="0.35">
      <c r="M153">
        <v>136</v>
      </c>
      <c r="Q153" s="41"/>
      <c r="R153" s="41"/>
    </row>
    <row r="154" spans="13:35" x14ac:dyDescent="0.35">
      <c r="M154">
        <v>137</v>
      </c>
      <c r="O154" t="s">
        <v>420</v>
      </c>
      <c r="Q154" s="41"/>
      <c r="R154" s="41"/>
    </row>
    <row r="155" spans="13:35" x14ac:dyDescent="0.35">
      <c r="M155">
        <v>138</v>
      </c>
      <c r="N155" t="s">
        <v>421</v>
      </c>
      <c r="O155" t="s">
        <v>422</v>
      </c>
      <c r="Q155" s="41">
        <v>21719075</v>
      </c>
      <c r="R155" s="41">
        <f>AG88</f>
        <v>20001221.511191618</v>
      </c>
      <c r="T155" s="41">
        <f>(7070465+673132)*AE100*AF102</f>
        <v>3634463.1494734748</v>
      </c>
      <c r="U155" s="41">
        <v>-665342</v>
      </c>
      <c r="V155" s="41">
        <f t="shared" ref="V155:V168" si="50">Q155-SUM(R155:T155)+U155</f>
        <v>-2581951.6606650911</v>
      </c>
      <c r="W155" s="41">
        <f t="shared" ref="W155:X168" si="51">$V155*W$16</f>
        <v>-161371.9787915682</v>
      </c>
      <c r="X155" s="41">
        <f t="shared" si="51"/>
        <v>-225920.7703081955</v>
      </c>
      <c r="Y155" s="41">
        <f t="shared" ref="Y155:Y168" si="52">X155-W155</f>
        <v>-64548.791516627301</v>
      </c>
    </row>
    <row r="156" spans="13:35" x14ac:dyDescent="0.35">
      <c r="M156">
        <v>139</v>
      </c>
      <c r="N156" t="s">
        <v>423</v>
      </c>
      <c r="O156" t="s">
        <v>424</v>
      </c>
      <c r="Q156" s="41">
        <v>2769338</v>
      </c>
      <c r="R156" s="41">
        <f>AG89</f>
        <v>133088.88961610134</v>
      </c>
      <c r="T156" s="41"/>
      <c r="U156" s="41">
        <v>-739</v>
      </c>
      <c r="V156" s="41">
        <f t="shared" si="50"/>
        <v>2635510.1103838985</v>
      </c>
      <c r="W156" s="41">
        <f t="shared" si="51"/>
        <v>164719.38189899366</v>
      </c>
      <c r="X156" s="41">
        <f t="shared" si="51"/>
        <v>230607.13465859115</v>
      </c>
      <c r="Y156" s="41">
        <f t="shared" si="52"/>
        <v>65887.752759597497</v>
      </c>
      <c r="AD156">
        <v>2018</v>
      </c>
      <c r="AE156">
        <v>2019</v>
      </c>
      <c r="AF156">
        <v>2020</v>
      </c>
      <c r="AG156">
        <v>2021</v>
      </c>
      <c r="AH156">
        <v>2022</v>
      </c>
      <c r="AI156" t="s">
        <v>113</v>
      </c>
    </row>
    <row r="157" spans="13:35" x14ac:dyDescent="0.35">
      <c r="M157">
        <v>140</v>
      </c>
      <c r="N157" t="s">
        <v>425</v>
      </c>
      <c r="O157" t="s">
        <v>426</v>
      </c>
      <c r="Q157" s="41">
        <v>-70476</v>
      </c>
      <c r="R157" s="41">
        <v>0</v>
      </c>
      <c r="T157" s="41">
        <v>-70476</v>
      </c>
      <c r="U157" s="41"/>
      <c r="V157" s="41">
        <f t="shared" si="50"/>
        <v>0</v>
      </c>
      <c r="W157" s="41">
        <f t="shared" si="51"/>
        <v>0</v>
      </c>
      <c r="X157" s="41">
        <f t="shared" si="51"/>
        <v>0</v>
      </c>
      <c r="Y157" s="41">
        <f t="shared" si="52"/>
        <v>0</v>
      </c>
      <c r="AB157" t="s">
        <v>427</v>
      </c>
      <c r="AC157" t="s">
        <v>428</v>
      </c>
      <c r="AD157" s="30">
        <v>146848</v>
      </c>
      <c r="AE157" s="30">
        <v>155757</v>
      </c>
      <c r="AF157" s="30">
        <v>162760</v>
      </c>
      <c r="AG157" s="30">
        <v>169898.77100000001</v>
      </c>
      <c r="AH157" s="30">
        <v>187348</v>
      </c>
    </row>
    <row r="158" spans="13:35" x14ac:dyDescent="0.35">
      <c r="M158">
        <v>141</v>
      </c>
      <c r="N158" t="s">
        <v>429</v>
      </c>
      <c r="O158" t="s">
        <v>430</v>
      </c>
      <c r="Q158" s="41">
        <v>11016695</v>
      </c>
      <c r="R158" s="41">
        <f>AG90</f>
        <v>12250.5198451</v>
      </c>
      <c r="T158" s="41">
        <f>AH103</f>
        <v>9984154.3575467132</v>
      </c>
      <c r="U158" s="41"/>
      <c r="V158" s="41">
        <f t="shared" si="50"/>
        <v>1020290.1226081867</v>
      </c>
      <c r="W158" s="41">
        <f t="shared" si="51"/>
        <v>63768.132663011667</v>
      </c>
      <c r="X158" s="41">
        <f t="shared" si="51"/>
        <v>89275.385728216337</v>
      </c>
      <c r="Y158" s="41">
        <f t="shared" si="52"/>
        <v>25507.25306520467</v>
      </c>
      <c r="AC158" t="s">
        <v>431</v>
      </c>
      <c r="AD158" s="5"/>
      <c r="AE158" s="5">
        <f>(AE157-AD157)/AD157</f>
        <v>6.0668173894094575E-2</v>
      </c>
      <c r="AF158" s="5">
        <f>(AF157-AE157)/AE157</f>
        <v>4.4961061140109275E-2</v>
      </c>
      <c r="AG158" s="5">
        <f>(AG157-AF157)/AF157</f>
        <v>4.3860721307446594E-2</v>
      </c>
      <c r="AH158" s="5">
        <f>(AH157-AG157)/AG157</f>
        <v>0.10270367994598378</v>
      </c>
      <c r="AI158" s="5">
        <f>AVERAGE(AE158:AH158)</f>
        <v>6.3048409071908562E-2</v>
      </c>
    </row>
    <row r="159" spans="13:35" x14ac:dyDescent="0.35">
      <c r="M159">
        <v>142</v>
      </c>
      <c r="N159" t="s">
        <v>432</v>
      </c>
      <c r="O159" t="s">
        <v>433</v>
      </c>
      <c r="Q159" s="41">
        <v>1763586</v>
      </c>
      <c r="R159" s="41">
        <v>0</v>
      </c>
      <c r="T159" s="41">
        <f>1339395</f>
        <v>1339395</v>
      </c>
      <c r="U159" s="41">
        <v>-12740</v>
      </c>
      <c r="V159" s="41">
        <f t="shared" si="50"/>
        <v>411451</v>
      </c>
      <c r="W159" s="41">
        <f t="shared" si="51"/>
        <v>25715.6875</v>
      </c>
      <c r="X159" s="41">
        <f t="shared" si="51"/>
        <v>36001.962500000001</v>
      </c>
      <c r="Y159" s="41">
        <f t="shared" si="52"/>
        <v>10286.275000000001</v>
      </c>
    </row>
    <row r="160" spans="13:35" x14ac:dyDescent="0.35">
      <c r="M160">
        <v>143</v>
      </c>
      <c r="N160" t="s">
        <v>434</v>
      </c>
      <c r="O160" t="s">
        <v>435</v>
      </c>
      <c r="Q160" s="41">
        <v>7237450</v>
      </c>
      <c r="R160" s="41">
        <f>AG91</f>
        <v>58.561736399999994</v>
      </c>
      <c r="T160" s="41">
        <f>6196303+552503</f>
        <v>6748806</v>
      </c>
      <c r="U160" s="41">
        <v>-29726</v>
      </c>
      <c r="V160" s="41">
        <f t="shared" si="50"/>
        <v>458859.43826359976</v>
      </c>
      <c r="W160" s="41">
        <f t="shared" si="51"/>
        <v>28678.714891474985</v>
      </c>
      <c r="X160" s="41">
        <f t="shared" si="51"/>
        <v>40150.200848064982</v>
      </c>
      <c r="Y160" s="41">
        <f t="shared" si="52"/>
        <v>11471.485956589997</v>
      </c>
      <c r="AB160" t="s">
        <v>436</v>
      </c>
      <c r="AC160" t="s">
        <v>428</v>
      </c>
      <c r="AD160" s="30">
        <v>37298</v>
      </c>
      <c r="AE160" s="30">
        <v>39437</v>
      </c>
      <c r="AF160" s="30">
        <v>42735</v>
      </c>
      <c r="AG160" s="30">
        <v>40856</v>
      </c>
      <c r="AH160" s="30">
        <v>44368</v>
      </c>
      <c r="AI160" s="5"/>
    </row>
    <row r="161" spans="13:35" x14ac:dyDescent="0.35">
      <c r="M161">
        <v>144</v>
      </c>
      <c r="N161" t="s">
        <v>437</v>
      </c>
      <c r="O161" t="s">
        <v>438</v>
      </c>
      <c r="Q161" s="41">
        <v>24650750</v>
      </c>
      <c r="R161" s="41">
        <f>AG92</f>
        <v>276600.36818400008</v>
      </c>
      <c r="T161" s="41">
        <f>5560490+(33491704*AE100*AF101)</f>
        <v>21279846.779681765</v>
      </c>
      <c r="U161" s="41"/>
      <c r="V161" s="41">
        <f t="shared" si="50"/>
        <v>3094302.8521342352</v>
      </c>
      <c r="W161" s="41">
        <f t="shared" si="51"/>
        <v>193393.9282583897</v>
      </c>
      <c r="X161" s="41">
        <f t="shared" si="51"/>
        <v>270751.49956174562</v>
      </c>
      <c r="Y161" s="41">
        <f t="shared" si="52"/>
        <v>77357.571303355915</v>
      </c>
      <c r="AC161" t="s">
        <v>431</v>
      </c>
      <c r="AE161" s="5">
        <f>(AE160-AD160)/AD160</f>
        <v>5.7348919513110622E-2</v>
      </c>
      <c r="AF161" s="5">
        <f>(AF160-AE160)/AE160</f>
        <v>8.362705073915358E-2</v>
      </c>
      <c r="AG161" s="5">
        <f>(AG160-AF160)/AF160</f>
        <v>-4.3968643968643965E-2</v>
      </c>
      <c r="AH161" s="5">
        <f>(AH160-AG160)/AG160</f>
        <v>8.5960446446054439E-2</v>
      </c>
      <c r="AI161" s="5">
        <f>AVERAGE(AE161:AH161)</f>
        <v>4.5741943182418671E-2</v>
      </c>
    </row>
    <row r="162" spans="13:35" x14ac:dyDescent="0.35">
      <c r="M162">
        <v>145</v>
      </c>
      <c r="N162" t="s">
        <v>439</v>
      </c>
      <c r="O162" t="s">
        <v>440</v>
      </c>
      <c r="Q162" s="41">
        <v>0</v>
      </c>
      <c r="R162" s="41">
        <v>0</v>
      </c>
      <c r="U162" s="41"/>
      <c r="V162" s="41">
        <f t="shared" si="50"/>
        <v>0</v>
      </c>
      <c r="W162" s="41">
        <f t="shared" si="51"/>
        <v>0</v>
      </c>
      <c r="X162" s="41">
        <f t="shared" si="51"/>
        <v>0</v>
      </c>
      <c r="Y162" s="41">
        <f t="shared" si="52"/>
        <v>0</v>
      </c>
    </row>
    <row r="163" spans="13:35" x14ac:dyDescent="0.35">
      <c r="M163">
        <v>146</v>
      </c>
      <c r="N163" t="s">
        <v>441</v>
      </c>
      <c r="O163" t="s">
        <v>442</v>
      </c>
      <c r="Q163" s="41">
        <v>5066650</v>
      </c>
      <c r="R163" s="41">
        <f>AG93</f>
        <v>765339.5902383998</v>
      </c>
      <c r="T163" s="41">
        <v>4071550</v>
      </c>
      <c r="U163" s="41"/>
      <c r="V163" s="41">
        <f t="shared" si="50"/>
        <v>229760.4097616002</v>
      </c>
      <c r="W163" s="41">
        <f t="shared" si="51"/>
        <v>14360.025610100012</v>
      </c>
      <c r="X163" s="41">
        <f t="shared" si="51"/>
        <v>20104.03585414002</v>
      </c>
      <c r="Y163" s="41">
        <f t="shared" si="52"/>
        <v>5744.0102440400078</v>
      </c>
    </row>
    <row r="164" spans="13:35" x14ac:dyDescent="0.35">
      <c r="M164">
        <v>147</v>
      </c>
      <c r="N164" t="s">
        <v>443</v>
      </c>
      <c r="O164" t="s">
        <v>444</v>
      </c>
      <c r="Q164" s="41">
        <v>0</v>
      </c>
      <c r="R164" s="41">
        <v>0</v>
      </c>
      <c r="U164" s="41"/>
      <c r="V164" s="41">
        <f t="shared" si="50"/>
        <v>0</v>
      </c>
      <c r="W164" s="41">
        <f t="shared" si="51"/>
        <v>0</v>
      </c>
      <c r="X164" s="41">
        <f t="shared" si="51"/>
        <v>0</v>
      </c>
      <c r="Y164" s="41">
        <f t="shared" si="52"/>
        <v>0</v>
      </c>
    </row>
    <row r="165" spans="13:35" x14ac:dyDescent="0.35">
      <c r="M165">
        <v>148</v>
      </c>
      <c r="N165" t="s">
        <v>445</v>
      </c>
      <c r="O165" t="s">
        <v>446</v>
      </c>
      <c r="Q165" s="41">
        <v>0</v>
      </c>
      <c r="R165" s="41">
        <v>0</v>
      </c>
      <c r="U165" s="41"/>
      <c r="V165" s="41">
        <f t="shared" si="50"/>
        <v>0</v>
      </c>
      <c r="W165" s="41">
        <f t="shared" si="51"/>
        <v>0</v>
      </c>
      <c r="X165" s="41">
        <f t="shared" si="51"/>
        <v>0</v>
      </c>
      <c r="Y165" s="41">
        <f t="shared" si="52"/>
        <v>0</v>
      </c>
    </row>
    <row r="166" spans="13:35" x14ac:dyDescent="0.35">
      <c r="M166">
        <v>149</v>
      </c>
      <c r="N166" t="s">
        <v>447</v>
      </c>
      <c r="O166" t="s">
        <v>448</v>
      </c>
      <c r="Q166" s="41">
        <v>3110428</v>
      </c>
      <c r="R166" s="41">
        <f>AG94</f>
        <v>324991.62917639996</v>
      </c>
      <c r="U166" s="41">
        <v>-574729</v>
      </c>
      <c r="V166" s="41">
        <f t="shared" si="50"/>
        <v>2210707.3708235999</v>
      </c>
      <c r="W166" s="41">
        <f t="shared" si="51"/>
        <v>138169.21067647499</v>
      </c>
      <c r="X166" s="41">
        <f t="shared" si="51"/>
        <v>193436.89494706501</v>
      </c>
      <c r="Y166" s="41">
        <f t="shared" si="52"/>
        <v>55267.68427059002</v>
      </c>
    </row>
    <row r="167" spans="13:35" x14ac:dyDescent="0.35">
      <c r="M167">
        <v>150</v>
      </c>
      <c r="N167" t="s">
        <v>449</v>
      </c>
      <c r="O167" t="s">
        <v>171</v>
      </c>
      <c r="Q167" s="41">
        <v>550562</v>
      </c>
      <c r="R167" s="41">
        <f>AG95</f>
        <v>536.41425900000002</v>
      </c>
      <c r="U167" s="41"/>
      <c r="V167" s="41">
        <f t="shared" si="50"/>
        <v>550025.58574100002</v>
      </c>
      <c r="W167" s="41">
        <f t="shared" si="51"/>
        <v>34376.599108812501</v>
      </c>
      <c r="X167" s="41">
        <f t="shared" si="51"/>
        <v>48127.238752337507</v>
      </c>
      <c r="Y167" s="41">
        <f t="shared" si="52"/>
        <v>13750.639643525006</v>
      </c>
    </row>
    <row r="168" spans="13:35" x14ac:dyDescent="0.35">
      <c r="M168">
        <v>151</v>
      </c>
      <c r="N168" t="s">
        <v>450</v>
      </c>
      <c r="O168" t="s">
        <v>451</v>
      </c>
      <c r="Q168" s="41">
        <v>10122538</v>
      </c>
      <c r="R168" s="41">
        <f>AG96</f>
        <v>1121256.7808412996</v>
      </c>
      <c r="U168" s="41">
        <v>-1487</v>
      </c>
      <c r="V168" s="41">
        <f t="shared" si="50"/>
        <v>8999794.2191586997</v>
      </c>
      <c r="W168" s="41">
        <f t="shared" si="51"/>
        <v>562487.13869741873</v>
      </c>
      <c r="X168" s="41">
        <f t="shared" si="51"/>
        <v>787481.99417638627</v>
      </c>
      <c r="Y168" s="41">
        <f t="shared" si="52"/>
        <v>224994.85547896754</v>
      </c>
    </row>
    <row r="169" spans="13:35" x14ac:dyDescent="0.35">
      <c r="M169">
        <v>152</v>
      </c>
      <c r="P169" t="s">
        <v>452</v>
      </c>
      <c r="Q169" s="41">
        <f t="shared" ref="Q169:Y169" si="53">SUM(Q155:Q168)</f>
        <v>87936596</v>
      </c>
      <c r="R169" s="41">
        <f t="shared" si="53"/>
        <v>22635344.26508832</v>
      </c>
      <c r="S169" s="41">
        <f t="shared" si="53"/>
        <v>0</v>
      </c>
      <c r="T169" s="41">
        <f t="shared" si="53"/>
        <v>46987739.286701955</v>
      </c>
      <c r="U169" s="41">
        <f t="shared" si="53"/>
        <v>-1284763</v>
      </c>
      <c r="V169" s="41">
        <f t="shared" si="53"/>
        <v>17028749.448209729</v>
      </c>
      <c r="W169" s="41">
        <f t="shared" si="53"/>
        <v>1064296.8405131081</v>
      </c>
      <c r="X169" s="41">
        <f t="shared" si="53"/>
        <v>1490015.5767183513</v>
      </c>
      <c r="Y169" s="41">
        <f t="shared" si="53"/>
        <v>425718.73620524333</v>
      </c>
    </row>
    <row r="170" spans="13:35" x14ac:dyDescent="0.35">
      <c r="M170">
        <v>153</v>
      </c>
      <c r="Q170" s="41"/>
      <c r="R170" s="41"/>
      <c r="S170" s="41"/>
      <c r="T170" s="41"/>
      <c r="U170" s="41"/>
      <c r="V170" s="41"/>
      <c r="W170" s="41"/>
      <c r="X170" s="41"/>
      <c r="Y170" s="41"/>
    </row>
    <row r="171" spans="13:35" x14ac:dyDescent="0.35">
      <c r="M171">
        <v>154</v>
      </c>
      <c r="O171" t="s">
        <v>453</v>
      </c>
      <c r="Q171" s="41">
        <f t="shared" ref="Q171:Y171" si="54">Q152+Q169</f>
        <v>481118372</v>
      </c>
      <c r="R171" s="41">
        <f t="shared" si="54"/>
        <v>61194213.961598933</v>
      </c>
      <c r="S171" s="41">
        <f t="shared" si="54"/>
        <v>267510986.06</v>
      </c>
      <c r="T171" s="41">
        <f t="shared" si="54"/>
        <v>71676619.442701951</v>
      </c>
      <c r="U171" s="41">
        <f t="shared" si="54"/>
        <v>-24424592</v>
      </c>
      <c r="V171" s="41">
        <f t="shared" si="54"/>
        <v>56311960.535699099</v>
      </c>
      <c r="W171" s="41">
        <f t="shared" si="54"/>
        <v>3519497.5334811937</v>
      </c>
      <c r="X171" s="41">
        <f t="shared" si="54"/>
        <v>4927296.5468736719</v>
      </c>
      <c r="Y171" s="41">
        <f t="shared" si="54"/>
        <v>1407799.0133924782</v>
      </c>
    </row>
    <row r="173" spans="13:35" x14ac:dyDescent="0.35">
      <c r="V173" s="41" t="s">
        <v>454</v>
      </c>
      <c r="W173" s="30">
        <f>W171-W174</f>
        <v>2111698.5200887155</v>
      </c>
      <c r="X173" s="41"/>
      <c r="Y173" s="41"/>
    </row>
    <row r="174" spans="13:35" x14ac:dyDescent="0.35">
      <c r="V174" s="41" t="s">
        <v>455</v>
      </c>
      <c r="W174" s="30">
        <f>Y171</f>
        <v>1407799.0133924782</v>
      </c>
      <c r="X174" s="41" t="s">
        <v>456</v>
      </c>
      <c r="Y174" s="30">
        <f>Y171</f>
        <v>1407799.0133924782</v>
      </c>
    </row>
    <row r="175" spans="13:35" x14ac:dyDescent="0.35">
      <c r="W175" s="30">
        <f>SUM(W173:W174)</f>
        <v>3519497.5334811937</v>
      </c>
    </row>
    <row r="177" spans="21:23" x14ac:dyDescent="0.35">
      <c r="U177" t="s">
        <v>457</v>
      </c>
      <c r="V177" s="39">
        <f>V171/Q171</f>
        <v>0.11704387903877239</v>
      </c>
    </row>
    <row r="180" spans="21:23" x14ac:dyDescent="0.35">
      <c r="W180" s="43"/>
    </row>
  </sheetData>
  <pageMargins left="0.7" right="0.7" top="0.75" bottom="0.75" header="0.3" footer="0.3"/>
  <pageSetup scale="90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A484-1027-44C1-AF60-685193E47F3D}">
  <sheetPr>
    <tabColor theme="3" tint="0.89999084444715716"/>
    <pageSetUpPr fitToPage="1"/>
  </sheetPr>
  <dimension ref="A1:R34"/>
  <sheetViews>
    <sheetView workbookViewId="0">
      <selection activeCell="E32" sqref="E32"/>
    </sheetView>
  </sheetViews>
  <sheetFormatPr defaultRowHeight="15.5" x14ac:dyDescent="0.35"/>
  <cols>
    <col min="1" max="1" width="5.08203125" customWidth="1"/>
    <col min="2" max="2" width="1.58203125" customWidth="1"/>
    <col min="3" max="3" width="63.25" customWidth="1"/>
    <col min="4" max="4" width="1.25" customWidth="1"/>
    <col min="5" max="5" width="10.83203125" customWidth="1"/>
    <col min="6" max="6" width="1.5" customWidth="1"/>
    <col min="7" max="7" width="15.75" customWidth="1"/>
    <col min="8" max="8" width="1.75" customWidth="1"/>
    <col min="9" max="9" width="13.75" bestFit="1" customWidth="1"/>
    <col min="10" max="10" width="1.5" customWidth="1"/>
    <col min="11" max="11" width="11.75" bestFit="1" customWidth="1"/>
    <col min="14" max="14" width="11.75" bestFit="1" customWidth="1"/>
  </cols>
  <sheetData>
    <row r="1" spans="1:18" x14ac:dyDescent="0.35">
      <c r="A1" t="s">
        <v>507</v>
      </c>
      <c r="G1" s="62" t="s">
        <v>562</v>
      </c>
    </row>
    <row r="2" spans="1:18" x14ac:dyDescent="0.35">
      <c r="A2" t="s">
        <v>508</v>
      </c>
      <c r="G2" s="62" t="s">
        <v>568</v>
      </c>
    </row>
    <row r="3" spans="1:18" x14ac:dyDescent="0.35">
      <c r="A3" s="52" t="s">
        <v>517</v>
      </c>
      <c r="G3" s="1"/>
    </row>
    <row r="4" spans="1:18" x14ac:dyDescent="0.35">
      <c r="A4" t="s">
        <v>510</v>
      </c>
      <c r="G4" s="1"/>
    </row>
    <row r="8" spans="1:18" x14ac:dyDescent="0.35">
      <c r="A8" s="2" t="s">
        <v>0</v>
      </c>
      <c r="C8" s="2"/>
      <c r="D8" s="2"/>
      <c r="E8" s="2"/>
      <c r="F8" s="2"/>
      <c r="G8" s="2"/>
      <c r="I8" s="2"/>
      <c r="J8" s="2"/>
      <c r="K8" s="2"/>
    </row>
    <row r="9" spans="1:18" x14ac:dyDescent="0.35">
      <c r="A9" s="3" t="s">
        <v>1</v>
      </c>
      <c r="C9" s="3" t="s">
        <v>2</v>
      </c>
      <c r="D9" s="2"/>
      <c r="E9" s="3" t="s">
        <v>109</v>
      </c>
      <c r="F9" s="2"/>
      <c r="G9" s="3" t="s">
        <v>3</v>
      </c>
      <c r="J9" s="2"/>
      <c r="K9" s="2"/>
    </row>
    <row r="10" spans="1:18" x14ac:dyDescent="0.35">
      <c r="E10" s="2"/>
    </row>
    <row r="11" spans="1:18" x14ac:dyDescent="0.35">
      <c r="A11" s="2">
        <v>1</v>
      </c>
      <c r="C11" t="s">
        <v>477</v>
      </c>
      <c r="E11" s="2" t="s">
        <v>471</v>
      </c>
      <c r="G11" s="6">
        <v>1199069</v>
      </c>
      <c r="R11" s="6"/>
    </row>
    <row r="12" spans="1:18" x14ac:dyDescent="0.35">
      <c r="A12" s="2"/>
      <c r="E12" s="2"/>
    </row>
    <row r="13" spans="1:18" x14ac:dyDescent="0.35">
      <c r="A13" s="2">
        <v>2</v>
      </c>
      <c r="C13" t="s">
        <v>463</v>
      </c>
      <c r="E13" s="2"/>
      <c r="G13" s="46">
        <f>+G11/2</f>
        <v>599534.5</v>
      </c>
    </row>
    <row r="14" spans="1:18" x14ac:dyDescent="0.35">
      <c r="A14" s="2"/>
      <c r="E14" s="2"/>
    </row>
    <row r="15" spans="1:18" x14ac:dyDescent="0.35">
      <c r="A15" s="2">
        <v>3</v>
      </c>
      <c r="C15" t="s">
        <v>482</v>
      </c>
      <c r="E15" s="2"/>
      <c r="G15" s="30">
        <f>+G13-G11</f>
        <v>-599534.5</v>
      </c>
    </row>
    <row r="16" spans="1:18" x14ac:dyDescent="0.35">
      <c r="A16" s="2"/>
      <c r="E16" s="2"/>
    </row>
    <row r="17" spans="1:11" x14ac:dyDescent="0.35">
      <c r="A17" s="2">
        <v>4</v>
      </c>
      <c r="C17" t="s">
        <v>483</v>
      </c>
      <c r="E17" s="2" t="s">
        <v>472</v>
      </c>
      <c r="G17" s="33">
        <f>-G11/10</f>
        <v>-119906.9</v>
      </c>
    </row>
    <row r="18" spans="1:11" x14ac:dyDescent="0.35">
      <c r="A18" s="2"/>
      <c r="E18" s="2"/>
    </row>
    <row r="19" spans="1:11" x14ac:dyDescent="0.35">
      <c r="A19" s="2">
        <v>5</v>
      </c>
      <c r="C19" t="s">
        <v>470</v>
      </c>
      <c r="E19" s="2"/>
      <c r="G19" s="30">
        <f>+G15-G17</f>
        <v>-479627.6</v>
      </c>
    </row>
    <row r="20" spans="1:11" x14ac:dyDescent="0.35">
      <c r="A20" s="2"/>
      <c r="E20" s="2"/>
    </row>
    <row r="21" spans="1:11" x14ac:dyDescent="0.35">
      <c r="A21" s="2">
        <v>6</v>
      </c>
      <c r="C21" t="s">
        <v>478</v>
      </c>
      <c r="E21" s="2" t="s">
        <v>473</v>
      </c>
      <c r="G21" s="12">
        <f>0.70112*0.66943</f>
        <v>0.46935076159999994</v>
      </c>
    </row>
    <row r="22" spans="1:11" x14ac:dyDescent="0.35">
      <c r="A22" s="2"/>
      <c r="E22" s="2"/>
    </row>
    <row r="23" spans="1:11" x14ac:dyDescent="0.35">
      <c r="A23" s="2">
        <v>7</v>
      </c>
      <c r="C23" t="s">
        <v>484</v>
      </c>
      <c r="E23" s="2"/>
      <c r="G23" s="30">
        <f>+G19*G21</f>
        <v>-225113.57934438012</v>
      </c>
    </row>
    <row r="24" spans="1:11" x14ac:dyDescent="0.35">
      <c r="A24" s="2"/>
      <c r="E24" s="2"/>
    </row>
    <row r="25" spans="1:11" x14ac:dyDescent="0.35">
      <c r="A25" s="2">
        <v>8</v>
      </c>
      <c r="C25" t="s">
        <v>480</v>
      </c>
      <c r="E25" s="2" t="s">
        <v>481</v>
      </c>
      <c r="G25" s="33">
        <v>5259576</v>
      </c>
    </row>
    <row r="26" spans="1:11" x14ac:dyDescent="0.35">
      <c r="A26" s="2"/>
      <c r="E26" s="2"/>
    </row>
    <row r="27" spans="1:11" ht="16" thickBot="1" x14ac:dyDescent="0.4">
      <c r="A27" s="2">
        <v>9</v>
      </c>
      <c r="C27" t="s">
        <v>479</v>
      </c>
      <c r="E27" s="2"/>
      <c r="G27" s="44">
        <f>+G23+G25</f>
        <v>5034462.4206556203</v>
      </c>
    </row>
    <row r="28" spans="1:11" ht="16" thickTop="1" x14ac:dyDescent="0.35">
      <c r="A28" s="2"/>
      <c r="E28" s="2"/>
      <c r="G28" s="30"/>
    </row>
    <row r="29" spans="1:11" ht="26.5" thickBot="1" x14ac:dyDescent="0.4">
      <c r="A29" s="2">
        <v>10</v>
      </c>
      <c r="C29" t="s">
        <v>543</v>
      </c>
      <c r="E29" s="67" t="s">
        <v>570</v>
      </c>
      <c r="G29" s="75">
        <f>+'10.2 Summary'!U51</f>
        <v>-236.78328684092503</v>
      </c>
      <c r="K29" s="30"/>
    </row>
    <row r="30" spans="1:11" ht="16" thickTop="1" x14ac:dyDescent="0.35"/>
    <row r="31" spans="1:11" ht="31" x14ac:dyDescent="0.35">
      <c r="A31" s="72" t="s">
        <v>471</v>
      </c>
      <c r="B31" s="72"/>
      <c r="C31" s="73" t="s">
        <v>547</v>
      </c>
    </row>
    <row r="32" spans="1:11" x14ac:dyDescent="0.35">
      <c r="A32" t="s">
        <v>472</v>
      </c>
      <c r="C32" t="s">
        <v>549</v>
      </c>
    </row>
    <row r="33" spans="1:3" x14ac:dyDescent="0.35">
      <c r="A33" t="s">
        <v>473</v>
      </c>
      <c r="C33" t="s">
        <v>548</v>
      </c>
    </row>
    <row r="34" spans="1:3" x14ac:dyDescent="0.35">
      <c r="A34" t="s">
        <v>481</v>
      </c>
      <c r="C34" t="s">
        <v>550</v>
      </c>
    </row>
  </sheetData>
  <pageMargins left="1" right="1" top="1" bottom="1" header="0.5" footer="0.5"/>
  <pageSetup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3CA5-DDAF-40BD-B61B-0D060870EB7D}">
  <sheetPr>
    <tabColor theme="3" tint="0.89999084444715716"/>
    <pageSetUpPr fitToPage="1"/>
  </sheetPr>
  <dimension ref="A1:N33"/>
  <sheetViews>
    <sheetView topLeftCell="A7" workbookViewId="0">
      <selection activeCell="K37" sqref="K37"/>
    </sheetView>
  </sheetViews>
  <sheetFormatPr defaultRowHeight="15.5" x14ac:dyDescent="0.35"/>
  <cols>
    <col min="1" max="1" width="5.08203125" customWidth="1"/>
    <col min="2" max="2" width="1.58203125" customWidth="1"/>
    <col min="3" max="3" width="56.25" customWidth="1"/>
    <col min="4" max="4" width="1.25" customWidth="1"/>
    <col min="5" max="5" width="10.83203125" customWidth="1"/>
    <col min="6" max="6" width="1.5" customWidth="1"/>
    <col min="7" max="7" width="11.33203125" customWidth="1"/>
    <col min="8" max="8" width="2" customWidth="1"/>
    <col min="9" max="9" width="11.75" bestFit="1" customWidth="1"/>
    <col min="10" max="10" width="1.83203125" customWidth="1"/>
    <col min="11" max="11" width="13.33203125" bestFit="1" customWidth="1"/>
    <col min="14" max="14" width="13.25" bestFit="1" customWidth="1"/>
  </cols>
  <sheetData>
    <row r="1" spans="1:14" x14ac:dyDescent="0.35">
      <c r="A1" t="s">
        <v>507</v>
      </c>
      <c r="K1" s="62" t="s">
        <v>562</v>
      </c>
    </row>
    <row r="2" spans="1:14" x14ac:dyDescent="0.35">
      <c r="A2" t="s">
        <v>508</v>
      </c>
      <c r="K2" s="62" t="s">
        <v>583</v>
      </c>
    </row>
    <row r="3" spans="1:14" x14ac:dyDescent="0.35">
      <c r="A3" s="52" t="s">
        <v>518</v>
      </c>
      <c r="K3" s="1"/>
    </row>
    <row r="4" spans="1:14" x14ac:dyDescent="0.35">
      <c r="A4" t="s">
        <v>510</v>
      </c>
      <c r="K4" s="1"/>
    </row>
    <row r="8" spans="1:14" x14ac:dyDescent="0.35">
      <c r="A8" s="2" t="s">
        <v>0</v>
      </c>
      <c r="C8" s="2"/>
      <c r="D8" s="2"/>
      <c r="E8" s="2"/>
      <c r="F8" s="2"/>
      <c r="G8" s="2" t="s">
        <v>464</v>
      </c>
      <c r="I8" s="2" t="s">
        <v>466</v>
      </c>
      <c r="J8" s="2"/>
      <c r="K8" s="2" t="s">
        <v>107</v>
      </c>
    </row>
    <row r="9" spans="1:14" x14ac:dyDescent="0.35">
      <c r="A9" s="3" t="s">
        <v>1</v>
      </c>
      <c r="C9" s="3" t="s">
        <v>2</v>
      </c>
      <c r="D9" s="2"/>
      <c r="E9" s="3" t="s">
        <v>109</v>
      </c>
      <c r="F9" s="2"/>
      <c r="G9" s="3" t="s">
        <v>465</v>
      </c>
      <c r="I9" s="3" t="s">
        <v>465</v>
      </c>
      <c r="J9" s="2"/>
      <c r="K9" s="3" t="s">
        <v>465</v>
      </c>
    </row>
    <row r="11" spans="1:14" x14ac:dyDescent="0.35">
      <c r="A11" s="2">
        <v>1</v>
      </c>
      <c r="C11" t="s">
        <v>523</v>
      </c>
      <c r="E11" s="2" t="s">
        <v>471</v>
      </c>
      <c r="G11" s="6">
        <v>1219762.79</v>
      </c>
      <c r="H11" s="6"/>
      <c r="I11" s="6">
        <v>1304700.19</v>
      </c>
      <c r="J11" s="6"/>
      <c r="K11" s="6">
        <f>+G11+I11</f>
        <v>2524462.98</v>
      </c>
    </row>
    <row r="12" spans="1:14" x14ac:dyDescent="0.35">
      <c r="A12" s="2"/>
      <c r="E12" s="2"/>
    </row>
    <row r="13" spans="1:14" x14ac:dyDescent="0.35">
      <c r="A13" s="2">
        <v>2</v>
      </c>
      <c r="C13" t="s">
        <v>525</v>
      </c>
      <c r="E13" s="2"/>
      <c r="G13" s="38">
        <v>0.5</v>
      </c>
      <c r="I13" s="38">
        <v>0</v>
      </c>
      <c r="N13" s="31"/>
    </row>
    <row r="14" spans="1:14" x14ac:dyDescent="0.35">
      <c r="A14" s="2"/>
      <c r="E14" s="2"/>
    </row>
    <row r="15" spans="1:14" x14ac:dyDescent="0.35">
      <c r="A15" s="2">
        <v>3</v>
      </c>
      <c r="C15" t="s">
        <v>524</v>
      </c>
      <c r="E15" s="2"/>
      <c r="G15" s="6">
        <f>+G11*G13</f>
        <v>609881.39500000002</v>
      </c>
      <c r="I15" s="6">
        <f>+I11*I13</f>
        <v>0</v>
      </c>
      <c r="K15" s="6">
        <f>+G15+I15</f>
        <v>609881.39500000002</v>
      </c>
      <c r="N15" s="6"/>
    </row>
    <row r="16" spans="1:14" x14ac:dyDescent="0.35">
      <c r="A16" s="2"/>
      <c r="E16" s="2"/>
    </row>
    <row r="17" spans="1:14" x14ac:dyDescent="0.35">
      <c r="A17" s="2">
        <v>4</v>
      </c>
      <c r="C17" t="s">
        <v>468</v>
      </c>
      <c r="E17" s="2"/>
      <c r="G17" s="33">
        <v>609881.39</v>
      </c>
      <c r="H17" s="31"/>
      <c r="I17" s="33">
        <v>652350.1</v>
      </c>
      <c r="K17" s="24">
        <f>+G17+I17</f>
        <v>1262231.49</v>
      </c>
    </row>
    <row r="18" spans="1:14" x14ac:dyDescent="0.35">
      <c r="A18" s="2"/>
      <c r="E18" s="2"/>
    </row>
    <row r="19" spans="1:14" x14ac:dyDescent="0.35">
      <c r="A19" s="2">
        <v>5</v>
      </c>
      <c r="C19" t="s">
        <v>526</v>
      </c>
      <c r="E19" s="2"/>
      <c r="G19" s="6">
        <f>+G15-G17</f>
        <v>5.0000000046566129E-3</v>
      </c>
      <c r="I19" s="6">
        <f>+I15-I17</f>
        <v>-652350.1</v>
      </c>
      <c r="K19" s="6">
        <f>+K15-K17</f>
        <v>-652350.09499999997</v>
      </c>
    </row>
    <row r="20" spans="1:14" x14ac:dyDescent="0.35">
      <c r="A20" s="2"/>
      <c r="E20" s="2"/>
    </row>
    <row r="21" spans="1:14" x14ac:dyDescent="0.35">
      <c r="A21" s="2">
        <v>6</v>
      </c>
      <c r="C21" t="s">
        <v>467</v>
      </c>
      <c r="E21" s="2" t="s">
        <v>472</v>
      </c>
      <c r="G21" s="45">
        <f>0.70112*0.66943</f>
        <v>0.46935076159999994</v>
      </c>
      <c r="I21" s="45">
        <f>0.70112*0.66943</f>
        <v>0.46935076159999994</v>
      </c>
      <c r="K21" s="45">
        <f>0.70112*0.66943</f>
        <v>0.46935076159999994</v>
      </c>
    </row>
    <row r="22" spans="1:14" x14ac:dyDescent="0.35">
      <c r="A22" s="2"/>
      <c r="E22" s="2"/>
    </row>
    <row r="23" spans="1:14" ht="16" thickBot="1" x14ac:dyDescent="0.4">
      <c r="A23" s="2">
        <v>7</v>
      </c>
      <c r="C23" t="s">
        <v>527</v>
      </c>
      <c r="E23" s="2"/>
      <c r="G23" s="7">
        <f>+G19*G21</f>
        <v>2.3467538101855845E-3</v>
      </c>
      <c r="H23" s="6"/>
      <c r="I23" s="7">
        <f>+I19*I21</f>
        <v>-306181.01626483613</v>
      </c>
      <c r="J23" s="6"/>
      <c r="K23" s="7">
        <f>+K19*K21</f>
        <v>-306181.01391808229</v>
      </c>
    </row>
    <row r="24" spans="1:14" ht="16" thickTop="1" x14ac:dyDescent="0.35">
      <c r="A24" s="2"/>
      <c r="E24" s="2"/>
      <c r="N24" s="40"/>
    </row>
    <row r="25" spans="1:14" x14ac:dyDescent="0.35">
      <c r="A25" s="2">
        <v>8</v>
      </c>
      <c r="C25" t="s">
        <v>469</v>
      </c>
      <c r="E25" s="2" t="s">
        <v>473</v>
      </c>
      <c r="G25" s="31"/>
      <c r="H25" s="31"/>
      <c r="I25" s="31"/>
      <c r="J25" s="31"/>
      <c r="K25" s="33">
        <v>473943</v>
      </c>
    </row>
    <row r="26" spans="1:14" x14ac:dyDescent="0.35">
      <c r="A26" s="2"/>
      <c r="E26" s="2"/>
      <c r="N26" s="71"/>
    </row>
    <row r="27" spans="1:14" ht="16" thickBot="1" x14ac:dyDescent="0.4">
      <c r="A27" s="2">
        <v>9</v>
      </c>
      <c r="C27" t="s">
        <v>470</v>
      </c>
      <c r="K27" s="7">
        <f>+K23-K25</f>
        <v>-780124.01391808223</v>
      </c>
    </row>
    <row r="28" spans="1:14" ht="16" thickTop="1" x14ac:dyDescent="0.35">
      <c r="A28" s="2"/>
      <c r="K28" s="50"/>
    </row>
    <row r="29" spans="1:14" ht="26.5" thickBot="1" x14ac:dyDescent="0.4">
      <c r="A29" s="2">
        <v>10</v>
      </c>
      <c r="C29" t="s">
        <v>546</v>
      </c>
      <c r="E29" s="67" t="s">
        <v>570</v>
      </c>
      <c r="K29" s="59">
        <f>+'10.2 Summary'!U59</f>
        <v>-818.97724988741891</v>
      </c>
    </row>
    <row r="30" spans="1:14" ht="16" thickTop="1" x14ac:dyDescent="0.35"/>
    <row r="31" spans="1:14" x14ac:dyDescent="0.35">
      <c r="A31" t="s">
        <v>471</v>
      </c>
      <c r="C31" t="s">
        <v>474</v>
      </c>
    </row>
    <row r="32" spans="1:14" x14ac:dyDescent="0.35">
      <c r="A32" t="s">
        <v>472</v>
      </c>
      <c r="C32" t="s">
        <v>475</v>
      </c>
    </row>
    <row r="33" spans="1:3" x14ac:dyDescent="0.35">
      <c r="A33" t="s">
        <v>473</v>
      </c>
      <c r="C33" t="s">
        <v>476</v>
      </c>
    </row>
  </sheetData>
  <pageMargins left="0.7" right="0.7" top="0.75" bottom="0.75" header="0.3" footer="0.3"/>
  <pageSetup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A113-C140-445E-B115-0B0CC86D7A5B}">
  <sheetPr>
    <tabColor theme="3" tint="0.89999084444715716"/>
    <pageSetUpPr fitToPage="1"/>
  </sheetPr>
  <dimension ref="A1:G19"/>
  <sheetViews>
    <sheetView workbookViewId="0">
      <selection activeCell="G17" sqref="G17"/>
    </sheetView>
  </sheetViews>
  <sheetFormatPr defaultRowHeight="15.5" x14ac:dyDescent="0.35"/>
  <cols>
    <col min="1" max="1" width="5.08203125" customWidth="1"/>
    <col min="2" max="2" width="1.58203125" customWidth="1"/>
    <col min="3" max="3" width="63.25" customWidth="1"/>
    <col min="4" max="4" width="1.25" customWidth="1"/>
    <col min="5" max="5" width="10.83203125" customWidth="1"/>
    <col min="6" max="6" width="1.5" customWidth="1"/>
    <col min="7" max="7" width="16.5820312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584</v>
      </c>
    </row>
    <row r="3" spans="1:7" x14ac:dyDescent="0.35">
      <c r="A3" s="52" t="s">
        <v>485</v>
      </c>
      <c r="G3" s="1"/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C8" s="2"/>
      <c r="D8" s="2"/>
      <c r="E8" s="2"/>
      <c r="F8" s="2"/>
      <c r="G8" s="2"/>
    </row>
    <row r="9" spans="1:7" x14ac:dyDescent="0.35">
      <c r="A9" s="3" t="s">
        <v>1</v>
      </c>
      <c r="C9" s="3" t="s">
        <v>2</v>
      </c>
      <c r="D9" s="2"/>
      <c r="E9" s="3" t="s">
        <v>109</v>
      </c>
      <c r="F9" s="2"/>
      <c r="G9" s="3" t="s">
        <v>3</v>
      </c>
    </row>
    <row r="10" spans="1:7" x14ac:dyDescent="0.35">
      <c r="E10" s="2"/>
    </row>
    <row r="11" spans="1:7" x14ac:dyDescent="0.35">
      <c r="A11" s="2">
        <v>1</v>
      </c>
      <c r="C11" t="s">
        <v>487</v>
      </c>
      <c r="E11" s="2" t="s">
        <v>471</v>
      </c>
      <c r="G11" s="6">
        <v>382754</v>
      </c>
    </row>
    <row r="12" spans="1:7" x14ac:dyDescent="0.35">
      <c r="A12" s="2"/>
      <c r="E12" s="2"/>
    </row>
    <row r="13" spans="1:7" x14ac:dyDescent="0.35">
      <c r="A13" s="2">
        <v>2</v>
      </c>
      <c r="C13" t="s">
        <v>463</v>
      </c>
      <c r="E13" s="2"/>
      <c r="G13" s="46">
        <f>+G11/2</f>
        <v>191377</v>
      </c>
    </row>
    <row r="14" spans="1:7" x14ac:dyDescent="0.35">
      <c r="A14" s="2"/>
      <c r="E14" s="2"/>
    </row>
    <row r="15" spans="1:7" ht="16" thickBot="1" x14ac:dyDescent="0.4">
      <c r="A15" s="2">
        <v>3</v>
      </c>
      <c r="C15" t="s">
        <v>486</v>
      </c>
      <c r="E15" s="2"/>
      <c r="G15" s="44">
        <f>+G13-G11</f>
        <v>-191377</v>
      </c>
    </row>
    <row r="16" spans="1:7" ht="16" thickTop="1" x14ac:dyDescent="0.35">
      <c r="A16" s="2"/>
    </row>
    <row r="17" spans="1:7" ht="26.5" thickBot="1" x14ac:dyDescent="0.4">
      <c r="A17" s="2">
        <v>4</v>
      </c>
      <c r="C17" t="s">
        <v>543</v>
      </c>
      <c r="E17" s="67" t="s">
        <v>570</v>
      </c>
      <c r="G17" s="59">
        <f>+'10.2 Summary'!U66</f>
        <v>-200.91939985115886</v>
      </c>
    </row>
    <row r="18" spans="1:7" ht="16" thickTop="1" x14ac:dyDescent="0.35"/>
    <row r="19" spans="1:7" x14ac:dyDescent="0.35">
      <c r="A19" t="s">
        <v>471</v>
      </c>
      <c r="C19" t="s">
        <v>488</v>
      </c>
    </row>
  </sheetData>
  <pageMargins left="0.7" right="0.7" top="0.75" bottom="0.75" header="0.3" footer="0.3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9566-1D11-43E8-999E-51A7B0C337BE}">
  <sheetPr>
    <tabColor theme="3" tint="0.89999084444715716"/>
    <pageSetUpPr fitToPage="1"/>
  </sheetPr>
  <dimension ref="A1:G17"/>
  <sheetViews>
    <sheetView workbookViewId="0">
      <selection activeCell="L32" sqref="L32"/>
    </sheetView>
  </sheetViews>
  <sheetFormatPr defaultRowHeight="15.5" x14ac:dyDescent="0.35"/>
  <cols>
    <col min="1" max="1" width="5.08203125" customWidth="1"/>
    <col min="2" max="2" width="1.58203125" customWidth="1"/>
    <col min="3" max="3" width="56.58203125" customWidth="1"/>
    <col min="4" max="4" width="1.25" customWidth="1"/>
    <col min="5" max="5" width="10.83203125" customWidth="1"/>
    <col min="6" max="6" width="1.5" customWidth="1"/>
    <col min="7" max="7" width="14.75" customWidth="1"/>
    <col min="8" max="8" width="2.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585</v>
      </c>
    </row>
    <row r="3" spans="1:7" x14ac:dyDescent="0.35">
      <c r="A3" s="52" t="s">
        <v>519</v>
      </c>
      <c r="G3" s="1"/>
    </row>
    <row r="4" spans="1:7" x14ac:dyDescent="0.35">
      <c r="A4" t="s">
        <v>510</v>
      </c>
      <c r="G4" s="1"/>
    </row>
    <row r="8" spans="1:7" x14ac:dyDescent="0.35">
      <c r="A8" s="2" t="s">
        <v>0</v>
      </c>
      <c r="C8" s="2"/>
      <c r="D8" s="2"/>
      <c r="E8" s="2"/>
      <c r="F8" s="2"/>
      <c r="G8" s="2"/>
    </row>
    <row r="9" spans="1:7" x14ac:dyDescent="0.35">
      <c r="A9" s="3" t="s">
        <v>1</v>
      </c>
      <c r="C9" s="3" t="s">
        <v>2</v>
      </c>
      <c r="D9" s="2"/>
      <c r="E9" s="3" t="s">
        <v>109</v>
      </c>
      <c r="F9" s="2"/>
      <c r="G9" s="3" t="s">
        <v>3</v>
      </c>
    </row>
    <row r="10" spans="1:7" x14ac:dyDescent="0.35">
      <c r="E10" s="2"/>
    </row>
    <row r="11" spans="1:7" x14ac:dyDescent="0.35">
      <c r="A11" s="2">
        <v>1</v>
      </c>
      <c r="C11" t="s">
        <v>490</v>
      </c>
      <c r="E11" s="2" t="s">
        <v>471</v>
      </c>
      <c r="G11" s="6">
        <v>240204</v>
      </c>
    </row>
    <row r="12" spans="1:7" x14ac:dyDescent="0.35">
      <c r="A12" s="2"/>
    </row>
    <row r="13" spans="1:7" ht="16" thickBot="1" x14ac:dyDescent="0.4">
      <c r="A13" s="2">
        <v>2</v>
      </c>
      <c r="C13" t="s">
        <v>491</v>
      </c>
      <c r="G13" s="44">
        <f>-G11</f>
        <v>-240204</v>
      </c>
    </row>
    <row r="14" spans="1:7" ht="16" thickTop="1" x14ac:dyDescent="0.35"/>
    <row r="15" spans="1:7" ht="26.5" thickBot="1" x14ac:dyDescent="0.4">
      <c r="A15" s="69">
        <v>3</v>
      </c>
      <c r="B15" s="66"/>
      <c r="C15" s="66" t="s">
        <v>543</v>
      </c>
      <c r="D15" s="66"/>
      <c r="E15" s="67" t="s">
        <v>570</v>
      </c>
      <c r="F15" s="66"/>
      <c r="G15" s="74">
        <f>+'10.2 Summary'!U67</f>
        <v>-252.18100148841162</v>
      </c>
    </row>
    <row r="16" spans="1:7" ht="16" thickTop="1" x14ac:dyDescent="0.35"/>
    <row r="17" spans="1:3" x14ac:dyDescent="0.35">
      <c r="A17" t="s">
        <v>471</v>
      </c>
      <c r="C17" t="s">
        <v>492</v>
      </c>
    </row>
  </sheetData>
  <pageMargins left="1" right="1" top="1" bottom="1" header="0.5" footer="0.5"/>
  <pageSetup scale="8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78F0-088A-46B8-819F-C49DBD454689}">
  <sheetPr>
    <tabColor theme="3" tint="0.89999084444715716"/>
    <pageSetUpPr fitToPage="1"/>
  </sheetPr>
  <dimension ref="A1:G30"/>
  <sheetViews>
    <sheetView workbookViewId="0">
      <selection activeCell="K12" sqref="K12"/>
    </sheetView>
  </sheetViews>
  <sheetFormatPr defaultRowHeight="15.5" x14ac:dyDescent="0.35"/>
  <cols>
    <col min="1" max="1" width="5.08203125" customWidth="1"/>
    <col min="2" max="2" width="1.58203125" customWidth="1"/>
    <col min="3" max="3" width="65" customWidth="1"/>
    <col min="4" max="4" width="1.25" customWidth="1"/>
    <col min="5" max="5" width="16.33203125" bestFit="1" customWidth="1"/>
    <col min="6" max="6" width="1.5" customWidth="1"/>
    <col min="7" max="7" width="12.58203125" customWidth="1"/>
    <col min="8" max="8" width="3.58203125" customWidth="1"/>
  </cols>
  <sheetData>
    <row r="1" spans="1:7" x14ac:dyDescent="0.35">
      <c r="A1" t="s">
        <v>507</v>
      </c>
      <c r="G1" s="62" t="s">
        <v>562</v>
      </c>
    </row>
    <row r="2" spans="1:7" x14ac:dyDescent="0.35">
      <c r="A2" t="s">
        <v>508</v>
      </c>
      <c r="G2" s="62" t="s">
        <v>586</v>
      </c>
    </row>
    <row r="3" spans="1:7" x14ac:dyDescent="0.35">
      <c r="A3" s="52" t="s">
        <v>520</v>
      </c>
      <c r="G3" s="1"/>
    </row>
    <row r="4" spans="1:7" x14ac:dyDescent="0.35">
      <c r="A4" t="s">
        <v>510</v>
      </c>
      <c r="G4" s="1"/>
    </row>
    <row r="5" spans="1:7" x14ac:dyDescent="0.35">
      <c r="A5" t="s">
        <v>512</v>
      </c>
    </row>
    <row r="8" spans="1:7" x14ac:dyDescent="0.35">
      <c r="A8" s="2" t="s">
        <v>0</v>
      </c>
      <c r="B8" s="2"/>
      <c r="C8" s="2"/>
      <c r="D8" s="2"/>
      <c r="E8" s="2"/>
      <c r="F8" s="2"/>
      <c r="G8" s="2"/>
    </row>
    <row r="9" spans="1:7" x14ac:dyDescent="0.35">
      <c r="A9" s="3" t="s">
        <v>1</v>
      </c>
      <c r="B9" s="2"/>
      <c r="C9" s="3" t="s">
        <v>2</v>
      </c>
      <c r="D9" s="2"/>
      <c r="E9" s="3" t="s">
        <v>109</v>
      </c>
      <c r="F9" s="2"/>
      <c r="G9" s="3" t="s">
        <v>3</v>
      </c>
    </row>
    <row r="10" spans="1:7" x14ac:dyDescent="0.35">
      <c r="E10" s="2"/>
    </row>
    <row r="11" spans="1:7" x14ac:dyDescent="0.35">
      <c r="A11" s="2">
        <v>1</v>
      </c>
      <c r="C11" t="s">
        <v>528</v>
      </c>
      <c r="E11" s="2" t="s">
        <v>471</v>
      </c>
      <c r="G11" s="6">
        <v>-65756</v>
      </c>
    </row>
    <row r="12" spans="1:7" x14ac:dyDescent="0.35">
      <c r="A12" s="2"/>
      <c r="E12" s="2"/>
    </row>
    <row r="13" spans="1:7" x14ac:dyDescent="0.35">
      <c r="A13" s="2">
        <v>2</v>
      </c>
      <c r="C13" t="s">
        <v>494</v>
      </c>
      <c r="E13" s="2"/>
      <c r="G13" s="30">
        <f>-G11</f>
        <v>65756</v>
      </c>
    </row>
    <row r="14" spans="1:7" x14ac:dyDescent="0.35">
      <c r="A14" s="2"/>
      <c r="E14" s="2"/>
    </row>
    <row r="15" spans="1:7" x14ac:dyDescent="0.35">
      <c r="A15" s="2">
        <v>3</v>
      </c>
      <c r="C15" t="s">
        <v>495</v>
      </c>
      <c r="E15" s="2" t="s">
        <v>472</v>
      </c>
      <c r="G15" s="23">
        <v>0.64400000000000002</v>
      </c>
    </row>
    <row r="16" spans="1:7" x14ac:dyDescent="0.35">
      <c r="A16" s="2"/>
    </row>
    <row r="17" spans="1:7" x14ac:dyDescent="0.35">
      <c r="A17" s="2">
        <v>4</v>
      </c>
      <c r="C17" t="s">
        <v>496</v>
      </c>
      <c r="G17" s="6">
        <f>+G13*G15</f>
        <v>42346.864000000001</v>
      </c>
    </row>
    <row r="18" spans="1:7" x14ac:dyDescent="0.35">
      <c r="A18" s="2"/>
    </row>
    <row r="19" spans="1:7" x14ac:dyDescent="0.35">
      <c r="A19" s="2">
        <v>5</v>
      </c>
      <c r="C19" t="s">
        <v>499</v>
      </c>
      <c r="E19" s="2" t="s">
        <v>473</v>
      </c>
      <c r="G19" s="46">
        <v>-20872</v>
      </c>
    </row>
    <row r="20" spans="1:7" x14ac:dyDescent="0.35">
      <c r="A20" s="2"/>
    </row>
    <row r="21" spans="1:7" x14ac:dyDescent="0.35">
      <c r="A21" s="2">
        <v>6</v>
      </c>
      <c r="C21" t="s">
        <v>500</v>
      </c>
      <c r="G21" s="30">
        <f>+G17+G19</f>
        <v>21474.864000000001</v>
      </c>
    </row>
    <row r="22" spans="1:7" x14ac:dyDescent="0.35">
      <c r="A22" s="2"/>
    </row>
    <row r="23" spans="1:7" x14ac:dyDescent="0.35">
      <c r="A23" s="2">
        <v>7</v>
      </c>
      <c r="C23" t="s">
        <v>497</v>
      </c>
      <c r="G23" s="46">
        <f>-G21*0.21</f>
        <v>-4509.7214400000003</v>
      </c>
    </row>
    <row r="24" spans="1:7" x14ac:dyDescent="0.35">
      <c r="A24" s="2"/>
    </row>
    <row r="25" spans="1:7" ht="16" thickBot="1" x14ac:dyDescent="0.4">
      <c r="A25" s="2">
        <v>8</v>
      </c>
      <c r="C25" t="s">
        <v>498</v>
      </c>
      <c r="G25" s="44">
        <f>+G21+G23</f>
        <v>16965.14256</v>
      </c>
    </row>
    <row r="26" spans="1:7" ht="16" thickTop="1" x14ac:dyDescent="0.35">
      <c r="A26" s="2"/>
    </row>
    <row r="28" spans="1:7" x14ac:dyDescent="0.35">
      <c r="A28" t="s">
        <v>471</v>
      </c>
      <c r="C28" s="36" t="s">
        <v>493</v>
      </c>
    </row>
    <row r="29" spans="1:7" x14ac:dyDescent="0.35">
      <c r="A29" t="s">
        <v>472</v>
      </c>
      <c r="C29" t="s">
        <v>501</v>
      </c>
    </row>
    <row r="30" spans="1:7" x14ac:dyDescent="0.35">
      <c r="A30" t="s">
        <v>472</v>
      </c>
      <c r="C30" t="s">
        <v>502</v>
      </c>
    </row>
  </sheetData>
  <pageMargins left="0.7" right="0.7" top="0.75" bottom="0.75" header="0.3" footer="0.3"/>
  <pageSetup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8DEDF5-B455-464F-B85A-F69566265EEC}"/>
</file>

<file path=customXml/itemProps2.xml><?xml version="1.0" encoding="utf-8"?>
<ds:datastoreItem xmlns:ds="http://schemas.openxmlformats.org/officeDocument/2006/customXml" ds:itemID="{7BBEAF99-9820-421D-8080-B30345AE2FFB}"/>
</file>

<file path=customXml/itemProps3.xml><?xml version="1.0" encoding="utf-8"?>
<ds:datastoreItem xmlns:ds="http://schemas.openxmlformats.org/officeDocument/2006/customXml" ds:itemID="{6F28B173-821A-4C9E-918B-D790C2213248}"/>
</file>

<file path=customXml/itemProps4.xml><?xml version="1.0" encoding="utf-8"?>
<ds:datastoreItem xmlns:ds="http://schemas.openxmlformats.org/officeDocument/2006/customXml" ds:itemID="{5C7CD0F1-B961-4470-85CF-727F1CD58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10.1 RevReq</vt:lpstr>
      <vt:lpstr>10.2 Summary</vt:lpstr>
      <vt:lpstr>10.3 Executive Payroll</vt:lpstr>
      <vt:lpstr>10.4 Misc O&amp;M Escalation</vt:lpstr>
      <vt:lpstr>10.5 D&amp;O Ins.</vt:lpstr>
      <vt:lpstr>10.6 BoD Comp.</vt:lpstr>
      <vt:lpstr>10.7 Investor Relations </vt:lpstr>
      <vt:lpstr>10.8 Industry Dues</vt:lpstr>
      <vt:lpstr>10.9 Power Supply</vt:lpstr>
      <vt:lpstr>10.10 Cost of Capital</vt:lpstr>
      <vt:lpstr>10.11 Benefits</vt:lpstr>
      <vt:lpstr>10.12 Rent for Electric Prop</vt:lpstr>
      <vt:lpstr>'10.1 RevReq'!Print_Area</vt:lpstr>
      <vt:lpstr>'10.10 Cost of Capital'!Print_Area</vt:lpstr>
      <vt:lpstr>'10.2 Summary'!Print_Area</vt:lpstr>
      <vt:lpstr>'10.3 Executive Payroll'!Print_Area</vt:lpstr>
      <vt:lpstr>'10.4 Misc O&amp;M Escalation'!Print_Area</vt:lpstr>
      <vt:lpstr>'10.5 D&amp;O Ins.'!Print_Area</vt:lpstr>
      <vt:lpstr>'10.6 BoD Comp.'!Print_Area</vt:lpstr>
      <vt:lpstr>'10.7 Investor Relations '!Print_Area</vt:lpstr>
      <vt:lpstr>'10.8 Industry Dues'!Print_Area</vt:lpstr>
      <vt:lpstr>'10.9 Power Supply'!Print_Area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Farrar</dc:creator>
  <cp:lastModifiedBy>Dreyer, Jean Marie (ATG)</cp:lastModifiedBy>
  <cp:lastPrinted>2024-06-30T22:31:35Z</cp:lastPrinted>
  <dcterms:created xsi:type="dcterms:W3CDTF">2024-05-30T14:41:54Z</dcterms:created>
  <dcterms:modified xsi:type="dcterms:W3CDTF">2024-08-16T18:09:15Z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