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F:\ACTIVE\Cases\UE\UE_UG_240006_007_Avista_2024_GRC\1_Filings\Testimony_Rebuttal_CrossAnsw\PC\Exhibits\Mark Garrett\"/>
    </mc:Choice>
  </mc:AlternateContent>
  <xr:revisionPtr revIDLastSave="0" documentId="13_ncr:1_{94F2C69F-5FB0-4BEA-A68F-C961ADA0B901}" xr6:coauthVersionLast="47" xr6:coauthVersionMax="47" xr10:uidLastSave="{00000000-0000-0000-0000-000000000000}"/>
  <bookViews>
    <workbookView xWindow="-110" yWindow="-110" windowWidth="25180" windowHeight="16260" firstSheet="4" activeTab="9" xr2:uid="{E6E2325F-796C-44D6-9DB0-C00CB2C4FF14}"/>
  </bookViews>
  <sheets>
    <sheet name="11.1 RevReq" sheetId="1" r:id="rId1"/>
    <sheet name="11.2 Summary" sheetId="2" r:id="rId2"/>
    <sheet name="11.3 Executive Payroll" sheetId="11" r:id="rId3"/>
    <sheet name="11.4 Misc O&amp;M Escalation" sheetId="5" r:id="rId4"/>
    <sheet name="11.5 D&amp;O Ins." sheetId="6" r:id="rId5"/>
    <sheet name="11.6 BoD Comp." sheetId="7" r:id="rId6"/>
    <sheet name="11.7 Investor Relations" sheetId="8" r:id="rId7"/>
    <sheet name="11.8 Industry Dues" sheetId="9" r:id="rId8"/>
    <sheet name="11.9 Cost of Capital" sheetId="3" r:id="rId9"/>
    <sheet name="11.10 Employee Benefits" sheetId="12" r:id="rId10"/>
  </sheets>
  <definedNames>
    <definedName name="_xlnm.Print_Area" localSheetId="0">'11.1 RevReq'!$A$1:$G$43</definedName>
    <definedName name="_xlnm.Print_Area" localSheetId="1">'11.2 Summary'!$A$1:$U$68</definedName>
    <definedName name="_xlnm.Print_Area" localSheetId="2">'11.3 Executive Payroll'!$A$1:$G$23</definedName>
    <definedName name="_xlnm.Print_Area" localSheetId="3">'11.4 Misc O&amp;M Escalation'!$A$1:$H$29</definedName>
    <definedName name="_xlnm.Print_Area" localSheetId="4">'11.5 D&amp;O Ins.'!$A$1:$H$35</definedName>
    <definedName name="_xlnm.Print_Area" localSheetId="5">'11.6 BoD Comp.'!$A$1:$L$36</definedName>
    <definedName name="_xlnm.Print_Area" localSheetId="6">'11.7 Investor Relations'!$A$1:$H$25</definedName>
    <definedName name="_xlnm.Print_Area" localSheetId="7">'11.8 Industry Dues'!$A$1:$H$24</definedName>
    <definedName name="_xlnm.Print_Area" localSheetId="8">'11.9 Cost of Capital'!$A$1:$N$23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2" l="1"/>
  <c r="M61" i="2" l="1"/>
  <c r="M60" i="2" l="1"/>
  <c r="M37" i="2"/>
  <c r="M40" i="2"/>
  <c r="G13" i="11"/>
  <c r="G15" i="11" s="1"/>
  <c r="M38" i="2" s="1"/>
  <c r="G13" i="9" l="1"/>
  <c r="G13" i="8"/>
  <c r="G15" i="8" s="1"/>
  <c r="M55" i="2" s="1"/>
  <c r="G15" i="9" l="1"/>
  <c r="G17" i="9" s="1"/>
  <c r="M56" i="2" s="1"/>
  <c r="O56" i="2"/>
  <c r="O55" i="2"/>
  <c r="G21" i="6"/>
  <c r="G17" i="6"/>
  <c r="G13" i="6"/>
  <c r="G15" i="6" s="1"/>
  <c r="G19" i="6" s="1"/>
  <c r="G23" i="6" s="1"/>
  <c r="G27" i="6" s="1"/>
  <c r="M44" i="2" s="1"/>
  <c r="K21" i="7"/>
  <c r="I21" i="7"/>
  <c r="G21" i="7"/>
  <c r="K17" i="7"/>
  <c r="I15" i="7"/>
  <c r="I19" i="7" s="1"/>
  <c r="G15" i="7"/>
  <c r="G19" i="7" s="1"/>
  <c r="K11" i="7"/>
  <c r="U131" i="5"/>
  <c r="S131" i="5"/>
  <c r="Q131" i="5"/>
  <c r="R130" i="5"/>
  <c r="V130" i="5" s="1"/>
  <c r="R129" i="5"/>
  <c r="V129" i="5" s="1"/>
  <c r="R128" i="5"/>
  <c r="V128" i="5" s="1"/>
  <c r="R127" i="5"/>
  <c r="V127" i="5" s="1"/>
  <c r="V126" i="5"/>
  <c r="T125" i="5"/>
  <c r="R125" i="5"/>
  <c r="R124" i="5"/>
  <c r="V124" i="5" s="1"/>
  <c r="V123" i="5"/>
  <c r="R122" i="5"/>
  <c r="T121" i="5"/>
  <c r="V121" i="5" s="1"/>
  <c r="R120" i="5"/>
  <c r="V120" i="5" s="1"/>
  <c r="T119" i="5"/>
  <c r="R119" i="5"/>
  <c r="U115" i="5"/>
  <c r="T115" i="5"/>
  <c r="S115" i="5"/>
  <c r="R115" i="5"/>
  <c r="Q115" i="5"/>
  <c r="V114" i="5"/>
  <c r="V113" i="5"/>
  <c r="V112" i="5"/>
  <c r="V111" i="5"/>
  <c r="T108" i="5"/>
  <c r="S108" i="5"/>
  <c r="Q108" i="5"/>
  <c r="R107" i="5"/>
  <c r="V107" i="5" s="1"/>
  <c r="R106" i="5"/>
  <c r="V106" i="5" s="1"/>
  <c r="U105" i="5"/>
  <c r="U108" i="5" s="1"/>
  <c r="R105" i="5"/>
  <c r="V104" i="5"/>
  <c r="U101" i="5"/>
  <c r="T101" i="5"/>
  <c r="S101" i="5"/>
  <c r="Q101" i="5"/>
  <c r="R100" i="5"/>
  <c r="V100" i="5" s="1"/>
  <c r="V99" i="5"/>
  <c r="R98" i="5"/>
  <c r="V98" i="5" s="1"/>
  <c r="R97" i="5"/>
  <c r="V97" i="5" s="1"/>
  <c r="R96" i="5"/>
  <c r="V96" i="5" s="1"/>
  <c r="Y95" i="5"/>
  <c r="Y94" i="5"/>
  <c r="U91" i="5"/>
  <c r="T91" i="5"/>
  <c r="S91" i="5"/>
  <c r="Q91" i="5"/>
  <c r="R90" i="5"/>
  <c r="V90" i="5" s="1"/>
  <c r="R89" i="5"/>
  <c r="V89" i="5" s="1"/>
  <c r="R88" i="5"/>
  <c r="V88" i="5" s="1"/>
  <c r="R87" i="5"/>
  <c r="V87" i="5" s="1"/>
  <c r="R86" i="5"/>
  <c r="V86" i="5" s="1"/>
  <c r="R85" i="5"/>
  <c r="V85" i="5" s="1"/>
  <c r="V84" i="5"/>
  <c r="R83" i="5"/>
  <c r="V83" i="5" s="1"/>
  <c r="R82" i="5"/>
  <c r="V82" i="5" s="1"/>
  <c r="U80" i="5"/>
  <c r="T80" i="5"/>
  <c r="T93" i="5" s="1"/>
  <c r="S80" i="5"/>
  <c r="Q80" i="5"/>
  <c r="V79" i="5"/>
  <c r="R78" i="5"/>
  <c r="V78" i="5" s="1"/>
  <c r="R77" i="5"/>
  <c r="V77" i="5" s="1"/>
  <c r="R76" i="5"/>
  <c r="V76" i="5" s="1"/>
  <c r="R75" i="5"/>
  <c r="V75" i="5" s="1"/>
  <c r="R74" i="5"/>
  <c r="V74" i="5" s="1"/>
  <c r="R73" i="5"/>
  <c r="R72" i="5"/>
  <c r="V72" i="5" s="1"/>
  <c r="V71" i="5"/>
  <c r="V70" i="5"/>
  <c r="R69" i="5"/>
  <c r="V69" i="5" s="1"/>
  <c r="U65" i="5"/>
  <c r="T65" i="5"/>
  <c r="S65" i="5"/>
  <c r="Q65" i="5"/>
  <c r="V64" i="5"/>
  <c r="V63" i="5"/>
  <c r="V62" i="5"/>
  <c r="AH61" i="5"/>
  <c r="V61" i="5"/>
  <c r="AH60" i="5"/>
  <c r="V60" i="5"/>
  <c r="AH59" i="5"/>
  <c r="V59" i="5"/>
  <c r="AH58" i="5"/>
  <c r="V58" i="5"/>
  <c r="V57" i="5"/>
  <c r="V56" i="5"/>
  <c r="V55" i="5"/>
  <c r="AG54" i="5"/>
  <c r="V54" i="5"/>
  <c r="V53" i="5"/>
  <c r="V52" i="5"/>
  <c r="V51" i="5"/>
  <c r="V50" i="5"/>
  <c r="V49" i="5"/>
  <c r="V48" i="5"/>
  <c r="V47" i="5"/>
  <c r="V46" i="5"/>
  <c r="R45" i="5"/>
  <c r="R65" i="5" s="1"/>
  <c r="R41" i="5"/>
  <c r="Q41" i="5"/>
  <c r="V41" i="5" s="1"/>
  <c r="S40" i="5"/>
  <c r="V40" i="5" s="1"/>
  <c r="S39" i="5"/>
  <c r="V39" i="5" s="1"/>
  <c r="U38" i="5"/>
  <c r="U42" i="5" s="1"/>
  <c r="T38" i="5"/>
  <c r="T42" i="5" s="1"/>
  <c r="R38" i="5"/>
  <c r="R42" i="5" s="1"/>
  <c r="Q38" i="5"/>
  <c r="V37" i="5"/>
  <c r="S36" i="5"/>
  <c r="V36" i="5" s="1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S21" i="5"/>
  <c r="X13" i="5"/>
  <c r="W13" i="5"/>
  <c r="V13" i="5"/>
  <c r="U13" i="5"/>
  <c r="Y13" i="5" s="1"/>
  <c r="G39" i="1"/>
  <c r="E39" i="1"/>
  <c r="G23" i="1"/>
  <c r="U93" i="5" l="1"/>
  <c r="S93" i="5"/>
  <c r="K15" i="7"/>
  <c r="K19" i="7" s="1"/>
  <c r="K23" i="7" s="1"/>
  <c r="Q93" i="5"/>
  <c r="S38" i="5"/>
  <c r="S42" i="5" s="1"/>
  <c r="I23" i="7"/>
  <c r="G23" i="7"/>
  <c r="V115" i="5"/>
  <c r="V125" i="5"/>
  <c r="V45" i="5"/>
  <c r="V65" i="5" s="1"/>
  <c r="Q42" i="5"/>
  <c r="V119" i="5"/>
  <c r="Q117" i="5"/>
  <c r="Q133" i="5" s="1"/>
  <c r="T117" i="5"/>
  <c r="AH62" i="5"/>
  <c r="T122" i="5" s="1"/>
  <c r="T131" i="5" s="1"/>
  <c r="R108" i="5"/>
  <c r="V21" i="5"/>
  <c r="V38" i="5" s="1"/>
  <c r="V42" i="5" s="1"/>
  <c r="R80" i="5"/>
  <c r="V101" i="5"/>
  <c r="X17" i="5"/>
  <c r="X97" i="5" s="1"/>
  <c r="W17" i="5"/>
  <c r="W97" i="5" s="1"/>
  <c r="V91" i="5"/>
  <c r="U117" i="5"/>
  <c r="U133" i="5" s="1"/>
  <c r="V73" i="5"/>
  <c r="V80" i="5" s="1"/>
  <c r="V105" i="5"/>
  <c r="V108" i="5" s="1"/>
  <c r="R101" i="5"/>
  <c r="R91" i="5"/>
  <c r="R131" i="5"/>
  <c r="S117" i="5" l="1"/>
  <c r="S133" i="5" s="1"/>
  <c r="X129" i="5"/>
  <c r="X49" i="5"/>
  <c r="X76" i="5"/>
  <c r="X32" i="5"/>
  <c r="K27" i="7"/>
  <c r="M52" i="2"/>
  <c r="V93" i="5"/>
  <c r="V117" i="5" s="1"/>
  <c r="T133" i="5"/>
  <c r="W36" i="5"/>
  <c r="W28" i="5"/>
  <c r="W64" i="5"/>
  <c r="X22" i="5"/>
  <c r="W104" i="5"/>
  <c r="X56" i="5"/>
  <c r="W48" i="5"/>
  <c r="X35" i="5"/>
  <c r="X40" i="5"/>
  <c r="W88" i="5"/>
  <c r="X31" i="5"/>
  <c r="X55" i="5"/>
  <c r="X27" i="5"/>
  <c r="X28" i="5"/>
  <c r="Y28" i="5" s="1"/>
  <c r="R93" i="5"/>
  <c r="X85" i="5"/>
  <c r="X114" i="5"/>
  <c r="X78" i="5"/>
  <c r="W58" i="5"/>
  <c r="X59" i="5"/>
  <c r="X52" i="5"/>
  <c r="X119" i="5"/>
  <c r="X24" i="5"/>
  <c r="W90" i="5"/>
  <c r="W119" i="5"/>
  <c r="X124" i="5"/>
  <c r="W50" i="5"/>
  <c r="X83" i="5"/>
  <c r="X98" i="5"/>
  <c r="W26" i="5"/>
  <c r="W24" i="5"/>
  <c r="W120" i="5"/>
  <c r="X130" i="5"/>
  <c r="W27" i="5"/>
  <c r="X87" i="5"/>
  <c r="W78" i="5"/>
  <c r="W123" i="5"/>
  <c r="X120" i="5"/>
  <c r="X48" i="5"/>
  <c r="Y48" i="5" s="1"/>
  <c r="W75" i="5"/>
  <c r="W111" i="5"/>
  <c r="W85" i="5"/>
  <c r="X70" i="5"/>
  <c r="X126" i="5"/>
  <c r="X75" i="5"/>
  <c r="W55" i="5"/>
  <c r="X86" i="5"/>
  <c r="X46" i="5"/>
  <c r="X57" i="5"/>
  <c r="X25" i="5"/>
  <c r="W49" i="5"/>
  <c r="Y49" i="5" s="1"/>
  <c r="W35" i="5"/>
  <c r="W72" i="5"/>
  <c r="X89" i="5"/>
  <c r="X64" i="5"/>
  <c r="Y64" i="5" s="1"/>
  <c r="W33" i="5"/>
  <c r="X34" i="5"/>
  <c r="W41" i="5"/>
  <c r="X99" i="5"/>
  <c r="X37" i="5"/>
  <c r="X26" i="5"/>
  <c r="W126" i="5"/>
  <c r="X96" i="5"/>
  <c r="X72" i="5"/>
  <c r="X61" i="5"/>
  <c r="W21" i="5"/>
  <c r="X69" i="5"/>
  <c r="X41" i="5"/>
  <c r="X88" i="5"/>
  <c r="X21" i="5"/>
  <c r="W62" i="5"/>
  <c r="X100" i="5"/>
  <c r="X53" i="5"/>
  <c r="X71" i="5"/>
  <c r="X128" i="5"/>
  <c r="W63" i="5"/>
  <c r="X121" i="5"/>
  <c r="V122" i="5"/>
  <c r="V131" i="5" s="1"/>
  <c r="R117" i="5"/>
  <c r="R133" i="5" s="1"/>
  <c r="W23" i="5"/>
  <c r="W74" i="5"/>
  <c r="X113" i="5"/>
  <c r="X123" i="5"/>
  <c r="W84" i="5"/>
  <c r="W129" i="5"/>
  <c r="Y129" i="5" s="1"/>
  <c r="X104" i="5"/>
  <c r="X54" i="5"/>
  <c r="W56" i="5"/>
  <c r="W99" i="5"/>
  <c r="W79" i="5"/>
  <c r="W60" i="5"/>
  <c r="W52" i="5"/>
  <c r="W37" i="5"/>
  <c r="W106" i="5"/>
  <c r="X60" i="5"/>
  <c r="X111" i="5"/>
  <c r="X106" i="5"/>
  <c r="X79" i="5"/>
  <c r="X63" i="5"/>
  <c r="X112" i="5"/>
  <c r="X29" i="5"/>
  <c r="W89" i="5"/>
  <c r="W124" i="5"/>
  <c r="X50" i="5"/>
  <c r="W40" i="5"/>
  <c r="W71" i="5"/>
  <c r="W70" i="5"/>
  <c r="X73" i="5"/>
  <c r="W73" i="5"/>
  <c r="W83" i="5"/>
  <c r="W98" i="5"/>
  <c r="W34" i="5"/>
  <c r="W51" i="5"/>
  <c r="W61" i="5"/>
  <c r="W69" i="5"/>
  <c r="W127" i="5"/>
  <c r="W112" i="5"/>
  <c r="W30" i="5"/>
  <c r="W47" i="5"/>
  <c r="W54" i="5"/>
  <c r="W57" i="5"/>
  <c r="X47" i="5"/>
  <c r="X33" i="5"/>
  <c r="X58" i="5"/>
  <c r="X127" i="5"/>
  <c r="W53" i="5"/>
  <c r="W76" i="5"/>
  <c r="Y76" i="5" s="1"/>
  <c r="W96" i="5"/>
  <c r="W22" i="5"/>
  <c r="W29" i="5"/>
  <c r="W46" i="5"/>
  <c r="X36" i="5"/>
  <c r="W107" i="5"/>
  <c r="X90" i="5"/>
  <c r="W125" i="5"/>
  <c r="X62" i="5"/>
  <c r="W86" i="5"/>
  <c r="W31" i="5"/>
  <c r="W128" i="5"/>
  <c r="W25" i="5"/>
  <c r="W32" i="5"/>
  <c r="Y32" i="5" s="1"/>
  <c r="X45" i="5"/>
  <c r="X84" i="5"/>
  <c r="W130" i="5"/>
  <c r="X107" i="5"/>
  <c r="X39" i="5"/>
  <c r="X125" i="5"/>
  <c r="X51" i="5"/>
  <c r="X74" i="5"/>
  <c r="W59" i="5"/>
  <c r="W39" i="5"/>
  <c r="W113" i="5"/>
  <c r="W82" i="5"/>
  <c r="W77" i="5"/>
  <c r="Y97" i="5"/>
  <c r="W45" i="5"/>
  <c r="W114" i="5"/>
  <c r="X105" i="5"/>
  <c r="W105" i="5"/>
  <c r="X23" i="5"/>
  <c r="X82" i="5"/>
  <c r="X30" i="5"/>
  <c r="W100" i="5"/>
  <c r="X77" i="5"/>
  <c r="W87" i="5"/>
  <c r="W121" i="5"/>
  <c r="Y24" i="5" l="1"/>
  <c r="Y70" i="5"/>
  <c r="Y86" i="5"/>
  <c r="Y99" i="5"/>
  <c r="Y62" i="5"/>
  <c r="Y50" i="5"/>
  <c r="Y124" i="5"/>
  <c r="Y104" i="5"/>
  <c r="Y36" i="5"/>
  <c r="X101" i="5"/>
  <c r="Y119" i="5"/>
  <c r="Y88" i="5"/>
  <c r="Y53" i="5"/>
  <c r="Y31" i="5"/>
  <c r="Y58" i="5"/>
  <c r="Y78" i="5"/>
  <c r="Y26" i="5"/>
  <c r="Y126" i="5"/>
  <c r="Y83" i="5"/>
  <c r="Y130" i="5"/>
  <c r="Y35" i="5"/>
  <c r="Y33" i="5"/>
  <c r="Y74" i="5"/>
  <c r="Y90" i="5"/>
  <c r="Y40" i="5"/>
  <c r="Y51" i="5"/>
  <c r="Y100" i="5"/>
  <c r="Y23" i="5"/>
  <c r="Y113" i="5"/>
  <c r="Y59" i="5"/>
  <c r="Y37" i="5"/>
  <c r="Y52" i="5"/>
  <c r="Y21" i="5"/>
  <c r="Y27" i="5"/>
  <c r="W115" i="5"/>
  <c r="V133" i="5"/>
  <c r="V139" i="5" s="1"/>
  <c r="Y72" i="5"/>
  <c r="Y120" i="5"/>
  <c r="Y56" i="5"/>
  <c r="Y55" i="5"/>
  <c r="Y89" i="5"/>
  <c r="Y114" i="5"/>
  <c r="Y71" i="5"/>
  <c r="Y41" i="5"/>
  <c r="Y85" i="5"/>
  <c r="Y63" i="5"/>
  <c r="Y98" i="5"/>
  <c r="Y79" i="5"/>
  <c r="Y75" i="5"/>
  <c r="Y123" i="5"/>
  <c r="W108" i="5"/>
  <c r="Y106" i="5"/>
  <c r="Y57" i="5"/>
  <c r="Y125" i="5"/>
  <c r="W80" i="5"/>
  <c r="Y61" i="5"/>
  <c r="Y46" i="5"/>
  <c r="Y121" i="5"/>
  <c r="Y25" i="5"/>
  <c r="Y87" i="5"/>
  <c r="Y128" i="5"/>
  <c r="Y34" i="5"/>
  <c r="Y30" i="5"/>
  <c r="Y73" i="5"/>
  <c r="Y69" i="5"/>
  <c r="W38" i="5"/>
  <c r="W42" i="5" s="1"/>
  <c r="W101" i="5"/>
  <c r="W65" i="5"/>
  <c r="X108" i="5"/>
  <c r="W122" i="5"/>
  <c r="W131" i="5" s="1"/>
  <c r="X122" i="5"/>
  <c r="Y29" i="5"/>
  <c r="Y84" i="5"/>
  <c r="Y54" i="5"/>
  <c r="Y112" i="5"/>
  <c r="W91" i="5"/>
  <c r="X38" i="5"/>
  <c r="X42" i="5" s="1"/>
  <c r="X80" i="5"/>
  <c r="Y111" i="5"/>
  <c r="X115" i="5"/>
  <c r="Y39" i="5"/>
  <c r="Y127" i="5"/>
  <c r="Y60" i="5"/>
  <c r="Y107" i="5"/>
  <c r="Y77" i="5"/>
  <c r="Y22" i="5"/>
  <c r="Y47" i="5"/>
  <c r="X65" i="5"/>
  <c r="Y45" i="5"/>
  <c r="X91" i="5"/>
  <c r="Y82" i="5"/>
  <c r="Y105" i="5"/>
  <c r="Y96" i="5"/>
  <c r="Y122" i="5" l="1"/>
  <c r="Y101" i="5"/>
  <c r="W93" i="5"/>
  <c r="W117" i="5" s="1"/>
  <c r="W133" i="5" s="1"/>
  <c r="G11" i="5" s="1"/>
  <c r="Y108" i="5"/>
  <c r="Y91" i="5"/>
  <c r="Y131" i="5"/>
  <c r="Y38" i="5"/>
  <c r="Y42" i="5" s="1"/>
  <c r="Y80" i="5"/>
  <c r="Y93" i="5" s="1"/>
  <c r="Y115" i="5"/>
  <c r="X131" i="5"/>
  <c r="X93" i="5"/>
  <c r="X117" i="5" s="1"/>
  <c r="Y65" i="5"/>
  <c r="X133" i="5" l="1"/>
  <c r="Y117" i="5"/>
  <c r="Y133" i="5" s="1"/>
  <c r="W136" i="5" l="1"/>
  <c r="W135" i="5" s="1"/>
  <c r="W137" i="5" s="1"/>
  <c r="G19" i="5"/>
  <c r="Y136" i="5"/>
  <c r="M65" i="2" l="1"/>
  <c r="M48" i="2"/>
  <c r="O66" i="2" l="1"/>
  <c r="M66" i="2"/>
  <c r="O65" i="2"/>
  <c r="O64" i="2"/>
  <c r="O63" i="2"/>
  <c r="M63" i="2"/>
  <c r="O62" i="2"/>
  <c r="M62" i="2"/>
  <c r="O61" i="2"/>
  <c r="O60" i="2"/>
  <c r="O59" i="2"/>
  <c r="M59" i="2"/>
  <c r="O54" i="2"/>
  <c r="M54" i="2"/>
  <c r="O53" i="2"/>
  <c r="M53" i="2"/>
  <c r="O52" i="2"/>
  <c r="O51" i="2"/>
  <c r="M51" i="2"/>
  <c r="O50" i="2"/>
  <c r="M50" i="2"/>
  <c r="O49" i="2"/>
  <c r="M49" i="2"/>
  <c r="O48" i="2"/>
  <c r="O47" i="2"/>
  <c r="M47" i="2"/>
  <c r="O46" i="2"/>
  <c r="O45" i="2"/>
  <c r="M45" i="2"/>
  <c r="O44" i="2"/>
  <c r="O43" i="2"/>
  <c r="M43" i="2"/>
  <c r="O42" i="2"/>
  <c r="M42" i="2"/>
  <c r="O41" i="2"/>
  <c r="M41" i="2"/>
  <c r="O40" i="2"/>
  <c r="O39" i="2"/>
  <c r="O38" i="2"/>
  <c r="O37" i="2"/>
  <c r="O36" i="2"/>
  <c r="M36" i="2"/>
  <c r="O35" i="2"/>
  <c r="M35" i="2"/>
  <c r="O34" i="2"/>
  <c r="M34" i="2"/>
  <c r="O33" i="2"/>
  <c r="M33" i="2"/>
  <c r="I31" i="2"/>
  <c r="G31" i="2"/>
  <c r="G57" i="2" s="1"/>
  <c r="O30" i="2"/>
  <c r="M30" i="2"/>
  <c r="O29" i="2"/>
  <c r="M29" i="2"/>
  <c r="O28" i="2"/>
  <c r="M28" i="2"/>
  <c r="O27" i="2"/>
  <c r="M27" i="2"/>
  <c r="O26" i="2"/>
  <c r="M26" i="2"/>
  <c r="O25" i="2"/>
  <c r="M25" i="2"/>
  <c r="O24" i="2"/>
  <c r="M24" i="2"/>
  <c r="O23" i="2"/>
  <c r="M23" i="2"/>
  <c r="O22" i="2"/>
  <c r="M22" i="2"/>
  <c r="O21" i="2"/>
  <c r="M21" i="2"/>
  <c r="O20" i="2"/>
  <c r="M20" i="2"/>
  <c r="O19" i="2"/>
  <c r="M19" i="2"/>
  <c r="O18" i="2"/>
  <c r="M18" i="2"/>
  <c r="O17" i="2"/>
  <c r="M17" i="2"/>
  <c r="O16" i="2"/>
  <c r="M16" i="2"/>
  <c r="O15" i="2"/>
  <c r="M15" i="2"/>
  <c r="O14" i="2"/>
  <c r="M14" i="2"/>
  <c r="K18" i="3"/>
  <c r="I18" i="3"/>
  <c r="M18" i="3" s="1"/>
  <c r="E17" i="3"/>
  <c r="E19" i="3" s="1"/>
  <c r="K13" i="3"/>
  <c r="I13" i="3"/>
  <c r="M13" i="3" s="1"/>
  <c r="E12" i="3"/>
  <c r="E14" i="3" s="1"/>
  <c r="I57" i="2" l="1"/>
  <c r="I67" i="2" s="1"/>
  <c r="E29" i="1" s="1"/>
  <c r="I12" i="3"/>
  <c r="M12" i="3" s="1"/>
  <c r="M14" i="3" s="1"/>
  <c r="E19" i="1"/>
  <c r="G67" i="2"/>
  <c r="E35" i="1" s="1"/>
  <c r="E13" i="1"/>
  <c r="I17" i="3"/>
  <c r="I14" i="3" l="1"/>
  <c r="E15" i="1" s="1"/>
  <c r="I19" i="3"/>
  <c r="M17" i="3"/>
  <c r="M19" i="3" s="1"/>
  <c r="M21" i="3" s="1"/>
  <c r="I21" i="3" l="1"/>
  <c r="K11" i="2"/>
  <c r="E31" i="1"/>
  <c r="E33" i="1" s="1"/>
  <c r="E37" i="1" s="1"/>
  <c r="E41" i="1" s="1"/>
  <c r="G31" i="1"/>
  <c r="Q11" i="2"/>
  <c r="G15" i="1"/>
  <c r="K56" i="2"/>
  <c r="K55" i="2"/>
  <c r="K28" i="2"/>
  <c r="K63" i="2"/>
  <c r="K22" i="2"/>
  <c r="K12" i="2"/>
  <c r="K43" i="2"/>
  <c r="K39" i="2"/>
  <c r="K59" i="2"/>
  <c r="K25" i="2"/>
  <c r="K20" i="2"/>
  <c r="K53" i="2"/>
  <c r="K29" i="2"/>
  <c r="K13" i="2"/>
  <c r="K33" i="2"/>
  <c r="K41" i="2"/>
  <c r="K23" i="2"/>
  <c r="K21" i="2"/>
  <c r="K49" i="2"/>
  <c r="K44" i="2"/>
  <c r="K46" i="2"/>
  <c r="K42" i="2"/>
  <c r="K37" i="2"/>
  <c r="K61" i="2"/>
  <c r="K14" i="2"/>
  <c r="K30" i="2"/>
  <c r="K47" i="2"/>
  <c r="K35" i="2"/>
  <c r="K38" i="2"/>
  <c r="K16" i="2"/>
  <c r="K17" i="2"/>
  <c r="K62" i="2"/>
  <c r="K50" i="2"/>
  <c r="K64" i="2"/>
  <c r="K66" i="2"/>
  <c r="K15" i="2"/>
  <c r="K65" i="2"/>
  <c r="K24" i="2"/>
  <c r="K48" i="2"/>
  <c r="K40" i="2"/>
  <c r="K45" i="2"/>
  <c r="K27" i="2"/>
  <c r="K19" i="2"/>
  <c r="K34" i="2"/>
  <c r="K18" i="2"/>
  <c r="K60" i="2"/>
  <c r="K36" i="2"/>
  <c r="K51" i="2"/>
  <c r="K54" i="2"/>
  <c r="K52" i="2"/>
  <c r="K26" i="2"/>
  <c r="K31" i="2" l="1"/>
  <c r="K57" i="2" s="1"/>
  <c r="Q56" i="2"/>
  <c r="U56" i="2" s="1"/>
  <c r="G19" i="9" s="1"/>
  <c r="Q55" i="2"/>
  <c r="U55" i="2" s="1"/>
  <c r="G17" i="8" s="1"/>
  <c r="Q44" i="2"/>
  <c r="U44" i="2" s="1"/>
  <c r="Q28" i="2"/>
  <c r="U28" i="2" s="1"/>
  <c r="Q63" i="2"/>
  <c r="U63" i="2" s="1"/>
  <c r="Q61" i="2"/>
  <c r="Q15" i="2"/>
  <c r="U15" i="2" s="1"/>
  <c r="Q48" i="2"/>
  <c r="U48" i="2" s="1"/>
  <c r="Q51" i="2"/>
  <c r="U51" i="2" s="1"/>
  <c r="Q21" i="2"/>
  <c r="U21" i="2" s="1"/>
  <c r="Q62" i="2"/>
  <c r="U62" i="2" s="1"/>
  <c r="Q54" i="2"/>
  <c r="U54" i="2" s="1"/>
  <c r="Q39" i="2"/>
  <c r="Q23" i="2"/>
  <c r="U23" i="2" s="1"/>
  <c r="Q65" i="2"/>
  <c r="Q22" i="2"/>
  <c r="U22" i="2" s="1"/>
  <c r="Q19" i="2"/>
  <c r="U19" i="2" s="1"/>
  <c r="Q18" i="2"/>
  <c r="U18" i="2" s="1"/>
  <c r="Q27" i="2"/>
  <c r="U27" i="2" s="1"/>
  <c r="Q24" i="2"/>
  <c r="U24" i="2" s="1"/>
  <c r="Q42" i="2"/>
  <c r="U42" i="2" s="1"/>
  <c r="Q43" i="2"/>
  <c r="U43" i="2" s="1"/>
  <c r="Q34" i="2"/>
  <c r="U34" i="2" s="1"/>
  <c r="Q45" i="2"/>
  <c r="U45" i="2" s="1"/>
  <c r="Q53" i="2"/>
  <c r="U53" i="2" s="1"/>
  <c r="Q47" i="2"/>
  <c r="U47" i="2" s="1"/>
  <c r="Q40" i="2"/>
  <c r="U40" i="2" s="1"/>
  <c r="Q25" i="2"/>
  <c r="U25" i="2" s="1"/>
  <c r="Q20" i="2"/>
  <c r="U20" i="2" s="1"/>
  <c r="Q59" i="2"/>
  <c r="U59" i="2" s="1"/>
  <c r="Q17" i="2"/>
  <c r="U17" i="2" s="1"/>
  <c r="Q49" i="2"/>
  <c r="U49" i="2" s="1"/>
  <c r="Q14" i="2"/>
  <c r="U14" i="2" s="1"/>
  <c r="Q30" i="2"/>
  <c r="U30" i="2" s="1"/>
  <c r="Q41" i="2"/>
  <c r="U41" i="2" s="1"/>
  <c r="Q16" i="2"/>
  <c r="Q33" i="2"/>
  <c r="U33" i="2" s="1"/>
  <c r="Q66" i="2"/>
  <c r="U66" i="2" s="1"/>
  <c r="Q35" i="2"/>
  <c r="U35" i="2" s="1"/>
  <c r="Q50" i="2"/>
  <c r="U50" i="2" s="1"/>
  <c r="Q38" i="2"/>
  <c r="U38" i="2" s="1"/>
  <c r="G17" i="11" s="1"/>
  <c r="Q52" i="2"/>
  <c r="U52" i="2" s="1"/>
  <c r="Q26" i="2"/>
  <c r="U26" i="2" s="1"/>
  <c r="Q36" i="2"/>
  <c r="U36" i="2" s="1"/>
  <c r="Q29" i="2"/>
  <c r="U29" i="2" s="1"/>
  <c r="G13" i="5"/>
  <c r="G15" i="5" s="1"/>
  <c r="M46" i="2" s="1"/>
  <c r="Q46" i="2" s="1"/>
  <c r="U46" i="2" s="1"/>
  <c r="G17" i="5" l="1"/>
  <c r="G29" i="6"/>
  <c r="K29" i="7"/>
  <c r="K67" i="2"/>
  <c r="K68" i="2" s="1"/>
  <c r="U65" i="2"/>
  <c r="G21" i="5"/>
  <c r="G23" i="5" s="1"/>
  <c r="M64" i="2" s="1"/>
  <c r="Q64" i="2" s="1"/>
  <c r="U64" i="2" s="1"/>
  <c r="G25" i="5" l="1"/>
  <c r="U39" i="2"/>
  <c r="U61" i="2" l="1"/>
  <c r="O13" i="2" l="1"/>
  <c r="M13" i="2"/>
  <c r="O12" i="2"/>
  <c r="M12" i="2"/>
  <c r="M31" i="2" s="1"/>
  <c r="E17" i="1"/>
  <c r="E21" i="1" s="1"/>
  <c r="E25" i="1" s="1"/>
  <c r="Q12" i="2" l="1"/>
  <c r="Q13" i="2"/>
  <c r="U13" i="2" s="1"/>
  <c r="O31" i="2"/>
  <c r="O57" i="2" s="1"/>
  <c r="U12" i="2"/>
  <c r="U16" i="2"/>
  <c r="Q31" i="2" l="1"/>
  <c r="U31" i="2"/>
  <c r="G13" i="1"/>
  <c r="G17" i="1" s="1"/>
  <c r="O67" i="2"/>
  <c r="G29" i="1" s="1"/>
  <c r="G33" i="1" s="1"/>
  <c r="Q60" i="2" l="1"/>
  <c r="U60" i="2" s="1"/>
  <c r="M57" i="2" l="1"/>
  <c r="Q37" i="2"/>
  <c r="U37" i="2" l="1"/>
  <c r="Q57" i="2"/>
  <c r="Q67" i="2" s="1"/>
  <c r="Q68" i="2" s="1"/>
  <c r="M67" i="2"/>
  <c r="G35" i="1" s="1"/>
  <c r="G37" i="1" s="1"/>
  <c r="G41" i="1" s="1"/>
  <c r="G19" i="1"/>
  <c r="G21" i="1" s="1"/>
  <c r="G25" i="1" s="1"/>
  <c r="U57" i="2" l="1"/>
  <c r="U67" i="2" s="1"/>
  <c r="U6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S40" authorId="0" shapeId="0" xr:uid="{C6D0AD44-F9B8-4893-A5A4-9A99A783EC07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GTI determined by customer load, do not escalate</t>
        </r>
      </text>
    </comment>
    <comment ref="T99" authorId="0" shapeId="0" xr:uid="{63E66BA6-A27A-4342-AD68-077C3D3495EF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Revenue Related Expenses - Uncollectible</t>
        </r>
      </text>
    </comment>
    <comment ref="U105" authorId="0" shapeId="0" xr:uid="{63D3C785-801A-43B7-8CEC-70CEC39E1A79}">
      <text>
        <r>
          <rPr>
            <b/>
            <sz val="9"/>
            <color indexed="81"/>
            <rFont val="Tahoma"/>
            <family val="2"/>
          </rPr>
          <t>Liz Andrews:</t>
        </r>
        <r>
          <rPr>
            <sz val="9"/>
            <color indexed="81"/>
            <rFont val="Tahoma"/>
            <family val="2"/>
          </rPr>
          <t xml:space="preserve">
Eliminate Adder Schedules Public Purpose Tariff Rider Amortization</t>
        </r>
      </text>
    </comment>
    <comment ref="T119" authorId="0" shapeId="0" xr:uid="{DABFA300-F4DE-4A7D-B66B-F94A45209648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Incentives normalized in adjustment 2.13</t>
        </r>
      </text>
    </comment>
    <comment ref="T120" authorId="0" shapeId="0" xr:uid="{165FB659-CB1D-410F-BDFE-19F313CD1863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Non-Labor ISIT test year amount</t>
        </r>
      </text>
    </comment>
    <comment ref="T121" authorId="0" shapeId="0" xr:uid="{4D8F75A6-45DF-44A6-BD66-E12F4BEA0F79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Do not escalate this account, Office space charges adjustment normalizes</t>
        </r>
      </text>
    </comment>
    <comment ref="T122" authorId="0" shapeId="0" xr:uid="{DF96993C-46CC-41B0-ACEC-C8C48A813DC6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Non-Labor ISIT test year amount, source data not account specific, applied to 921 and 923</t>
        </r>
      </text>
    </comment>
    <comment ref="T123" authorId="0" shapeId="0" xr:uid="{5DE4274E-DA3D-45FB-9A5A-FAEAEEE44926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Property Insurance pro formed</t>
        </r>
      </text>
    </comment>
    <comment ref="T124" authorId="0" shapeId="0" xr:uid="{EF0438CA-A5DF-4553-8DA4-ADF49C94DBA1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Liability Insurance and Injuries and Damages pro formed </t>
        </r>
      </text>
    </comment>
    <comment ref="T125" authorId="0" shapeId="0" xr:uid="{B7DF4E66-C043-452C-947D-7692A2FECDB2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Pension &amp; Medical</t>
        </r>
      </text>
    </comment>
    <comment ref="T127" authorId="0" shapeId="0" xr:uid="{349728E2-9DC2-4433-92CF-65152E9C8676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Revenue Related Expenses - Regulatory Fees</t>
        </r>
      </text>
    </comment>
  </commentList>
</comments>
</file>

<file path=xl/sharedStrings.xml><?xml version="1.0" encoding="utf-8"?>
<sst xmlns="http://schemas.openxmlformats.org/spreadsheetml/2006/main" count="652" uniqueCount="444">
  <si>
    <t>Line</t>
  </si>
  <si>
    <t>No.</t>
  </si>
  <si>
    <t>Description</t>
  </si>
  <si>
    <t>Amount</t>
  </si>
  <si>
    <t>Per Company</t>
  </si>
  <si>
    <t>Per PC</t>
  </si>
  <si>
    <t>Adjusted Rate Base</t>
  </si>
  <si>
    <t>Net Operating Income Requirement</t>
  </si>
  <si>
    <t>Adjusted Net Operating Income</t>
  </si>
  <si>
    <t>Net Operating Income Deficiency/(Sufficiency)</t>
  </si>
  <si>
    <t>Revenue Conversion Factor</t>
  </si>
  <si>
    <t>Revenue Requirement</t>
  </si>
  <si>
    <t>Public Counsel Adjustments</t>
  </si>
  <si>
    <t>Public Counsel</t>
  </si>
  <si>
    <t>Rev. Req.</t>
  </si>
  <si>
    <t>Avista</t>
  </si>
  <si>
    <t>and/or PC Neutral in Direct</t>
  </si>
  <si>
    <t>Position on Avista's</t>
  </si>
  <si>
    <t>Impact of</t>
  </si>
  <si>
    <t>Adj. #</t>
  </si>
  <si>
    <t>Adjustment Description</t>
  </si>
  <si>
    <t xml:space="preserve">NOI   </t>
  </si>
  <si>
    <t>Rate Base</t>
  </si>
  <si>
    <t>Rev Req</t>
  </si>
  <si>
    <t>Revised Position</t>
  </si>
  <si>
    <t>Differences</t>
  </si>
  <si>
    <t>Deferred FIT Rate Base</t>
  </si>
  <si>
    <t>PC Neutral in Direct</t>
  </si>
  <si>
    <t>Deferred Debits and Credits</t>
  </si>
  <si>
    <t>Working Capital</t>
  </si>
  <si>
    <t>Eliminate B &amp; O Taxes</t>
  </si>
  <si>
    <t>Restate Property Tax</t>
  </si>
  <si>
    <t>Regulatory Expense</t>
  </si>
  <si>
    <t>Restate Excise Taxes</t>
  </si>
  <si>
    <t>Eliminate Adder Schedules</t>
  </si>
  <si>
    <t>Restate Debt Interest</t>
  </si>
  <si>
    <t xml:space="preserve">     Restated Total</t>
  </si>
  <si>
    <t>Pro Forma Labor Non-Exec</t>
  </si>
  <si>
    <t>PC Modified</t>
  </si>
  <si>
    <t>Pro Forma Labor Exec</t>
  </si>
  <si>
    <t>Pro Forma Employee Benefits</t>
  </si>
  <si>
    <t>Pro Forma Insurance Expense</t>
  </si>
  <si>
    <t>Pro Forma Property Tax</t>
  </si>
  <si>
    <t>PC Opposes</t>
  </si>
  <si>
    <t>Pro Forma Revenue Normalization</t>
  </si>
  <si>
    <t>Common Equity</t>
  </si>
  <si>
    <t>Long-Term Debt</t>
  </si>
  <si>
    <t>Component</t>
  </si>
  <si>
    <t>Capital</t>
  </si>
  <si>
    <t>Structure</t>
  </si>
  <si>
    <t>Cost</t>
  </si>
  <si>
    <t>Weighted</t>
  </si>
  <si>
    <t>Pre-Tax</t>
  </si>
  <si>
    <t>Factor</t>
  </si>
  <si>
    <t>Avista Requested Cost of Capital</t>
  </si>
  <si>
    <t>Totals</t>
  </si>
  <si>
    <t>Public Counsel Return on Equity Adjustment</t>
  </si>
  <si>
    <t>Public Counsel Proposed Return on Equity</t>
  </si>
  <si>
    <t>Pro Forma Adjustments - 07.2023-12.2025</t>
  </si>
  <si>
    <t>Other</t>
  </si>
  <si>
    <t>Pro Forma Adjustments - 12.2025-12.2026</t>
  </si>
  <si>
    <t>Uncollectible Expense</t>
  </si>
  <si>
    <t>Office Space Charges to Non-Utility</t>
  </si>
  <si>
    <t>Net Gains &amp; Losses</t>
  </si>
  <si>
    <t>Restating Incentives Expense</t>
  </si>
  <si>
    <t>Restate Capital 06.2023 EOP</t>
  </si>
  <si>
    <t>Pro Forma Def. Debits, Credits &amp; Regulatory Amorts</t>
  </si>
  <si>
    <t>Pro Forma EDIT (RSGM)</t>
  </si>
  <si>
    <t>Pro Forma AMI Amortization</t>
  </si>
  <si>
    <t>Pro Forma Incentives</t>
  </si>
  <si>
    <t>Pro Forma LIRAP Labor</t>
  </si>
  <si>
    <t>Pro Forma CCA Labor</t>
  </si>
  <si>
    <t>Pro Forma IS/IT Expense</t>
  </si>
  <si>
    <t>Pro Forma Misc O&amp;M Exp</t>
  </si>
  <si>
    <t>Pro Forma Capital Additions to 12.31.2023 EOP</t>
  </si>
  <si>
    <t>Pro Forma Depreciation Expense</t>
  </si>
  <si>
    <t>Pro Forma Capital Additions to 12.31.2024 EOP</t>
  </si>
  <si>
    <t>Pro Forma New Regulatory Amortizations</t>
  </si>
  <si>
    <t>Pro Forma Nucleus/ETRM Expense</t>
  </si>
  <si>
    <t>Pro Forma BOD Fees Expense</t>
  </si>
  <si>
    <t>Provisional Capital Additions to 12.31.2025 AMA</t>
  </si>
  <si>
    <t>2024-2025 Capital Adds O&amp;M &amp; Revenue Offsets</t>
  </si>
  <si>
    <t xml:space="preserve">     Pro Forma Study Ending 12.2025</t>
  </si>
  <si>
    <t>Provisional Capital Adds to 12.31.2026 AMA</t>
  </si>
  <si>
    <t>2026 Capital Adds O&amp;M &amp; Revenue Offsets</t>
  </si>
  <si>
    <t xml:space="preserve">     Pro Forma Study Ending 12.2026</t>
  </si>
  <si>
    <t>Incremental 12.2026</t>
  </si>
  <si>
    <t>Avista Adjustments - Washington Electric</t>
  </si>
  <si>
    <t>Total</t>
  </si>
  <si>
    <t>Income Taxes at 21%</t>
  </si>
  <si>
    <t>Reference</t>
  </si>
  <si>
    <t>Net Increase to Expenses</t>
  </si>
  <si>
    <t>CBR Adjusted O&amp;M</t>
  </si>
  <si>
    <t>Proformed Labor</t>
  </si>
  <si>
    <t>Proformed Pensions and Medical Benefits</t>
  </si>
  <si>
    <t>Pro Forma Miscellaneous O&amp;M expense</t>
  </si>
  <si>
    <t>Annual Escalation Rate</t>
  </si>
  <si>
    <t>Proformed Insurance (Property and Liability)</t>
  </si>
  <si>
    <t>Copied From:</t>
  </si>
  <si>
    <t>Twelve Months Ended June 30, 2023 Test Year</t>
  </si>
  <si>
    <t>Proformed ISIT costs</t>
  </si>
  <si>
    <t>Twelve Months Ended December 31, 2025 Pro Forma Year 1</t>
  </si>
  <si>
    <t>Normalized Incentives</t>
  </si>
  <si>
    <t>Twelve Months Ended December 31, 2026 Pro Forma Year 2</t>
  </si>
  <si>
    <t>PF 2025 Adj</t>
  </si>
  <si>
    <t>PF 2026 Adj</t>
  </si>
  <si>
    <t>Exclude Pro Formed or Normalized O&amp;M</t>
  </si>
  <si>
    <t>Add Misc</t>
  </si>
  <si>
    <t>Misc O&amp;M</t>
  </si>
  <si>
    <t>2025 Escalation</t>
  </si>
  <si>
    <t>2026 Escalation</t>
  </si>
  <si>
    <t>Incremental</t>
  </si>
  <si>
    <t>Admin Expense Credit (Office space charges)</t>
  </si>
  <si>
    <t>Line No.</t>
  </si>
  <si>
    <t>Account</t>
  </si>
  <si>
    <t>Per ROO</t>
  </si>
  <si>
    <t>Labor</t>
  </si>
  <si>
    <t>Restating</t>
  </si>
  <si>
    <t>Test Year</t>
  </si>
  <si>
    <t>Miscellaneous Restating Adj (Add except Insurance)</t>
  </si>
  <si>
    <t>Operation &amp; Maintenance Expenses</t>
  </si>
  <si>
    <t>Eliminate Adder Schedules Adj (Add O&amp;M elim)</t>
  </si>
  <si>
    <t>Supervision &amp; Engineering</t>
  </si>
  <si>
    <t>Rents</t>
  </si>
  <si>
    <t>901000</t>
  </si>
  <si>
    <t>902000</t>
  </si>
  <si>
    <t>903000</t>
  </si>
  <si>
    <t>905000</t>
  </si>
  <si>
    <t>908000</t>
  </si>
  <si>
    <t>909000</t>
  </si>
  <si>
    <t>910000</t>
  </si>
  <si>
    <t>920000</t>
  </si>
  <si>
    <t>921000</t>
  </si>
  <si>
    <t>923000</t>
  </si>
  <si>
    <t>926100</t>
  </si>
  <si>
    <t>928000</t>
  </si>
  <si>
    <t>930200</t>
  </si>
  <si>
    <t>931000</t>
  </si>
  <si>
    <t>935000</t>
  </si>
  <si>
    <t>CDAA</t>
  </si>
  <si>
    <t>CDAN</t>
  </si>
  <si>
    <t>Distribution Expenses</t>
  </si>
  <si>
    <t>Customer Accounting Expenses</t>
  </si>
  <si>
    <t>901-OP</t>
  </si>
  <si>
    <t>Supervision</t>
  </si>
  <si>
    <t>902-OP</t>
  </si>
  <si>
    <t>Meter Reading</t>
  </si>
  <si>
    <t>903-OP</t>
  </si>
  <si>
    <t>904-OP</t>
  </si>
  <si>
    <t>Uncollectible Accounts</t>
  </si>
  <si>
    <t>905-OP</t>
  </si>
  <si>
    <t>Misc Customer Accounts Expenses</t>
  </si>
  <si>
    <t>Total Customer Accounting Expenses</t>
  </si>
  <si>
    <t>907-OP</t>
  </si>
  <si>
    <t>908-OP</t>
  </si>
  <si>
    <t>Customer Assistance Expenses</t>
  </si>
  <si>
    <t>909-OP</t>
  </si>
  <si>
    <t>Advertising</t>
  </si>
  <si>
    <t>910-OP</t>
  </si>
  <si>
    <t>Sales Expenses</t>
  </si>
  <si>
    <t>911-OP</t>
  </si>
  <si>
    <t>912-OP</t>
  </si>
  <si>
    <t>Demonstrating &amp; Selling Expenses</t>
  </si>
  <si>
    <t>913-OP</t>
  </si>
  <si>
    <t>Advertising Expenses</t>
  </si>
  <si>
    <t>916-OP</t>
  </si>
  <si>
    <t>Misc Sales Expenses</t>
  </si>
  <si>
    <t>Total Sales Expenses</t>
  </si>
  <si>
    <t>Subtotal Expenses</t>
  </si>
  <si>
    <t>Administrative &amp; General Expenses</t>
  </si>
  <si>
    <t>920-OP</t>
  </si>
  <si>
    <t>921-OP</t>
  </si>
  <si>
    <t>Office Supplies &amp; Expenses</t>
  </si>
  <si>
    <t>922-OP</t>
  </si>
  <si>
    <t>923-OP</t>
  </si>
  <si>
    <t>Outside Services Employed</t>
  </si>
  <si>
    <t>924-OP</t>
  </si>
  <si>
    <t>Property Insurance Premium</t>
  </si>
  <si>
    <t>925-OP</t>
  </si>
  <si>
    <t>Injuries &amp; Damages</t>
  </si>
  <si>
    <t>926-OP</t>
  </si>
  <si>
    <t>Employee Pension &amp; Benefits</t>
  </si>
  <si>
    <t>927-OP</t>
  </si>
  <si>
    <t>Franchise Requirements</t>
  </si>
  <si>
    <t>928-OP</t>
  </si>
  <si>
    <t>Regulatory Commission Expenses</t>
  </si>
  <si>
    <t>931-OP</t>
  </si>
  <si>
    <t>935-MT</t>
  </si>
  <si>
    <t>Maintenance of General Plant</t>
  </si>
  <si>
    <t>Total Administrative &amp; General Expenses</t>
  </si>
  <si>
    <t>Total Operating &amp; Maintenance Expenses</t>
  </si>
  <si>
    <t>2024</t>
  </si>
  <si>
    <t>2025</t>
  </si>
  <si>
    <t>2026</t>
  </si>
  <si>
    <t>Escalated Balances versus Total O&amp;M</t>
  </si>
  <si>
    <t>FIT / DFIT Expense</t>
  </si>
  <si>
    <t>Weather Normalization / Gas Cost Adjust</t>
  </si>
  <si>
    <t>4-Yr Avg</t>
  </si>
  <si>
    <t>Revenue Related Expenses</t>
  </si>
  <si>
    <t>All Employees</t>
  </si>
  <si>
    <t>Gas Supply</t>
  </si>
  <si>
    <t>Purchased Gas Expenses</t>
  </si>
  <si>
    <t>Eliminate Gas Supply Costs (identified in EAS Adj)</t>
  </si>
  <si>
    <t>813000</t>
  </si>
  <si>
    <t>804/805-000</t>
  </si>
  <si>
    <t>Gas Purchases</t>
  </si>
  <si>
    <t>814000</t>
  </si>
  <si>
    <t>804-001</t>
  </si>
  <si>
    <t>Pipeline Demand Costs</t>
  </si>
  <si>
    <t>870000</t>
  </si>
  <si>
    <t>804-002</t>
  </si>
  <si>
    <t>Transport Variable Charges</t>
  </si>
  <si>
    <t>874000</t>
  </si>
  <si>
    <t>804-017</t>
  </si>
  <si>
    <t>Transaction Fees</t>
  </si>
  <si>
    <t>875000</t>
  </si>
  <si>
    <t>804-730</t>
  </si>
  <si>
    <t>Gas Costs - Intracompany LDC Gas</t>
  </si>
  <si>
    <t>876000</t>
  </si>
  <si>
    <t>804-170</t>
  </si>
  <si>
    <t>Gas Transaction Fees</t>
  </si>
  <si>
    <t>877000</t>
  </si>
  <si>
    <t>804-600</t>
  </si>
  <si>
    <t>Gas Purchases - Financial</t>
  </si>
  <si>
    <t>878000</t>
  </si>
  <si>
    <t>804-700</t>
  </si>
  <si>
    <t>Off System Gas Purchases - Bookout</t>
  </si>
  <si>
    <t>879000</t>
  </si>
  <si>
    <t>804-711</t>
  </si>
  <si>
    <t>Off System Bookout Offset</t>
  </si>
  <si>
    <t>880000</t>
  </si>
  <si>
    <t>804-010</t>
  </si>
  <si>
    <t>Gas Costs - Fixed Hedge</t>
  </si>
  <si>
    <t>885000</t>
  </si>
  <si>
    <t>805-110</t>
  </si>
  <si>
    <t>Gas Exp - Rate Amortizations</t>
  </si>
  <si>
    <t>887000</t>
  </si>
  <si>
    <t>805-120</t>
  </si>
  <si>
    <t>Gas Expense - Rate Deferrals</t>
  </si>
  <si>
    <t>889000</t>
  </si>
  <si>
    <t>805-980</t>
  </si>
  <si>
    <t>Gas Expense - Estimated Amortizations</t>
  </si>
  <si>
    <t>890000</t>
  </si>
  <si>
    <t>805-990</t>
  </si>
  <si>
    <t>Gas Expense - Estimated Deferrals</t>
  </si>
  <si>
    <t>891000</t>
  </si>
  <si>
    <t>Open</t>
  </si>
  <si>
    <t>892000</t>
  </si>
  <si>
    <t>808-xxx</t>
  </si>
  <si>
    <t>Net Natural Gas Storage Transactions</t>
  </si>
  <si>
    <t>893000</t>
  </si>
  <si>
    <t>804.xx</t>
  </si>
  <si>
    <t>Proforma Purchased Gas Expense</t>
  </si>
  <si>
    <t>894000</t>
  </si>
  <si>
    <t>Total Purchased Gas Cost</t>
  </si>
  <si>
    <t>811-00</t>
  </si>
  <si>
    <t>Gas Used for Products Extraction</t>
  </si>
  <si>
    <t>813-010</t>
  </si>
  <si>
    <t>GTI Expenses</t>
  </si>
  <si>
    <t>813-xxx</t>
  </si>
  <si>
    <t>Other Gas Expenses</t>
  </si>
  <si>
    <t>Total Purchased Gas Expenses</t>
  </si>
  <si>
    <t>Underground Storage Expenses</t>
  </si>
  <si>
    <t>814-OP</t>
  </si>
  <si>
    <t>815-OP</t>
  </si>
  <si>
    <t>Maps &amp; Records</t>
  </si>
  <si>
    <t>816-OP</t>
  </si>
  <si>
    <t>Wells Expenses</t>
  </si>
  <si>
    <t>817-OP</t>
  </si>
  <si>
    <t>Lines Expenses</t>
  </si>
  <si>
    <t>818-OP</t>
  </si>
  <si>
    <t>Compressor Station Expenses</t>
  </si>
  <si>
    <t>819-OP</t>
  </si>
  <si>
    <t>Compressor Station Fuel &amp; Power</t>
  </si>
  <si>
    <t>820-OP</t>
  </si>
  <si>
    <t>Measuring &amp; Regulator Station</t>
  </si>
  <si>
    <t>821-OP</t>
  </si>
  <si>
    <t>Purification Expenses</t>
  </si>
  <si>
    <t>824-OP</t>
  </si>
  <si>
    <t>Other Expenses</t>
  </si>
  <si>
    <t>825-OP</t>
  </si>
  <si>
    <t>Storage Well Royalties &amp; Rents</t>
  </si>
  <si>
    <t>826-OP</t>
  </si>
  <si>
    <t>830-MT</t>
  </si>
  <si>
    <t>Non-Labor ISIT 12 ME 09.2021</t>
  </si>
  <si>
    <t>WA Natural Gas</t>
  </si>
  <si>
    <t>831-MT</t>
  </si>
  <si>
    <t>832-MT</t>
  </si>
  <si>
    <t>833-MT</t>
  </si>
  <si>
    <t>834-MT</t>
  </si>
  <si>
    <t>835-MT</t>
  </si>
  <si>
    <t>836-MT</t>
  </si>
  <si>
    <t>Measuring and Regulator Station Expenses</t>
  </si>
  <si>
    <t>837-MT</t>
  </si>
  <si>
    <t>Other Equipment</t>
  </si>
  <si>
    <t>Total Underground Storage Expenses</t>
  </si>
  <si>
    <t>Operation Expense</t>
  </si>
  <si>
    <t>870-OP</t>
  </si>
  <si>
    <t>871-OP</t>
  </si>
  <si>
    <t>Distribution Load Dispatching</t>
  </si>
  <si>
    <t>872-OP</t>
  </si>
  <si>
    <t>Compressor Station Labor &amp; Expenses</t>
  </si>
  <si>
    <t>874-OP</t>
  </si>
  <si>
    <t>Mains &amp; Services Expense</t>
  </si>
  <si>
    <t>875-OP</t>
  </si>
  <si>
    <t>Measuring &amp; Regulating Stations-General</t>
  </si>
  <si>
    <t>876-OP</t>
  </si>
  <si>
    <t>Measuring &amp; Regulating Stations-Industrial</t>
  </si>
  <si>
    <t>877-OP</t>
  </si>
  <si>
    <t>Measuring &amp; Regulating Stations-City Gate</t>
  </si>
  <si>
    <t>878-OP</t>
  </si>
  <si>
    <t>Meters &amp; House Regulators Expenses</t>
  </si>
  <si>
    <t>879-OP</t>
  </si>
  <si>
    <t>Customer Installations</t>
  </si>
  <si>
    <t>880-OP</t>
  </si>
  <si>
    <t>Other Distribution Expense</t>
  </si>
  <si>
    <t>881-OP</t>
  </si>
  <si>
    <t>Total Distribution Operation Expense</t>
  </si>
  <si>
    <t>Maintenance Expense</t>
  </si>
  <si>
    <t>885-MT</t>
  </si>
  <si>
    <t>887-MT</t>
  </si>
  <si>
    <t>Mains</t>
  </si>
  <si>
    <t>888-MT</t>
  </si>
  <si>
    <t>Compressor Station Equipment</t>
  </si>
  <si>
    <t>889-MT</t>
  </si>
  <si>
    <t>890-MT</t>
  </si>
  <si>
    <t>891-MT</t>
  </si>
  <si>
    <t>892-MT</t>
  </si>
  <si>
    <t>Services</t>
  </si>
  <si>
    <t>893-MT</t>
  </si>
  <si>
    <t>Meters &amp; House Regulators</t>
  </si>
  <si>
    <t>894-MT</t>
  </si>
  <si>
    <t>Total Distribution Maintenance Expense</t>
  </si>
  <si>
    <t>Total Distribution Expense</t>
  </si>
  <si>
    <t>Customer Records &amp; Collection</t>
  </si>
  <si>
    <t>Customer Information Expense</t>
  </si>
  <si>
    <t>Misc Customer Service &amp; Info Expense</t>
  </si>
  <si>
    <t>Total Customer Information Expense</t>
  </si>
  <si>
    <t>Admin. &amp; General Salaries</t>
  </si>
  <si>
    <t>Admin. Expenses Transferred - Credit</t>
  </si>
  <si>
    <t>930-OP</t>
  </si>
  <si>
    <t>Miscellaneous &amp; General Expense</t>
  </si>
  <si>
    <t>Derived from G-3.14,5.06 PF Misc O&amp;M:</t>
  </si>
  <si>
    <t>Cash</t>
  </si>
  <si>
    <t>Stock</t>
  </si>
  <si>
    <t>Compensation</t>
  </si>
  <si>
    <t>Utility BOD Compensation</t>
  </si>
  <si>
    <t>Note 1</t>
  </si>
  <si>
    <t>PC Ratepayer Sharing Percentage</t>
  </si>
  <si>
    <t>PC Ratepayer Share</t>
  </si>
  <si>
    <t>Avista Proposed Ratepayer Share 2023</t>
  </si>
  <si>
    <t>PC Adjustment</t>
  </si>
  <si>
    <t>Note 2</t>
  </si>
  <si>
    <t>Note 3</t>
  </si>
  <si>
    <t>Difference</t>
  </si>
  <si>
    <t>Washington Gas Utility Allocation</t>
  </si>
  <si>
    <t>From G-3.20 PF BOD, cells O7 and O9.</t>
  </si>
  <si>
    <t>From G-3.20 PF BOD, cell B16 * B17.</t>
  </si>
  <si>
    <t>From G-3.20 PF BOD, cell G17.</t>
  </si>
  <si>
    <t>Projected 2025 D&amp;O Insurance</t>
  </si>
  <si>
    <t>Ratepayer Share at 50%</t>
  </si>
  <si>
    <t>PC Sharing D&amp;O Insurance</t>
  </si>
  <si>
    <t>Avista Sharing of D&amp;O Insurance</t>
  </si>
  <si>
    <t>PC Reduction to Ratepayer Share of D&amp;O Insurance</t>
  </si>
  <si>
    <t>Avista Projected Insurance Expense Adjustment</t>
  </si>
  <si>
    <t>Note 4</t>
  </si>
  <si>
    <t>PC Projected Insurance Expense Adjustment, Adj. PF 3.12</t>
  </si>
  <si>
    <t>PC Proposed Jurisdictional Adjustment, Adj. PF 3.20</t>
  </si>
  <si>
    <t>Company Proposed Adjustment</t>
  </si>
  <si>
    <t>Miscellaneous O&amp;M Expense Adjustment 2025, Adj. PF 3.14</t>
  </si>
  <si>
    <t>Miscellaneous O&amp;M Adjustment 2026, Adj. PF 5.06</t>
  </si>
  <si>
    <t>Washington Gas Factor</t>
  </si>
  <si>
    <t>Test Year Investor Relations Expense</t>
  </si>
  <si>
    <t>PC-DR-194 Attachment A.</t>
  </si>
  <si>
    <t>Share Investor Relations Expense</t>
  </si>
  <si>
    <t>PC-DR-182.</t>
  </si>
  <si>
    <t>Adjustment to Exclude Industry Association Dues</t>
  </si>
  <si>
    <t>Rate of Return</t>
  </si>
  <si>
    <t>Avista Proposed Increase to Executive Payroll</t>
  </si>
  <si>
    <t>PC Adjustment to Exclude Executive Pay Increases</t>
  </si>
  <si>
    <t>PC Recommended Pro Forma Adjustment to Executive Payroll</t>
  </si>
  <si>
    <t>From G-3.06 PF Exec Labor, cell F55.</t>
  </si>
  <si>
    <t>Test Year Association Dues</t>
  </si>
  <si>
    <t>Impact on Income Tax Expense</t>
  </si>
  <si>
    <t>Net Adjustment to Expenses to Exclude Association Dues</t>
  </si>
  <si>
    <t>Association Dues</t>
  </si>
  <si>
    <t>Avista Corporation</t>
  </si>
  <si>
    <t>Test Year Ended June 30, 2023</t>
  </si>
  <si>
    <t>($ Thousands)</t>
  </si>
  <si>
    <t>Gas Docket UG-240007</t>
  </si>
  <si>
    <t>Calculation of Gas Revenue Requirement</t>
  </si>
  <si>
    <t>Summary of Gas Utility Adjustments</t>
  </si>
  <si>
    <t>Misc. Restating Non-Util/Non- Recur. Exp</t>
  </si>
  <si>
    <t>Miscellaneous O&amp;M Escalation Adjustment</t>
  </si>
  <si>
    <t>Directors &amp; Officers' Liability Insurance</t>
  </si>
  <si>
    <t xml:space="preserve">Board of Directors' Compensation </t>
  </si>
  <si>
    <t>Investor Relations Expense</t>
  </si>
  <si>
    <t>Industry Association Dues</t>
  </si>
  <si>
    <t>Rate Year 1 - December 2024</t>
  </si>
  <si>
    <t>Rate Year 2 - December 2025</t>
  </si>
  <si>
    <t>Cost of Capital %</t>
  </si>
  <si>
    <t>Ref.</t>
  </si>
  <si>
    <t>Pro Forma Executive Payroll Adjustment</t>
  </si>
  <si>
    <t>Gas Utility Cost of Capital</t>
  </si>
  <si>
    <t>Revenue Requirement Impact</t>
  </si>
  <si>
    <t>240006-07-AVA-Exh-KJS-2-Elec RR Model AMA 2024-2026-Long</t>
  </si>
  <si>
    <t>TAB:</t>
  </si>
  <si>
    <t>Column:</t>
  </si>
  <si>
    <t>Revenue Requirement Impact ($ thousands)</t>
  </si>
  <si>
    <t>($ thousands)</t>
  </si>
  <si>
    <t>Exhibit MEG-4     Sch. 4.2</t>
  </si>
  <si>
    <t>Revenue Requirement Impact YR-1 ($ thousands)</t>
  </si>
  <si>
    <t>Revenue Requirement Impact YR-2 ($ thousands)</t>
  </si>
  <si>
    <t>240006-07-AVA-Exh-KJs-3-Nat Gas RR Model AMA 2025-2026-Long, Tab: G-3.12 PF Ins, cell AW13.</t>
  </si>
  <si>
    <t>Id., Tab: G-3.12 PF Ins, cell AW25.</t>
  </si>
  <si>
    <t>Id., Tab: G-3.12 PF Ins, cell A20 * A21.</t>
  </si>
  <si>
    <t>Id., Tab: G-3.12 PF Ins, cell J21.</t>
  </si>
  <si>
    <t>Employee Benefits Expense Adjustment</t>
  </si>
  <si>
    <t>Employee Benefits Update Adjustment, Rate Year 1</t>
  </si>
  <si>
    <t>Employee Benefits Update Adjustment, Rate Year 2</t>
  </si>
  <si>
    <t>See the Responsive Testimony of Brandly G. Mullins, page 22, Table 4.</t>
  </si>
  <si>
    <t>Exhibit MEG-11</t>
  </si>
  <si>
    <t>Schedule 11.10</t>
  </si>
  <si>
    <t>Schedule 11.1</t>
  </si>
  <si>
    <t>Schedule 11.2</t>
  </si>
  <si>
    <t>Exh MEG-11</t>
  </si>
  <si>
    <t>Sch. 11.9</t>
  </si>
  <si>
    <t>Sch. 11.3</t>
  </si>
  <si>
    <t>Sch. 11.10</t>
  </si>
  <si>
    <t>Sch. 11.5</t>
  </si>
  <si>
    <t>Sch. 11.4</t>
  </si>
  <si>
    <t>Sch. 11.6</t>
  </si>
  <si>
    <t>Sch. 11.7</t>
  </si>
  <si>
    <t>Sch. 11.8</t>
  </si>
  <si>
    <t>Schedule 11.3</t>
  </si>
  <si>
    <t>Schedule 11.4</t>
  </si>
  <si>
    <t>WP MEG-11.4 Misc. O&amp;M Escalation</t>
  </si>
  <si>
    <t>Exhibit MEG-11 Sch. 11.2</t>
  </si>
  <si>
    <t>See WP MEG-11.4 Misc. O&amp;M Escalation</t>
  </si>
  <si>
    <t>Schedule 11.5</t>
  </si>
  <si>
    <t>Schedule 11.6</t>
  </si>
  <si>
    <t>Schedule 11.7</t>
  </si>
  <si>
    <t>Schedule 11.8</t>
  </si>
  <si>
    <t>Schedule 11.9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</si>
</sst>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&quot;$&quot;* #,##0_);_(&quot;$&quot;* \(#,##0\);_(&quot;$&quot;* &quot;-&quot;??_);_(@_)"/>
    <numFmt numFmtId="167" formatCode="0.000%"/>
    <numFmt numFmtId="168" formatCode="0.0%"/>
    <numFmt numFmtId="169" formatCode="&quot;$&quot;#,##0"/>
    <numFmt numFmtId="170" formatCode="#,##0\ ;\(#,##0\)"/>
    <numFmt numFmtId="171" formatCode="0.00000"/>
  </numFmts>
  <fonts count="30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Geneva"/>
    </font>
    <font>
      <sz val="10"/>
      <color theme="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Aptos Narrow"/>
      <family val="2"/>
      <scheme val="minor"/>
    </font>
    <font>
      <sz val="12"/>
      <color theme="4" tint="-0.249977111117893"/>
      <name val="Times New Roman"/>
      <family val="1"/>
    </font>
    <font>
      <sz val="12"/>
      <color rgb="FF0070C0"/>
      <name val="Times New Roman"/>
      <family val="1"/>
    </font>
    <font>
      <b/>
      <u val="double"/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rgb="FF0070C0"/>
      <name val="Arial Narrow"/>
      <family val="2"/>
    </font>
    <font>
      <sz val="12"/>
      <name val="Arial Narrow"/>
      <family val="2"/>
    </font>
    <font>
      <sz val="12"/>
      <color rgb="FF0070C0"/>
      <name val="Arial Narrow"/>
      <family val="2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rgb="FF0070C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color theme="1"/>
      <name val="Times New Roman"/>
      <family val="1"/>
    </font>
    <font>
      <b/>
      <sz val="12"/>
      <color theme="3" tint="0.499984740745262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</cellStyleXfs>
  <cellXfs count="13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0" fontId="0" fillId="0" borderId="0" xfId="0" applyNumberFormat="1"/>
    <xf numFmtId="166" fontId="0" fillId="0" borderId="0" xfId="2" applyNumberFormat="1" applyFont="1"/>
    <xf numFmtId="166" fontId="0" fillId="0" borderId="2" xfId="2" applyNumberFormat="1" applyFont="1" applyBorder="1"/>
    <xf numFmtId="0" fontId="0" fillId="0" borderId="0" xfId="0" quotePrefix="1"/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2" fontId="0" fillId="0" borderId="0" xfId="0" applyNumberFormat="1"/>
    <xf numFmtId="0" fontId="0" fillId="0" borderId="1" xfId="0" applyBorder="1"/>
    <xf numFmtId="3" fontId="0" fillId="0" borderId="0" xfId="0" applyNumberFormat="1"/>
    <xf numFmtId="37" fontId="0" fillId="0" borderId="0" xfId="0" applyNumberFormat="1"/>
    <xf numFmtId="5" fontId="0" fillId="0" borderId="0" xfId="0" applyNumberFormat="1"/>
    <xf numFmtId="6" fontId="0" fillId="0" borderId="0" xfId="0" applyNumberFormat="1"/>
    <xf numFmtId="0" fontId="2" fillId="0" borderId="0" xfId="0" applyFont="1"/>
    <xf numFmtId="10" fontId="0" fillId="0" borderId="0" xfId="3" applyNumberFormat="1" applyFont="1"/>
    <xf numFmtId="0" fontId="0" fillId="0" borderId="0" xfId="3" applyNumberFormat="1" applyFont="1"/>
    <xf numFmtId="10" fontId="0" fillId="0" borderId="1" xfId="3" applyNumberFormat="1" applyFont="1" applyBorder="1"/>
    <xf numFmtId="10" fontId="0" fillId="0" borderId="2" xfId="0" applyNumberFormat="1" applyBorder="1"/>
    <xf numFmtId="166" fontId="0" fillId="0" borderId="0" xfId="2" applyNumberFormat="1" applyFont="1" applyFill="1"/>
    <xf numFmtId="10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66" fontId="0" fillId="0" borderId="0" xfId="0" applyNumberFormat="1"/>
    <xf numFmtId="164" fontId="0" fillId="0" borderId="0" xfId="1" applyNumberFormat="1" applyFont="1"/>
    <xf numFmtId="164" fontId="0" fillId="0" borderId="1" xfId="1" applyNumberFormat="1" applyFont="1" applyBorder="1"/>
    <xf numFmtId="4" fontId="4" fillId="0" borderId="0" xfId="0" applyNumberFormat="1" applyFont="1" applyAlignment="1">
      <alignment horizontal="left"/>
    </xf>
    <xf numFmtId="166" fontId="0" fillId="0" borderId="3" xfId="2" applyNumberFormat="1" applyFont="1" applyBorder="1"/>
    <xf numFmtId="9" fontId="0" fillId="0" borderId="0" xfId="0" applyNumberFormat="1"/>
    <xf numFmtId="1" fontId="0" fillId="0" borderId="4" xfId="0" applyNumberFormat="1" applyBorder="1" applyAlignment="1" applyProtection="1">
      <alignment horizontal="left"/>
      <protection locked="0"/>
    </xf>
    <xf numFmtId="166" fontId="0" fillId="0" borderId="2" xfId="0" applyNumberFormat="1" applyBorder="1"/>
    <xf numFmtId="0" fontId="8" fillId="0" borderId="0" xfId="0" applyFont="1"/>
    <xf numFmtId="0" fontId="9" fillId="0" borderId="0" xfId="0" applyFont="1"/>
    <xf numFmtId="10" fontId="7" fillId="0" borderId="2" xfId="8" applyNumberFormat="1" applyFont="1" applyBorder="1"/>
    <xf numFmtId="0" fontId="8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8" fillId="0" borderId="0" xfId="2" applyNumberFormat="1" applyFont="1"/>
    <xf numFmtId="166" fontId="8" fillId="0" borderId="0" xfId="2" applyNumberFormat="1" applyFont="1" applyFill="1"/>
    <xf numFmtId="10" fontId="13" fillId="0" borderId="0" xfId="8" applyNumberFormat="1" applyFont="1"/>
    <xf numFmtId="10" fontId="8" fillId="0" borderId="0" xfId="8" applyNumberFormat="1" applyFont="1"/>
    <xf numFmtId="10" fontId="12" fillId="2" borderId="5" xfId="0" applyNumberFormat="1" applyFont="1" applyFill="1" applyBorder="1"/>
    <xf numFmtId="10" fontId="12" fillId="0" borderId="0" xfId="0" applyNumberFormat="1" applyFont="1"/>
    <xf numFmtId="0" fontId="14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0" fontId="12" fillId="0" borderId="0" xfId="8" applyNumberFormat="1" applyFont="1"/>
    <xf numFmtId="10" fontId="8" fillId="0" borderId="0" xfId="0" applyNumberFormat="1" applyFont="1"/>
    <xf numFmtId="0" fontId="9" fillId="0" borderId="0" xfId="9" applyFont="1"/>
    <xf numFmtId="170" fontId="9" fillId="0" borderId="0" xfId="9" applyNumberFormat="1" applyFont="1" applyProtection="1">
      <protection locked="0"/>
    </xf>
    <xf numFmtId="0" fontId="15" fillId="0" borderId="0" xfId="9" applyFont="1"/>
    <xf numFmtId="169" fontId="8" fillId="0" borderId="0" xfId="0" applyNumberFormat="1" applyFont="1"/>
    <xf numFmtId="1" fontId="8" fillId="0" borderId="0" xfId="0" applyNumberFormat="1" applyFont="1"/>
    <xf numFmtId="170" fontId="8" fillId="0" borderId="0" xfId="0" applyNumberFormat="1" applyFont="1"/>
    <xf numFmtId="170" fontId="12" fillId="0" borderId="0" xfId="0" applyNumberFormat="1" applyFont="1"/>
    <xf numFmtId="170" fontId="15" fillId="0" borderId="14" xfId="9" applyNumberFormat="1" applyFont="1" applyBorder="1" applyProtection="1">
      <protection locked="0"/>
    </xf>
    <xf numFmtId="170" fontId="16" fillId="0" borderId="14" xfId="9" applyNumberFormat="1" applyFont="1" applyBorder="1" applyProtection="1">
      <protection locked="0"/>
    </xf>
    <xf numFmtId="170" fontId="17" fillId="0" borderId="14" xfId="9" applyNumberFormat="1" applyFont="1" applyBorder="1" applyProtection="1">
      <protection locked="0"/>
    </xf>
    <xf numFmtId="170" fontId="15" fillId="0" borderId="14" xfId="9" applyNumberFormat="1" applyFont="1" applyBorder="1"/>
    <xf numFmtId="170" fontId="16" fillId="0" borderId="14" xfId="9" applyNumberFormat="1" applyFont="1" applyBorder="1"/>
    <xf numFmtId="170" fontId="17" fillId="0" borderId="14" xfId="9" applyNumberFormat="1" applyFont="1" applyBorder="1"/>
    <xf numFmtId="170" fontId="9" fillId="0" borderId="0" xfId="9" applyNumberFormat="1" applyFont="1"/>
    <xf numFmtId="170" fontId="18" fillId="0" borderId="0" xfId="9" applyNumberFormat="1" applyFont="1"/>
    <xf numFmtId="170" fontId="19" fillId="0" borderId="0" xfId="9" applyNumberFormat="1" applyFont="1"/>
    <xf numFmtId="170" fontId="18" fillId="0" borderId="0" xfId="9" applyNumberFormat="1" applyFont="1" applyProtection="1">
      <protection locked="0"/>
    </xf>
    <xf numFmtId="170" fontId="19" fillId="0" borderId="0" xfId="9" applyNumberFormat="1" applyFont="1" applyProtection="1">
      <protection locked="0"/>
    </xf>
    <xf numFmtId="0" fontId="8" fillId="0" borderId="0" xfId="0" applyFont="1" applyAlignment="1">
      <alignment horizontal="left"/>
    </xf>
    <xf numFmtId="171" fontId="8" fillId="0" borderId="0" xfId="0" applyNumberFormat="1" applyFont="1"/>
    <xf numFmtId="169" fontId="8" fillId="0" borderId="14" xfId="0" applyNumberFormat="1" applyFont="1" applyBorder="1"/>
    <xf numFmtId="0" fontId="9" fillId="0" borderId="0" xfId="9" applyFont="1" applyProtection="1">
      <protection locked="0"/>
    </xf>
    <xf numFmtId="0" fontId="18" fillId="0" borderId="0" xfId="9" applyFont="1" applyProtection="1">
      <protection locked="0"/>
    </xf>
    <xf numFmtId="0" fontId="19" fillId="0" borderId="0" xfId="9" applyFont="1" applyProtection="1">
      <protection locked="0"/>
    </xf>
    <xf numFmtId="0" fontId="20" fillId="0" borderId="0" xfId="9" applyFont="1"/>
    <xf numFmtId="169" fontId="21" fillId="0" borderId="0" xfId="0" applyNumberFormat="1" applyFont="1"/>
    <xf numFmtId="0" fontId="21" fillId="0" borderId="0" xfId="0" applyFont="1"/>
    <xf numFmtId="170" fontId="15" fillId="0" borderId="0" xfId="9" applyNumberFormat="1" applyFont="1"/>
    <xf numFmtId="170" fontId="16" fillId="0" borderId="0" xfId="9" applyNumberFormat="1" applyFont="1"/>
    <xf numFmtId="170" fontId="17" fillId="0" borderId="0" xfId="9" applyNumberFormat="1" applyFont="1"/>
    <xf numFmtId="170" fontId="9" fillId="0" borderId="0" xfId="0" applyNumberFormat="1" applyFont="1" applyProtection="1">
      <protection locked="0"/>
    </xf>
    <xf numFmtId="170" fontId="14" fillId="4" borderId="15" xfId="0" applyNumberFormat="1" applyFont="1" applyFill="1" applyBorder="1"/>
    <xf numFmtId="170" fontId="15" fillId="0" borderId="0" xfId="0" applyNumberFormat="1" applyFont="1"/>
    <xf numFmtId="0" fontId="22" fillId="0" borderId="0" xfId="0" applyFont="1"/>
    <xf numFmtId="170" fontId="9" fillId="0" borderId="0" xfId="0" quotePrefix="1" applyNumberFormat="1" applyFont="1" applyAlignment="1" applyProtection="1">
      <alignment horizontal="right"/>
      <protection locked="0"/>
    </xf>
    <xf numFmtId="166" fontId="12" fillId="0" borderId="0" xfId="2" applyNumberFormat="1" applyFont="1" applyProtection="1">
      <protection locked="0"/>
    </xf>
    <xf numFmtId="170" fontId="12" fillId="0" borderId="0" xfId="0" applyNumberFormat="1" applyFont="1" applyProtection="1">
      <protection locked="0"/>
    </xf>
    <xf numFmtId="0" fontId="23" fillId="0" borderId="0" xfId="0" applyFont="1"/>
    <xf numFmtId="166" fontId="12" fillId="0" borderId="1" xfId="2" applyNumberFormat="1" applyFont="1" applyBorder="1" applyProtection="1">
      <protection locked="0"/>
    </xf>
    <xf numFmtId="166" fontId="12" fillId="0" borderId="0" xfId="0" applyNumberFormat="1" applyFont="1"/>
    <xf numFmtId="0" fontId="21" fillId="0" borderId="0" xfId="0" applyFont="1" applyAlignment="1">
      <alignment horizontal="right"/>
    </xf>
    <xf numFmtId="168" fontId="21" fillId="0" borderId="0" xfId="8" applyNumberFormat="1" applyFont="1" applyAlignment="1">
      <alignment horizontal="left"/>
    </xf>
    <xf numFmtId="0" fontId="24" fillId="0" borderId="0" xfId="0" applyFont="1"/>
    <xf numFmtId="167" fontId="0" fillId="0" borderId="0" xfId="3" applyNumberFormat="1" applyFont="1"/>
    <xf numFmtId="166" fontId="0" fillId="0" borderId="1" xfId="2" applyNumberFormat="1" applyFont="1" applyBorder="1"/>
    <xf numFmtId="164" fontId="0" fillId="0" borderId="0" xfId="1" applyNumberFormat="1" applyFont="1" applyBorder="1"/>
    <xf numFmtId="166" fontId="0" fillId="0" borderId="1" xfId="0" applyNumberFormat="1" applyBorder="1"/>
    <xf numFmtId="0" fontId="7" fillId="0" borderId="0" xfId="0" applyFont="1"/>
    <xf numFmtId="0" fontId="7" fillId="0" borderId="0" xfId="0" applyFont="1" applyAlignment="1">
      <alignment horizontal="right"/>
    </xf>
    <xf numFmtId="165" fontId="0" fillId="0" borderId="0" xfId="0" applyNumberFormat="1"/>
    <xf numFmtId="0" fontId="27" fillId="0" borderId="0" xfId="0" applyFont="1"/>
    <xf numFmtId="166" fontId="7" fillId="0" borderId="2" xfId="2" applyNumberFormat="1" applyFont="1" applyBorder="1"/>
    <xf numFmtId="166" fontId="7" fillId="0" borderId="0" xfId="2" applyNumberFormat="1" applyFont="1" applyFill="1"/>
    <xf numFmtId="165" fontId="7" fillId="0" borderId="0" xfId="0" applyNumberFormat="1" applyFont="1"/>
    <xf numFmtId="164" fontId="7" fillId="0" borderId="0" xfId="0" applyNumberFormat="1" applyFont="1"/>
    <xf numFmtId="166" fontId="7" fillId="0" borderId="0" xfId="2" applyNumberFormat="1" applyFont="1"/>
    <xf numFmtId="0" fontId="0" fillId="3" borderId="0" xfId="0" applyFill="1"/>
    <xf numFmtId="0" fontId="7" fillId="3" borderId="0" xfId="0" applyFont="1" applyFill="1"/>
    <xf numFmtId="0" fontId="27" fillId="3" borderId="0" xfId="0" applyFont="1" applyFill="1"/>
    <xf numFmtId="0" fontId="28" fillId="0" borderId="1" xfId="0" applyFont="1" applyBorder="1" applyAlignment="1">
      <alignment horizontal="center"/>
    </xf>
    <xf numFmtId="2" fontId="28" fillId="0" borderId="0" xfId="0" applyNumberFormat="1" applyFont="1" applyAlignment="1">
      <alignment horizontal="center"/>
    </xf>
    <xf numFmtId="0" fontId="0" fillId="0" borderId="0" xfId="3" applyNumberFormat="1" applyFont="1" applyAlignment="1">
      <alignment horizontal="center"/>
    </xf>
    <xf numFmtId="166" fontId="0" fillId="0" borderId="0" xfId="2" applyNumberFormat="1" applyFont="1" applyBorder="1"/>
    <xf numFmtId="0" fontId="29" fillId="0" borderId="0" xfId="0" applyFont="1" applyAlignment="1">
      <alignment horizontal="center" vertical="center" wrapText="1"/>
    </xf>
    <xf numFmtId="166" fontId="7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6" fontId="0" fillId="0" borderId="2" xfId="0" applyNumberFormat="1" applyBorder="1" applyAlignment="1">
      <alignment vertical="center"/>
    </xf>
    <xf numFmtId="166" fontId="7" fillId="0" borderId="2" xfId="2" applyNumberFormat="1" applyFont="1" applyBorder="1" applyAlignment="1">
      <alignment vertical="center"/>
    </xf>
    <xf numFmtId="166" fontId="7" fillId="0" borderId="2" xfId="0" applyNumberFormat="1" applyFont="1" applyBorder="1"/>
    <xf numFmtId="164" fontId="0" fillId="0" borderId="0" xfId="1" applyNumberFormat="1" applyFont="1" applyFill="1"/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0">
    <cellStyle name="Comma" xfId="1" builtinId="3"/>
    <cellStyle name="Comma 2 5" xfId="5" xr:uid="{1498B58F-F7B2-416A-BBFB-DC1AD5BCE9B0}"/>
    <cellStyle name="Currency" xfId="2" builtinId="4"/>
    <cellStyle name="Currency 3 2" xfId="4" xr:uid="{3ADD58AD-0BE0-4D55-9FDB-30BB2947B880}"/>
    <cellStyle name="Normal" xfId="0" builtinId="0"/>
    <cellStyle name="Normal 3" xfId="9" xr:uid="{667C7885-B71D-4C16-875B-AB0B7A21AEFF}"/>
    <cellStyle name="Percent" xfId="3" builtinId="5"/>
    <cellStyle name="Percent 11" xfId="8" xr:uid="{98A467CA-DF54-4C8E-9A58-C90E2F79664E}"/>
    <cellStyle name="Percent 8" xfId="6" xr:uid="{36370BFB-77CD-4BBE-BBB3-A16D7A6742B7}"/>
    <cellStyle name="Percent 8 2" xfId="7" xr:uid="{C9BD1EE0-9581-48EF-AC59-9384E7077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B466-CDE4-4FD6-A20C-74F3A5BB3387}">
  <sheetPr>
    <tabColor theme="3" tint="0.89999084444715716"/>
    <pageSetUpPr fitToPage="1"/>
  </sheetPr>
  <dimension ref="A1:G42"/>
  <sheetViews>
    <sheetView workbookViewId="0">
      <selection activeCell="G27" sqref="G27"/>
    </sheetView>
  </sheetViews>
  <sheetFormatPr defaultRowHeight="15.5"/>
  <cols>
    <col min="1" max="1" width="5.83203125" customWidth="1"/>
    <col min="2" max="2" width="1.5" customWidth="1"/>
    <col min="3" max="3" width="53.58203125" customWidth="1"/>
    <col min="4" max="4" width="1.83203125" customWidth="1"/>
    <col min="5" max="5" width="12.25" customWidth="1"/>
    <col min="6" max="6" width="1.5" customWidth="1"/>
    <col min="7" max="7" width="13.25" customWidth="1"/>
  </cols>
  <sheetData>
    <row r="1" spans="1:7">
      <c r="A1" t="s">
        <v>386</v>
      </c>
      <c r="G1" s="110" t="s">
        <v>421</v>
      </c>
    </row>
    <row r="2" spans="1:7">
      <c r="A2" t="s">
        <v>389</v>
      </c>
      <c r="G2" s="110" t="s">
        <v>423</v>
      </c>
    </row>
    <row r="3" spans="1:7">
      <c r="A3" s="109" t="s">
        <v>390</v>
      </c>
    </row>
    <row r="4" spans="1:7">
      <c r="A4" t="s">
        <v>387</v>
      </c>
      <c r="G4" s="1"/>
    </row>
    <row r="5" spans="1:7">
      <c r="A5" t="s">
        <v>388</v>
      </c>
    </row>
    <row r="8" spans="1:7">
      <c r="A8" s="2" t="s">
        <v>0</v>
      </c>
      <c r="B8" s="2"/>
      <c r="C8" s="2"/>
      <c r="D8" s="2"/>
      <c r="E8" s="2" t="s">
        <v>3</v>
      </c>
      <c r="F8" s="2"/>
      <c r="G8" s="2" t="s">
        <v>3</v>
      </c>
    </row>
    <row r="9" spans="1:7">
      <c r="A9" s="3" t="s">
        <v>1</v>
      </c>
      <c r="B9" s="2"/>
      <c r="C9" s="3" t="s">
        <v>2</v>
      </c>
      <c r="D9" s="2"/>
      <c r="E9" s="3" t="s">
        <v>4</v>
      </c>
      <c r="F9" s="2"/>
      <c r="G9" s="3" t="s">
        <v>5</v>
      </c>
    </row>
    <row r="11" spans="1:7">
      <c r="A11" s="2">
        <v>1</v>
      </c>
      <c r="C11" s="112" t="s">
        <v>398</v>
      </c>
    </row>
    <row r="12" spans="1:7">
      <c r="A12" s="2"/>
      <c r="C12" s="17"/>
    </row>
    <row r="13" spans="1:7">
      <c r="A13" s="2">
        <v>2</v>
      </c>
      <c r="C13" t="s">
        <v>6</v>
      </c>
      <c r="E13" s="22">
        <f>+'11.2 Summary'!I57</f>
        <v>586084.19999999995</v>
      </c>
      <c r="F13" s="22"/>
      <c r="G13" s="22">
        <f>+'11.2 Summary'!O57</f>
        <v>586084.19999999995</v>
      </c>
    </row>
    <row r="14" spans="1:7">
      <c r="A14" s="2"/>
      <c r="E14" s="22"/>
      <c r="F14" s="22"/>
      <c r="G14" s="22"/>
    </row>
    <row r="15" spans="1:7">
      <c r="A15" s="2">
        <v>3</v>
      </c>
      <c r="C15" t="s">
        <v>377</v>
      </c>
      <c r="E15" s="23">
        <f>+'11.9 Cost of Capital'!I14</f>
        <v>7.6100000000000001E-2</v>
      </c>
      <c r="F15" s="5"/>
      <c r="G15" s="23">
        <f>+'11.9 Cost of Capital'!I19</f>
        <v>6.8599999999999994E-2</v>
      </c>
    </row>
    <row r="16" spans="1:7">
      <c r="A16" s="2"/>
      <c r="E16" s="5"/>
      <c r="F16" s="5"/>
      <c r="G16" s="5"/>
    </row>
    <row r="17" spans="1:7">
      <c r="A17" s="2">
        <v>4</v>
      </c>
      <c r="C17" t="s">
        <v>7</v>
      </c>
      <c r="E17" s="6">
        <f>+E13*E15</f>
        <v>44601.007619999997</v>
      </c>
      <c r="F17" s="22"/>
      <c r="G17" s="6">
        <f>+G13*G15</f>
        <v>40205.376119999994</v>
      </c>
    </row>
    <row r="18" spans="1:7">
      <c r="A18" s="2"/>
    </row>
    <row r="19" spans="1:7">
      <c r="A19" s="2">
        <v>5</v>
      </c>
      <c r="C19" t="s">
        <v>8</v>
      </c>
      <c r="E19" s="24">
        <f>+'11.2 Summary'!G57</f>
        <v>31585.798875600016</v>
      </c>
      <c r="F19" s="4"/>
      <c r="G19" s="24">
        <f>+'11.2 Summary'!M57</f>
        <v>32894.23618108649</v>
      </c>
    </row>
    <row r="20" spans="1:7">
      <c r="A20" s="2"/>
      <c r="E20" s="4"/>
      <c r="F20" s="4"/>
      <c r="G20" s="4"/>
    </row>
    <row r="21" spans="1:7">
      <c r="A21" s="2">
        <v>6</v>
      </c>
      <c r="C21" t="s">
        <v>9</v>
      </c>
      <c r="E21" s="6">
        <f>+E17-E19</f>
        <v>13015.208744399981</v>
      </c>
      <c r="F21" s="22"/>
      <c r="G21" s="6">
        <f>+G17-G19</f>
        <v>7311.139938913504</v>
      </c>
    </row>
    <row r="22" spans="1:7">
      <c r="A22" s="2"/>
      <c r="E22" s="4"/>
      <c r="F22" s="4"/>
      <c r="G22" s="4"/>
    </row>
    <row r="23" spans="1:7">
      <c r="A23" s="2">
        <v>7</v>
      </c>
      <c r="C23" t="s">
        <v>10</v>
      </c>
      <c r="E23" s="25">
        <v>0.75264900000000001</v>
      </c>
      <c r="F23" s="4"/>
      <c r="G23" s="25">
        <f>+E23</f>
        <v>0.75264900000000001</v>
      </c>
    </row>
    <row r="24" spans="1:7">
      <c r="A24" s="2"/>
      <c r="E24" s="111"/>
      <c r="F24" s="4"/>
      <c r="G24" s="111"/>
    </row>
    <row r="25" spans="1:7" ht="16" thickBot="1">
      <c r="A25" s="2">
        <v>8</v>
      </c>
      <c r="C25" s="109" t="s">
        <v>11</v>
      </c>
      <c r="D25" s="109"/>
      <c r="E25" s="113">
        <f>+E21/E23</f>
        <v>17292.534427601684</v>
      </c>
      <c r="F25" s="114"/>
      <c r="G25" s="113">
        <f>+G21/G23</f>
        <v>9713.8771710498568</v>
      </c>
    </row>
    <row r="26" spans="1:7" ht="16" thickTop="1">
      <c r="A26" s="2"/>
    </row>
    <row r="27" spans="1:7">
      <c r="A27" s="2">
        <v>9</v>
      </c>
      <c r="C27" s="112" t="s">
        <v>399</v>
      </c>
    </row>
    <row r="28" spans="1:7">
      <c r="A28" s="2"/>
      <c r="C28" s="17"/>
    </row>
    <row r="29" spans="1:7">
      <c r="A29" s="2">
        <v>10</v>
      </c>
      <c r="C29" t="s">
        <v>6</v>
      </c>
      <c r="E29" s="22">
        <f>+'11.2 Summary'!I67</f>
        <v>602325.1</v>
      </c>
      <c r="F29" s="22"/>
      <c r="G29" s="22">
        <f>+'11.2 Summary'!O67</f>
        <v>602325.1</v>
      </c>
    </row>
    <row r="30" spans="1:7">
      <c r="A30" s="2"/>
      <c r="E30" s="22"/>
      <c r="F30" s="22"/>
      <c r="G30" s="22"/>
    </row>
    <row r="31" spans="1:7">
      <c r="A31" s="2">
        <v>11</v>
      </c>
      <c r="C31" t="s">
        <v>377</v>
      </c>
      <c r="E31" s="23">
        <f>+'11.9 Cost of Capital'!I14</f>
        <v>7.6100000000000001E-2</v>
      </c>
      <c r="F31" s="5"/>
      <c r="G31" s="23">
        <f>+'11.9 Cost of Capital'!I19</f>
        <v>6.8599999999999994E-2</v>
      </c>
    </row>
    <row r="32" spans="1:7">
      <c r="A32" s="2"/>
      <c r="E32" s="5"/>
      <c r="F32" s="5"/>
      <c r="G32" s="5"/>
    </row>
    <row r="33" spans="1:7">
      <c r="A33" s="2">
        <v>12</v>
      </c>
      <c r="C33" t="s">
        <v>7</v>
      </c>
      <c r="E33" s="6">
        <f>+E29*E31</f>
        <v>45836.940109999996</v>
      </c>
      <c r="F33" s="22"/>
      <c r="G33" s="6">
        <f>+G29*G31</f>
        <v>41319.501859999997</v>
      </c>
    </row>
    <row r="34" spans="1:7">
      <c r="A34" s="2"/>
    </row>
    <row r="35" spans="1:7">
      <c r="A35" s="2">
        <v>13</v>
      </c>
      <c r="C35" t="s">
        <v>8</v>
      </c>
      <c r="E35" s="24">
        <f>+'11.2 Summary'!G67</f>
        <v>29386.17428290001</v>
      </c>
      <c r="F35" s="4"/>
      <c r="G35" s="24">
        <f>+'11.2 Summary'!M67</f>
        <v>31004.521951581526</v>
      </c>
    </row>
    <row r="36" spans="1:7">
      <c r="A36" s="2"/>
      <c r="E36" s="4"/>
      <c r="F36" s="4"/>
      <c r="G36" s="4"/>
    </row>
    <row r="37" spans="1:7">
      <c r="A37" s="2">
        <v>14</v>
      </c>
      <c r="C37" t="s">
        <v>9</v>
      </c>
      <c r="E37" s="6">
        <f>+E33-E35</f>
        <v>16450.765827099985</v>
      </c>
      <c r="F37" s="22"/>
      <c r="G37" s="6">
        <f>+G33-G35</f>
        <v>10314.979908418471</v>
      </c>
    </row>
    <row r="38" spans="1:7">
      <c r="A38" s="2"/>
      <c r="E38" s="4"/>
      <c r="F38" s="4"/>
      <c r="G38" s="4"/>
    </row>
    <row r="39" spans="1:7">
      <c r="A39" s="2">
        <v>15</v>
      </c>
      <c r="C39" t="s">
        <v>10</v>
      </c>
      <c r="E39" s="25">
        <f>+E23</f>
        <v>0.75264900000000001</v>
      </c>
      <c r="F39" s="4"/>
      <c r="G39" s="25">
        <f>+E23</f>
        <v>0.75264900000000001</v>
      </c>
    </row>
    <row r="40" spans="1:7">
      <c r="A40" s="2"/>
      <c r="C40" s="109"/>
      <c r="D40" s="109"/>
      <c r="E40" s="115"/>
      <c r="F40" s="116"/>
      <c r="G40" s="115"/>
    </row>
    <row r="41" spans="1:7" ht="16" thickBot="1">
      <c r="A41" s="2">
        <v>16</v>
      </c>
      <c r="C41" s="109" t="s">
        <v>11</v>
      </c>
      <c r="D41" s="109"/>
      <c r="E41" s="113">
        <f>+E37/E39</f>
        <v>21857.15496479765</v>
      </c>
      <c r="F41" s="117"/>
      <c r="G41" s="113">
        <f>+G37/G39</f>
        <v>13704.900834809414</v>
      </c>
    </row>
    <row r="42" spans="1:7" ht="16" thickTop="1"/>
  </sheetData>
  <pageMargins left="0.7" right="0.7" top="0.75" bottom="0.75" header="0.3" footer="0.3"/>
  <pageSetup scale="9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CC1D-9A7D-45C0-941B-F0A5840D6536}">
  <dimension ref="A1:G16"/>
  <sheetViews>
    <sheetView tabSelected="1" workbookViewId="0">
      <selection activeCell="G23" sqref="G23"/>
    </sheetView>
  </sheetViews>
  <sheetFormatPr defaultRowHeight="15.5"/>
  <cols>
    <col min="1" max="1" width="5.08203125" customWidth="1"/>
    <col min="2" max="2" width="1.58203125" customWidth="1"/>
    <col min="3" max="3" width="65" customWidth="1"/>
    <col min="4" max="4" width="1.25" customWidth="1"/>
    <col min="5" max="5" width="16.33203125" bestFit="1" customWidth="1"/>
    <col min="6" max="6" width="1.5" customWidth="1"/>
    <col min="7" max="7" width="12.58203125" customWidth="1"/>
  </cols>
  <sheetData>
    <row r="1" spans="1:7">
      <c r="A1" t="s">
        <v>386</v>
      </c>
      <c r="G1" s="110" t="s">
        <v>421</v>
      </c>
    </row>
    <row r="2" spans="1:7">
      <c r="A2" t="s">
        <v>389</v>
      </c>
      <c r="G2" s="110" t="s">
        <v>422</v>
      </c>
    </row>
    <row r="3" spans="1:7">
      <c r="A3" s="109" t="s">
        <v>417</v>
      </c>
      <c r="G3" s="1"/>
    </row>
    <row r="4" spans="1:7">
      <c r="A4" t="s">
        <v>387</v>
      </c>
      <c r="G4" s="1"/>
    </row>
    <row r="5" spans="1:7">
      <c r="A5" t="s">
        <v>388</v>
      </c>
    </row>
    <row r="8" spans="1:7">
      <c r="A8" s="2" t="s">
        <v>0</v>
      </c>
      <c r="B8" s="2"/>
      <c r="C8" s="2"/>
      <c r="D8" s="2"/>
      <c r="E8" s="2"/>
      <c r="F8" s="2"/>
      <c r="G8" s="2"/>
    </row>
    <row r="9" spans="1:7">
      <c r="A9" s="3" t="s">
        <v>1</v>
      </c>
      <c r="B9" s="2"/>
      <c r="C9" s="3" t="s">
        <v>2</v>
      </c>
      <c r="D9" s="2"/>
      <c r="E9" s="3" t="s">
        <v>90</v>
      </c>
      <c r="F9" s="2"/>
      <c r="G9" s="3" t="s">
        <v>3</v>
      </c>
    </row>
    <row r="10" spans="1:7">
      <c r="E10" s="2"/>
    </row>
    <row r="11" spans="1:7">
      <c r="A11" s="2">
        <v>1</v>
      </c>
      <c r="C11" t="s">
        <v>418</v>
      </c>
      <c r="E11" s="2" t="s">
        <v>347</v>
      </c>
      <c r="G11" s="6">
        <v>-387.47800000000001</v>
      </c>
    </row>
    <row r="13" spans="1:7">
      <c r="A13" s="2">
        <v>2</v>
      </c>
      <c r="C13" t="s">
        <v>419</v>
      </c>
      <c r="E13" s="2" t="s">
        <v>347</v>
      </c>
      <c r="G13" s="6">
        <v>-95.98</v>
      </c>
    </row>
    <row r="16" spans="1:7">
      <c r="A16" t="s">
        <v>347</v>
      </c>
      <c r="C16" t="s">
        <v>420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DD01-75FA-4098-BFAC-3036579F0FA9}">
  <sheetPr>
    <tabColor theme="3" tint="0.89999084444715716"/>
    <pageSetUpPr fitToPage="1"/>
  </sheetPr>
  <dimension ref="A1:AA75"/>
  <sheetViews>
    <sheetView topLeftCell="A36" workbookViewId="0">
      <selection activeCell="E60" sqref="E60"/>
    </sheetView>
  </sheetViews>
  <sheetFormatPr defaultRowHeight="15.5"/>
  <cols>
    <col min="1" max="1" width="6" customWidth="1"/>
    <col min="2" max="2" width="0.5" customWidth="1"/>
    <col min="4" max="4" width="0.75" customWidth="1"/>
    <col min="5" max="5" width="39.08203125" customWidth="1"/>
    <col min="6" max="6" width="1.75" customWidth="1"/>
    <col min="7" max="7" width="9.58203125" bestFit="1" customWidth="1"/>
    <col min="8" max="8" width="1.25" customWidth="1"/>
    <col min="9" max="9" width="11.08203125" bestFit="1" customWidth="1"/>
    <col min="10" max="10" width="1.08203125" customWidth="1"/>
    <col min="11" max="11" width="10.08203125" bestFit="1" customWidth="1"/>
    <col min="12" max="12" width="1.58203125" customWidth="1"/>
    <col min="13" max="13" width="10.08203125" bestFit="1" customWidth="1"/>
    <col min="14" max="14" width="1.08203125" customWidth="1"/>
    <col min="15" max="15" width="11.08203125" bestFit="1" customWidth="1"/>
    <col min="16" max="16" width="1.33203125" customWidth="1"/>
    <col min="17" max="17" width="10.08203125" bestFit="1" customWidth="1"/>
    <col min="18" max="18" width="1.5" customWidth="1"/>
    <col min="19" max="19" width="18.58203125" customWidth="1"/>
    <col min="20" max="20" width="0.75" customWidth="1"/>
    <col min="21" max="21" width="9.58203125" customWidth="1"/>
    <col min="25" max="25" width="14.33203125" bestFit="1" customWidth="1"/>
    <col min="26" max="26" width="10.75" bestFit="1" customWidth="1"/>
    <col min="27" max="27" width="9.58203125" bestFit="1" customWidth="1"/>
  </cols>
  <sheetData>
    <row r="1" spans="1:21">
      <c r="A1" t="s">
        <v>386</v>
      </c>
      <c r="U1" s="110" t="s">
        <v>421</v>
      </c>
    </row>
    <row r="2" spans="1:21">
      <c r="A2" t="s">
        <v>389</v>
      </c>
      <c r="U2" s="110" t="s">
        <v>424</v>
      </c>
    </row>
    <row r="3" spans="1:21">
      <c r="A3" s="109" t="s">
        <v>391</v>
      </c>
      <c r="U3" s="1"/>
    </row>
    <row r="4" spans="1:21">
      <c r="A4" t="s">
        <v>387</v>
      </c>
      <c r="U4" s="1"/>
    </row>
    <row r="5" spans="1:21">
      <c r="A5" t="s">
        <v>388</v>
      </c>
      <c r="B5" s="8"/>
      <c r="C5" s="8"/>
      <c r="D5" s="8"/>
      <c r="K5" s="14"/>
    </row>
    <row r="6" spans="1:21">
      <c r="A6" s="8"/>
      <c r="B6" s="8"/>
      <c r="C6" s="8"/>
      <c r="D6" s="8"/>
      <c r="K6" s="14"/>
    </row>
    <row r="7" spans="1:21">
      <c r="A7" s="8"/>
      <c r="B7" s="8"/>
      <c r="C7" s="8"/>
      <c r="D7" s="8"/>
    </row>
    <row r="8" spans="1:21">
      <c r="M8" s="9" t="s">
        <v>12</v>
      </c>
      <c r="N8" s="9"/>
      <c r="O8" s="9"/>
      <c r="P8" s="9"/>
      <c r="Q8" s="9"/>
      <c r="S8" s="2" t="s">
        <v>13</v>
      </c>
      <c r="U8" s="2" t="s">
        <v>14</v>
      </c>
    </row>
    <row r="9" spans="1:21">
      <c r="A9" s="2" t="s">
        <v>15</v>
      </c>
      <c r="G9" s="10" t="s">
        <v>87</v>
      </c>
      <c r="H9" s="10"/>
      <c r="I9" s="10"/>
      <c r="J9" s="10"/>
      <c r="K9" s="10"/>
      <c r="M9" s="10" t="s">
        <v>16</v>
      </c>
      <c r="N9" s="10"/>
      <c r="O9" s="10"/>
      <c r="P9" s="10"/>
      <c r="Q9" s="10"/>
      <c r="S9" s="2" t="s">
        <v>17</v>
      </c>
      <c r="U9" s="2" t="s">
        <v>18</v>
      </c>
    </row>
    <row r="10" spans="1:21">
      <c r="A10" s="3" t="s">
        <v>19</v>
      </c>
      <c r="B10" s="11"/>
      <c r="C10" s="121" t="s">
        <v>401</v>
      </c>
      <c r="D10" s="11"/>
      <c r="E10" s="12" t="s">
        <v>20</v>
      </c>
      <c r="G10" s="3" t="s">
        <v>21</v>
      </c>
      <c r="H10" s="2"/>
      <c r="I10" s="3" t="s">
        <v>22</v>
      </c>
      <c r="K10" s="3" t="s">
        <v>23</v>
      </c>
      <c r="M10" s="3" t="s">
        <v>21</v>
      </c>
      <c r="N10" s="2"/>
      <c r="O10" s="3" t="s">
        <v>22</v>
      </c>
      <c r="Q10" s="3" t="s">
        <v>23</v>
      </c>
      <c r="S10" s="3" t="s">
        <v>24</v>
      </c>
      <c r="U10" s="3" t="s">
        <v>25</v>
      </c>
    </row>
    <row r="11" spans="1:21">
      <c r="A11" s="26"/>
      <c r="B11" s="11"/>
      <c r="C11" s="122" t="s">
        <v>425</v>
      </c>
      <c r="D11" s="11"/>
      <c r="G11" s="2"/>
      <c r="H11" s="2"/>
      <c r="I11" s="2"/>
      <c r="K11" s="29">
        <f>+'11.9 Cost of Capital'!I14</f>
        <v>7.6100000000000001E-2</v>
      </c>
      <c r="M11" s="2"/>
      <c r="N11" s="2"/>
      <c r="O11" s="2"/>
      <c r="Q11" s="29">
        <f>+'11.9 Cost of Capital'!I19</f>
        <v>6.8599999999999994E-2</v>
      </c>
      <c r="S11" s="2"/>
      <c r="U11" s="2"/>
    </row>
    <row r="12" spans="1:21">
      <c r="A12" s="27">
        <v>1</v>
      </c>
      <c r="B12" s="11"/>
      <c r="C12" s="122" t="s">
        <v>426</v>
      </c>
      <c r="D12" s="11"/>
      <c r="E12" s="13" t="s">
        <v>400</v>
      </c>
      <c r="G12" s="6">
        <v>36392</v>
      </c>
      <c r="H12" s="6">
        <v>533429.39999999991</v>
      </c>
      <c r="I12" s="6">
        <v>533429.39999999991</v>
      </c>
      <c r="J12" s="6"/>
      <c r="K12" s="6">
        <f>+((I12*$K$11)-G12)/0.752649</f>
        <v>5582.9175884110527</v>
      </c>
      <c r="L12" s="6"/>
      <c r="M12" s="6">
        <f>G12</f>
        <v>36392</v>
      </c>
      <c r="N12" s="6"/>
      <c r="O12" s="6">
        <f t="shared" ref="O12:O30" si="0">I12</f>
        <v>533429.39999999991</v>
      </c>
      <c r="Q12" s="6">
        <f>+((O12*$Q$11)-M12)/0.752649</f>
        <v>267.39800358465538</v>
      </c>
      <c r="S12" s="2" t="s">
        <v>38</v>
      </c>
      <c r="U12" s="30">
        <f>+Q12-K12</f>
        <v>-5315.5195848263975</v>
      </c>
    </row>
    <row r="13" spans="1:21">
      <c r="A13" s="27">
        <v>1.01</v>
      </c>
      <c r="B13" s="11"/>
      <c r="C13" s="11"/>
      <c r="D13" s="11"/>
      <c r="E13" s="13" t="s">
        <v>26</v>
      </c>
      <c r="G13" s="31">
        <v>-1.208928</v>
      </c>
      <c r="H13" s="31">
        <v>-224</v>
      </c>
      <c r="I13" s="31">
        <v>-224</v>
      </c>
      <c r="J13" s="31"/>
      <c r="K13" s="31">
        <f t="shared" ref="K13:K30" si="1">+((I13*$K$11)-G13)/0.752649</f>
        <v>-21.042307901824088</v>
      </c>
      <c r="L13" s="31"/>
      <c r="M13" s="31">
        <f t="shared" ref="M13" si="2">G13</f>
        <v>-1.208928</v>
      </c>
      <c r="N13" s="31"/>
      <c r="O13" s="31">
        <f t="shared" si="0"/>
        <v>-224</v>
      </c>
      <c r="P13" s="31"/>
      <c r="Q13" s="31">
        <f t="shared" ref="Q13:Q30" si="3">+((O13*$Q$11)-M13)/0.752649</f>
        <v>-18.81019173612135</v>
      </c>
      <c r="S13" s="2" t="s">
        <v>27</v>
      </c>
      <c r="U13" s="31">
        <f>+Q13-K13</f>
        <v>2.2321161657027382</v>
      </c>
    </row>
    <row r="14" spans="1:21">
      <c r="A14" s="27">
        <v>1.02</v>
      </c>
      <c r="B14" s="11"/>
      <c r="C14" s="11"/>
      <c r="D14" s="11"/>
      <c r="E14" s="13" t="s">
        <v>28</v>
      </c>
      <c r="G14" s="31">
        <v>0</v>
      </c>
      <c r="H14" s="31">
        <v>0</v>
      </c>
      <c r="I14" s="31">
        <v>0</v>
      </c>
      <c r="J14" s="31"/>
      <c r="K14" s="31">
        <f t="shared" si="1"/>
        <v>0</v>
      </c>
      <c r="L14" s="31"/>
      <c r="M14" s="31">
        <f t="shared" ref="M14:M30" si="4">G14</f>
        <v>0</v>
      </c>
      <c r="N14" s="31"/>
      <c r="O14" s="31">
        <f t="shared" si="0"/>
        <v>0</v>
      </c>
      <c r="P14" s="31"/>
      <c r="Q14" s="31">
        <f t="shared" si="3"/>
        <v>0</v>
      </c>
      <c r="S14" s="2" t="s">
        <v>43</v>
      </c>
      <c r="U14" s="31">
        <f t="shared" ref="U14:U30" si="5">+Q14-K14</f>
        <v>0</v>
      </c>
    </row>
    <row r="15" spans="1:21">
      <c r="A15" s="27">
        <v>1.03</v>
      </c>
      <c r="B15" s="11"/>
      <c r="C15" s="11"/>
      <c r="D15" s="11"/>
      <c r="E15" s="13" t="s">
        <v>29</v>
      </c>
      <c r="G15" s="31">
        <v>-3.4972560000000001</v>
      </c>
      <c r="H15" s="31">
        <v>-648</v>
      </c>
      <c r="I15" s="31">
        <v>-648</v>
      </c>
      <c r="J15" s="31"/>
      <c r="K15" s="31">
        <f t="shared" si="1"/>
        <v>-60.872390715991123</v>
      </c>
      <c r="L15" s="31"/>
      <c r="M15" s="31">
        <f t="shared" si="4"/>
        <v>-3.4972560000000001</v>
      </c>
      <c r="N15" s="31"/>
      <c r="O15" s="31">
        <f t="shared" si="0"/>
        <v>-648</v>
      </c>
      <c r="P15" s="31"/>
      <c r="Q15" s="31">
        <f t="shared" si="3"/>
        <v>-54.41519752235105</v>
      </c>
      <c r="S15" s="2" t="s">
        <v>38</v>
      </c>
      <c r="U15" s="31">
        <f t="shared" si="5"/>
        <v>6.457193193640073</v>
      </c>
    </row>
    <row r="16" spans="1:21">
      <c r="A16" s="27">
        <v>2.0099999999999998</v>
      </c>
      <c r="B16" s="11"/>
      <c r="C16" s="11"/>
      <c r="D16" s="11"/>
      <c r="E16" t="s">
        <v>30</v>
      </c>
      <c r="G16" s="31">
        <v>33.18</v>
      </c>
      <c r="H16" s="31">
        <v>0</v>
      </c>
      <c r="I16" s="31">
        <v>0</v>
      </c>
      <c r="J16" s="31"/>
      <c r="K16" s="31">
        <f t="shared" si="1"/>
        <v>-44.084294272629073</v>
      </c>
      <c r="L16" s="31"/>
      <c r="M16" s="31">
        <f t="shared" si="4"/>
        <v>33.18</v>
      </c>
      <c r="N16" s="31"/>
      <c r="O16" s="31">
        <f t="shared" si="0"/>
        <v>0</v>
      </c>
      <c r="P16" s="31"/>
      <c r="Q16" s="31">
        <f t="shared" si="3"/>
        <v>-44.084294272629073</v>
      </c>
      <c r="S16" s="2" t="s">
        <v>38</v>
      </c>
      <c r="U16" s="31">
        <f t="shared" si="5"/>
        <v>0</v>
      </c>
    </row>
    <row r="17" spans="1:21">
      <c r="A17" s="27">
        <v>2.0199999999999996</v>
      </c>
      <c r="B17" s="11"/>
      <c r="C17" s="11"/>
      <c r="D17" s="11"/>
      <c r="E17" t="s">
        <v>31</v>
      </c>
      <c r="G17" s="31">
        <v>-227.52</v>
      </c>
      <c r="H17" s="31">
        <v>0</v>
      </c>
      <c r="I17" s="31">
        <v>0</v>
      </c>
      <c r="J17" s="31"/>
      <c r="K17" s="31">
        <f t="shared" si="1"/>
        <v>302.29230358374224</v>
      </c>
      <c r="L17" s="31"/>
      <c r="M17" s="31">
        <f t="shared" si="4"/>
        <v>-227.52</v>
      </c>
      <c r="N17" s="31"/>
      <c r="O17" s="31">
        <f t="shared" si="0"/>
        <v>0</v>
      </c>
      <c r="P17" s="31"/>
      <c r="Q17" s="31">
        <f t="shared" si="3"/>
        <v>302.29230358374224</v>
      </c>
      <c r="S17" s="2" t="s">
        <v>27</v>
      </c>
      <c r="U17" s="31">
        <f t="shared" si="5"/>
        <v>0</v>
      </c>
    </row>
    <row r="18" spans="1:21">
      <c r="A18" s="27">
        <v>2.0299999999999994</v>
      </c>
      <c r="B18" s="11"/>
      <c r="C18" s="11"/>
      <c r="D18" s="11"/>
      <c r="E18" s="13" t="s">
        <v>61</v>
      </c>
      <c r="G18" s="31">
        <v>-732.33</v>
      </c>
      <c r="H18" s="31">
        <v>0</v>
      </c>
      <c r="I18" s="31">
        <v>0</v>
      </c>
      <c r="J18" s="31"/>
      <c r="K18" s="31">
        <f t="shared" si="1"/>
        <v>973.00335216017027</v>
      </c>
      <c r="L18" s="31"/>
      <c r="M18" s="31">
        <f t="shared" si="4"/>
        <v>-732.33</v>
      </c>
      <c r="N18" s="31"/>
      <c r="O18" s="31">
        <f t="shared" si="0"/>
        <v>0</v>
      </c>
      <c r="P18" s="31"/>
      <c r="Q18" s="31">
        <f t="shared" si="3"/>
        <v>973.00335216017027</v>
      </c>
      <c r="S18" s="2" t="s">
        <v>27</v>
      </c>
      <c r="U18" s="31">
        <f t="shared" si="5"/>
        <v>0</v>
      </c>
    </row>
    <row r="19" spans="1:21">
      <c r="A19" s="27">
        <v>2.0399999999999991</v>
      </c>
      <c r="B19" s="11"/>
      <c r="C19" s="11"/>
      <c r="D19" s="11"/>
      <c r="E19" s="13" t="s">
        <v>32</v>
      </c>
      <c r="G19" s="31">
        <v>-314.42</v>
      </c>
      <c r="H19" s="31">
        <v>0</v>
      </c>
      <c r="I19" s="31">
        <v>0</v>
      </c>
      <c r="J19" s="31"/>
      <c r="K19" s="31">
        <f t="shared" si="1"/>
        <v>417.75116953586598</v>
      </c>
      <c r="L19" s="31"/>
      <c r="M19" s="31">
        <f t="shared" si="4"/>
        <v>-314.42</v>
      </c>
      <c r="N19" s="31"/>
      <c r="O19" s="31">
        <f t="shared" si="0"/>
        <v>0</v>
      </c>
      <c r="P19" s="31"/>
      <c r="Q19" s="31">
        <f t="shared" si="3"/>
        <v>417.75116953586598</v>
      </c>
      <c r="S19" s="2" t="s">
        <v>27</v>
      </c>
      <c r="U19" s="31">
        <f t="shared" si="5"/>
        <v>0</v>
      </c>
    </row>
    <row r="20" spans="1:21">
      <c r="A20" s="27">
        <v>2.0499999999999989</v>
      </c>
      <c r="B20" s="11"/>
      <c r="C20" s="11"/>
      <c r="D20" s="11"/>
      <c r="E20" s="13" t="s">
        <v>179</v>
      </c>
      <c r="G20" s="31">
        <v>14.22</v>
      </c>
      <c r="H20" s="31">
        <v>0</v>
      </c>
      <c r="I20" s="31">
        <v>0</v>
      </c>
      <c r="J20" s="31"/>
      <c r="K20" s="31">
        <f t="shared" si="1"/>
        <v>-18.89326897398389</v>
      </c>
      <c r="L20" s="31"/>
      <c r="M20" s="31">
        <f t="shared" si="4"/>
        <v>14.22</v>
      </c>
      <c r="N20" s="31"/>
      <c r="O20" s="31">
        <f t="shared" si="0"/>
        <v>0</v>
      </c>
      <c r="P20" s="31"/>
      <c r="Q20" s="31">
        <f t="shared" si="3"/>
        <v>-18.89326897398389</v>
      </c>
      <c r="S20" s="2" t="s">
        <v>27</v>
      </c>
      <c r="U20" s="31">
        <f t="shared" si="5"/>
        <v>0</v>
      </c>
    </row>
    <row r="21" spans="1:21">
      <c r="A21" s="27">
        <v>2.0599999999999987</v>
      </c>
      <c r="B21" s="11"/>
      <c r="C21" s="11"/>
      <c r="D21" s="11"/>
      <c r="E21" s="13" t="s">
        <v>195</v>
      </c>
      <c r="G21" s="31">
        <v>101</v>
      </c>
      <c r="H21" s="31">
        <v>0</v>
      </c>
      <c r="I21" s="31">
        <v>0</v>
      </c>
      <c r="J21" s="31"/>
      <c r="K21" s="31">
        <f t="shared" si="1"/>
        <v>-134.19269805712889</v>
      </c>
      <c r="L21" s="31"/>
      <c r="M21" s="31">
        <f t="shared" si="4"/>
        <v>101</v>
      </c>
      <c r="N21" s="31"/>
      <c r="O21" s="31">
        <f t="shared" si="0"/>
        <v>0</v>
      </c>
      <c r="P21" s="31"/>
      <c r="Q21" s="31">
        <f t="shared" si="3"/>
        <v>-134.19269805712889</v>
      </c>
      <c r="S21" s="2" t="s">
        <v>27</v>
      </c>
      <c r="U21" s="31">
        <f t="shared" si="5"/>
        <v>0</v>
      </c>
    </row>
    <row r="22" spans="1:21">
      <c r="A22" s="27">
        <v>2.0699999999999985</v>
      </c>
      <c r="B22" s="11"/>
      <c r="C22" s="11"/>
      <c r="D22" s="11"/>
      <c r="E22" s="13" t="s">
        <v>62</v>
      </c>
      <c r="G22" s="31">
        <v>7.9</v>
      </c>
      <c r="H22" s="31">
        <v>0</v>
      </c>
      <c r="I22" s="31">
        <v>0</v>
      </c>
      <c r="J22" s="31"/>
      <c r="K22" s="31">
        <f t="shared" si="1"/>
        <v>-10.496260541102162</v>
      </c>
      <c r="L22" s="31"/>
      <c r="M22" s="31">
        <f t="shared" si="4"/>
        <v>7.9</v>
      </c>
      <c r="N22" s="31"/>
      <c r="O22" s="31">
        <f t="shared" si="0"/>
        <v>0</v>
      </c>
      <c r="P22" s="31"/>
      <c r="Q22" s="31">
        <f t="shared" si="3"/>
        <v>-10.496260541102162</v>
      </c>
      <c r="S22" s="2" t="s">
        <v>27</v>
      </c>
      <c r="U22" s="31">
        <f t="shared" si="5"/>
        <v>0</v>
      </c>
    </row>
    <row r="23" spans="1:21">
      <c r="A23" s="27">
        <v>2.0799999999999983</v>
      </c>
      <c r="B23" s="11"/>
      <c r="C23" s="11"/>
      <c r="D23" s="11"/>
      <c r="E23" s="13" t="s">
        <v>33</v>
      </c>
      <c r="G23" s="31">
        <v>3.16</v>
      </c>
      <c r="H23" s="31">
        <v>0</v>
      </c>
      <c r="I23" s="31">
        <v>0</v>
      </c>
      <c r="J23" s="31"/>
      <c r="K23" s="31">
        <f t="shared" si="1"/>
        <v>-4.1985042164408641</v>
      </c>
      <c r="L23" s="31"/>
      <c r="M23" s="31">
        <f t="shared" si="4"/>
        <v>3.16</v>
      </c>
      <c r="N23" s="31"/>
      <c r="O23" s="31">
        <f t="shared" si="0"/>
        <v>0</v>
      </c>
      <c r="P23" s="31"/>
      <c r="Q23" s="31">
        <f t="shared" si="3"/>
        <v>-4.1985042164408641</v>
      </c>
      <c r="S23" s="2" t="s">
        <v>27</v>
      </c>
      <c r="U23" s="31">
        <f t="shared" si="5"/>
        <v>0</v>
      </c>
    </row>
    <row r="24" spans="1:21">
      <c r="A24" s="27">
        <v>2.0899999999999981</v>
      </c>
      <c r="B24" s="11"/>
      <c r="C24" s="11"/>
      <c r="D24" s="11"/>
      <c r="E24" s="13" t="s">
        <v>63</v>
      </c>
      <c r="G24" s="31">
        <v>8.69</v>
      </c>
      <c r="H24" s="31">
        <v>0</v>
      </c>
      <c r="I24" s="31">
        <v>0</v>
      </c>
      <c r="J24" s="31"/>
      <c r="K24" s="31">
        <f t="shared" si="1"/>
        <v>-11.545886595212375</v>
      </c>
      <c r="L24" s="31"/>
      <c r="M24" s="31">
        <f t="shared" si="4"/>
        <v>8.69</v>
      </c>
      <c r="N24" s="31"/>
      <c r="O24" s="31">
        <f t="shared" si="0"/>
        <v>0</v>
      </c>
      <c r="P24" s="31"/>
      <c r="Q24" s="31">
        <f t="shared" si="3"/>
        <v>-11.545886595212375</v>
      </c>
      <c r="S24" s="2" t="s">
        <v>27</v>
      </c>
      <c r="U24" s="31">
        <f t="shared" si="5"/>
        <v>0</v>
      </c>
    </row>
    <row r="25" spans="1:21">
      <c r="A25" s="27">
        <v>2.0999999999999979</v>
      </c>
      <c r="B25" s="11"/>
      <c r="C25" s="11"/>
      <c r="D25" s="11"/>
      <c r="E25" s="13" t="s">
        <v>196</v>
      </c>
      <c r="G25" s="31">
        <v>-33.97</v>
      </c>
      <c r="H25" s="31">
        <v>0</v>
      </c>
      <c r="I25" s="31">
        <v>0</v>
      </c>
      <c r="J25" s="31"/>
      <c r="K25" s="31">
        <f t="shared" si="1"/>
        <v>45.133920326739286</v>
      </c>
      <c r="L25" s="31"/>
      <c r="M25" s="31">
        <f t="shared" si="4"/>
        <v>-33.97</v>
      </c>
      <c r="N25" s="31"/>
      <c r="O25" s="31">
        <f t="shared" si="0"/>
        <v>0</v>
      </c>
      <c r="P25" s="31"/>
      <c r="Q25" s="31">
        <f t="shared" si="3"/>
        <v>45.133920326739286</v>
      </c>
      <c r="S25" s="2" t="s">
        <v>27</v>
      </c>
      <c r="U25" s="31">
        <f t="shared" si="5"/>
        <v>0</v>
      </c>
    </row>
    <row r="26" spans="1:21">
      <c r="A26" s="27">
        <v>2.1099999999999977</v>
      </c>
      <c r="B26" s="11"/>
      <c r="C26" s="11"/>
      <c r="D26" s="11"/>
      <c r="E26" s="13" t="s">
        <v>34</v>
      </c>
      <c r="G26" s="31">
        <v>8.0499999999992724</v>
      </c>
      <c r="H26" s="31">
        <v>0</v>
      </c>
      <c r="I26" s="31">
        <v>0</v>
      </c>
      <c r="J26" s="31"/>
      <c r="K26" s="31">
        <f t="shared" si="1"/>
        <v>-10.695556627324653</v>
      </c>
      <c r="L26" s="31"/>
      <c r="M26" s="31">
        <f t="shared" si="4"/>
        <v>8.0499999999992724</v>
      </c>
      <c r="N26" s="31"/>
      <c r="O26" s="31">
        <f t="shared" si="0"/>
        <v>0</v>
      </c>
      <c r="P26" s="31"/>
      <c r="Q26" s="31">
        <f t="shared" si="3"/>
        <v>-10.695556627324653</v>
      </c>
      <c r="S26" s="2" t="s">
        <v>27</v>
      </c>
      <c r="U26" s="31">
        <f t="shared" si="5"/>
        <v>0</v>
      </c>
    </row>
    <row r="27" spans="1:21">
      <c r="A27" s="27">
        <v>2.1199999999999974</v>
      </c>
      <c r="B27" s="11"/>
      <c r="C27" s="11"/>
      <c r="D27" s="11"/>
      <c r="E27" s="13" t="s">
        <v>392</v>
      </c>
      <c r="G27" s="31">
        <v>328.00799999999998</v>
      </c>
      <c r="H27" s="31">
        <v>0</v>
      </c>
      <c r="I27" s="31">
        <v>0</v>
      </c>
      <c r="J27" s="31"/>
      <c r="K27" s="31">
        <f t="shared" si="1"/>
        <v>-435.80473766656166</v>
      </c>
      <c r="L27" s="31"/>
      <c r="M27" s="31">
        <f t="shared" si="4"/>
        <v>328.00799999999998</v>
      </c>
      <c r="N27" s="31"/>
      <c r="O27" s="31">
        <f t="shared" si="0"/>
        <v>0</v>
      </c>
      <c r="P27" s="31"/>
      <c r="Q27" s="31">
        <f t="shared" si="3"/>
        <v>-435.80473766656166</v>
      </c>
      <c r="S27" s="2" t="s">
        <v>27</v>
      </c>
      <c r="U27" s="31">
        <f t="shared" si="5"/>
        <v>0</v>
      </c>
    </row>
    <row r="28" spans="1:21">
      <c r="A28" s="27">
        <v>2.1299999999999972</v>
      </c>
      <c r="B28" s="11"/>
      <c r="C28" s="11"/>
      <c r="D28" s="11"/>
      <c r="E28" s="13" t="s">
        <v>64</v>
      </c>
      <c r="G28" s="31">
        <v>-197.72357</v>
      </c>
      <c r="H28" s="31">
        <v>0</v>
      </c>
      <c r="I28" s="31">
        <v>0</v>
      </c>
      <c r="J28" s="31"/>
      <c r="K28" s="31">
        <f t="shared" si="1"/>
        <v>262.70355770086718</v>
      </c>
      <c r="L28" s="31"/>
      <c r="M28" s="31">
        <f t="shared" si="4"/>
        <v>-197.72357</v>
      </c>
      <c r="N28" s="31"/>
      <c r="O28" s="31">
        <f t="shared" si="0"/>
        <v>0</v>
      </c>
      <c r="P28" s="31"/>
      <c r="Q28" s="31">
        <f t="shared" si="3"/>
        <v>262.70355770086718</v>
      </c>
      <c r="S28" s="2" t="s">
        <v>27</v>
      </c>
      <c r="U28" s="31">
        <f t="shared" si="5"/>
        <v>0</v>
      </c>
    </row>
    <row r="29" spans="1:21">
      <c r="A29" s="27">
        <v>2.139999999999997</v>
      </c>
      <c r="B29" s="11"/>
      <c r="C29" s="11"/>
      <c r="D29" s="11"/>
      <c r="E29" s="13" t="s">
        <v>35</v>
      </c>
      <c r="G29" s="31">
        <v>-57</v>
      </c>
      <c r="H29" s="31">
        <v>0</v>
      </c>
      <c r="I29" s="31">
        <v>0</v>
      </c>
      <c r="J29" s="31"/>
      <c r="K29" s="31">
        <f t="shared" si="1"/>
        <v>75.732512764914318</v>
      </c>
      <c r="L29" s="31"/>
      <c r="M29" s="31">
        <f t="shared" si="4"/>
        <v>-57</v>
      </c>
      <c r="N29" s="31"/>
      <c r="O29" s="31">
        <f t="shared" si="0"/>
        <v>0</v>
      </c>
      <c r="P29" s="31"/>
      <c r="Q29" s="31">
        <f t="shared" si="3"/>
        <v>75.732512764914318</v>
      </c>
      <c r="S29" s="2" t="s">
        <v>27</v>
      </c>
      <c r="U29" s="31">
        <f t="shared" si="5"/>
        <v>0</v>
      </c>
    </row>
    <row r="30" spans="1:21">
      <c r="A30" s="27">
        <v>2.1499999999999968</v>
      </c>
      <c r="B30" s="11"/>
      <c r="C30" s="11"/>
      <c r="D30" s="11"/>
      <c r="E30" s="13" t="s">
        <v>65</v>
      </c>
      <c r="G30" s="32">
        <v>66.965975999999998</v>
      </c>
      <c r="H30" s="31">
        <v>12408</v>
      </c>
      <c r="I30" s="32">
        <v>12408</v>
      </c>
      <c r="J30" s="31"/>
      <c r="K30" s="32">
        <f t="shared" si="1"/>
        <v>1165.5935555617559</v>
      </c>
      <c r="L30" s="31"/>
      <c r="M30" s="32">
        <f t="shared" si="4"/>
        <v>66.965975999999998</v>
      </c>
      <c r="N30" s="31"/>
      <c r="O30" s="32">
        <f t="shared" si="0"/>
        <v>12408</v>
      </c>
      <c r="P30" s="31"/>
      <c r="Q30" s="32">
        <f t="shared" si="3"/>
        <v>1041.9502636687221</v>
      </c>
      <c r="S30" s="2" t="s">
        <v>27</v>
      </c>
      <c r="U30" s="31">
        <f t="shared" si="5"/>
        <v>-123.64329189303385</v>
      </c>
    </row>
    <row r="31" spans="1:21">
      <c r="A31" s="28"/>
      <c r="B31" s="11"/>
      <c r="C31" s="11"/>
      <c r="D31" s="11"/>
      <c r="E31" t="s">
        <v>36</v>
      </c>
      <c r="G31" s="6">
        <f>SUM(G12:G30)</f>
        <v>35395.50422200001</v>
      </c>
      <c r="H31" s="6"/>
      <c r="I31" s="6">
        <f>SUM(I12:I30)</f>
        <v>544965.39999999991</v>
      </c>
      <c r="J31" s="6"/>
      <c r="K31" s="6">
        <f>SUM(K12:K30)</f>
        <v>8073.3020544769097</v>
      </c>
      <c r="L31" s="6"/>
      <c r="M31" s="6">
        <f>SUM(M12:M30)</f>
        <v>35395.50422200001</v>
      </c>
      <c r="N31" s="6"/>
      <c r="O31" s="6">
        <f>SUM(O12:O30)</f>
        <v>544965.39999999991</v>
      </c>
      <c r="P31" s="6"/>
      <c r="Q31" s="6">
        <f>SUM(Q12:Q30)</f>
        <v>2642.8284871168212</v>
      </c>
      <c r="R31" s="6"/>
      <c r="S31" s="6"/>
      <c r="T31" s="6"/>
      <c r="U31" s="6">
        <f>SUM(U12:U30)</f>
        <v>-5430.473567360089</v>
      </c>
    </row>
    <row r="32" spans="1:21">
      <c r="A32" s="26" t="s">
        <v>58</v>
      </c>
      <c r="B32" s="11"/>
      <c r="C32" s="11"/>
      <c r="D32" s="11"/>
      <c r="G32" s="16"/>
      <c r="H32" s="16"/>
      <c r="I32" s="15"/>
      <c r="U32" s="31"/>
    </row>
    <row r="33" spans="1:27">
      <c r="A33" s="27">
        <v>3.01</v>
      </c>
      <c r="B33" s="11"/>
      <c r="C33" s="11"/>
      <c r="D33" s="11"/>
      <c r="E33" s="13" t="s">
        <v>44</v>
      </c>
      <c r="G33" s="6">
        <v>1922.07</v>
      </c>
      <c r="H33" s="6"/>
      <c r="I33" s="6">
        <v>0</v>
      </c>
      <c r="J33" s="6"/>
      <c r="K33" s="6">
        <f t="shared" ref="K33:K56" si="6">+((I33*$K$11)-G33)/0.752649</f>
        <v>-2553.7401896501556</v>
      </c>
      <c r="L33" s="6"/>
      <c r="M33" s="6">
        <f t="shared" ref="M33:M54" si="7">G33</f>
        <v>1922.07</v>
      </c>
      <c r="N33" s="6"/>
      <c r="O33" s="6">
        <f t="shared" ref="O33:O55" si="8">I33</f>
        <v>0</v>
      </c>
      <c r="P33" s="6"/>
      <c r="Q33" s="6">
        <f t="shared" ref="Q33:Q55" si="9">+((O33*$Q$11)-M33)/0.752649</f>
        <v>-2553.7401896501556</v>
      </c>
      <c r="R33" s="6"/>
      <c r="S33" s="6" t="s">
        <v>27</v>
      </c>
      <c r="T33" s="6"/>
      <c r="U33" s="31">
        <f t="shared" ref="U33:U56" si="10">+Q33-K33</f>
        <v>0</v>
      </c>
    </row>
    <row r="34" spans="1:27">
      <c r="A34" s="27">
        <v>3.0199999999999996</v>
      </c>
      <c r="B34" s="11"/>
      <c r="C34" s="11"/>
      <c r="D34" s="11"/>
      <c r="E34" s="13" t="s">
        <v>66</v>
      </c>
      <c r="G34" s="31">
        <v>192.76</v>
      </c>
      <c r="H34" s="31"/>
      <c r="I34" s="31">
        <v>0</v>
      </c>
      <c r="J34" s="31"/>
      <c r="K34" s="31">
        <f t="shared" si="6"/>
        <v>-256.10875720289272</v>
      </c>
      <c r="M34" s="31">
        <f t="shared" si="7"/>
        <v>192.76</v>
      </c>
      <c r="N34" s="31"/>
      <c r="O34" s="31">
        <f t="shared" si="8"/>
        <v>0</v>
      </c>
      <c r="P34" s="31"/>
      <c r="Q34" s="31">
        <f t="shared" si="9"/>
        <v>-256.10875720289272</v>
      </c>
      <c r="S34" s="2" t="s">
        <v>27</v>
      </c>
      <c r="U34" s="31">
        <f t="shared" si="10"/>
        <v>0</v>
      </c>
    </row>
    <row r="35" spans="1:27">
      <c r="A35" s="27">
        <v>3.0299999999999994</v>
      </c>
      <c r="B35" s="11"/>
      <c r="C35" s="11"/>
      <c r="D35" s="11"/>
      <c r="E35" s="13" t="s">
        <v>67</v>
      </c>
      <c r="G35" s="31">
        <v>-136</v>
      </c>
      <c r="H35" s="31"/>
      <c r="I35" s="31">
        <v>0</v>
      </c>
      <c r="J35" s="31"/>
      <c r="K35" s="31">
        <f t="shared" si="6"/>
        <v>180.69511817593593</v>
      </c>
      <c r="M35" s="31">
        <f t="shared" si="7"/>
        <v>-136</v>
      </c>
      <c r="N35" s="31"/>
      <c r="O35" s="31">
        <f t="shared" si="8"/>
        <v>0</v>
      </c>
      <c r="P35" s="31"/>
      <c r="Q35" s="31">
        <f t="shared" si="9"/>
        <v>180.69511817593593</v>
      </c>
      <c r="S35" s="2" t="s">
        <v>27</v>
      </c>
      <c r="U35" s="31">
        <f t="shared" si="10"/>
        <v>0</v>
      </c>
    </row>
    <row r="36" spans="1:27">
      <c r="A36" s="27">
        <v>3.0399999999999991</v>
      </c>
      <c r="B36" s="11"/>
      <c r="C36" s="11"/>
      <c r="D36" s="11"/>
      <c r="E36" s="13" t="s">
        <v>68</v>
      </c>
      <c r="G36" s="31">
        <v>622.815023</v>
      </c>
      <c r="H36" s="31"/>
      <c r="I36" s="31">
        <v>-2141</v>
      </c>
      <c r="J36" s="31"/>
      <c r="K36" s="31">
        <f t="shared" si="6"/>
        <v>-1043.9728518871348</v>
      </c>
      <c r="M36" s="31">
        <f t="shared" si="7"/>
        <v>622.815023</v>
      </c>
      <c r="N36" s="31"/>
      <c r="O36" s="31">
        <f t="shared" si="8"/>
        <v>-2141</v>
      </c>
      <c r="P36" s="31"/>
      <c r="Q36" s="31">
        <f t="shared" si="9"/>
        <v>-1022.6382058569134</v>
      </c>
      <c r="S36" s="2" t="s">
        <v>27</v>
      </c>
      <c r="U36" s="31">
        <f t="shared" si="10"/>
        <v>21.334646030221393</v>
      </c>
    </row>
    <row r="37" spans="1:27">
      <c r="A37" s="27">
        <v>3.0499999999999989</v>
      </c>
      <c r="B37" s="11"/>
      <c r="C37" s="122"/>
      <c r="D37" s="11"/>
      <c r="E37" s="13" t="s">
        <v>37</v>
      </c>
      <c r="G37" s="31">
        <v>-1441.9870000000001</v>
      </c>
      <c r="H37" s="31"/>
      <c r="I37" s="31">
        <v>0</v>
      </c>
      <c r="J37" s="31"/>
      <c r="K37" s="31">
        <f t="shared" si="6"/>
        <v>1915.8824365673775</v>
      </c>
      <c r="M37" s="31">
        <f>+G37</f>
        <v>-1441.9870000000001</v>
      </c>
      <c r="N37" s="31"/>
      <c r="O37" s="31">
        <f t="shared" si="8"/>
        <v>0</v>
      </c>
      <c r="P37" s="31"/>
      <c r="Q37" s="31">
        <f t="shared" si="9"/>
        <v>1915.8824365673775</v>
      </c>
      <c r="S37" s="2" t="s">
        <v>27</v>
      </c>
      <c r="U37" s="31">
        <f t="shared" si="10"/>
        <v>0</v>
      </c>
    </row>
    <row r="38" spans="1:27">
      <c r="A38" s="27">
        <v>3.0599999999999987</v>
      </c>
      <c r="B38" s="11"/>
      <c r="C38" s="122" t="s">
        <v>427</v>
      </c>
      <c r="D38" s="11"/>
      <c r="E38" s="13" t="s">
        <v>39</v>
      </c>
      <c r="G38" s="31">
        <v>-15.013949999999999</v>
      </c>
      <c r="H38" s="31"/>
      <c r="I38" s="31">
        <v>0</v>
      </c>
      <c r="J38" s="31"/>
      <c r="K38" s="31">
        <f t="shared" si="6"/>
        <v>19.948143158364655</v>
      </c>
      <c r="M38" s="31">
        <f>+'11.3 Executive Payroll'!G15</f>
        <v>0</v>
      </c>
      <c r="N38" s="31"/>
      <c r="O38" s="31">
        <f t="shared" si="8"/>
        <v>0</v>
      </c>
      <c r="P38" s="31"/>
      <c r="Q38" s="31">
        <f t="shared" si="9"/>
        <v>0</v>
      </c>
      <c r="S38" s="2" t="s">
        <v>38</v>
      </c>
      <c r="U38" s="31">
        <f t="shared" si="10"/>
        <v>-19.948143158364655</v>
      </c>
    </row>
    <row r="39" spans="1:27">
      <c r="A39" s="27">
        <v>3.0699999999999985</v>
      </c>
      <c r="B39" s="11"/>
      <c r="C39" s="122" t="s">
        <v>428</v>
      </c>
      <c r="D39" s="11"/>
      <c r="E39" s="13" t="s">
        <v>40</v>
      </c>
      <c r="G39" s="31">
        <v>1334.4680000000001</v>
      </c>
      <c r="H39" s="31"/>
      <c r="I39" s="31">
        <v>0</v>
      </c>
      <c r="J39" s="31"/>
      <c r="K39" s="31">
        <f t="shared" si="6"/>
        <v>-1773.0283306029771</v>
      </c>
      <c r="M39" s="31">
        <f>+G39-'11.10 Employee Benefits'!G11*0.79</f>
        <v>1640.5756200000001</v>
      </c>
      <c r="N39" s="31"/>
      <c r="O39" s="31">
        <f t="shared" si="8"/>
        <v>0</v>
      </c>
      <c r="P39" s="31"/>
      <c r="Q39" s="31">
        <f t="shared" si="9"/>
        <v>-2179.7353347974954</v>
      </c>
      <c r="S39" s="2" t="s">
        <v>38</v>
      </c>
      <c r="U39" s="132">
        <f t="shared" si="10"/>
        <v>-406.70700419451828</v>
      </c>
    </row>
    <row r="40" spans="1:27">
      <c r="A40" s="27">
        <v>3.0799999999999983</v>
      </c>
      <c r="B40" s="11"/>
      <c r="C40" s="11"/>
      <c r="D40" s="11"/>
      <c r="E40" s="13" t="s">
        <v>69</v>
      </c>
      <c r="G40" s="31">
        <v>-291.35199999999998</v>
      </c>
      <c r="H40" s="31"/>
      <c r="I40" s="31">
        <v>0</v>
      </c>
      <c r="J40" s="31"/>
      <c r="K40" s="31">
        <f t="shared" si="6"/>
        <v>387.10208875584766</v>
      </c>
      <c r="M40" s="31">
        <f>+G40</f>
        <v>-291.35199999999998</v>
      </c>
      <c r="N40" s="31"/>
      <c r="O40" s="31">
        <f t="shared" si="8"/>
        <v>0</v>
      </c>
      <c r="P40" s="31"/>
      <c r="Q40" s="31">
        <f t="shared" si="9"/>
        <v>387.10208875584766</v>
      </c>
      <c r="S40" s="2" t="s">
        <v>27</v>
      </c>
      <c r="U40" s="31">
        <f t="shared" si="10"/>
        <v>0</v>
      </c>
    </row>
    <row r="41" spans="1:27">
      <c r="A41" s="27">
        <v>3.0899999999999981</v>
      </c>
      <c r="B41" s="11"/>
      <c r="C41" s="11"/>
      <c r="D41" s="11"/>
      <c r="E41" s="13" t="s">
        <v>70</v>
      </c>
      <c r="G41" s="31">
        <v>-61.620000000000005</v>
      </c>
      <c r="H41" s="31"/>
      <c r="I41" s="31">
        <v>0</v>
      </c>
      <c r="J41" s="31"/>
      <c r="K41" s="31">
        <f t="shared" si="6"/>
        <v>81.870832220596853</v>
      </c>
      <c r="M41" s="31">
        <f t="shared" si="7"/>
        <v>-61.620000000000005</v>
      </c>
      <c r="N41" s="31"/>
      <c r="O41" s="31">
        <f t="shared" si="8"/>
        <v>0</v>
      </c>
      <c r="P41" s="31"/>
      <c r="Q41" s="31">
        <f t="shared" si="9"/>
        <v>81.870832220596853</v>
      </c>
      <c r="S41" s="2" t="s">
        <v>27</v>
      </c>
      <c r="U41" s="31">
        <f t="shared" si="10"/>
        <v>0</v>
      </c>
    </row>
    <row r="42" spans="1:27">
      <c r="A42" s="27">
        <v>3.0999999999999979</v>
      </c>
      <c r="B42" s="11"/>
      <c r="C42" s="11"/>
      <c r="D42" s="11"/>
      <c r="E42" s="13" t="s">
        <v>71</v>
      </c>
      <c r="G42" s="31">
        <v>-89.198110000000014</v>
      </c>
      <c r="H42" s="31"/>
      <c r="I42" s="31">
        <v>0</v>
      </c>
      <c r="J42" s="31"/>
      <c r="K42" s="31">
        <f t="shared" si="6"/>
        <v>118.51222814353041</v>
      </c>
      <c r="M42" s="31">
        <f t="shared" si="7"/>
        <v>-89.198110000000014</v>
      </c>
      <c r="N42" s="31"/>
      <c r="O42" s="31">
        <f t="shared" si="8"/>
        <v>0</v>
      </c>
      <c r="P42" s="31"/>
      <c r="Q42" s="31">
        <f t="shared" si="9"/>
        <v>118.51222814353041</v>
      </c>
      <c r="S42" s="2" t="s">
        <v>27</v>
      </c>
      <c r="U42" s="31">
        <f t="shared" si="10"/>
        <v>0</v>
      </c>
    </row>
    <row r="43" spans="1:27">
      <c r="A43" s="27">
        <v>3.1099999999999977</v>
      </c>
      <c r="B43" s="11"/>
      <c r="C43" s="11"/>
      <c r="D43" s="11"/>
      <c r="E43" s="13" t="s">
        <v>42</v>
      </c>
      <c r="G43" s="31">
        <v>-747.34</v>
      </c>
      <c r="H43" s="31"/>
      <c r="I43" s="31">
        <v>0</v>
      </c>
      <c r="J43" s="31"/>
      <c r="K43" s="31">
        <f t="shared" si="6"/>
        <v>992.94624718826446</v>
      </c>
      <c r="M43" s="31">
        <f t="shared" si="7"/>
        <v>-747.34</v>
      </c>
      <c r="N43" s="31"/>
      <c r="O43" s="31">
        <f t="shared" si="8"/>
        <v>0</v>
      </c>
      <c r="P43" s="31"/>
      <c r="Q43" s="31">
        <f t="shared" si="9"/>
        <v>992.94624718826446</v>
      </c>
      <c r="S43" s="2" t="s">
        <v>27</v>
      </c>
      <c r="U43" s="31">
        <f t="shared" si="10"/>
        <v>0</v>
      </c>
    </row>
    <row r="44" spans="1:27">
      <c r="A44" s="27">
        <v>3.1199999999999974</v>
      </c>
      <c r="B44" s="11"/>
      <c r="C44" s="122" t="s">
        <v>429</v>
      </c>
      <c r="D44" s="11"/>
      <c r="E44" s="13" t="s">
        <v>41</v>
      </c>
      <c r="G44" s="31">
        <v>-472.42</v>
      </c>
      <c r="H44" s="31"/>
      <c r="I44" s="31">
        <v>0</v>
      </c>
      <c r="J44" s="31"/>
      <c r="K44" s="31">
        <f t="shared" si="6"/>
        <v>627.67638035790924</v>
      </c>
      <c r="M44" s="31">
        <f>-'11.5 D&amp;O Ins.'!G27*0.79/1000</f>
        <v>-415.90178208481615</v>
      </c>
      <c r="N44" s="31"/>
      <c r="O44" s="31">
        <f t="shared" si="8"/>
        <v>0</v>
      </c>
      <c r="P44" s="31"/>
      <c r="Q44" s="31">
        <f t="shared" si="9"/>
        <v>552.58398281910445</v>
      </c>
      <c r="S44" s="2" t="s">
        <v>38</v>
      </c>
      <c r="U44" s="31">
        <f t="shared" si="10"/>
        <v>-75.092397538804789</v>
      </c>
    </row>
    <row r="45" spans="1:27">
      <c r="A45" s="27">
        <v>3.1299999999999972</v>
      </c>
      <c r="B45" s="11"/>
      <c r="C45" s="11"/>
      <c r="D45" s="11"/>
      <c r="E45" s="13" t="s">
        <v>72</v>
      </c>
      <c r="G45" s="31">
        <v>-16.274000000000001</v>
      </c>
      <c r="H45" s="31"/>
      <c r="I45" s="31">
        <v>0</v>
      </c>
      <c r="J45" s="31"/>
      <c r="K45" s="31">
        <f t="shared" si="6"/>
        <v>21.622296714670451</v>
      </c>
      <c r="M45" s="31">
        <f t="shared" si="7"/>
        <v>-16.274000000000001</v>
      </c>
      <c r="N45" s="31"/>
      <c r="O45" s="31">
        <f t="shared" si="8"/>
        <v>0</v>
      </c>
      <c r="P45" s="31"/>
      <c r="Q45" s="31">
        <f t="shared" si="9"/>
        <v>21.622296714670451</v>
      </c>
      <c r="S45" s="2" t="s">
        <v>27</v>
      </c>
      <c r="U45" s="31">
        <f t="shared" si="10"/>
        <v>0</v>
      </c>
      <c r="Z45" s="2"/>
      <c r="AA45" s="2"/>
    </row>
    <row r="46" spans="1:27">
      <c r="A46" s="27">
        <v>3.139999999999997</v>
      </c>
      <c r="B46" s="11"/>
      <c r="C46" s="122" t="s">
        <v>430</v>
      </c>
      <c r="D46" s="11"/>
      <c r="E46" s="13" t="s">
        <v>73</v>
      </c>
      <c r="G46" s="31">
        <v>-1290.5929799999999</v>
      </c>
      <c r="H46" s="31"/>
      <c r="I46" s="31">
        <v>0</v>
      </c>
      <c r="J46" s="31"/>
      <c r="K46" s="31">
        <f t="shared" si="6"/>
        <v>1714.7341988098035</v>
      </c>
      <c r="M46" s="31">
        <f>-'11.4 Misc O&amp;M Escalation'!G15/1000</f>
        <v>-705.37994201240167</v>
      </c>
      <c r="N46" s="31"/>
      <c r="O46" s="31">
        <f t="shared" si="8"/>
        <v>0</v>
      </c>
      <c r="P46" s="31"/>
      <c r="Q46" s="31">
        <f t="shared" si="9"/>
        <v>937.19641162401285</v>
      </c>
      <c r="S46" s="2" t="s">
        <v>38</v>
      </c>
      <c r="U46" s="31">
        <f t="shared" si="10"/>
        <v>-777.53778718579065</v>
      </c>
      <c r="Z46" s="4"/>
      <c r="AA46" s="30"/>
    </row>
    <row r="47" spans="1:27">
      <c r="A47" s="27">
        <v>3.1499999999999968</v>
      </c>
      <c r="B47" s="11"/>
      <c r="C47" s="11"/>
      <c r="D47" s="11"/>
      <c r="E47" s="13" t="s">
        <v>74</v>
      </c>
      <c r="G47" s="31">
        <v>-898.12380370000005</v>
      </c>
      <c r="H47" s="31"/>
      <c r="I47" s="31">
        <v>19487.900000000001</v>
      </c>
      <c r="J47" s="31"/>
      <c r="K47" s="31">
        <f t="shared" si="6"/>
        <v>3163.6964822912146</v>
      </c>
      <c r="M47" s="31">
        <f t="shared" si="7"/>
        <v>-898.12380370000005</v>
      </c>
      <c r="N47" s="31"/>
      <c r="O47" s="31">
        <f t="shared" si="8"/>
        <v>19487.900000000001</v>
      </c>
      <c r="P47" s="31"/>
      <c r="Q47" s="31">
        <f t="shared" si="9"/>
        <v>2969.5033723555066</v>
      </c>
      <c r="S47" s="2" t="s">
        <v>27</v>
      </c>
      <c r="U47" s="31">
        <f t="shared" si="10"/>
        <v>-194.19310993570798</v>
      </c>
    </row>
    <row r="48" spans="1:27">
      <c r="A48" s="27">
        <v>3.1599999999999966</v>
      </c>
      <c r="B48" s="11"/>
      <c r="C48" s="11"/>
      <c r="D48" s="11"/>
      <c r="E48" s="13" t="s">
        <v>75</v>
      </c>
      <c r="G48" s="31">
        <v>714.31799999999998</v>
      </c>
      <c r="H48" s="31"/>
      <c r="I48" s="31">
        <v>0</v>
      </c>
      <c r="J48" s="31"/>
      <c r="K48" s="31">
        <f t="shared" si="6"/>
        <v>-949.07187812645736</v>
      </c>
      <c r="M48" s="31">
        <f>+G48</f>
        <v>714.31799999999998</v>
      </c>
      <c r="N48" s="31"/>
      <c r="O48" s="31">
        <f t="shared" si="8"/>
        <v>0</v>
      </c>
      <c r="P48" s="31"/>
      <c r="Q48" s="31">
        <f t="shared" si="9"/>
        <v>-949.07187812645736</v>
      </c>
      <c r="S48" s="2" t="s">
        <v>27</v>
      </c>
      <c r="U48" s="31">
        <f t="shared" si="10"/>
        <v>0</v>
      </c>
      <c r="Z48" s="31"/>
      <c r="AA48" s="31"/>
    </row>
    <row r="49" spans="1:27">
      <c r="A49" s="27">
        <v>3.1699999999999964</v>
      </c>
      <c r="B49" s="11"/>
      <c r="C49" s="11"/>
      <c r="D49" s="11"/>
      <c r="E49" s="13" t="s">
        <v>76</v>
      </c>
      <c r="G49" s="31">
        <v>-1435.024504</v>
      </c>
      <c r="H49" s="31"/>
      <c r="I49" s="31">
        <v>20568</v>
      </c>
      <c r="J49" s="31"/>
      <c r="K49" s="31">
        <f t="shared" si="6"/>
        <v>3986.2529598790402</v>
      </c>
      <c r="M49" s="31">
        <f t="shared" si="7"/>
        <v>-1435.024504</v>
      </c>
      <c r="N49" s="31"/>
      <c r="O49" s="31">
        <f t="shared" si="8"/>
        <v>20568</v>
      </c>
      <c r="P49" s="31"/>
      <c r="Q49" s="31">
        <f t="shared" si="9"/>
        <v>3781.2968648068349</v>
      </c>
      <c r="S49" s="2" t="s">
        <v>38</v>
      </c>
      <c r="U49" s="31">
        <f t="shared" si="10"/>
        <v>-204.95609507220524</v>
      </c>
      <c r="Z49" s="31"/>
      <c r="AA49" s="31"/>
    </row>
    <row r="50" spans="1:27">
      <c r="A50" s="27">
        <v>3.1799999999999962</v>
      </c>
      <c r="B50" s="11"/>
      <c r="C50" s="11"/>
      <c r="D50" s="11"/>
      <c r="E50" s="13" t="s">
        <v>77</v>
      </c>
      <c r="G50" s="31">
        <v>-237</v>
      </c>
      <c r="H50" s="31"/>
      <c r="I50" s="31">
        <v>0</v>
      </c>
      <c r="J50" s="31"/>
      <c r="K50" s="31">
        <f t="shared" si="6"/>
        <v>314.88781623306483</v>
      </c>
      <c r="M50" s="31">
        <f t="shared" si="7"/>
        <v>-237</v>
      </c>
      <c r="N50" s="31"/>
      <c r="O50" s="31">
        <f t="shared" si="8"/>
        <v>0</v>
      </c>
      <c r="P50" s="31"/>
      <c r="Q50" s="31">
        <f t="shared" si="9"/>
        <v>314.88781623306483</v>
      </c>
      <c r="S50" s="2" t="s">
        <v>27</v>
      </c>
      <c r="U50" s="31">
        <f t="shared" si="10"/>
        <v>0</v>
      </c>
      <c r="Z50" s="107"/>
      <c r="AA50" s="107"/>
    </row>
    <row r="51" spans="1:27">
      <c r="A51" s="27">
        <v>3.1899999999999959</v>
      </c>
      <c r="B51" s="11"/>
      <c r="C51" s="11"/>
      <c r="D51" s="11"/>
      <c r="E51" s="13" t="s">
        <v>78</v>
      </c>
      <c r="G51" s="31">
        <v>-140.62</v>
      </c>
      <c r="H51" s="31"/>
      <c r="I51" s="31">
        <v>0</v>
      </c>
      <c r="J51" s="31"/>
      <c r="K51" s="31">
        <f t="shared" si="6"/>
        <v>186.83343763161847</v>
      </c>
      <c r="M51" s="31">
        <f t="shared" si="7"/>
        <v>-140.62</v>
      </c>
      <c r="N51" s="31"/>
      <c r="O51" s="31">
        <f t="shared" si="8"/>
        <v>0</v>
      </c>
      <c r="P51" s="31"/>
      <c r="Q51" s="31">
        <f t="shared" si="9"/>
        <v>186.83343763161847</v>
      </c>
      <c r="S51" s="2" t="s">
        <v>38</v>
      </c>
      <c r="U51" s="31">
        <f t="shared" si="10"/>
        <v>0</v>
      </c>
      <c r="Z51" s="4"/>
    </row>
    <row r="52" spans="1:27">
      <c r="A52" s="27">
        <v>3.1999999999999957</v>
      </c>
      <c r="B52" s="11"/>
      <c r="C52" s="122" t="s">
        <v>431</v>
      </c>
      <c r="D52" s="11"/>
      <c r="E52" t="s">
        <v>79</v>
      </c>
      <c r="G52" s="31">
        <v>-118.5</v>
      </c>
      <c r="H52" s="31"/>
      <c r="I52" s="31">
        <v>0</v>
      </c>
      <c r="J52" s="31"/>
      <c r="K52" s="31">
        <f t="shared" si="6"/>
        <v>157.44390811653241</v>
      </c>
      <c r="M52" s="31">
        <f>-'11.6 BoD Comp.'!K23*0.79/1000</f>
        <v>76.56735958368904</v>
      </c>
      <c r="N52" s="31"/>
      <c r="O52" s="31">
        <f t="shared" si="8"/>
        <v>0</v>
      </c>
      <c r="P52" s="31"/>
      <c r="Q52" s="31">
        <f t="shared" si="9"/>
        <v>-101.73050064995641</v>
      </c>
      <c r="S52" s="2" t="s">
        <v>38</v>
      </c>
      <c r="U52" s="31">
        <f t="shared" si="10"/>
        <v>-259.1744087664888</v>
      </c>
      <c r="Z52" s="4"/>
    </row>
    <row r="53" spans="1:27">
      <c r="A53" s="27">
        <v>4.01</v>
      </c>
      <c r="B53" s="11"/>
      <c r="C53" s="11"/>
      <c r="D53" s="11"/>
      <c r="E53" t="s">
        <v>80</v>
      </c>
      <c r="G53" s="31">
        <v>-1697.0085517</v>
      </c>
      <c r="H53" s="31"/>
      <c r="I53" s="31">
        <v>3203.9000000000015</v>
      </c>
      <c r="J53" s="31"/>
      <c r="K53" s="31">
        <f t="shared" si="6"/>
        <v>2578.6592976274464</v>
      </c>
      <c r="M53" s="31">
        <f t="shared" si="7"/>
        <v>-1697.0085517</v>
      </c>
      <c r="N53" s="31"/>
      <c r="O53" s="31">
        <f t="shared" si="8"/>
        <v>3203.9000000000015</v>
      </c>
      <c r="P53" s="31"/>
      <c r="Q53" s="31">
        <f t="shared" si="9"/>
        <v>2546.7330610948798</v>
      </c>
      <c r="S53" s="2" t="s">
        <v>27</v>
      </c>
      <c r="U53" s="31">
        <f t="shared" si="10"/>
        <v>-31.926236532566691</v>
      </c>
      <c r="Z53" s="107"/>
      <c r="AA53" s="107"/>
    </row>
    <row r="54" spans="1:27">
      <c r="A54" s="27">
        <v>4.0199999999999996</v>
      </c>
      <c r="E54" t="s">
        <v>81</v>
      </c>
      <c r="G54" s="107">
        <v>491.93853000000001</v>
      </c>
      <c r="H54" s="107"/>
      <c r="I54" s="107">
        <v>0</v>
      </c>
      <c r="J54" s="107"/>
      <c r="K54" s="107">
        <f t="shared" si="6"/>
        <v>-653.60949127681033</v>
      </c>
      <c r="M54" s="107">
        <f t="shared" si="7"/>
        <v>491.93853000000001</v>
      </c>
      <c r="N54" s="107"/>
      <c r="O54" s="107">
        <f t="shared" si="8"/>
        <v>0</v>
      </c>
      <c r="P54" s="107"/>
      <c r="Q54" s="107">
        <f t="shared" si="9"/>
        <v>-653.60949127681033</v>
      </c>
      <c r="S54" s="2" t="s">
        <v>27</v>
      </c>
      <c r="U54" s="107">
        <f t="shared" si="10"/>
        <v>0</v>
      </c>
    </row>
    <row r="55" spans="1:27">
      <c r="A55" s="27"/>
      <c r="C55" s="122" t="s">
        <v>432</v>
      </c>
      <c r="E55" t="s">
        <v>374</v>
      </c>
      <c r="G55" s="107">
        <v>0</v>
      </c>
      <c r="H55" s="107"/>
      <c r="I55" s="107">
        <v>0</v>
      </c>
      <c r="J55" s="107"/>
      <c r="K55" s="107">
        <f t="shared" si="6"/>
        <v>0</v>
      </c>
      <c r="M55" s="107">
        <f>-'11.7 Investor Relations'!G15*0.79/1000</f>
        <v>45.099520000000005</v>
      </c>
      <c r="N55" s="107"/>
      <c r="O55" s="107">
        <f t="shared" si="8"/>
        <v>0</v>
      </c>
      <c r="P55" s="107"/>
      <c r="Q55" s="107">
        <f t="shared" si="9"/>
        <v>-59.921052177044018</v>
      </c>
      <c r="S55" s="2" t="s">
        <v>38</v>
      </c>
      <c r="U55" s="107">
        <f t="shared" si="10"/>
        <v>-59.921052177044018</v>
      </c>
    </row>
    <row r="56" spans="1:27">
      <c r="A56" s="27"/>
      <c r="C56" s="122" t="s">
        <v>433</v>
      </c>
      <c r="E56" t="s">
        <v>385</v>
      </c>
      <c r="G56" s="32">
        <v>0</v>
      </c>
      <c r="H56" s="31"/>
      <c r="I56" s="32">
        <v>0</v>
      </c>
      <c r="J56" s="31"/>
      <c r="K56" s="32">
        <f t="shared" si="6"/>
        <v>0</v>
      </c>
      <c r="M56" s="32">
        <f>-'11.8 Industry Dues'!G17/1000</f>
        <v>105.41760000000001</v>
      </c>
      <c r="N56" s="31"/>
      <c r="O56" s="32">
        <f t="shared" ref="O56" si="11">I56</f>
        <v>0</v>
      </c>
      <c r="P56" s="31"/>
      <c r="Q56" s="32">
        <f t="shared" ref="Q56" si="12">+((O56*$Q$11)-M56)/0.752649</f>
        <v>-140.06210066046722</v>
      </c>
      <c r="S56" s="2" t="s">
        <v>38</v>
      </c>
      <c r="U56" s="31">
        <f t="shared" si="10"/>
        <v>-140.06210066046722</v>
      </c>
    </row>
    <row r="57" spans="1:27">
      <c r="A57" s="27"/>
      <c r="E57" t="s">
        <v>82</v>
      </c>
      <c r="G57" s="31">
        <f>SUM(G31:G56)</f>
        <v>31585.798875600016</v>
      </c>
      <c r="H57" s="31"/>
      <c r="I57" s="31">
        <f>SUM(I31:I56)</f>
        <v>586084.19999999995</v>
      </c>
      <c r="J57" s="31"/>
      <c r="K57" s="31">
        <f>SUM(K31:K56)</f>
        <v>17292.534427601702</v>
      </c>
      <c r="M57" s="31">
        <f>SUM(M31:M56)</f>
        <v>32894.23618108649</v>
      </c>
      <c r="N57" s="31"/>
      <c r="O57" s="31">
        <f>SUM(O31:O56)</f>
        <v>586084.19999999995</v>
      </c>
      <c r="P57" s="31"/>
      <c r="Q57" s="31">
        <f>SUM(Q31:Q56)</f>
        <v>9713.8771710498768</v>
      </c>
      <c r="U57" s="31">
        <f>SUM(U31:U56)</f>
        <v>-7578.6572565518254</v>
      </c>
      <c r="Y57" s="4"/>
      <c r="Z57" s="30"/>
      <c r="AA57" s="30"/>
    </row>
    <row r="58" spans="1:27">
      <c r="A58" s="33" t="s">
        <v>60</v>
      </c>
      <c r="U58" s="31"/>
    </row>
    <row r="59" spans="1:27">
      <c r="A59" s="27">
        <v>5.01</v>
      </c>
      <c r="E59" t="s">
        <v>68</v>
      </c>
      <c r="G59" s="6">
        <v>78.373344000000003</v>
      </c>
      <c r="H59" s="6"/>
      <c r="I59" s="6">
        <v>-848</v>
      </c>
      <c r="J59" s="6"/>
      <c r="K59" s="31">
        <f t="shared" ref="K59:K66" si="13">+((I59*$K$11)-G59)/0.752649</f>
        <v>-189.87090130990671</v>
      </c>
      <c r="L59" s="6"/>
      <c r="M59" s="6">
        <f t="shared" ref="M59:M66" si="14">G59</f>
        <v>78.373344000000003</v>
      </c>
      <c r="N59" s="6"/>
      <c r="O59" s="6">
        <f t="shared" ref="O59:O66" si="15">I59</f>
        <v>-848</v>
      </c>
      <c r="P59" s="6"/>
      <c r="Q59" s="6">
        <f t="shared" ref="Q59:Q66" si="16">+((O59*$Q$11)-M59)/0.752649</f>
        <v>-181.42074725403208</v>
      </c>
      <c r="R59" s="6"/>
      <c r="S59" s="2" t="s">
        <v>27</v>
      </c>
      <c r="T59" s="6"/>
      <c r="U59" s="31">
        <f t="shared" ref="U59:U66" si="17">+Q59-K59</f>
        <v>8.4501540558746342</v>
      </c>
    </row>
    <row r="60" spans="1:27">
      <c r="A60" s="27">
        <v>5.0199999999999996</v>
      </c>
      <c r="C60" s="122"/>
      <c r="E60" t="s">
        <v>37</v>
      </c>
      <c r="G60" s="31">
        <v>-580.57100000000003</v>
      </c>
      <c r="H60" s="31"/>
      <c r="I60" s="31">
        <v>0</v>
      </c>
      <c r="J60" s="31"/>
      <c r="K60" s="31">
        <f t="shared" si="13"/>
        <v>771.37018716559783</v>
      </c>
      <c r="L60" s="31"/>
      <c r="M60" s="31">
        <f>+G60</f>
        <v>-580.57100000000003</v>
      </c>
      <c r="N60" s="31"/>
      <c r="O60" s="31">
        <f t="shared" si="15"/>
        <v>0</v>
      </c>
      <c r="P60" s="31"/>
      <c r="Q60" s="31">
        <f t="shared" si="16"/>
        <v>771.37018716559783</v>
      </c>
      <c r="R60" s="31"/>
      <c r="S60" s="2" t="s">
        <v>38</v>
      </c>
      <c r="T60" s="31"/>
      <c r="U60" s="31">
        <f t="shared" si="17"/>
        <v>0</v>
      </c>
    </row>
    <row r="61" spans="1:27">
      <c r="A61" s="28">
        <v>5.0299999999999994</v>
      </c>
      <c r="C61" s="122" t="s">
        <v>428</v>
      </c>
      <c r="E61" t="s">
        <v>40</v>
      </c>
      <c r="G61" s="31">
        <v>-115.97200000000001</v>
      </c>
      <c r="H61" s="31"/>
      <c r="I61" s="31">
        <v>0</v>
      </c>
      <c r="J61" s="31"/>
      <c r="K61" s="31">
        <f t="shared" si="13"/>
        <v>154.08510474337973</v>
      </c>
      <c r="L61" s="31"/>
      <c r="M61" s="31">
        <f>+G61-'11.10 Employee Benefits'!G13*0.79</f>
        <v>-40.147800000000004</v>
      </c>
      <c r="N61" s="31"/>
      <c r="O61" s="31">
        <f t="shared" si="15"/>
        <v>0</v>
      </c>
      <c r="P61" s="31"/>
      <c r="Q61" s="31">
        <f t="shared" si="16"/>
        <v>53.341996069881183</v>
      </c>
      <c r="R61" s="31"/>
      <c r="S61" s="2" t="s">
        <v>38</v>
      </c>
      <c r="T61" s="132"/>
      <c r="U61" s="132">
        <f t="shared" si="17"/>
        <v>-100.74310867349854</v>
      </c>
    </row>
    <row r="62" spans="1:27">
      <c r="A62" s="28">
        <v>5.0399999999999991</v>
      </c>
      <c r="E62" t="s">
        <v>42</v>
      </c>
      <c r="G62" s="31">
        <v>-23.7</v>
      </c>
      <c r="H62" s="31"/>
      <c r="I62" s="31">
        <v>0</v>
      </c>
      <c r="J62" s="31"/>
      <c r="K62" s="31">
        <f t="shared" si="13"/>
        <v>31.48878162330648</v>
      </c>
      <c r="L62" s="31"/>
      <c r="M62" s="31">
        <f t="shared" si="14"/>
        <v>-23.7</v>
      </c>
      <c r="N62" s="31"/>
      <c r="O62" s="31">
        <f t="shared" si="15"/>
        <v>0</v>
      </c>
      <c r="P62" s="31"/>
      <c r="Q62" s="31">
        <f t="shared" si="16"/>
        <v>31.48878162330648</v>
      </c>
      <c r="R62" s="31"/>
      <c r="S62" s="2" t="s">
        <v>27</v>
      </c>
      <c r="T62" s="31"/>
      <c r="U62" s="31">
        <f t="shared" si="17"/>
        <v>0</v>
      </c>
    </row>
    <row r="63" spans="1:27">
      <c r="A63" s="28">
        <v>5.0499999999999989</v>
      </c>
      <c r="E63" t="s">
        <v>78</v>
      </c>
      <c r="G63" s="31">
        <v>51.35</v>
      </c>
      <c r="H63" s="31"/>
      <c r="I63" s="31">
        <v>0</v>
      </c>
      <c r="J63" s="31"/>
      <c r="K63" s="31">
        <f t="shared" si="13"/>
        <v>-68.225693517164046</v>
      </c>
      <c r="L63" s="31"/>
      <c r="M63" s="31">
        <f t="shared" si="14"/>
        <v>51.35</v>
      </c>
      <c r="N63" s="31"/>
      <c r="O63" s="31">
        <f t="shared" si="15"/>
        <v>0</v>
      </c>
      <c r="P63" s="31"/>
      <c r="Q63" s="31">
        <f t="shared" si="16"/>
        <v>-68.225693517164046</v>
      </c>
      <c r="R63" s="31"/>
      <c r="S63" s="2" t="s">
        <v>27</v>
      </c>
      <c r="T63" s="31"/>
      <c r="U63" s="31">
        <f t="shared" si="17"/>
        <v>0</v>
      </c>
    </row>
    <row r="64" spans="1:27">
      <c r="A64" s="28">
        <v>5.0599999999999987</v>
      </c>
      <c r="C64" s="122" t="s">
        <v>430</v>
      </c>
      <c r="E64" t="s">
        <v>73</v>
      </c>
      <c r="G64" s="31">
        <v>-516.23814000000004</v>
      </c>
      <c r="H64" s="31"/>
      <c r="I64" s="31">
        <v>0</v>
      </c>
      <c r="J64" s="31"/>
      <c r="K64" s="31">
        <f t="shared" si="13"/>
        <v>685.89493907518647</v>
      </c>
      <c r="L64" s="31"/>
      <c r="M64" s="31">
        <f>-'11.4 Misc O&amp;M Escalation'!G23/1000</f>
        <v>-282.15197680496073</v>
      </c>
      <c r="N64" s="31"/>
      <c r="O64" s="31">
        <f t="shared" si="15"/>
        <v>0</v>
      </c>
      <c r="P64" s="31"/>
      <c r="Q64" s="31">
        <f t="shared" si="16"/>
        <v>374.87856464960521</v>
      </c>
      <c r="R64" s="31"/>
      <c r="S64" s="2" t="s">
        <v>27</v>
      </c>
      <c r="T64" s="31"/>
      <c r="U64" s="31">
        <f t="shared" si="17"/>
        <v>-311.01637442558126</v>
      </c>
    </row>
    <row r="65" spans="1:22">
      <c r="A65" s="27">
        <v>5.0699999999999985</v>
      </c>
      <c r="E65" t="s">
        <v>83</v>
      </c>
      <c r="G65" s="31">
        <v>-1282.3712067000001</v>
      </c>
      <c r="H65" s="31"/>
      <c r="I65" s="31">
        <v>17088.900000000001</v>
      </c>
      <c r="J65" s="31"/>
      <c r="K65" s="31">
        <f t="shared" si="13"/>
        <v>3431.6613676494621</v>
      </c>
      <c r="L65" s="31"/>
      <c r="M65" s="31">
        <f>+G65</f>
        <v>-1282.3712067000001</v>
      </c>
      <c r="N65" s="31"/>
      <c r="O65" s="31">
        <f t="shared" si="15"/>
        <v>17088.900000000001</v>
      </c>
      <c r="P65" s="31"/>
      <c r="Q65" s="31">
        <f t="shared" si="16"/>
        <v>3261.3738232562591</v>
      </c>
      <c r="R65" s="31"/>
      <c r="S65" s="2" t="s">
        <v>38</v>
      </c>
      <c r="T65" s="31"/>
      <c r="U65" s="31">
        <f t="shared" si="17"/>
        <v>-170.28754439320301</v>
      </c>
    </row>
    <row r="66" spans="1:22">
      <c r="A66" s="27">
        <v>5.0799999999999983</v>
      </c>
      <c r="E66" t="s">
        <v>84</v>
      </c>
      <c r="G66" s="32">
        <v>189.50441000000001</v>
      </c>
      <c r="H66" s="31"/>
      <c r="I66" s="32">
        <v>0</v>
      </c>
      <c r="J66" s="31"/>
      <c r="K66" s="32">
        <f t="shared" si="13"/>
        <v>-251.78324823390452</v>
      </c>
      <c r="L66" s="31"/>
      <c r="M66" s="32">
        <f t="shared" si="14"/>
        <v>189.50441000000001</v>
      </c>
      <c r="N66" s="31"/>
      <c r="O66" s="32">
        <f t="shared" si="15"/>
        <v>0</v>
      </c>
      <c r="P66" s="31"/>
      <c r="Q66" s="31">
        <f t="shared" si="16"/>
        <v>-251.78324823390452</v>
      </c>
      <c r="R66" s="31"/>
      <c r="S66" s="2" t="s">
        <v>38</v>
      </c>
      <c r="T66" s="31"/>
      <c r="U66" s="31">
        <f t="shared" si="17"/>
        <v>0</v>
      </c>
    </row>
    <row r="67" spans="1:22">
      <c r="A67" s="27"/>
      <c r="E67" t="s">
        <v>85</v>
      </c>
      <c r="G67" s="6">
        <f>SUM(G57:G66)</f>
        <v>29386.17428290001</v>
      </c>
      <c r="H67" s="6"/>
      <c r="I67" s="6">
        <f>SUM(I57:I66)</f>
        <v>602325.1</v>
      </c>
      <c r="J67" s="6"/>
      <c r="K67" s="34">
        <f>SUM(K57:K66)</f>
        <v>21857.154964797661</v>
      </c>
      <c r="L67" s="6"/>
      <c r="M67" s="6">
        <f>SUM(M57:M66)</f>
        <v>31004.521951581526</v>
      </c>
      <c r="N67" s="6"/>
      <c r="O67" s="6">
        <f>SUM(O57:O66)</f>
        <v>602325.1</v>
      </c>
      <c r="P67" s="6"/>
      <c r="Q67" s="34">
        <f>SUM(Q57:Q66)</f>
        <v>13704.900834809423</v>
      </c>
      <c r="R67" s="31"/>
      <c r="S67" s="31"/>
      <c r="T67" s="31"/>
      <c r="U67" s="34">
        <f>SUM(U57:U66)</f>
        <v>-8152.2541299882341</v>
      </c>
      <c r="V67" s="30"/>
    </row>
    <row r="68" spans="1:22">
      <c r="A68" s="27"/>
      <c r="E68" s="1" t="s">
        <v>86</v>
      </c>
      <c r="K68" s="4">
        <f>+K67-K57</f>
        <v>4564.6205371959586</v>
      </c>
      <c r="Q68" s="4">
        <f>+Q67-Q57</f>
        <v>3991.0236637595463</v>
      </c>
      <c r="U68" s="4">
        <f>+U67-U57</f>
        <v>-573.59687343640871</v>
      </c>
    </row>
    <row r="69" spans="1:22">
      <c r="A69" s="27"/>
    </row>
    <row r="70" spans="1:22">
      <c r="A70" s="27"/>
    </row>
    <row r="71" spans="1:22">
      <c r="A71" s="27"/>
    </row>
    <row r="72" spans="1:22">
      <c r="A72" s="27"/>
    </row>
    <row r="73" spans="1:22">
      <c r="A73" s="27"/>
    </row>
    <row r="74" spans="1:22">
      <c r="A74" s="28"/>
    </row>
    <row r="75" spans="1:22">
      <c r="A75" s="26"/>
    </row>
  </sheetData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0D484-BDCB-4218-A195-8E605B5280A8}">
  <sheetPr>
    <tabColor theme="3" tint="0.89999084444715716"/>
    <pageSetUpPr fitToPage="1"/>
  </sheetPr>
  <dimension ref="A1:G19"/>
  <sheetViews>
    <sheetView workbookViewId="0">
      <selection activeCell="C32" sqref="C32"/>
    </sheetView>
  </sheetViews>
  <sheetFormatPr defaultRowHeight="15.5"/>
  <cols>
    <col min="1" max="1" width="5.08203125" customWidth="1"/>
    <col min="2" max="2" width="1.58203125" customWidth="1"/>
    <col min="3" max="3" width="70.58203125" customWidth="1"/>
    <col min="4" max="4" width="1.25" customWidth="1"/>
    <col min="5" max="5" width="9" bestFit="1" customWidth="1"/>
    <col min="6" max="6" width="1.5" customWidth="1"/>
    <col min="7" max="7" width="12.58203125" customWidth="1"/>
  </cols>
  <sheetData>
    <row r="1" spans="1:7">
      <c r="A1" t="s">
        <v>386</v>
      </c>
      <c r="G1" s="110" t="s">
        <v>421</v>
      </c>
    </row>
    <row r="2" spans="1:7">
      <c r="A2" t="s">
        <v>389</v>
      </c>
      <c r="G2" s="110" t="s">
        <v>434</v>
      </c>
    </row>
    <row r="3" spans="1:7">
      <c r="A3" s="109" t="s">
        <v>402</v>
      </c>
    </row>
    <row r="4" spans="1:7">
      <c r="A4" t="s">
        <v>387</v>
      </c>
      <c r="G4" s="1"/>
    </row>
    <row r="5" spans="1:7">
      <c r="A5" t="s">
        <v>409</v>
      </c>
    </row>
    <row r="8" spans="1:7">
      <c r="A8" s="2" t="s">
        <v>0</v>
      </c>
      <c r="B8" s="2"/>
      <c r="C8" s="2"/>
      <c r="D8" s="2"/>
      <c r="E8" s="2"/>
      <c r="F8" s="2"/>
      <c r="G8" s="2"/>
    </row>
    <row r="9" spans="1:7">
      <c r="A9" s="3" t="s">
        <v>1</v>
      </c>
      <c r="B9" s="2"/>
      <c r="C9" s="3" t="s">
        <v>2</v>
      </c>
      <c r="D9" s="2"/>
      <c r="E9" s="3" t="s">
        <v>90</v>
      </c>
      <c r="F9" s="2"/>
      <c r="G9" s="3" t="s">
        <v>3</v>
      </c>
    </row>
    <row r="11" spans="1:7">
      <c r="A11" s="2">
        <v>1</v>
      </c>
      <c r="C11" t="s">
        <v>378</v>
      </c>
      <c r="E11" s="2" t="s">
        <v>347</v>
      </c>
      <c r="G11" s="6">
        <v>19</v>
      </c>
    </row>
    <row r="12" spans="1:7">
      <c r="A12" s="2"/>
    </row>
    <row r="13" spans="1:7">
      <c r="A13" s="2">
        <v>2</v>
      </c>
      <c r="C13" t="s">
        <v>379</v>
      </c>
      <c r="G13" s="108">
        <f>-G11</f>
        <v>-19</v>
      </c>
    </row>
    <row r="14" spans="1:7">
      <c r="A14" s="2"/>
    </row>
    <row r="15" spans="1:7" ht="16" thickBot="1">
      <c r="A15" s="2">
        <v>3</v>
      </c>
      <c r="C15" t="s">
        <v>380</v>
      </c>
      <c r="G15" s="37">
        <f>+G11+G13</f>
        <v>0</v>
      </c>
    </row>
    <row r="16" spans="1:7" ht="16" thickTop="1"/>
    <row r="17" spans="1:7" ht="39.5" thickBot="1">
      <c r="A17">
        <v>4</v>
      </c>
      <c r="C17" t="s">
        <v>404</v>
      </c>
      <c r="E17" s="125" t="s">
        <v>410</v>
      </c>
      <c r="G17" s="126">
        <f>+'11.2 Summary'!U38</f>
        <v>-19.948143158364655</v>
      </c>
    </row>
    <row r="18" spans="1:7" ht="16" thickTop="1"/>
    <row r="19" spans="1:7">
      <c r="A19" t="s">
        <v>347</v>
      </c>
      <c r="C19" t="s">
        <v>381</v>
      </c>
    </row>
  </sheetData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33AC-23AB-437A-AC3A-89154264537D}">
  <sheetPr>
    <tabColor theme="3" tint="0.89999084444715716"/>
    <pageSetUpPr fitToPage="1"/>
  </sheetPr>
  <dimension ref="A1:AL140"/>
  <sheetViews>
    <sheetView workbookViewId="0">
      <selection activeCell="G31" sqref="G31"/>
    </sheetView>
  </sheetViews>
  <sheetFormatPr defaultRowHeight="15.5"/>
  <cols>
    <col min="1" max="1" width="6.83203125" customWidth="1"/>
    <col min="2" max="2" width="2.33203125" customWidth="1"/>
    <col min="3" max="3" width="63.83203125" customWidth="1"/>
    <col min="4" max="4" width="1.25" customWidth="1"/>
    <col min="5" max="5" width="10.83203125" customWidth="1"/>
    <col min="6" max="6" width="1.75" customWidth="1"/>
    <col min="7" max="7" width="13.33203125" customWidth="1"/>
    <col min="14" max="14" width="9.08203125" customWidth="1"/>
    <col min="15" max="15" width="7.83203125" customWidth="1"/>
    <col min="16" max="16" width="37.08203125" customWidth="1"/>
    <col min="17" max="17" width="13.5" customWidth="1"/>
    <col min="18" max="18" width="12.75" customWidth="1"/>
    <col min="19" max="19" width="15.5" customWidth="1"/>
    <col min="20" max="21" width="11.75" customWidth="1"/>
    <col min="22" max="22" width="14.08203125" customWidth="1"/>
    <col min="23" max="23" width="13.08203125" customWidth="1"/>
    <col min="24" max="24" width="13.25" customWidth="1"/>
    <col min="25" max="25" width="12.25" customWidth="1"/>
    <col min="26" max="26" width="15.33203125" bestFit="1" customWidth="1"/>
    <col min="27" max="27" width="9.33203125" bestFit="1" customWidth="1"/>
    <col min="28" max="28" width="11.5" customWidth="1"/>
    <col min="29" max="29" width="9.83203125" customWidth="1"/>
    <col min="30" max="30" width="9.5" customWidth="1"/>
    <col min="31" max="31" width="9.33203125" customWidth="1"/>
    <col min="32" max="32" width="10.33203125" customWidth="1"/>
    <col min="33" max="33" width="66" bestFit="1" customWidth="1"/>
    <col min="34" max="34" width="9.58203125" customWidth="1"/>
    <col min="35" max="35" width="10.08203125" bestFit="1" customWidth="1"/>
    <col min="45" max="45" width="11.08203125" bestFit="1" customWidth="1"/>
  </cols>
  <sheetData>
    <row r="1" spans="1:38">
      <c r="A1" t="s">
        <v>386</v>
      </c>
      <c r="G1" s="110" t="s">
        <v>421</v>
      </c>
      <c r="M1" s="118" t="s">
        <v>386</v>
      </c>
      <c r="N1" s="118"/>
      <c r="O1" s="118"/>
      <c r="P1" s="118"/>
    </row>
    <row r="2" spans="1:38">
      <c r="A2" t="s">
        <v>389</v>
      </c>
      <c r="G2" s="110" t="s">
        <v>435</v>
      </c>
      <c r="M2" s="118" t="s">
        <v>389</v>
      </c>
      <c r="N2" s="118"/>
      <c r="O2" s="118"/>
      <c r="P2" s="118"/>
    </row>
    <row r="3" spans="1:38">
      <c r="A3" s="109" t="s">
        <v>393</v>
      </c>
      <c r="M3" s="119" t="s">
        <v>393</v>
      </c>
      <c r="N3" s="118"/>
      <c r="O3" s="118"/>
      <c r="P3" s="118"/>
    </row>
    <row r="4" spans="1:38">
      <c r="A4" t="s">
        <v>387</v>
      </c>
      <c r="G4" s="1"/>
      <c r="M4" s="118" t="s">
        <v>387</v>
      </c>
      <c r="N4" s="118"/>
      <c r="O4" s="118"/>
      <c r="P4" s="118"/>
    </row>
    <row r="5" spans="1:38">
      <c r="M5" s="118" t="s">
        <v>388</v>
      </c>
      <c r="N5" s="118"/>
      <c r="O5" s="118"/>
      <c r="P5" s="118"/>
    </row>
    <row r="6" spans="1:38">
      <c r="M6" s="118"/>
      <c r="N6" s="118"/>
      <c r="O6" s="118"/>
      <c r="P6" s="118"/>
    </row>
    <row r="7" spans="1:38">
      <c r="M7" s="118"/>
      <c r="N7" s="118"/>
      <c r="O7" s="118"/>
      <c r="P7" s="118"/>
    </row>
    <row r="8" spans="1:38">
      <c r="A8" s="2" t="s">
        <v>0</v>
      </c>
      <c r="C8" s="2"/>
      <c r="D8" s="2"/>
      <c r="E8" s="2"/>
      <c r="F8" s="2"/>
      <c r="G8" s="2"/>
      <c r="M8" s="120" t="s">
        <v>436</v>
      </c>
      <c r="N8" s="118"/>
      <c r="O8" s="118"/>
      <c r="P8" s="118"/>
    </row>
    <row r="9" spans="1:38">
      <c r="A9" s="3" t="s">
        <v>1</v>
      </c>
      <c r="C9" s="3" t="s">
        <v>2</v>
      </c>
      <c r="D9" s="2"/>
      <c r="E9" s="3"/>
      <c r="F9" s="2"/>
      <c r="G9" s="3" t="s">
        <v>3</v>
      </c>
      <c r="M9" t="s">
        <v>342</v>
      </c>
    </row>
    <row r="10" spans="1:38" ht="16" thickBot="1">
      <c r="M10" s="38"/>
      <c r="N10" s="38"/>
      <c r="O10" s="38"/>
      <c r="P10" s="38"/>
      <c r="Q10" s="39"/>
      <c r="R10" s="38"/>
      <c r="S10" s="38"/>
      <c r="T10" s="40">
        <v>2.5000000000000001E-2</v>
      </c>
      <c r="U10" s="38"/>
      <c r="V10" s="133" t="s">
        <v>92</v>
      </c>
      <c r="W10" s="133"/>
      <c r="X10" s="133"/>
      <c r="Y10" s="38"/>
      <c r="Z10" s="38"/>
      <c r="AA10" s="42" t="s">
        <v>93</v>
      </c>
      <c r="AB10" s="43"/>
      <c r="AC10" s="43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1:38" ht="16" thickTop="1">
      <c r="A11" s="2">
        <v>1</v>
      </c>
      <c r="C11" t="s">
        <v>369</v>
      </c>
      <c r="E11" s="2" t="s">
        <v>347</v>
      </c>
      <c r="G11" s="30">
        <f>+W133</f>
        <v>892886.00254734384</v>
      </c>
      <c r="M11" s="38"/>
      <c r="N11" s="38"/>
      <c r="O11" s="38"/>
      <c r="P11" s="38"/>
      <c r="Q11" s="39"/>
      <c r="R11" s="38"/>
      <c r="S11" s="38"/>
      <c r="T11" s="44">
        <v>2018</v>
      </c>
      <c r="U11" s="44">
        <v>2019</v>
      </c>
      <c r="V11" s="44">
        <v>2020</v>
      </c>
      <c r="W11" s="44">
        <v>2021</v>
      </c>
      <c r="X11" s="44">
        <v>2022</v>
      </c>
      <c r="Y11" s="45" t="s">
        <v>197</v>
      </c>
      <c r="Z11" s="38"/>
      <c r="AA11" s="42" t="s">
        <v>94</v>
      </c>
      <c r="AB11" s="43"/>
      <c r="AC11" s="43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1:38" ht="16" thickBot="1">
      <c r="A12" s="2"/>
      <c r="M12" s="38" t="s">
        <v>95</v>
      </c>
      <c r="N12" s="38"/>
      <c r="O12" s="38"/>
      <c r="P12" s="38"/>
      <c r="Q12" s="39"/>
      <c r="R12" s="38" t="s">
        <v>96</v>
      </c>
      <c r="S12" s="38"/>
      <c r="T12" s="46">
        <v>37298</v>
      </c>
      <c r="U12" s="46">
        <v>39437</v>
      </c>
      <c r="V12" s="46">
        <v>42735</v>
      </c>
      <c r="W12" s="47">
        <v>40856</v>
      </c>
      <c r="X12" s="47">
        <v>44368</v>
      </c>
      <c r="Y12" s="48"/>
      <c r="Z12" s="38"/>
      <c r="AA12" s="42" t="s">
        <v>97</v>
      </c>
      <c r="AB12" s="43"/>
      <c r="AC12" s="43"/>
      <c r="AD12" s="38"/>
      <c r="AE12" s="38"/>
      <c r="AF12" s="38"/>
      <c r="AG12" s="38" t="s">
        <v>98</v>
      </c>
      <c r="AH12" s="38"/>
      <c r="AI12" s="38"/>
      <c r="AJ12" s="38"/>
      <c r="AK12" s="38"/>
      <c r="AL12" s="38"/>
    </row>
    <row r="13" spans="1:38" ht="16" thickBot="1">
      <c r="A13" s="2">
        <v>2</v>
      </c>
      <c r="C13" t="s">
        <v>89</v>
      </c>
      <c r="G13" s="32">
        <f>-G11*0.21</f>
        <v>-187506.0605349422</v>
      </c>
      <c r="M13" s="38" t="s">
        <v>99</v>
      </c>
      <c r="N13" s="38"/>
      <c r="O13" s="38"/>
      <c r="P13" s="38"/>
      <c r="Q13" s="39"/>
      <c r="R13" s="38"/>
      <c r="S13" s="38"/>
      <c r="T13" s="42"/>
      <c r="U13" s="49">
        <f>(U12-T12)/T12</f>
        <v>5.7348919513110622E-2</v>
      </c>
      <c r="V13" s="49">
        <f>(V12-U12)/U12</f>
        <v>8.362705073915358E-2</v>
      </c>
      <c r="W13" s="49">
        <f>(W12-V12)/V12</f>
        <v>-4.3968643968643965E-2</v>
      </c>
      <c r="X13" s="49">
        <f>(X12-W12)/W12</f>
        <v>8.5960446446054439E-2</v>
      </c>
      <c r="Y13" s="50">
        <f>AVERAGE(U13:X13)</f>
        <v>4.5741943182418671E-2</v>
      </c>
      <c r="Z13" s="38"/>
      <c r="AA13" s="42" t="s">
        <v>100</v>
      </c>
      <c r="AB13" s="43"/>
      <c r="AC13" s="43"/>
      <c r="AD13" s="38"/>
      <c r="AE13" s="38"/>
      <c r="AF13" s="38"/>
      <c r="AG13" t="s">
        <v>405</v>
      </c>
      <c r="AH13" s="38"/>
      <c r="AI13" s="38"/>
      <c r="AJ13" s="38"/>
      <c r="AK13" s="38"/>
      <c r="AL13" s="38"/>
    </row>
    <row r="14" spans="1:38">
      <c r="A14" s="2"/>
      <c r="M14" s="38" t="s">
        <v>101</v>
      </c>
      <c r="N14" s="38"/>
      <c r="O14" s="38"/>
      <c r="P14" s="38"/>
      <c r="Q14" s="39"/>
      <c r="R14" s="38"/>
      <c r="S14" s="38"/>
      <c r="T14" s="42"/>
      <c r="U14" s="38"/>
      <c r="V14" s="38"/>
      <c r="W14" s="43"/>
      <c r="X14" s="38"/>
      <c r="Y14" s="51"/>
      <c r="Z14" s="38"/>
      <c r="AA14" s="43" t="s">
        <v>102</v>
      </c>
      <c r="AB14" s="43"/>
      <c r="AC14" s="43"/>
      <c r="AD14" s="38"/>
      <c r="AE14" s="38"/>
      <c r="AF14" s="38" t="s">
        <v>406</v>
      </c>
      <c r="AG14" s="38"/>
      <c r="AH14" s="38"/>
      <c r="AI14" s="38"/>
      <c r="AJ14" s="38"/>
      <c r="AK14" s="38"/>
      <c r="AL14" s="38"/>
    </row>
    <row r="15" spans="1:38" ht="16" thickBot="1">
      <c r="A15" s="2">
        <v>3</v>
      </c>
      <c r="C15" t="s">
        <v>91</v>
      </c>
      <c r="G15" s="37">
        <f>+G11+G13</f>
        <v>705379.94201240165</v>
      </c>
      <c r="M15" s="38" t="s">
        <v>103</v>
      </c>
      <c r="N15" s="38"/>
      <c r="O15" s="38"/>
      <c r="P15" s="38"/>
      <c r="Q15" s="39"/>
      <c r="R15" s="38"/>
      <c r="S15" s="38"/>
      <c r="T15" s="38"/>
      <c r="U15" s="38"/>
      <c r="V15" s="38"/>
      <c r="W15" s="52" t="s">
        <v>104</v>
      </c>
      <c r="X15" s="38"/>
      <c r="Y15" s="52" t="s">
        <v>105</v>
      </c>
      <c r="Z15" s="38"/>
      <c r="AA15" s="42" t="s">
        <v>198</v>
      </c>
      <c r="AB15" s="43"/>
      <c r="AC15" s="43"/>
      <c r="AD15" s="38"/>
      <c r="AE15" s="38"/>
      <c r="AF15" s="38" t="s">
        <v>407</v>
      </c>
      <c r="AG15" s="38"/>
      <c r="AH15" s="38"/>
      <c r="AI15" s="38"/>
      <c r="AJ15" s="38"/>
      <c r="AK15" s="38"/>
      <c r="AL15" s="38"/>
    </row>
    <row r="16" spans="1:38" ht="16" thickTop="1">
      <c r="A16" s="2"/>
      <c r="M16" s="38"/>
      <c r="N16" s="38"/>
      <c r="O16" s="38"/>
      <c r="P16" s="38"/>
      <c r="Q16" s="39"/>
      <c r="R16" s="134" t="s">
        <v>106</v>
      </c>
      <c r="S16" s="135"/>
      <c r="T16" s="136"/>
      <c r="U16" s="53" t="s">
        <v>107</v>
      </c>
      <c r="V16" s="41" t="s">
        <v>108</v>
      </c>
      <c r="W16" s="54" t="s">
        <v>109</v>
      </c>
      <c r="X16" s="41" t="s">
        <v>110</v>
      </c>
      <c r="Y16" s="54" t="s">
        <v>111</v>
      </c>
      <c r="Z16" s="38"/>
      <c r="AA16" s="42" t="s">
        <v>112</v>
      </c>
      <c r="AB16" s="43"/>
      <c r="AC16" s="43"/>
      <c r="AD16" s="38"/>
      <c r="AE16" s="38"/>
      <c r="AF16" s="38"/>
      <c r="AG16" s="41" t="s">
        <v>199</v>
      </c>
      <c r="AH16" s="38"/>
      <c r="AI16" s="38"/>
      <c r="AJ16" s="38"/>
      <c r="AK16" s="38"/>
      <c r="AL16" s="38"/>
    </row>
    <row r="17" spans="1:38" ht="26.5" thickBot="1">
      <c r="A17" s="127">
        <v>4</v>
      </c>
      <c r="B17" s="128"/>
      <c r="C17" s="128" t="s">
        <v>411</v>
      </c>
      <c r="D17" s="128"/>
      <c r="E17" s="125" t="s">
        <v>437</v>
      </c>
      <c r="F17" s="128"/>
      <c r="G17" s="126">
        <f>+'11.2 Summary'!U46</f>
        <v>-777.53778718579065</v>
      </c>
      <c r="M17" s="38" t="s">
        <v>113</v>
      </c>
      <c r="N17" s="38" t="s">
        <v>114</v>
      </c>
      <c r="O17" s="38" t="s">
        <v>2</v>
      </c>
      <c r="P17" s="38"/>
      <c r="Q17" s="55" t="s">
        <v>115</v>
      </c>
      <c r="R17" s="56" t="s">
        <v>116</v>
      </c>
      <c r="S17" s="57" t="s">
        <v>200</v>
      </c>
      <c r="T17" s="58" t="s">
        <v>59</v>
      </c>
      <c r="U17" s="59" t="s">
        <v>117</v>
      </c>
      <c r="V17" s="41" t="s">
        <v>118</v>
      </c>
      <c r="W17" s="60">
        <f>T10*2.5</f>
        <v>6.25E-2</v>
      </c>
      <c r="X17" s="61">
        <f>T10*3.5</f>
        <v>8.7500000000000008E-2</v>
      </c>
      <c r="Y17" s="43">
        <v>2026</v>
      </c>
      <c r="Z17" s="38"/>
      <c r="AA17" s="42" t="s">
        <v>119</v>
      </c>
      <c r="AB17" s="43"/>
      <c r="AC17" s="43"/>
      <c r="AD17" s="38"/>
      <c r="AE17" s="38"/>
      <c r="AF17" s="38" t="s">
        <v>114</v>
      </c>
      <c r="AG17" s="41" t="s">
        <v>88</v>
      </c>
      <c r="AH17" s="38"/>
      <c r="AI17" s="38"/>
      <c r="AJ17" s="38"/>
      <c r="AK17" s="38"/>
      <c r="AL17" s="38"/>
    </row>
    <row r="18" spans="1:38" ht="16" thickTop="1">
      <c r="A18" s="2"/>
      <c r="M18" s="38"/>
      <c r="N18" s="38"/>
      <c r="O18" s="38"/>
      <c r="P18" s="38"/>
      <c r="Q18" s="55"/>
      <c r="R18" s="41"/>
      <c r="S18" s="41"/>
      <c r="T18" s="41"/>
      <c r="U18" s="41"/>
      <c r="V18" s="41"/>
      <c r="W18" s="60"/>
      <c r="X18" s="61"/>
      <c r="Y18" s="43"/>
      <c r="Z18" s="38"/>
      <c r="AA18" s="42"/>
      <c r="AB18" s="43"/>
      <c r="AC18" s="43"/>
      <c r="AD18" s="38"/>
      <c r="AE18" s="38"/>
      <c r="AF18" s="38"/>
      <c r="AG18" s="41"/>
      <c r="AH18" s="38"/>
      <c r="AI18" s="38"/>
      <c r="AJ18" s="38"/>
      <c r="AK18" s="38"/>
      <c r="AL18" s="38"/>
    </row>
    <row r="19" spans="1:38">
      <c r="A19" s="2">
        <v>5</v>
      </c>
      <c r="C19" t="s">
        <v>370</v>
      </c>
      <c r="E19" s="2" t="s">
        <v>347</v>
      </c>
      <c r="G19" s="30">
        <f>+Y133</f>
        <v>357154.4010189377</v>
      </c>
      <c r="M19" s="41">
        <v>1</v>
      </c>
      <c r="N19" s="62" t="s">
        <v>120</v>
      </c>
      <c r="O19" s="62"/>
      <c r="P19" s="62"/>
      <c r="Q19" s="63"/>
      <c r="R19" s="38"/>
      <c r="S19" s="38"/>
      <c r="T19" s="38"/>
      <c r="U19" s="38"/>
      <c r="V19" s="38"/>
      <c r="W19" s="43"/>
      <c r="X19" s="38"/>
      <c r="Y19" s="43"/>
      <c r="Z19" s="38"/>
      <c r="AA19" s="42" t="s">
        <v>121</v>
      </c>
      <c r="AB19" s="43"/>
      <c r="AC19" s="43"/>
      <c r="AD19" s="38"/>
      <c r="AE19" s="38"/>
      <c r="AF19" s="38"/>
      <c r="AG19" s="38"/>
      <c r="AH19" s="38"/>
      <c r="AI19" s="38"/>
      <c r="AJ19" s="38"/>
      <c r="AK19" s="38"/>
      <c r="AL19" s="38"/>
    </row>
    <row r="20" spans="1:38">
      <c r="A20" s="2"/>
      <c r="M20" s="41">
        <v>2</v>
      </c>
      <c r="N20" s="62"/>
      <c r="O20" s="64" t="s">
        <v>201</v>
      </c>
      <c r="P20" s="62"/>
      <c r="Q20" s="63"/>
      <c r="R20" s="38"/>
      <c r="S20" s="38"/>
      <c r="T20" s="38"/>
      <c r="U20" s="38"/>
      <c r="V20" s="38"/>
      <c r="W20" s="43"/>
      <c r="X20" s="38"/>
      <c r="Y20" s="43"/>
      <c r="Z20" s="38"/>
      <c r="AA20" s="42" t="s">
        <v>202</v>
      </c>
      <c r="AB20" s="43"/>
      <c r="AC20" s="43"/>
      <c r="AD20" s="38"/>
      <c r="AE20" s="38"/>
      <c r="AF20" s="36" t="s">
        <v>203</v>
      </c>
      <c r="AG20" s="65">
        <v>670616.50171839981</v>
      </c>
      <c r="AH20" s="38">
        <v>813000</v>
      </c>
      <c r="AI20" s="38"/>
      <c r="AJ20" s="66"/>
      <c r="AK20" s="65"/>
      <c r="AL20" s="38"/>
    </row>
    <row r="21" spans="1:38">
      <c r="A21" s="2">
        <v>6</v>
      </c>
      <c r="C21" t="s">
        <v>89</v>
      </c>
      <c r="G21" s="32">
        <f>-G19*0.21</f>
        <v>-75002.424213976919</v>
      </c>
      <c r="M21" s="41">
        <v>3</v>
      </c>
      <c r="N21" s="62" t="s">
        <v>204</v>
      </c>
      <c r="O21" s="62" t="s">
        <v>205</v>
      </c>
      <c r="P21" s="62"/>
      <c r="Q21" s="63">
        <v>139820536</v>
      </c>
      <c r="R21" s="63"/>
      <c r="S21" s="63">
        <f>Q21</f>
        <v>139820536</v>
      </c>
      <c r="T21" s="63"/>
      <c r="U21" s="63"/>
      <c r="V21" s="67">
        <f t="shared" ref="V21:V37" si="0">Q21-SUM(R21:T21)+U21</f>
        <v>0</v>
      </c>
      <c r="W21" s="68">
        <f t="shared" ref="W21:X37" si="1">$V21*W$17</f>
        <v>0</v>
      </c>
      <c r="X21" s="67">
        <f t="shared" si="1"/>
        <v>0</v>
      </c>
      <c r="Y21" s="68">
        <f t="shared" ref="Y21:Y37" si="2">X21-W21</f>
        <v>0</v>
      </c>
      <c r="Z21" s="38"/>
      <c r="AA21" s="43"/>
      <c r="AB21" s="43"/>
      <c r="AC21" s="43"/>
      <c r="AD21" s="38"/>
      <c r="AE21" s="38"/>
      <c r="AF21" s="36" t="s">
        <v>206</v>
      </c>
      <c r="AG21" s="65">
        <v>0</v>
      </c>
      <c r="AH21" s="38">
        <v>814000</v>
      </c>
      <c r="AI21" s="38"/>
      <c r="AJ21" s="66"/>
      <c r="AK21" s="65"/>
      <c r="AL21" s="38"/>
    </row>
    <row r="22" spans="1:38">
      <c r="A22" s="2"/>
      <c r="M22" s="41">
        <v>4</v>
      </c>
      <c r="N22" s="62" t="s">
        <v>207</v>
      </c>
      <c r="O22" s="62" t="s">
        <v>208</v>
      </c>
      <c r="P22" s="62"/>
      <c r="Q22" s="63"/>
      <c r="R22" s="63"/>
      <c r="S22" s="63"/>
      <c r="T22" s="63"/>
      <c r="U22" s="63"/>
      <c r="V22" s="67">
        <f t="shared" si="0"/>
        <v>0</v>
      </c>
      <c r="W22" s="68">
        <f t="shared" si="1"/>
        <v>0</v>
      </c>
      <c r="X22" s="67">
        <f t="shared" si="1"/>
        <v>0</v>
      </c>
      <c r="Y22" s="68">
        <f t="shared" si="2"/>
        <v>0</v>
      </c>
      <c r="Z22" s="38"/>
      <c r="AA22" s="43"/>
      <c r="AB22" s="38"/>
      <c r="AC22" s="38"/>
      <c r="AD22" s="38"/>
      <c r="AE22" s="38"/>
      <c r="AF22" s="36" t="s">
        <v>209</v>
      </c>
      <c r="AG22" s="65">
        <v>1310615.7309850003</v>
      </c>
      <c r="AH22" s="38">
        <v>870000</v>
      </c>
      <c r="AI22" s="38"/>
      <c r="AJ22" s="66"/>
      <c r="AK22" s="65"/>
      <c r="AL22" s="38"/>
    </row>
    <row r="23" spans="1:38" ht="16" thickBot="1">
      <c r="A23" s="127">
        <v>7</v>
      </c>
      <c r="B23" s="128"/>
      <c r="C23" s="128" t="s">
        <v>91</v>
      </c>
      <c r="D23" s="128"/>
      <c r="E23" s="128"/>
      <c r="F23" s="128"/>
      <c r="G23" s="129">
        <f>+G19+G21</f>
        <v>282151.97680496075</v>
      </c>
      <c r="M23" s="41">
        <v>5</v>
      </c>
      <c r="N23" s="62" t="s">
        <v>210</v>
      </c>
      <c r="O23" s="62" t="s">
        <v>211</v>
      </c>
      <c r="P23" s="62"/>
      <c r="Q23" s="63"/>
      <c r="R23" s="63"/>
      <c r="S23" s="63"/>
      <c r="T23" s="63"/>
      <c r="U23" s="63"/>
      <c r="V23" s="67">
        <f t="shared" si="0"/>
        <v>0</v>
      </c>
      <c r="W23" s="68">
        <f t="shared" si="1"/>
        <v>0</v>
      </c>
      <c r="X23" s="67">
        <f t="shared" si="1"/>
        <v>0</v>
      </c>
      <c r="Y23" s="68">
        <f t="shared" si="2"/>
        <v>0</v>
      </c>
      <c r="Z23" s="38"/>
      <c r="AA23" s="38"/>
      <c r="AB23" s="38"/>
      <c r="AC23" s="38"/>
      <c r="AD23" s="38"/>
      <c r="AE23" s="38"/>
      <c r="AF23" s="36" t="s">
        <v>212</v>
      </c>
      <c r="AG23" s="65">
        <v>1442985.4350720011</v>
      </c>
      <c r="AH23" s="38">
        <v>874000</v>
      </c>
      <c r="AI23" s="38"/>
      <c r="AJ23" s="66"/>
      <c r="AK23" s="65"/>
      <c r="AL23" s="38"/>
    </row>
    <row r="24" spans="1:38" ht="16" thickTop="1">
      <c r="M24" s="41">
        <v>6</v>
      </c>
      <c r="N24" s="62" t="s">
        <v>213</v>
      </c>
      <c r="O24" s="62" t="s">
        <v>214</v>
      </c>
      <c r="P24" s="62"/>
      <c r="Q24" s="63"/>
      <c r="R24" s="63"/>
      <c r="S24" s="63"/>
      <c r="T24" s="63"/>
      <c r="U24" s="63"/>
      <c r="V24" s="67">
        <f t="shared" si="0"/>
        <v>0</v>
      </c>
      <c r="W24" s="68">
        <f t="shared" si="1"/>
        <v>0</v>
      </c>
      <c r="X24" s="67">
        <f t="shared" si="1"/>
        <v>0</v>
      </c>
      <c r="Y24" s="68">
        <f t="shared" si="2"/>
        <v>0</v>
      </c>
      <c r="Z24" s="38"/>
      <c r="AA24" s="38"/>
      <c r="AB24" s="38"/>
      <c r="AC24" s="38"/>
      <c r="AD24" s="38"/>
      <c r="AE24" s="38"/>
      <c r="AF24" s="36" t="s">
        <v>215</v>
      </c>
      <c r="AG24" s="65">
        <v>70940.190000000017</v>
      </c>
      <c r="AH24" s="38">
        <v>875000</v>
      </c>
      <c r="AI24" s="38"/>
      <c r="AJ24" s="66"/>
      <c r="AK24" s="65"/>
      <c r="AL24" s="38"/>
    </row>
    <row r="25" spans="1:38" ht="26.5" thickBot="1">
      <c r="A25" s="2">
        <v>8</v>
      </c>
      <c r="C25" s="128" t="s">
        <v>412</v>
      </c>
      <c r="E25" s="125" t="s">
        <v>437</v>
      </c>
      <c r="G25" s="126">
        <f>+'11.2 Summary'!U65</f>
        <v>-170.28754439320301</v>
      </c>
      <c r="M25" s="41">
        <v>7</v>
      </c>
      <c r="N25" s="62" t="s">
        <v>216</v>
      </c>
      <c r="O25" s="62" t="s">
        <v>217</v>
      </c>
      <c r="P25" s="62"/>
      <c r="Q25" s="63"/>
      <c r="R25" s="63"/>
      <c r="S25" s="63"/>
      <c r="T25" s="63"/>
      <c r="U25" s="63"/>
      <c r="V25" s="67">
        <f t="shared" si="0"/>
        <v>0</v>
      </c>
      <c r="W25" s="68">
        <f t="shared" si="1"/>
        <v>0</v>
      </c>
      <c r="X25" s="67">
        <f t="shared" si="1"/>
        <v>0</v>
      </c>
      <c r="Y25" s="68">
        <f t="shared" si="2"/>
        <v>0</v>
      </c>
      <c r="Z25" s="38"/>
      <c r="AA25" s="38"/>
      <c r="AB25" s="38"/>
      <c r="AC25" s="38"/>
      <c r="AD25" s="38"/>
      <c r="AE25" s="38"/>
      <c r="AF25" s="36" t="s">
        <v>218</v>
      </c>
      <c r="AG25" s="65">
        <v>4877.17</v>
      </c>
      <c r="AH25" s="38">
        <v>876000</v>
      </c>
      <c r="AI25" s="38"/>
      <c r="AJ25" s="66"/>
      <c r="AK25" s="65"/>
      <c r="AL25" s="38"/>
    </row>
    <row r="26" spans="1:38" ht="26.25" customHeight="1" thickTop="1">
      <c r="M26" s="41">
        <v>8</v>
      </c>
      <c r="N26" s="62" t="s">
        <v>219</v>
      </c>
      <c r="O26" s="62" t="s">
        <v>220</v>
      </c>
      <c r="P26" s="62"/>
      <c r="Q26" s="63"/>
      <c r="R26" s="63"/>
      <c r="S26" s="63"/>
      <c r="T26" s="63"/>
      <c r="U26" s="63"/>
      <c r="V26" s="67">
        <f t="shared" si="0"/>
        <v>0</v>
      </c>
      <c r="W26" s="68">
        <f t="shared" si="1"/>
        <v>0</v>
      </c>
      <c r="X26" s="67">
        <f t="shared" si="1"/>
        <v>0</v>
      </c>
      <c r="Y26" s="68">
        <f t="shared" si="2"/>
        <v>0</v>
      </c>
      <c r="Z26" s="38"/>
      <c r="AA26" s="38"/>
      <c r="AB26" s="38"/>
      <c r="AC26" s="38"/>
      <c r="AD26" s="38"/>
      <c r="AE26" s="38"/>
      <c r="AF26" s="36" t="s">
        <v>221</v>
      </c>
      <c r="AG26" s="65">
        <v>40412.270000000011</v>
      </c>
      <c r="AH26" s="38">
        <v>877000</v>
      </c>
      <c r="AI26" s="38"/>
      <c r="AJ26" s="66"/>
      <c r="AK26" s="65"/>
      <c r="AL26" s="38"/>
    </row>
    <row r="27" spans="1:38">
      <c r="A27" t="s">
        <v>347</v>
      </c>
      <c r="C27" t="s">
        <v>438</v>
      </c>
      <c r="M27" s="41">
        <v>9</v>
      </c>
      <c r="N27" s="62" t="s">
        <v>222</v>
      </c>
      <c r="O27" s="62" t="s">
        <v>223</v>
      </c>
      <c r="P27" s="62"/>
      <c r="Q27" s="63"/>
      <c r="R27" s="63"/>
      <c r="S27" s="63"/>
      <c r="T27" s="63"/>
      <c r="U27" s="63"/>
      <c r="V27" s="67">
        <f t="shared" si="0"/>
        <v>0</v>
      </c>
      <c r="W27" s="68">
        <f t="shared" si="1"/>
        <v>0</v>
      </c>
      <c r="X27" s="67">
        <f t="shared" si="1"/>
        <v>0</v>
      </c>
      <c r="Y27" s="68">
        <f t="shared" si="2"/>
        <v>0</v>
      </c>
      <c r="Z27" s="38"/>
      <c r="AA27" s="38"/>
      <c r="AB27" s="38"/>
      <c r="AC27" s="38"/>
      <c r="AD27" s="38"/>
      <c r="AE27" s="38"/>
      <c r="AF27" s="36" t="s">
        <v>224</v>
      </c>
      <c r="AG27" s="65">
        <v>4774.5700000000015</v>
      </c>
      <c r="AH27" s="38">
        <v>878000</v>
      </c>
      <c r="AI27" s="38"/>
      <c r="AJ27" s="66"/>
      <c r="AK27" s="65"/>
      <c r="AL27" s="38"/>
    </row>
    <row r="28" spans="1:38">
      <c r="M28" s="41">
        <v>10</v>
      </c>
      <c r="N28" s="62" t="s">
        <v>225</v>
      </c>
      <c r="O28" s="62" t="s">
        <v>226</v>
      </c>
      <c r="P28" s="62"/>
      <c r="Q28" s="63"/>
      <c r="R28" s="63"/>
      <c r="S28" s="63"/>
      <c r="T28" s="63"/>
      <c r="U28" s="63"/>
      <c r="V28" s="67">
        <f t="shared" si="0"/>
        <v>0</v>
      </c>
      <c r="W28" s="68">
        <f t="shared" si="1"/>
        <v>0</v>
      </c>
      <c r="X28" s="67">
        <f t="shared" si="1"/>
        <v>0</v>
      </c>
      <c r="Y28" s="68">
        <f t="shared" si="2"/>
        <v>0</v>
      </c>
      <c r="Z28" s="38"/>
      <c r="AA28" s="38"/>
      <c r="AB28" s="38"/>
      <c r="AC28" s="38"/>
      <c r="AD28" s="38"/>
      <c r="AE28" s="38"/>
      <c r="AF28" s="36" t="s">
        <v>227</v>
      </c>
      <c r="AG28" s="65">
        <v>1159304.0226240021</v>
      </c>
      <c r="AH28" s="38">
        <v>879000</v>
      </c>
      <c r="AI28" s="38"/>
      <c r="AJ28" s="66"/>
      <c r="AK28" s="65"/>
      <c r="AL28" s="38"/>
    </row>
    <row r="29" spans="1:38">
      <c r="M29" s="41">
        <v>11</v>
      </c>
      <c r="N29" s="62" t="s">
        <v>228</v>
      </c>
      <c r="O29" s="62" t="s">
        <v>229</v>
      </c>
      <c r="P29" s="62"/>
      <c r="Q29" s="63"/>
      <c r="R29" s="63"/>
      <c r="S29" s="63"/>
      <c r="T29" s="63"/>
      <c r="U29" s="63"/>
      <c r="V29" s="67">
        <f t="shared" si="0"/>
        <v>0</v>
      </c>
      <c r="W29" s="68">
        <f t="shared" si="1"/>
        <v>0</v>
      </c>
      <c r="X29" s="67">
        <f t="shared" si="1"/>
        <v>0</v>
      </c>
      <c r="Y29" s="68">
        <f t="shared" si="2"/>
        <v>0</v>
      </c>
      <c r="Z29" s="38"/>
      <c r="AA29" s="38"/>
      <c r="AB29" s="38"/>
      <c r="AC29" s="38"/>
      <c r="AD29" s="38"/>
      <c r="AE29" s="38"/>
      <c r="AF29" s="36" t="s">
        <v>230</v>
      </c>
      <c r="AG29" s="65">
        <v>1433638.7625120028</v>
      </c>
      <c r="AH29" s="38">
        <v>880000</v>
      </c>
      <c r="AI29" s="38"/>
      <c r="AJ29" s="66"/>
      <c r="AK29" s="65"/>
      <c r="AL29" s="38"/>
    </row>
    <row r="30" spans="1:38">
      <c r="M30" s="41">
        <v>12</v>
      </c>
      <c r="N30" s="62" t="s">
        <v>231</v>
      </c>
      <c r="O30" s="62" t="s">
        <v>232</v>
      </c>
      <c r="P30" s="62"/>
      <c r="Q30" s="63"/>
      <c r="R30" s="63"/>
      <c r="S30" s="63"/>
      <c r="T30" s="63"/>
      <c r="U30" s="63"/>
      <c r="V30" s="67">
        <f t="shared" si="0"/>
        <v>0</v>
      </c>
      <c r="W30" s="68">
        <f t="shared" si="1"/>
        <v>0</v>
      </c>
      <c r="X30" s="67">
        <f t="shared" si="1"/>
        <v>0</v>
      </c>
      <c r="Y30" s="68">
        <f t="shared" si="2"/>
        <v>0</v>
      </c>
      <c r="Z30" s="38"/>
      <c r="AA30" s="38"/>
      <c r="AB30" s="38"/>
      <c r="AC30" s="38"/>
      <c r="AD30" s="38"/>
      <c r="AE30" s="38"/>
      <c r="AF30" s="36" t="s">
        <v>233</v>
      </c>
      <c r="AG30" s="65">
        <v>7619.0300000000007</v>
      </c>
      <c r="AH30" s="38">
        <v>885000</v>
      </c>
      <c r="AI30" s="38"/>
      <c r="AJ30" s="66"/>
      <c r="AK30" s="65"/>
      <c r="AL30" s="38"/>
    </row>
    <row r="31" spans="1:38">
      <c r="M31" s="41">
        <v>13</v>
      </c>
      <c r="N31" s="62" t="s">
        <v>234</v>
      </c>
      <c r="O31" s="62" t="s">
        <v>235</v>
      </c>
      <c r="P31" s="62"/>
      <c r="Q31" s="63"/>
      <c r="R31" s="63"/>
      <c r="S31" s="63"/>
      <c r="T31" s="63"/>
      <c r="U31" s="63"/>
      <c r="V31" s="67">
        <f t="shared" si="0"/>
        <v>0</v>
      </c>
      <c r="W31" s="68">
        <f t="shared" si="1"/>
        <v>0</v>
      </c>
      <c r="X31" s="67">
        <f t="shared" si="1"/>
        <v>0</v>
      </c>
      <c r="Y31" s="68">
        <f t="shared" si="2"/>
        <v>0</v>
      </c>
      <c r="Z31" s="38"/>
      <c r="AA31" s="38"/>
      <c r="AB31" s="38"/>
      <c r="AC31" s="38"/>
      <c r="AD31" s="38"/>
      <c r="AE31" s="38"/>
      <c r="AF31" s="36" t="s">
        <v>236</v>
      </c>
      <c r="AG31" s="65">
        <v>567879.31000000157</v>
      </c>
      <c r="AH31" s="38">
        <v>887000</v>
      </c>
      <c r="AI31" s="38"/>
      <c r="AJ31" s="66"/>
      <c r="AK31" s="65"/>
      <c r="AL31" s="38"/>
    </row>
    <row r="32" spans="1:38">
      <c r="M32" s="41">
        <v>14</v>
      </c>
      <c r="N32" s="62" t="s">
        <v>237</v>
      </c>
      <c r="O32" s="62" t="s">
        <v>238</v>
      </c>
      <c r="P32" s="62"/>
      <c r="Q32" s="63"/>
      <c r="R32" s="63"/>
      <c r="S32" s="63"/>
      <c r="T32" s="63"/>
      <c r="U32" s="63"/>
      <c r="V32" s="67">
        <f t="shared" si="0"/>
        <v>0</v>
      </c>
      <c r="W32" s="68">
        <f t="shared" si="1"/>
        <v>0</v>
      </c>
      <c r="X32" s="67">
        <f t="shared" si="1"/>
        <v>0</v>
      </c>
      <c r="Y32" s="68">
        <f t="shared" si="2"/>
        <v>0</v>
      </c>
      <c r="Z32" s="38"/>
      <c r="AA32" s="38"/>
      <c r="AB32" s="38"/>
      <c r="AC32" s="38"/>
      <c r="AD32" s="38"/>
      <c r="AE32" s="38"/>
      <c r="AF32" s="36" t="s">
        <v>239</v>
      </c>
      <c r="AG32" s="65">
        <v>121324.0402079999</v>
      </c>
      <c r="AH32" s="38">
        <v>889000</v>
      </c>
      <c r="AI32" s="38"/>
      <c r="AJ32" s="66"/>
      <c r="AK32" s="65"/>
      <c r="AL32" s="38"/>
    </row>
    <row r="33" spans="13:38">
      <c r="M33" s="41">
        <v>15</v>
      </c>
      <c r="N33" s="62" t="s">
        <v>240</v>
      </c>
      <c r="O33" s="62" t="s">
        <v>241</v>
      </c>
      <c r="P33" s="62"/>
      <c r="Q33" s="63"/>
      <c r="R33" s="63"/>
      <c r="S33" s="63"/>
      <c r="T33" s="63"/>
      <c r="U33" s="63"/>
      <c r="V33" s="67">
        <f t="shared" si="0"/>
        <v>0</v>
      </c>
      <c r="W33" s="68">
        <f t="shared" si="1"/>
        <v>0</v>
      </c>
      <c r="X33" s="67">
        <f t="shared" si="1"/>
        <v>0</v>
      </c>
      <c r="Y33" s="68">
        <f t="shared" si="2"/>
        <v>0</v>
      </c>
      <c r="Z33" s="38"/>
      <c r="AA33" s="38"/>
      <c r="AB33" s="38"/>
      <c r="AC33" s="38"/>
      <c r="AD33" s="38"/>
      <c r="AE33" s="38"/>
      <c r="AF33" s="36" t="s">
        <v>242</v>
      </c>
      <c r="AG33" s="65">
        <v>5106.9345599999988</v>
      </c>
      <c r="AH33" s="38">
        <v>890000</v>
      </c>
      <c r="AI33" s="38"/>
      <c r="AJ33" s="66"/>
      <c r="AK33" s="65"/>
      <c r="AL33" s="38"/>
    </row>
    <row r="34" spans="13:38">
      <c r="M34" s="41">
        <v>16</v>
      </c>
      <c r="N34" s="62" t="s">
        <v>243</v>
      </c>
      <c r="O34" s="62" t="s">
        <v>244</v>
      </c>
      <c r="P34" s="62"/>
      <c r="Q34" s="63"/>
      <c r="R34" s="63"/>
      <c r="S34" s="63"/>
      <c r="T34" s="63"/>
      <c r="U34" s="63"/>
      <c r="V34" s="67">
        <f t="shared" si="0"/>
        <v>0</v>
      </c>
      <c r="W34" s="68">
        <f t="shared" si="1"/>
        <v>0</v>
      </c>
      <c r="X34" s="67">
        <f t="shared" si="1"/>
        <v>0</v>
      </c>
      <c r="Y34" s="68">
        <f t="shared" si="2"/>
        <v>0</v>
      </c>
      <c r="Z34" s="38"/>
      <c r="AA34" s="38"/>
      <c r="AB34" s="38"/>
      <c r="AC34" s="38"/>
      <c r="AD34" s="38"/>
      <c r="AE34" s="38"/>
      <c r="AF34" s="36" t="s">
        <v>245</v>
      </c>
      <c r="AG34" s="65">
        <v>37779.366959999999</v>
      </c>
      <c r="AH34" s="38">
        <v>891000</v>
      </c>
      <c r="AI34" s="38"/>
      <c r="AJ34" s="66"/>
      <c r="AK34" s="65"/>
      <c r="AL34" s="38"/>
    </row>
    <row r="35" spans="13:38">
      <c r="M35" s="41">
        <v>17</v>
      </c>
      <c r="N35" s="62" t="s">
        <v>246</v>
      </c>
      <c r="O35" s="62" t="s">
        <v>246</v>
      </c>
      <c r="P35" s="62"/>
      <c r="Q35" s="63"/>
      <c r="R35" s="63"/>
      <c r="S35" s="63"/>
      <c r="T35" s="63"/>
      <c r="U35" s="63"/>
      <c r="V35" s="67">
        <f t="shared" si="0"/>
        <v>0</v>
      </c>
      <c r="W35" s="68">
        <f t="shared" si="1"/>
        <v>0</v>
      </c>
      <c r="X35" s="67">
        <f t="shared" si="1"/>
        <v>0</v>
      </c>
      <c r="Y35" s="68">
        <f t="shared" si="2"/>
        <v>0</v>
      </c>
      <c r="Z35" s="38"/>
      <c r="AA35" s="38"/>
      <c r="AB35" s="38"/>
      <c r="AC35" s="38"/>
      <c r="AD35" s="38"/>
      <c r="AE35" s="38"/>
      <c r="AF35" s="36" t="s">
        <v>247</v>
      </c>
      <c r="AG35" s="65">
        <v>565851.65000000072</v>
      </c>
      <c r="AH35" s="38">
        <v>892000</v>
      </c>
      <c r="AI35" s="38"/>
      <c r="AJ35" s="66"/>
      <c r="AK35" s="65"/>
      <c r="AL35" s="38"/>
    </row>
    <row r="36" spans="13:38">
      <c r="M36" s="41">
        <v>18</v>
      </c>
      <c r="N36" s="62" t="s">
        <v>248</v>
      </c>
      <c r="O36" s="62" t="s">
        <v>249</v>
      </c>
      <c r="P36" s="62"/>
      <c r="Q36" s="63">
        <v>9132838</v>
      </c>
      <c r="R36" s="63"/>
      <c r="S36" s="63">
        <f>Q36</f>
        <v>9132838</v>
      </c>
      <c r="T36" s="63"/>
      <c r="U36" s="63"/>
      <c r="V36" s="67">
        <f t="shared" si="0"/>
        <v>0</v>
      </c>
      <c r="W36" s="68">
        <f t="shared" si="1"/>
        <v>0</v>
      </c>
      <c r="X36" s="67">
        <f t="shared" si="1"/>
        <v>0</v>
      </c>
      <c r="Y36" s="68">
        <f t="shared" si="2"/>
        <v>0</v>
      </c>
      <c r="Z36" s="38"/>
      <c r="AA36" s="38"/>
      <c r="AB36" s="38"/>
      <c r="AC36" s="38"/>
      <c r="AD36" s="38"/>
      <c r="AE36" s="38"/>
      <c r="AF36" s="36" t="s">
        <v>250</v>
      </c>
      <c r="AG36" s="65">
        <v>989093.59601600037</v>
      </c>
      <c r="AH36" s="38">
        <v>893000</v>
      </c>
      <c r="AI36" s="38"/>
      <c r="AJ36" s="66"/>
      <c r="AK36" s="65"/>
      <c r="AL36" s="38"/>
    </row>
    <row r="37" spans="13:38">
      <c r="M37" s="41">
        <v>19</v>
      </c>
      <c r="N37" s="62" t="s">
        <v>251</v>
      </c>
      <c r="O37" s="62" t="s">
        <v>252</v>
      </c>
      <c r="P37" s="62"/>
      <c r="Q37" s="63"/>
      <c r="R37" s="63"/>
      <c r="S37" s="63"/>
      <c r="T37" s="63"/>
      <c r="U37" s="63"/>
      <c r="V37" s="67">
        <f t="shared" si="0"/>
        <v>0</v>
      </c>
      <c r="W37" s="68">
        <f t="shared" si="1"/>
        <v>0</v>
      </c>
      <c r="X37" s="67">
        <f t="shared" si="1"/>
        <v>0</v>
      </c>
      <c r="Y37" s="68">
        <f t="shared" si="2"/>
        <v>0</v>
      </c>
      <c r="Z37" s="38"/>
      <c r="AA37" s="38"/>
      <c r="AB37" s="38"/>
      <c r="AC37" s="38"/>
      <c r="AD37" s="38"/>
      <c r="AE37" s="38"/>
      <c r="AF37" s="36" t="s">
        <v>253</v>
      </c>
      <c r="AG37" s="65">
        <v>73706.933952000021</v>
      </c>
      <c r="AH37" s="38">
        <v>894000</v>
      </c>
      <c r="AI37" s="38"/>
      <c r="AJ37" s="66"/>
      <c r="AK37" s="65"/>
      <c r="AL37" s="38"/>
    </row>
    <row r="38" spans="13:38">
      <c r="M38" s="41">
        <v>20</v>
      </c>
      <c r="N38" s="64"/>
      <c r="O38" s="64" t="s">
        <v>254</v>
      </c>
      <c r="P38" s="64"/>
      <c r="Q38" s="69">
        <f t="shared" ref="Q38:Y38" si="3">SUM(Q21:Q37)</f>
        <v>148953374</v>
      </c>
      <c r="R38" s="69">
        <f t="shared" si="3"/>
        <v>0</v>
      </c>
      <c r="S38" s="69">
        <f t="shared" si="3"/>
        <v>148953374</v>
      </c>
      <c r="T38" s="69">
        <f t="shared" si="3"/>
        <v>0</v>
      </c>
      <c r="U38" s="69">
        <f t="shared" si="3"/>
        <v>0</v>
      </c>
      <c r="V38" s="70">
        <f t="shared" si="3"/>
        <v>0</v>
      </c>
      <c r="W38" s="71">
        <f t="shared" si="3"/>
        <v>0</v>
      </c>
      <c r="X38" s="70">
        <f t="shared" si="3"/>
        <v>0</v>
      </c>
      <c r="Y38" s="71">
        <f t="shared" si="3"/>
        <v>0</v>
      </c>
      <c r="Z38" s="38"/>
      <c r="AA38" s="38"/>
      <c r="AB38" s="38"/>
      <c r="AC38" s="38"/>
      <c r="AD38" s="38"/>
      <c r="AE38" s="38"/>
      <c r="AF38" s="36" t="s">
        <v>124</v>
      </c>
      <c r="AG38" s="65">
        <v>57779.495999999992</v>
      </c>
      <c r="AH38" s="38">
        <v>901000</v>
      </c>
      <c r="AI38" s="38"/>
      <c r="AJ38" s="66"/>
      <c r="AK38" s="65"/>
      <c r="AL38" s="38"/>
    </row>
    <row r="39" spans="13:38">
      <c r="M39" s="41">
        <v>21</v>
      </c>
      <c r="N39" s="62" t="s">
        <v>255</v>
      </c>
      <c r="O39" s="62" t="s">
        <v>256</v>
      </c>
      <c r="P39" s="62"/>
      <c r="Q39" s="63">
        <v>-343977</v>
      </c>
      <c r="R39" s="63"/>
      <c r="S39" s="63">
        <f>Q39</f>
        <v>-343977</v>
      </c>
      <c r="T39" s="63"/>
      <c r="U39" s="63"/>
      <c r="V39" s="67">
        <f>Q39-SUM(R39:T39)+U39</f>
        <v>0</v>
      </c>
      <c r="W39" s="68">
        <f t="shared" ref="W39:X41" si="4">$V39*W$17</f>
        <v>0</v>
      </c>
      <c r="X39" s="67">
        <f t="shared" si="4"/>
        <v>0</v>
      </c>
      <c r="Y39" s="68">
        <f>X39-W39</f>
        <v>0</v>
      </c>
      <c r="Z39" s="38"/>
      <c r="AA39" s="38"/>
      <c r="AB39" s="38"/>
      <c r="AC39" s="38"/>
      <c r="AD39" s="38"/>
      <c r="AE39" s="38"/>
      <c r="AF39" s="36" t="s">
        <v>125</v>
      </c>
      <c r="AG39" s="65">
        <v>234846.55489290011</v>
      </c>
      <c r="AH39" s="38">
        <v>902000</v>
      </c>
      <c r="AI39" s="38"/>
      <c r="AJ39" s="66"/>
      <c r="AK39" s="65"/>
      <c r="AL39" s="38"/>
    </row>
    <row r="40" spans="13:38">
      <c r="M40" s="41">
        <v>22</v>
      </c>
      <c r="N40" s="62" t="s">
        <v>257</v>
      </c>
      <c r="O40" s="62" t="s">
        <v>258</v>
      </c>
      <c r="P40" s="62"/>
      <c r="Q40" s="63">
        <v>88650</v>
      </c>
      <c r="R40" s="63"/>
      <c r="S40" s="63">
        <f>Q40</f>
        <v>88650</v>
      </c>
      <c r="T40" s="63"/>
      <c r="U40" s="63"/>
      <c r="V40" s="67">
        <f>Q40-SUM(R40:T40)+U40</f>
        <v>0</v>
      </c>
      <c r="W40" s="68">
        <f t="shared" si="4"/>
        <v>0</v>
      </c>
      <c r="X40" s="67">
        <f t="shared" si="4"/>
        <v>0</v>
      </c>
      <c r="Y40" s="68">
        <f>X40-W40</f>
        <v>0</v>
      </c>
      <c r="Z40" s="38"/>
      <c r="AA40" s="38"/>
      <c r="AB40" s="38"/>
      <c r="AC40" s="38"/>
      <c r="AD40" s="38"/>
      <c r="AE40" s="38"/>
      <c r="AF40" s="36" t="s">
        <v>126</v>
      </c>
      <c r="AG40" s="65">
        <v>1948854.2636049024</v>
      </c>
      <c r="AH40" s="38">
        <v>903000</v>
      </c>
      <c r="AI40" s="38"/>
      <c r="AJ40" s="66"/>
      <c r="AK40" s="65"/>
      <c r="AL40" s="38"/>
    </row>
    <row r="41" spans="13:38">
      <c r="M41" s="41">
        <v>23</v>
      </c>
      <c r="N41" s="62" t="s">
        <v>259</v>
      </c>
      <c r="O41" s="62" t="s">
        <v>260</v>
      </c>
      <c r="P41" s="62"/>
      <c r="Q41" s="63">
        <f>780647</f>
        <v>780647</v>
      </c>
      <c r="R41" s="63">
        <f>AG20</f>
        <v>670616.50171839981</v>
      </c>
      <c r="S41" s="63"/>
      <c r="T41" s="63"/>
      <c r="U41" s="63"/>
      <c r="V41" s="67">
        <f>Q41-SUM(R41:T41)+U41</f>
        <v>110030.49828160019</v>
      </c>
      <c r="W41" s="68">
        <f t="shared" si="4"/>
        <v>6876.9061426000117</v>
      </c>
      <c r="X41" s="67">
        <f t="shared" si="4"/>
        <v>9627.6685996400174</v>
      </c>
      <c r="Y41" s="68">
        <f>X41-W41</f>
        <v>2750.7624570400058</v>
      </c>
      <c r="Z41" s="38"/>
      <c r="AA41" s="38"/>
      <c r="AB41" s="38"/>
      <c r="AC41" s="38"/>
      <c r="AD41" s="38"/>
      <c r="AE41" s="38"/>
      <c r="AF41" s="36" t="s">
        <v>127</v>
      </c>
      <c r="AG41" s="65">
        <v>130355.39619130027</v>
      </c>
      <c r="AH41" s="38">
        <v>905000</v>
      </c>
      <c r="AI41" s="38"/>
      <c r="AJ41" s="66"/>
      <c r="AK41" s="65"/>
      <c r="AL41" s="38"/>
    </row>
    <row r="42" spans="13:38">
      <c r="M42" s="41">
        <v>24</v>
      </c>
      <c r="N42" s="64"/>
      <c r="O42" s="64" t="s">
        <v>261</v>
      </c>
      <c r="P42" s="64"/>
      <c r="Q42" s="72">
        <f t="shared" ref="Q42:Y42" si="5">SUM(Q38:Q41)</f>
        <v>149478694</v>
      </c>
      <c r="R42" s="72">
        <f t="shared" si="5"/>
        <v>670616.50171839981</v>
      </c>
      <c r="S42" s="72">
        <f t="shared" si="5"/>
        <v>148698047</v>
      </c>
      <c r="T42" s="72">
        <f t="shared" si="5"/>
        <v>0</v>
      </c>
      <c r="U42" s="72">
        <f t="shared" si="5"/>
        <v>0</v>
      </c>
      <c r="V42" s="73">
        <f t="shared" si="5"/>
        <v>110030.49828160019</v>
      </c>
      <c r="W42" s="74">
        <f t="shared" si="5"/>
        <v>6876.9061426000117</v>
      </c>
      <c r="X42" s="73">
        <f t="shared" si="5"/>
        <v>9627.6685996400174</v>
      </c>
      <c r="Y42" s="74">
        <f t="shared" si="5"/>
        <v>2750.7624570400058</v>
      </c>
      <c r="Z42" s="38"/>
      <c r="AA42" s="38"/>
      <c r="AB42" s="38"/>
      <c r="AC42" s="38"/>
      <c r="AD42" s="38"/>
      <c r="AE42" s="38"/>
      <c r="AF42" s="36" t="s">
        <v>128</v>
      </c>
      <c r="AG42" s="65">
        <v>133598.04493890004</v>
      </c>
      <c r="AH42" s="38">
        <v>908000</v>
      </c>
      <c r="AI42" s="38"/>
      <c r="AJ42" s="66"/>
      <c r="AK42" s="65"/>
      <c r="AL42" s="38"/>
    </row>
    <row r="43" spans="13:38">
      <c r="M43" s="41">
        <v>25</v>
      </c>
      <c r="N43" s="62"/>
      <c r="O43" s="62"/>
      <c r="P43" s="62"/>
      <c r="Q43" s="75"/>
      <c r="R43" s="75"/>
      <c r="S43" s="75"/>
      <c r="T43" s="75"/>
      <c r="U43" s="75"/>
      <c r="V43" s="76"/>
      <c r="W43" s="77"/>
      <c r="X43" s="76"/>
      <c r="Y43" s="77"/>
      <c r="Z43" s="38"/>
      <c r="AA43" s="38"/>
      <c r="AB43" s="38"/>
      <c r="AC43" s="38"/>
      <c r="AD43" s="38"/>
      <c r="AE43" s="38"/>
      <c r="AF43" s="36" t="s">
        <v>129</v>
      </c>
      <c r="AG43" s="65">
        <v>13113.587210500002</v>
      </c>
      <c r="AH43" s="38">
        <v>909000</v>
      </c>
      <c r="AI43" s="38"/>
      <c r="AJ43" s="66"/>
      <c r="AK43" s="65"/>
      <c r="AL43" s="38"/>
    </row>
    <row r="44" spans="13:38">
      <c r="M44" s="41">
        <v>26</v>
      </c>
      <c r="N44" s="62"/>
      <c r="O44" s="64" t="s">
        <v>262</v>
      </c>
      <c r="P44" s="62"/>
      <c r="Q44" s="63"/>
      <c r="R44" s="63"/>
      <c r="S44" s="63"/>
      <c r="T44" s="63"/>
      <c r="U44" s="63"/>
      <c r="V44" s="78"/>
      <c r="W44" s="79"/>
      <c r="X44" s="78"/>
      <c r="Y44" s="79"/>
      <c r="Z44" s="38"/>
      <c r="AA44" s="38"/>
      <c r="AB44" s="38"/>
      <c r="AC44" s="38"/>
      <c r="AD44" s="38"/>
      <c r="AE44" s="38"/>
      <c r="AF44" s="36" t="s">
        <v>130</v>
      </c>
      <c r="AG44" s="65">
        <v>20261.360601999993</v>
      </c>
      <c r="AH44" s="38">
        <v>910000</v>
      </c>
      <c r="AI44" s="38"/>
      <c r="AJ44" s="66"/>
      <c r="AK44" s="65"/>
      <c r="AL44" s="38"/>
    </row>
    <row r="45" spans="13:38">
      <c r="M45" s="41">
        <v>27</v>
      </c>
      <c r="N45" s="62" t="s">
        <v>263</v>
      </c>
      <c r="O45" s="62" t="s">
        <v>122</v>
      </c>
      <c r="P45" s="62"/>
      <c r="Q45" s="63">
        <v>0</v>
      </c>
      <c r="R45" s="63">
        <f>AG21</f>
        <v>0</v>
      </c>
      <c r="S45" s="63"/>
      <c r="T45" s="63"/>
      <c r="U45" s="63"/>
      <c r="V45" s="67">
        <f t="shared" ref="V45:V64" si="6">Q45-SUM(R45:T45)+U45</f>
        <v>0</v>
      </c>
      <c r="W45" s="68">
        <f t="shared" ref="W45:X64" si="7">$V45*W$17</f>
        <v>0</v>
      </c>
      <c r="X45" s="67">
        <f t="shared" si="7"/>
        <v>0</v>
      </c>
      <c r="Y45" s="68">
        <f t="shared" ref="Y45:Y64" si="8">X45-W45</f>
        <v>0</v>
      </c>
      <c r="Z45" s="38"/>
      <c r="AA45" s="38"/>
      <c r="AB45" s="38"/>
      <c r="AC45" s="38"/>
      <c r="AD45" s="38"/>
      <c r="AE45" s="38"/>
      <c r="AF45" s="36" t="s">
        <v>131</v>
      </c>
      <c r="AG45" s="65">
        <v>5385107.7441059863</v>
      </c>
      <c r="AH45" s="38">
        <v>920000</v>
      </c>
      <c r="AI45" s="38"/>
      <c r="AJ45" s="66"/>
      <c r="AK45" s="65"/>
      <c r="AL45" s="38"/>
    </row>
    <row r="46" spans="13:38">
      <c r="M46" s="41">
        <v>28</v>
      </c>
      <c r="N46" s="62" t="s">
        <v>264</v>
      </c>
      <c r="O46" s="62" t="s">
        <v>265</v>
      </c>
      <c r="P46" s="62"/>
      <c r="Q46" s="63">
        <v>0</v>
      </c>
      <c r="R46" s="63"/>
      <c r="S46" s="63"/>
      <c r="T46" s="63"/>
      <c r="U46" s="63"/>
      <c r="V46" s="67">
        <f t="shared" si="6"/>
        <v>0</v>
      </c>
      <c r="W46" s="68">
        <f t="shared" si="7"/>
        <v>0</v>
      </c>
      <c r="X46" s="67">
        <f t="shared" si="7"/>
        <v>0</v>
      </c>
      <c r="Y46" s="68">
        <f t="shared" si="8"/>
        <v>0</v>
      </c>
      <c r="Z46" s="38"/>
      <c r="AA46" s="38"/>
      <c r="AB46" s="38"/>
      <c r="AC46" s="38"/>
      <c r="AD46" s="38"/>
      <c r="AE46" s="38"/>
      <c r="AF46" s="36" t="s">
        <v>132</v>
      </c>
      <c r="AG46" s="65">
        <v>40272.579513600809</v>
      </c>
      <c r="AH46" s="38">
        <v>921000</v>
      </c>
      <c r="AI46" s="38"/>
      <c r="AJ46" s="66"/>
      <c r="AK46" s="65"/>
      <c r="AL46" s="38"/>
    </row>
    <row r="47" spans="13:38">
      <c r="M47" s="41">
        <v>29</v>
      </c>
      <c r="N47" s="62" t="s">
        <v>266</v>
      </c>
      <c r="O47" s="62" t="s">
        <v>267</v>
      </c>
      <c r="P47" s="62"/>
      <c r="Q47" s="63">
        <v>0</v>
      </c>
      <c r="R47" s="63"/>
      <c r="S47" s="63"/>
      <c r="T47" s="63"/>
      <c r="U47" s="63"/>
      <c r="V47" s="67">
        <f t="shared" si="6"/>
        <v>0</v>
      </c>
      <c r="W47" s="68">
        <f t="shared" si="7"/>
        <v>0</v>
      </c>
      <c r="X47" s="67">
        <f t="shared" si="7"/>
        <v>0</v>
      </c>
      <c r="Y47" s="68">
        <f t="shared" si="8"/>
        <v>0</v>
      </c>
      <c r="Z47" s="38"/>
      <c r="AA47" s="38"/>
      <c r="AB47" s="38"/>
      <c r="AC47" s="38"/>
      <c r="AD47" s="38"/>
      <c r="AE47" s="38"/>
      <c r="AF47" s="36" t="s">
        <v>133</v>
      </c>
      <c r="AG47" s="65">
        <v>1152.4631725999998</v>
      </c>
      <c r="AH47" s="38">
        <v>923000</v>
      </c>
      <c r="AI47" s="38"/>
      <c r="AJ47" s="66"/>
      <c r="AK47" s="65"/>
      <c r="AL47" s="38"/>
    </row>
    <row r="48" spans="13:38">
      <c r="M48" s="41">
        <v>30</v>
      </c>
      <c r="N48" s="62" t="s">
        <v>268</v>
      </c>
      <c r="O48" s="62" t="s">
        <v>269</v>
      </c>
      <c r="P48" s="62"/>
      <c r="Q48" s="63">
        <v>0</v>
      </c>
      <c r="R48" s="63"/>
      <c r="S48" s="63"/>
      <c r="T48" s="63"/>
      <c r="U48" s="63"/>
      <c r="V48" s="67">
        <f t="shared" si="6"/>
        <v>0</v>
      </c>
      <c r="W48" s="68">
        <f t="shared" si="7"/>
        <v>0</v>
      </c>
      <c r="X48" s="67">
        <f t="shared" si="7"/>
        <v>0</v>
      </c>
      <c r="Y48" s="68">
        <f t="shared" si="8"/>
        <v>0</v>
      </c>
      <c r="Z48" s="38"/>
      <c r="AA48" s="38"/>
      <c r="AB48" s="38"/>
      <c r="AC48" s="38"/>
      <c r="AD48" s="38"/>
      <c r="AE48" s="38"/>
      <c r="AF48" s="36">
        <v>925100</v>
      </c>
      <c r="AG48" s="65">
        <v>18.5319918</v>
      </c>
      <c r="AH48" s="38">
        <v>925100</v>
      </c>
      <c r="AI48" s="38"/>
      <c r="AJ48" s="66"/>
      <c r="AK48" s="65"/>
      <c r="AL48" s="38"/>
    </row>
    <row r="49" spans="13:38">
      <c r="M49" s="41">
        <v>31</v>
      </c>
      <c r="N49" s="62" t="s">
        <v>270</v>
      </c>
      <c r="O49" s="62" t="s">
        <v>271</v>
      </c>
      <c r="P49" s="62"/>
      <c r="Q49" s="63">
        <v>0</v>
      </c>
      <c r="R49" s="63"/>
      <c r="S49" s="63"/>
      <c r="T49" s="63"/>
      <c r="U49" s="63"/>
      <c r="V49" s="67">
        <f t="shared" si="6"/>
        <v>0</v>
      </c>
      <c r="W49" s="68">
        <f t="shared" si="7"/>
        <v>0</v>
      </c>
      <c r="X49" s="67">
        <f t="shared" si="7"/>
        <v>0</v>
      </c>
      <c r="Y49" s="68">
        <f t="shared" si="8"/>
        <v>0</v>
      </c>
      <c r="Z49" s="38"/>
      <c r="AA49" s="38"/>
      <c r="AB49" s="38"/>
      <c r="AC49" s="38"/>
      <c r="AD49" s="38"/>
      <c r="AE49" s="38"/>
      <c r="AF49" s="36" t="s">
        <v>134</v>
      </c>
      <c r="AG49" s="65">
        <v>67764.194160200059</v>
      </c>
      <c r="AH49" s="38">
        <v>926100</v>
      </c>
      <c r="AI49" s="38"/>
      <c r="AJ49" s="66"/>
      <c r="AK49" s="65"/>
      <c r="AL49" s="38"/>
    </row>
    <row r="50" spans="13:38">
      <c r="M50" s="41">
        <v>32</v>
      </c>
      <c r="N50" s="62" t="s">
        <v>272</v>
      </c>
      <c r="O50" s="62" t="s">
        <v>273</v>
      </c>
      <c r="P50" s="62"/>
      <c r="Q50" s="63">
        <v>0</v>
      </c>
      <c r="R50" s="63"/>
      <c r="S50" s="63"/>
      <c r="T50" s="63"/>
      <c r="U50" s="63"/>
      <c r="V50" s="67">
        <f t="shared" si="6"/>
        <v>0</v>
      </c>
      <c r="W50" s="68">
        <f t="shared" si="7"/>
        <v>0</v>
      </c>
      <c r="X50" s="67">
        <f t="shared" si="7"/>
        <v>0</v>
      </c>
      <c r="Y50" s="68">
        <f t="shared" si="8"/>
        <v>0</v>
      </c>
      <c r="Z50" s="38"/>
      <c r="AA50" s="38"/>
      <c r="AB50" s="38"/>
      <c r="AC50" s="38"/>
      <c r="AD50" s="38"/>
      <c r="AE50" s="38"/>
      <c r="AF50" s="36" t="s">
        <v>135</v>
      </c>
      <c r="AG50" s="65">
        <v>217065.18820919996</v>
      </c>
      <c r="AH50" s="38">
        <v>928000</v>
      </c>
      <c r="AI50" s="38"/>
      <c r="AJ50" s="66"/>
      <c r="AK50" s="65"/>
      <c r="AL50" s="38"/>
    </row>
    <row r="51" spans="13:38">
      <c r="M51" s="41">
        <v>33</v>
      </c>
      <c r="N51" s="62" t="s">
        <v>274</v>
      </c>
      <c r="O51" s="62" t="s">
        <v>275</v>
      </c>
      <c r="P51" s="62"/>
      <c r="Q51" s="63">
        <v>0</v>
      </c>
      <c r="R51" s="63"/>
      <c r="S51" s="63"/>
      <c r="T51" s="63"/>
      <c r="U51" s="63"/>
      <c r="V51" s="67">
        <f t="shared" si="6"/>
        <v>0</v>
      </c>
      <c r="W51" s="68">
        <f t="shared" si="7"/>
        <v>0</v>
      </c>
      <c r="X51" s="67">
        <f t="shared" si="7"/>
        <v>0</v>
      </c>
      <c r="Y51" s="68">
        <f t="shared" si="8"/>
        <v>0</v>
      </c>
      <c r="Z51" s="38"/>
      <c r="AA51" s="38"/>
      <c r="AB51" s="38"/>
      <c r="AC51" s="38"/>
      <c r="AD51" s="38"/>
      <c r="AE51" s="38"/>
      <c r="AF51" s="36" t="s">
        <v>136</v>
      </c>
      <c r="AG51" s="65">
        <v>132807.30956380002</v>
      </c>
      <c r="AH51" s="38">
        <v>930200</v>
      </c>
      <c r="AI51" s="38"/>
      <c r="AJ51" s="66"/>
      <c r="AK51" s="65"/>
      <c r="AL51" s="38"/>
    </row>
    <row r="52" spans="13:38">
      <c r="M52" s="41">
        <v>34</v>
      </c>
      <c r="N52" s="62" t="s">
        <v>276</v>
      </c>
      <c r="O52" s="62" t="s">
        <v>277</v>
      </c>
      <c r="P52" s="62"/>
      <c r="Q52" s="63">
        <v>0</v>
      </c>
      <c r="R52" s="63"/>
      <c r="S52" s="63"/>
      <c r="T52" s="63"/>
      <c r="U52" s="63"/>
      <c r="V52" s="67">
        <f t="shared" si="6"/>
        <v>0</v>
      </c>
      <c r="W52" s="68">
        <f t="shared" si="7"/>
        <v>0</v>
      </c>
      <c r="X52" s="67">
        <f t="shared" si="7"/>
        <v>0</v>
      </c>
      <c r="Y52" s="68">
        <f t="shared" si="8"/>
        <v>0</v>
      </c>
      <c r="Z52" s="38"/>
      <c r="AA52" s="38"/>
      <c r="AB52" s="38"/>
      <c r="AC52" s="38"/>
      <c r="AD52" s="38"/>
      <c r="AE52" s="38"/>
      <c r="AF52" s="36" t="s">
        <v>137</v>
      </c>
      <c r="AG52" s="65">
        <v>169.8299566</v>
      </c>
      <c r="AH52" s="38">
        <v>931000</v>
      </c>
      <c r="AI52" s="38"/>
      <c r="AJ52" s="66"/>
      <c r="AK52" s="65"/>
      <c r="AL52" s="38"/>
    </row>
    <row r="53" spans="13:38">
      <c r="M53" s="41">
        <v>35</v>
      </c>
      <c r="N53" s="62" t="s">
        <v>278</v>
      </c>
      <c r="O53" s="62" t="s">
        <v>279</v>
      </c>
      <c r="P53" s="62"/>
      <c r="Q53" s="63">
        <v>570704</v>
      </c>
      <c r="R53" s="63"/>
      <c r="S53" s="63"/>
      <c r="T53" s="63"/>
      <c r="U53" s="63"/>
      <c r="V53" s="67">
        <f t="shared" si="6"/>
        <v>570704</v>
      </c>
      <c r="W53" s="68">
        <f t="shared" si="7"/>
        <v>35669</v>
      </c>
      <c r="X53" s="67">
        <f t="shared" si="7"/>
        <v>49936.600000000006</v>
      </c>
      <c r="Y53" s="68">
        <f t="shared" si="8"/>
        <v>14267.600000000006</v>
      </c>
      <c r="Z53" s="38"/>
      <c r="AA53" s="38"/>
      <c r="AB53" s="38"/>
      <c r="AC53" s="38"/>
      <c r="AD53" s="38"/>
      <c r="AE53" s="38"/>
      <c r="AF53" s="36" t="s">
        <v>138</v>
      </c>
      <c r="AG53" s="65">
        <v>237986.69029660011</v>
      </c>
      <c r="AH53" s="38">
        <v>935000</v>
      </c>
      <c r="AI53" s="38"/>
      <c r="AJ53" s="66"/>
      <c r="AK53" s="65"/>
      <c r="AL53" s="38"/>
    </row>
    <row r="54" spans="13:38">
      <c r="M54" s="41">
        <v>36</v>
      </c>
      <c r="N54" s="62" t="s">
        <v>280</v>
      </c>
      <c r="O54" s="62" t="s">
        <v>281</v>
      </c>
      <c r="P54" s="62"/>
      <c r="Q54" s="63">
        <v>0</v>
      </c>
      <c r="R54" s="63"/>
      <c r="S54" s="63"/>
      <c r="T54" s="63"/>
      <c r="U54" s="63"/>
      <c r="V54" s="67">
        <f t="shared" si="6"/>
        <v>0</v>
      </c>
      <c r="W54" s="68">
        <f t="shared" si="7"/>
        <v>0</v>
      </c>
      <c r="X54" s="67">
        <f t="shared" si="7"/>
        <v>0</v>
      </c>
      <c r="Y54" s="68">
        <f t="shared" si="8"/>
        <v>0</v>
      </c>
      <c r="Z54" s="38"/>
      <c r="AA54" s="38"/>
      <c r="AB54" s="38"/>
      <c r="AC54" s="38"/>
      <c r="AD54" s="38"/>
      <c r="AE54" s="38"/>
      <c r="AG54" s="65">
        <f>SUM(AG20:AG53)</f>
        <v>17127678.749018297</v>
      </c>
      <c r="AH54" s="38"/>
      <c r="AI54" s="38"/>
      <c r="AJ54" s="38"/>
      <c r="AK54" s="38"/>
      <c r="AL54" s="38"/>
    </row>
    <row r="55" spans="13:38">
      <c r="M55" s="41">
        <v>37</v>
      </c>
      <c r="N55" s="62" t="s">
        <v>282</v>
      </c>
      <c r="O55" s="62" t="s">
        <v>123</v>
      </c>
      <c r="P55" s="62"/>
      <c r="Q55" s="63">
        <v>0</v>
      </c>
      <c r="R55" s="63"/>
      <c r="S55" s="63"/>
      <c r="T55" s="63"/>
      <c r="U55" s="63"/>
      <c r="V55" s="67">
        <f t="shared" si="6"/>
        <v>0</v>
      </c>
      <c r="W55" s="68">
        <f t="shared" si="7"/>
        <v>0</v>
      </c>
      <c r="X55" s="67">
        <f t="shared" si="7"/>
        <v>0</v>
      </c>
      <c r="Y55" s="68">
        <f t="shared" si="8"/>
        <v>0</v>
      </c>
      <c r="Z55" s="38"/>
      <c r="AA55" s="38"/>
      <c r="AB55" s="38"/>
      <c r="AC55" s="38"/>
      <c r="AD55" s="38"/>
      <c r="AE55" s="38"/>
      <c r="AG55" s="65"/>
      <c r="AH55" s="38"/>
      <c r="AI55" s="38"/>
      <c r="AJ55" s="38"/>
      <c r="AK55" s="38"/>
      <c r="AL55" s="38"/>
    </row>
    <row r="56" spans="13:38">
      <c r="M56" s="41">
        <v>38</v>
      </c>
      <c r="N56" s="62"/>
      <c r="O56" s="62"/>
      <c r="P56" s="62"/>
      <c r="Q56" s="63"/>
      <c r="R56" s="63"/>
      <c r="S56" s="63"/>
      <c r="T56" s="63"/>
      <c r="U56" s="63"/>
      <c r="V56" s="67">
        <f t="shared" si="6"/>
        <v>0</v>
      </c>
      <c r="W56" s="68">
        <f t="shared" si="7"/>
        <v>0</v>
      </c>
      <c r="X56" s="67">
        <f t="shared" si="7"/>
        <v>0</v>
      </c>
      <c r="Y56" s="68">
        <f t="shared" si="8"/>
        <v>0</v>
      </c>
      <c r="Z56" s="38"/>
      <c r="AA56" s="38"/>
      <c r="AB56" s="38"/>
      <c r="AC56" s="38"/>
      <c r="AD56" s="38"/>
      <c r="AE56" s="38"/>
      <c r="AG56" s="65"/>
      <c r="AH56" s="38"/>
      <c r="AI56" s="38"/>
      <c r="AJ56" s="38"/>
      <c r="AK56" s="38"/>
      <c r="AL56" s="38"/>
    </row>
    <row r="57" spans="13:38">
      <c r="M57" s="41">
        <v>39</v>
      </c>
      <c r="N57" s="62" t="s">
        <v>283</v>
      </c>
      <c r="O57" s="62" t="s">
        <v>122</v>
      </c>
      <c r="P57" s="62"/>
      <c r="Q57" s="63">
        <v>0</v>
      </c>
      <c r="R57" s="63"/>
      <c r="S57" s="63"/>
      <c r="T57" s="63"/>
      <c r="U57" s="63"/>
      <c r="V57" s="67">
        <f t="shared" si="6"/>
        <v>0</v>
      </c>
      <c r="W57" s="68">
        <f t="shared" si="7"/>
        <v>0</v>
      </c>
      <c r="X57" s="67">
        <f t="shared" si="7"/>
        <v>0</v>
      </c>
      <c r="Y57" s="68">
        <f t="shared" si="8"/>
        <v>0</v>
      </c>
      <c r="Z57" s="38"/>
      <c r="AA57" s="38"/>
      <c r="AB57" s="38"/>
      <c r="AC57" s="38"/>
      <c r="AD57" s="80" t="s">
        <v>284</v>
      </c>
      <c r="AE57" s="38"/>
      <c r="AF57" s="38"/>
      <c r="AG57" s="41" t="s">
        <v>88</v>
      </c>
      <c r="AH57" s="41" t="s">
        <v>285</v>
      </c>
      <c r="AI57" s="38"/>
      <c r="AJ57" s="38"/>
      <c r="AK57" s="38"/>
      <c r="AL57" s="38"/>
    </row>
    <row r="58" spans="13:38">
      <c r="M58" s="41">
        <v>40</v>
      </c>
      <c r="N58" s="62" t="s">
        <v>286</v>
      </c>
      <c r="O58" s="62" t="s">
        <v>265</v>
      </c>
      <c r="P58" s="62"/>
      <c r="Q58" s="63">
        <v>0</v>
      </c>
      <c r="R58" s="63"/>
      <c r="S58" s="63"/>
      <c r="T58" s="63"/>
      <c r="U58" s="63"/>
      <c r="V58" s="67">
        <f t="shared" si="6"/>
        <v>0</v>
      </c>
      <c r="W58" s="68">
        <f t="shared" si="7"/>
        <v>0</v>
      </c>
      <c r="X58" s="67">
        <f t="shared" si="7"/>
        <v>0</v>
      </c>
      <c r="Y58" s="68">
        <f t="shared" si="8"/>
        <v>0</v>
      </c>
      <c r="Z58" s="38"/>
      <c r="AA58" s="38"/>
      <c r="AB58" s="38"/>
      <c r="AC58" s="38"/>
      <c r="AD58" s="38" t="s">
        <v>139</v>
      </c>
      <c r="AE58" s="81">
        <v>0.20707999999999999</v>
      </c>
      <c r="AF58" s="81">
        <v>0.71745999999999999</v>
      </c>
      <c r="AG58" s="65">
        <v>19323555</v>
      </c>
      <c r="AH58" s="65">
        <f>AG58*AE58*AF58</f>
        <v>2870931.8086737236</v>
      </c>
      <c r="AI58" s="38"/>
      <c r="AJ58" s="38"/>
      <c r="AK58" s="38"/>
      <c r="AL58" s="38"/>
    </row>
    <row r="59" spans="13:38">
      <c r="M59" s="41">
        <v>41</v>
      </c>
      <c r="N59" s="62" t="s">
        <v>287</v>
      </c>
      <c r="O59" s="62" t="s">
        <v>267</v>
      </c>
      <c r="P59" s="62"/>
      <c r="Q59" s="63">
        <v>0</v>
      </c>
      <c r="R59" s="63"/>
      <c r="S59" s="63"/>
      <c r="T59" s="63"/>
      <c r="U59" s="63"/>
      <c r="V59" s="67">
        <f t="shared" si="6"/>
        <v>0</v>
      </c>
      <c r="W59" s="68">
        <f t="shared" si="7"/>
        <v>0</v>
      </c>
      <c r="X59" s="67">
        <f t="shared" si="7"/>
        <v>0</v>
      </c>
      <c r="Y59" s="68">
        <f t="shared" si="8"/>
        <v>0</v>
      </c>
      <c r="Z59" s="38"/>
      <c r="AA59" s="38"/>
      <c r="AB59" s="38"/>
      <c r="AC59" s="38"/>
      <c r="AD59" s="38" t="s">
        <v>140</v>
      </c>
      <c r="AE59" s="81">
        <v>0.22856000000000001</v>
      </c>
      <c r="AF59" s="81">
        <v>0.71745999999999999</v>
      </c>
      <c r="AG59" s="65">
        <v>76417</v>
      </c>
      <c r="AH59" s="65">
        <f>AG59*AE59*AF59</f>
        <v>12531.062745819199</v>
      </c>
      <c r="AI59" s="38"/>
      <c r="AJ59" s="38"/>
      <c r="AK59" s="38"/>
      <c r="AL59" s="38"/>
    </row>
    <row r="60" spans="13:38">
      <c r="M60" s="41">
        <v>42</v>
      </c>
      <c r="N60" s="62" t="s">
        <v>288</v>
      </c>
      <c r="O60" s="62" t="s">
        <v>269</v>
      </c>
      <c r="P60" s="62"/>
      <c r="Q60" s="63">
        <v>0</v>
      </c>
      <c r="R60" s="63"/>
      <c r="S60" s="63"/>
      <c r="T60" s="63"/>
      <c r="U60" s="63"/>
      <c r="V60" s="67">
        <f t="shared" si="6"/>
        <v>0</v>
      </c>
      <c r="W60" s="68">
        <f t="shared" si="7"/>
        <v>0</v>
      </c>
      <c r="X60" s="67">
        <f t="shared" si="7"/>
        <v>0</v>
      </c>
      <c r="Y60" s="68">
        <f t="shared" si="8"/>
        <v>0</v>
      </c>
      <c r="Z60" s="38"/>
      <c r="AA60" s="38"/>
      <c r="AB60" s="38"/>
      <c r="AC60" s="38"/>
      <c r="AD60" s="38"/>
      <c r="AE60" s="81"/>
      <c r="AF60" s="81"/>
      <c r="AG60" s="65">
        <v>0</v>
      </c>
      <c r="AH60" s="65">
        <f>AG60*AE60*AF60</f>
        <v>0</v>
      </c>
      <c r="AI60" s="38"/>
      <c r="AJ60" s="38"/>
      <c r="AK60" s="38"/>
      <c r="AL60" s="38"/>
    </row>
    <row r="61" spans="13:38">
      <c r="M61" s="41">
        <v>43</v>
      </c>
      <c r="N61" s="62" t="s">
        <v>289</v>
      </c>
      <c r="O61" s="62" t="s">
        <v>271</v>
      </c>
      <c r="P61" s="62"/>
      <c r="Q61" s="63">
        <v>0</v>
      </c>
      <c r="R61" s="63"/>
      <c r="S61" s="63"/>
      <c r="T61" s="63"/>
      <c r="U61" s="63"/>
      <c r="V61" s="67">
        <f t="shared" si="6"/>
        <v>0</v>
      </c>
      <c r="W61" s="68">
        <f t="shared" si="7"/>
        <v>0</v>
      </c>
      <c r="X61" s="67">
        <f t="shared" si="7"/>
        <v>0</v>
      </c>
      <c r="Y61" s="68">
        <f t="shared" si="8"/>
        <v>0</v>
      </c>
      <c r="Z61" s="38"/>
      <c r="AA61" s="38"/>
      <c r="AB61" s="38"/>
      <c r="AC61" s="38"/>
      <c r="AD61" s="38"/>
      <c r="AE61" s="81"/>
      <c r="AF61" s="81"/>
      <c r="AG61" s="65">
        <v>0</v>
      </c>
      <c r="AH61" s="65">
        <f>AG61*AE61*AF61</f>
        <v>0</v>
      </c>
      <c r="AI61" s="38"/>
      <c r="AJ61" s="38"/>
      <c r="AK61" s="38"/>
      <c r="AL61" s="38"/>
    </row>
    <row r="62" spans="13:38">
      <c r="M62" s="41">
        <v>44</v>
      </c>
      <c r="N62" s="62" t="s">
        <v>290</v>
      </c>
      <c r="O62" s="62" t="s">
        <v>273</v>
      </c>
      <c r="P62" s="62"/>
      <c r="Q62" s="63">
        <v>0</v>
      </c>
      <c r="R62" s="63"/>
      <c r="S62" s="63"/>
      <c r="T62" s="63"/>
      <c r="U62" s="63"/>
      <c r="V62" s="67">
        <f t="shared" si="6"/>
        <v>0</v>
      </c>
      <c r="W62" s="68">
        <f t="shared" si="7"/>
        <v>0</v>
      </c>
      <c r="X62" s="67">
        <f t="shared" si="7"/>
        <v>0</v>
      </c>
      <c r="Y62" s="68">
        <f t="shared" si="8"/>
        <v>0</v>
      </c>
      <c r="Z62" s="38"/>
      <c r="AA62" s="38"/>
      <c r="AB62" s="38"/>
      <c r="AC62" s="38"/>
      <c r="AD62" s="38"/>
      <c r="AE62" s="38"/>
      <c r="AF62" s="38"/>
      <c r="AG62" s="38"/>
      <c r="AH62" s="82">
        <f>SUM(AH58:AH61)</f>
        <v>2883462.8714195429</v>
      </c>
      <c r="AI62" s="38"/>
      <c r="AJ62" s="38"/>
      <c r="AK62" s="38"/>
      <c r="AL62" s="38"/>
    </row>
    <row r="63" spans="13:38">
      <c r="M63" s="41">
        <v>45</v>
      </c>
      <c r="N63" s="62" t="s">
        <v>291</v>
      </c>
      <c r="O63" s="62" t="s">
        <v>292</v>
      </c>
      <c r="P63" s="62"/>
      <c r="Q63" s="63">
        <v>0</v>
      </c>
      <c r="R63" s="63"/>
      <c r="S63" s="63"/>
      <c r="T63" s="63"/>
      <c r="U63" s="63"/>
      <c r="V63" s="67">
        <f t="shared" si="6"/>
        <v>0</v>
      </c>
      <c r="W63" s="68">
        <f t="shared" si="7"/>
        <v>0</v>
      </c>
      <c r="X63" s="67">
        <f t="shared" si="7"/>
        <v>0</v>
      </c>
      <c r="Y63" s="68">
        <f t="shared" si="8"/>
        <v>0</v>
      </c>
      <c r="Z63" s="38"/>
      <c r="AA63" s="38"/>
      <c r="AB63" s="38"/>
      <c r="AC63" s="38"/>
      <c r="AD63" s="38"/>
      <c r="AE63" s="38"/>
      <c r="AG63" s="65"/>
      <c r="AH63" s="38"/>
      <c r="AI63" s="38"/>
      <c r="AJ63" s="38"/>
      <c r="AK63" s="38"/>
      <c r="AL63" s="38"/>
    </row>
    <row r="64" spans="13:38">
      <c r="M64" s="41">
        <v>46</v>
      </c>
      <c r="N64" s="62" t="s">
        <v>293</v>
      </c>
      <c r="O64" s="62" t="s">
        <v>294</v>
      </c>
      <c r="P64" s="62"/>
      <c r="Q64" s="63">
        <v>1491595</v>
      </c>
      <c r="R64" s="63"/>
      <c r="S64" s="63"/>
      <c r="T64" s="63"/>
      <c r="U64" s="63"/>
      <c r="V64" s="67">
        <f t="shared" si="6"/>
        <v>1491595</v>
      </c>
      <c r="W64" s="68">
        <f t="shared" si="7"/>
        <v>93224.6875</v>
      </c>
      <c r="X64" s="67">
        <f t="shared" si="7"/>
        <v>130514.56250000001</v>
      </c>
      <c r="Y64" s="68">
        <f t="shared" si="8"/>
        <v>37289.875000000015</v>
      </c>
      <c r="Z64" s="38"/>
      <c r="AA64" s="38"/>
      <c r="AB64" s="38"/>
      <c r="AC64" s="38"/>
      <c r="AD64" s="38"/>
      <c r="AE64" s="38"/>
      <c r="AG64" s="65"/>
      <c r="AH64" s="38"/>
      <c r="AI64" s="38"/>
      <c r="AJ64" s="38"/>
      <c r="AK64" s="38"/>
      <c r="AL64" s="38"/>
    </row>
    <row r="65" spans="13:38">
      <c r="M65" s="41">
        <v>47</v>
      </c>
      <c r="N65" s="64"/>
      <c r="O65" s="64" t="s">
        <v>295</v>
      </c>
      <c r="P65" s="64"/>
      <c r="Q65" s="72">
        <f t="shared" ref="Q65:Y65" si="9">SUM(Q45:Q64)</f>
        <v>2062299</v>
      </c>
      <c r="R65" s="72">
        <f t="shared" si="9"/>
        <v>0</v>
      </c>
      <c r="S65" s="72">
        <f t="shared" si="9"/>
        <v>0</v>
      </c>
      <c r="T65" s="72">
        <f t="shared" si="9"/>
        <v>0</v>
      </c>
      <c r="U65" s="72">
        <f t="shared" si="9"/>
        <v>0</v>
      </c>
      <c r="V65" s="73">
        <f t="shared" si="9"/>
        <v>2062299</v>
      </c>
      <c r="W65" s="74">
        <f t="shared" si="9"/>
        <v>128893.6875</v>
      </c>
      <c r="X65" s="73">
        <f t="shared" si="9"/>
        <v>180451.16250000003</v>
      </c>
      <c r="Y65" s="74">
        <f t="shared" si="9"/>
        <v>51557.47500000002</v>
      </c>
      <c r="Z65" s="38"/>
      <c r="AA65" s="38"/>
      <c r="AB65" s="38"/>
      <c r="AC65" s="38"/>
      <c r="AD65" s="38"/>
      <c r="AE65" s="38"/>
      <c r="AG65" s="65"/>
      <c r="AH65" s="38"/>
      <c r="AI65" s="38"/>
      <c r="AJ65" s="38"/>
      <c r="AK65" s="38"/>
      <c r="AL65" s="38"/>
    </row>
    <row r="66" spans="13:38">
      <c r="M66" s="41">
        <v>48</v>
      </c>
      <c r="N66" s="62"/>
      <c r="O66" s="62"/>
      <c r="P66" s="62"/>
      <c r="Q66" s="63"/>
      <c r="R66" s="63"/>
      <c r="S66" s="63"/>
      <c r="T66" s="63"/>
      <c r="U66" s="63"/>
      <c r="V66" s="78"/>
      <c r="W66" s="79"/>
      <c r="X66" s="78"/>
      <c r="Y66" s="79"/>
      <c r="Z66" s="38"/>
      <c r="AA66" s="38"/>
      <c r="AB66" s="38"/>
      <c r="AC66" s="38"/>
      <c r="AD66" s="38"/>
      <c r="AE66" s="38"/>
      <c r="AG66" s="65"/>
      <c r="AH66" s="38"/>
      <c r="AI66" s="38"/>
      <c r="AJ66" s="38"/>
      <c r="AK66" s="38"/>
      <c r="AL66" s="38"/>
    </row>
    <row r="67" spans="13:38">
      <c r="M67" s="41">
        <v>49</v>
      </c>
      <c r="N67" s="62"/>
      <c r="O67" s="64" t="s">
        <v>141</v>
      </c>
      <c r="P67" s="62"/>
      <c r="Q67" s="83"/>
      <c r="R67" s="83"/>
      <c r="S67" s="83"/>
      <c r="T67" s="83"/>
      <c r="U67" s="83"/>
      <c r="V67" s="84"/>
      <c r="W67" s="85"/>
      <c r="X67" s="84"/>
      <c r="Y67" s="85"/>
      <c r="Z67" s="38"/>
      <c r="AA67" s="38"/>
      <c r="AB67" s="38"/>
      <c r="AC67" s="38"/>
      <c r="AD67" s="38"/>
      <c r="AE67" s="38"/>
      <c r="AG67" s="65"/>
      <c r="AH67" s="38"/>
      <c r="AI67" s="38"/>
      <c r="AJ67" s="38"/>
      <c r="AK67" s="38"/>
      <c r="AL67" s="38"/>
    </row>
    <row r="68" spans="13:38">
      <c r="M68" s="41">
        <v>50</v>
      </c>
      <c r="N68" s="62"/>
      <c r="O68" s="86" t="s">
        <v>296</v>
      </c>
      <c r="P68" s="62"/>
      <c r="Q68" s="63"/>
      <c r="R68" s="63"/>
      <c r="S68" s="63"/>
      <c r="T68" s="63"/>
      <c r="U68" s="63"/>
      <c r="V68" s="78"/>
      <c r="W68" s="79"/>
      <c r="X68" s="78"/>
      <c r="Y68" s="79"/>
      <c r="Z68" s="38"/>
      <c r="AA68" s="38"/>
      <c r="AB68" s="38"/>
      <c r="AC68" s="38"/>
      <c r="AD68" s="38"/>
      <c r="AE68" s="38"/>
      <c r="AG68" s="65"/>
      <c r="AH68" s="38"/>
      <c r="AI68" s="38"/>
      <c r="AJ68" s="38"/>
      <c r="AK68" s="38"/>
      <c r="AL68" s="38"/>
    </row>
    <row r="69" spans="13:38">
      <c r="M69" s="41">
        <v>51</v>
      </c>
      <c r="N69" s="62" t="s">
        <v>297</v>
      </c>
      <c r="O69" s="62" t="s">
        <v>122</v>
      </c>
      <c r="P69" s="62"/>
      <c r="Q69" s="63">
        <v>1609942</v>
      </c>
      <c r="R69" s="63">
        <f>AG22</f>
        <v>1310615.7309850003</v>
      </c>
      <c r="S69" s="63"/>
      <c r="T69" s="63"/>
      <c r="U69" s="63"/>
      <c r="V69" s="67">
        <f t="shared" ref="V69:V79" si="10">Q69-SUM(R69:T69)+U69</f>
        <v>299326.26901499974</v>
      </c>
      <c r="W69" s="68">
        <f t="shared" ref="W69:X79" si="11">$V69*W$17</f>
        <v>18707.891813437484</v>
      </c>
      <c r="X69" s="67">
        <f t="shared" si="11"/>
        <v>26191.04853881248</v>
      </c>
      <c r="Y69" s="68">
        <f t="shared" ref="Y69:Y79" si="12">X69-W69</f>
        <v>7483.1567253749963</v>
      </c>
      <c r="Z69" s="38"/>
      <c r="AA69" s="38"/>
      <c r="AB69" s="38"/>
      <c r="AC69" s="38"/>
      <c r="AD69" s="38"/>
      <c r="AE69" s="38"/>
      <c r="AG69" s="65"/>
      <c r="AH69" s="38"/>
      <c r="AI69" s="38"/>
      <c r="AJ69" s="38"/>
      <c r="AK69" s="38"/>
      <c r="AL69" s="38"/>
    </row>
    <row r="70" spans="13:38">
      <c r="M70" s="41">
        <v>52</v>
      </c>
      <c r="N70" s="62" t="s">
        <v>298</v>
      </c>
      <c r="O70" s="62" t="s">
        <v>299</v>
      </c>
      <c r="P70" s="62"/>
      <c r="Q70" s="63">
        <v>0</v>
      </c>
      <c r="R70" s="63"/>
      <c r="S70" s="63"/>
      <c r="T70" s="63"/>
      <c r="U70" s="63"/>
      <c r="V70" s="67">
        <f t="shared" si="10"/>
        <v>0</v>
      </c>
      <c r="W70" s="68">
        <f t="shared" si="11"/>
        <v>0</v>
      </c>
      <c r="X70" s="67">
        <f t="shared" si="11"/>
        <v>0</v>
      </c>
      <c r="Y70" s="68">
        <f t="shared" si="12"/>
        <v>0</v>
      </c>
      <c r="Z70" s="38"/>
      <c r="AA70" s="38"/>
      <c r="AB70" s="38"/>
      <c r="AC70" s="38"/>
      <c r="AD70" s="38"/>
      <c r="AE70" s="38"/>
      <c r="AG70" s="65"/>
      <c r="AH70" s="38"/>
      <c r="AI70" s="38"/>
      <c r="AJ70" s="38"/>
      <c r="AK70" s="38"/>
      <c r="AL70" s="38"/>
    </row>
    <row r="71" spans="13:38">
      <c r="M71" s="41">
        <v>53</v>
      </c>
      <c r="N71" s="62" t="s">
        <v>300</v>
      </c>
      <c r="O71" s="62" t="s">
        <v>301</v>
      </c>
      <c r="P71" s="62"/>
      <c r="Q71" s="63">
        <v>0</v>
      </c>
      <c r="R71" s="63"/>
      <c r="S71" s="63"/>
      <c r="T71" s="63"/>
      <c r="U71" s="63"/>
      <c r="V71" s="67">
        <f t="shared" si="10"/>
        <v>0</v>
      </c>
      <c r="W71" s="68">
        <f t="shared" si="11"/>
        <v>0</v>
      </c>
      <c r="X71" s="67">
        <f t="shared" si="11"/>
        <v>0</v>
      </c>
      <c r="Y71" s="68">
        <f t="shared" si="12"/>
        <v>0</v>
      </c>
      <c r="Z71" s="38"/>
      <c r="AA71" s="38"/>
      <c r="AB71" s="38"/>
      <c r="AC71" s="38"/>
      <c r="AD71" s="38"/>
      <c r="AE71" s="38"/>
      <c r="AG71" s="65"/>
      <c r="AH71" s="38"/>
      <c r="AI71" s="38"/>
      <c r="AJ71" s="38"/>
      <c r="AK71" s="38"/>
      <c r="AL71" s="38"/>
    </row>
    <row r="72" spans="13:38">
      <c r="M72" s="41">
        <v>54</v>
      </c>
      <c r="N72" s="62" t="s">
        <v>302</v>
      </c>
      <c r="O72" s="62" t="s">
        <v>303</v>
      </c>
      <c r="P72" s="62"/>
      <c r="Q72" s="63">
        <v>3230198</v>
      </c>
      <c r="R72" s="63">
        <f t="shared" ref="R72:R78" si="13">AG23</f>
        <v>1442985.4350720011</v>
      </c>
      <c r="S72" s="63"/>
      <c r="T72" s="63"/>
      <c r="U72" s="63">
        <v>-2754</v>
      </c>
      <c r="V72" s="67">
        <f t="shared" si="10"/>
        <v>1784458.5649279989</v>
      </c>
      <c r="W72" s="68">
        <f t="shared" si="11"/>
        <v>111528.66030799993</v>
      </c>
      <c r="X72" s="67">
        <f t="shared" si="11"/>
        <v>156140.12443119992</v>
      </c>
      <c r="Y72" s="68">
        <f t="shared" si="12"/>
        <v>44611.464123199985</v>
      </c>
      <c r="Z72" s="38"/>
      <c r="AA72" s="38"/>
      <c r="AB72" s="38"/>
      <c r="AC72" s="38"/>
      <c r="AD72" s="38"/>
      <c r="AE72" s="38"/>
      <c r="AG72" s="65"/>
      <c r="AH72" s="38"/>
      <c r="AI72" s="38"/>
      <c r="AJ72" s="38"/>
      <c r="AK72" s="38"/>
      <c r="AL72" s="38"/>
    </row>
    <row r="73" spans="13:38">
      <c r="M73" s="41">
        <v>55</v>
      </c>
      <c r="N73" s="62" t="s">
        <v>304</v>
      </c>
      <c r="O73" s="62" t="s">
        <v>305</v>
      </c>
      <c r="P73" s="62"/>
      <c r="Q73" s="63">
        <v>88889</v>
      </c>
      <c r="R73" s="63">
        <f t="shared" si="13"/>
        <v>70940.190000000017</v>
      </c>
      <c r="S73" s="63"/>
      <c r="T73" s="63"/>
      <c r="U73" s="63"/>
      <c r="V73" s="67">
        <f t="shared" si="10"/>
        <v>17948.809999999983</v>
      </c>
      <c r="W73" s="68">
        <f t="shared" si="11"/>
        <v>1121.8006249999989</v>
      </c>
      <c r="X73" s="67">
        <f t="shared" si="11"/>
        <v>1570.5208749999986</v>
      </c>
      <c r="Y73" s="68">
        <f t="shared" si="12"/>
        <v>448.72024999999962</v>
      </c>
      <c r="Z73" s="38"/>
      <c r="AA73" s="38"/>
      <c r="AB73" s="38"/>
      <c r="AC73" s="38"/>
      <c r="AD73" s="38"/>
      <c r="AE73" s="38"/>
      <c r="AG73" s="65"/>
      <c r="AH73" s="38"/>
      <c r="AI73" s="38"/>
      <c r="AJ73" s="38"/>
      <c r="AK73" s="38"/>
      <c r="AL73" s="38"/>
    </row>
    <row r="74" spans="13:38">
      <c r="M74" s="41">
        <v>56</v>
      </c>
      <c r="N74" s="62" t="s">
        <v>306</v>
      </c>
      <c r="O74" s="62" t="s">
        <v>307</v>
      </c>
      <c r="P74" s="62"/>
      <c r="Q74" s="63">
        <v>5860</v>
      </c>
      <c r="R74" s="63">
        <f t="shared" si="13"/>
        <v>4877.17</v>
      </c>
      <c r="S74" s="63"/>
      <c r="T74" s="63"/>
      <c r="U74" s="63"/>
      <c r="V74" s="67">
        <f t="shared" si="10"/>
        <v>982.82999999999993</v>
      </c>
      <c r="W74" s="68">
        <f t="shared" si="11"/>
        <v>61.426874999999995</v>
      </c>
      <c r="X74" s="67">
        <f t="shared" si="11"/>
        <v>85.997624999999999</v>
      </c>
      <c r="Y74" s="68">
        <f t="shared" si="12"/>
        <v>24.570750000000004</v>
      </c>
      <c r="Z74" s="38"/>
      <c r="AA74" s="38"/>
      <c r="AB74" s="38"/>
      <c r="AC74" s="38"/>
      <c r="AD74" s="38"/>
      <c r="AE74" s="38"/>
      <c r="AG74" s="65"/>
      <c r="AH74" s="38"/>
      <c r="AI74" s="38"/>
      <c r="AJ74" s="38"/>
      <c r="AK74" s="38"/>
      <c r="AL74" s="38"/>
    </row>
    <row r="75" spans="13:38">
      <c r="M75" s="41">
        <v>57</v>
      </c>
      <c r="N75" s="62" t="s">
        <v>308</v>
      </c>
      <c r="O75" s="62" t="s">
        <v>309</v>
      </c>
      <c r="P75" s="62"/>
      <c r="Q75" s="63">
        <v>47365</v>
      </c>
      <c r="R75" s="63">
        <f t="shared" si="13"/>
        <v>40412.270000000011</v>
      </c>
      <c r="S75" s="63"/>
      <c r="T75" s="63"/>
      <c r="U75" s="63"/>
      <c r="V75" s="67">
        <f t="shared" si="10"/>
        <v>6952.7299999999886</v>
      </c>
      <c r="W75" s="68">
        <f t="shared" si="11"/>
        <v>434.54562499999929</v>
      </c>
      <c r="X75" s="67">
        <f t="shared" si="11"/>
        <v>608.3638749999991</v>
      </c>
      <c r="Y75" s="68">
        <f t="shared" si="12"/>
        <v>173.81824999999981</v>
      </c>
      <c r="Z75" s="38"/>
      <c r="AA75" s="38"/>
      <c r="AB75" s="38"/>
      <c r="AC75" s="38"/>
      <c r="AD75" s="38"/>
      <c r="AE75" s="38"/>
      <c r="AG75" s="65"/>
      <c r="AH75" s="38"/>
      <c r="AI75" s="38"/>
      <c r="AJ75" s="38"/>
      <c r="AK75" s="38"/>
      <c r="AL75" s="38"/>
    </row>
    <row r="76" spans="13:38">
      <c r="M76" s="41">
        <v>58</v>
      </c>
      <c r="N76" s="62" t="s">
        <v>310</v>
      </c>
      <c r="O76" s="62" t="s">
        <v>311</v>
      </c>
      <c r="P76" s="62"/>
      <c r="Q76" s="63">
        <v>357349</v>
      </c>
      <c r="R76" s="63">
        <f t="shared" si="13"/>
        <v>4774.5700000000015</v>
      </c>
      <c r="S76" s="63"/>
      <c r="T76" s="63"/>
      <c r="U76" s="63"/>
      <c r="V76" s="67">
        <f t="shared" si="10"/>
        <v>352574.43</v>
      </c>
      <c r="W76" s="68">
        <f t="shared" si="11"/>
        <v>22035.901875</v>
      </c>
      <c r="X76" s="67">
        <f t="shared" si="11"/>
        <v>30850.262625000003</v>
      </c>
      <c r="Y76" s="68">
        <f t="shared" si="12"/>
        <v>8814.3607500000035</v>
      </c>
      <c r="Z76" s="38"/>
      <c r="AA76" s="38"/>
      <c r="AB76" s="38"/>
      <c r="AC76" s="38"/>
      <c r="AD76" s="38"/>
      <c r="AE76" s="38"/>
      <c r="AG76" s="65"/>
      <c r="AH76" s="38"/>
      <c r="AI76" s="38"/>
      <c r="AJ76" s="38"/>
      <c r="AK76" s="38"/>
      <c r="AL76" s="38"/>
    </row>
    <row r="77" spans="13:38">
      <c r="M77" s="41">
        <v>59</v>
      </c>
      <c r="N77" s="62" t="s">
        <v>312</v>
      </c>
      <c r="O77" s="62" t="s">
        <v>313</v>
      </c>
      <c r="P77" s="62"/>
      <c r="Q77" s="63">
        <v>1411593</v>
      </c>
      <c r="R77" s="63">
        <f t="shared" si="13"/>
        <v>1159304.0226240021</v>
      </c>
      <c r="S77" s="63"/>
      <c r="T77" s="63"/>
      <c r="U77" s="63"/>
      <c r="V77" s="67">
        <f t="shared" si="10"/>
        <v>252288.97737599793</v>
      </c>
      <c r="W77" s="68">
        <f t="shared" si="11"/>
        <v>15768.061085999871</v>
      </c>
      <c r="X77" s="67">
        <f t="shared" si="11"/>
        <v>22075.285520399822</v>
      </c>
      <c r="Y77" s="68">
        <f t="shared" si="12"/>
        <v>6307.2244343999519</v>
      </c>
      <c r="Z77" s="38"/>
      <c r="AA77" s="38"/>
      <c r="AB77" s="38"/>
      <c r="AC77" s="38"/>
      <c r="AD77" s="38"/>
      <c r="AE77" s="38"/>
      <c r="AG77" s="65"/>
      <c r="AH77" s="38"/>
      <c r="AI77" s="38"/>
      <c r="AJ77" s="38"/>
      <c r="AK77" s="38"/>
      <c r="AL77" s="38"/>
    </row>
    <row r="78" spans="13:38">
      <c r="M78" s="41">
        <v>60</v>
      </c>
      <c r="N78" s="62" t="s">
        <v>314</v>
      </c>
      <c r="O78" s="62" t="s">
        <v>315</v>
      </c>
      <c r="P78" s="62"/>
      <c r="Q78" s="63">
        <v>2143569</v>
      </c>
      <c r="R78" s="63">
        <f t="shared" si="13"/>
        <v>1433638.7625120028</v>
      </c>
      <c r="S78" s="63"/>
      <c r="T78" s="63"/>
      <c r="U78" s="63">
        <v>-204</v>
      </c>
      <c r="V78" s="67">
        <f t="shared" si="10"/>
        <v>709726.23748799716</v>
      </c>
      <c r="W78" s="68">
        <f t="shared" si="11"/>
        <v>44357.889842999823</v>
      </c>
      <c r="X78" s="67">
        <f t="shared" si="11"/>
        <v>62101.045780199755</v>
      </c>
      <c r="Y78" s="68">
        <f t="shared" si="12"/>
        <v>17743.155937199932</v>
      </c>
      <c r="Z78" s="38"/>
      <c r="AA78" s="38"/>
      <c r="AB78" s="38"/>
      <c r="AC78" s="38"/>
      <c r="AD78" s="38"/>
      <c r="AE78" s="38"/>
      <c r="AG78" s="65"/>
      <c r="AH78" s="38"/>
      <c r="AI78" s="38"/>
      <c r="AJ78" s="38"/>
      <c r="AK78" s="38"/>
      <c r="AL78" s="38"/>
    </row>
    <row r="79" spans="13:38">
      <c r="M79" s="41">
        <v>61</v>
      </c>
      <c r="N79" s="62" t="s">
        <v>316</v>
      </c>
      <c r="O79" s="62" t="s">
        <v>123</v>
      </c>
      <c r="P79" s="62"/>
      <c r="Q79" s="63">
        <v>-5121</v>
      </c>
      <c r="R79" s="63"/>
      <c r="S79" s="63"/>
      <c r="T79" s="63"/>
      <c r="U79" s="63">
        <v>0</v>
      </c>
      <c r="V79" s="67">
        <f t="shared" si="10"/>
        <v>-5121</v>
      </c>
      <c r="W79" s="68">
        <f t="shared" si="11"/>
        <v>-320.0625</v>
      </c>
      <c r="X79" s="67">
        <f t="shared" si="11"/>
        <v>-448.08750000000003</v>
      </c>
      <c r="Y79" s="68">
        <f t="shared" si="12"/>
        <v>-128.02500000000003</v>
      </c>
      <c r="Z79" s="38"/>
      <c r="AA79" s="38"/>
      <c r="AB79" s="38"/>
      <c r="AC79" s="38"/>
      <c r="AD79" s="38"/>
      <c r="AE79" s="38"/>
      <c r="AG79" s="65"/>
      <c r="AH79" s="38"/>
      <c r="AI79" s="38"/>
      <c r="AJ79" s="38"/>
      <c r="AK79" s="38"/>
      <c r="AL79" s="38"/>
    </row>
    <row r="80" spans="13:38">
      <c r="M80" s="41">
        <v>62</v>
      </c>
      <c r="N80" s="64"/>
      <c r="O80" s="64" t="s">
        <v>317</v>
      </c>
      <c r="P80" s="64"/>
      <c r="Q80" s="72">
        <f t="shared" ref="Q80:Y80" si="14">SUM(Q69:Q79)</f>
        <v>8889644</v>
      </c>
      <c r="R80" s="72">
        <f t="shared" si="14"/>
        <v>5467548.151193006</v>
      </c>
      <c r="S80" s="72">
        <f t="shared" si="14"/>
        <v>0</v>
      </c>
      <c r="T80" s="72">
        <f t="shared" si="14"/>
        <v>0</v>
      </c>
      <c r="U80" s="72">
        <f t="shared" si="14"/>
        <v>-2958</v>
      </c>
      <c r="V80" s="73">
        <f t="shared" si="14"/>
        <v>3419137.848806994</v>
      </c>
      <c r="W80" s="74">
        <f t="shared" si="14"/>
        <v>213696.11555043713</v>
      </c>
      <c r="X80" s="73">
        <f t="shared" si="14"/>
        <v>299174.56177061197</v>
      </c>
      <c r="Y80" s="74">
        <f t="shared" si="14"/>
        <v>85478.446220174868</v>
      </c>
      <c r="Z80" s="38"/>
      <c r="AA80" s="38"/>
      <c r="AB80" s="38"/>
      <c r="AC80" s="38"/>
      <c r="AD80" s="38"/>
      <c r="AE80" s="38"/>
      <c r="AG80" s="65"/>
      <c r="AH80" s="38"/>
      <c r="AI80" s="38"/>
      <c r="AJ80" s="38"/>
      <c r="AK80" s="38"/>
      <c r="AL80" s="38"/>
    </row>
    <row r="81" spans="13:38">
      <c r="M81" s="41">
        <v>63</v>
      </c>
      <c r="N81" s="62"/>
      <c r="O81" s="86" t="s">
        <v>318</v>
      </c>
      <c r="P81" s="62"/>
      <c r="Q81" s="63"/>
      <c r="R81" s="63"/>
      <c r="S81" s="63"/>
      <c r="T81" s="63"/>
      <c r="U81" s="63"/>
      <c r="V81" s="78"/>
      <c r="W81" s="79"/>
      <c r="X81" s="78"/>
      <c r="Y81" s="79"/>
      <c r="Z81" s="38"/>
      <c r="AA81" s="38"/>
      <c r="AB81" s="38"/>
      <c r="AC81" s="38"/>
      <c r="AD81" s="38"/>
      <c r="AE81" s="38"/>
      <c r="AG81" s="65"/>
      <c r="AH81" s="38"/>
      <c r="AI81" s="38"/>
      <c r="AJ81" s="38"/>
      <c r="AK81" s="38"/>
      <c r="AL81" s="38"/>
    </row>
    <row r="82" spans="13:38">
      <c r="M82" s="41">
        <v>64</v>
      </c>
      <c r="N82" s="62" t="s">
        <v>319</v>
      </c>
      <c r="O82" s="62" t="s">
        <v>122</v>
      </c>
      <c r="P82" s="62"/>
      <c r="Q82" s="63">
        <v>14914</v>
      </c>
      <c r="R82" s="87">
        <f>AG30</f>
        <v>7619.0300000000007</v>
      </c>
      <c r="S82" s="88"/>
      <c r="T82" s="88"/>
      <c r="U82" s="88"/>
      <c r="V82" s="67">
        <f t="shared" ref="V82:V90" si="15">Q82-SUM(R82:T82)+U82</f>
        <v>7294.9699999999993</v>
      </c>
      <c r="W82" s="68">
        <f t="shared" ref="W82:X90" si="16">$V82*W$17</f>
        <v>455.93562499999996</v>
      </c>
      <c r="X82" s="67">
        <f t="shared" si="16"/>
        <v>638.30987500000003</v>
      </c>
      <c r="Y82" s="68">
        <f t="shared" ref="Y82:Y90" si="17">X82-W82</f>
        <v>182.37425000000007</v>
      </c>
      <c r="Z82" s="38"/>
      <c r="AA82" s="38"/>
      <c r="AB82" s="38"/>
      <c r="AC82" s="38"/>
      <c r="AD82" s="38"/>
      <c r="AE82" s="38"/>
      <c r="AG82" s="65"/>
      <c r="AH82" s="38"/>
      <c r="AI82" s="38"/>
      <c r="AJ82" s="38"/>
      <c r="AK82" s="38"/>
      <c r="AL82" s="38"/>
    </row>
    <row r="83" spans="13:38">
      <c r="M83" s="41">
        <v>65</v>
      </c>
      <c r="N83" s="62" t="s">
        <v>320</v>
      </c>
      <c r="O83" s="62" t="s">
        <v>321</v>
      </c>
      <c r="P83" s="62"/>
      <c r="Q83" s="63">
        <v>982204</v>
      </c>
      <c r="R83" s="87">
        <f>AG31</f>
        <v>567879.31000000157</v>
      </c>
      <c r="S83" s="88"/>
      <c r="T83" s="88"/>
      <c r="U83" s="88"/>
      <c r="V83" s="67">
        <f t="shared" si="15"/>
        <v>414324.68999999843</v>
      </c>
      <c r="W83" s="68">
        <f t="shared" si="16"/>
        <v>25895.293124999902</v>
      </c>
      <c r="X83" s="67">
        <f t="shared" si="16"/>
        <v>36253.410374999869</v>
      </c>
      <c r="Y83" s="68">
        <f t="shared" si="17"/>
        <v>10358.117249999967</v>
      </c>
      <c r="Z83" s="38"/>
      <c r="AA83" s="38"/>
      <c r="AB83" s="38"/>
      <c r="AC83" s="38"/>
      <c r="AD83" s="38"/>
      <c r="AE83" s="38"/>
      <c r="AG83" s="65"/>
      <c r="AH83" s="38"/>
      <c r="AI83" s="38"/>
      <c r="AJ83" s="38"/>
      <c r="AK83" s="38"/>
      <c r="AL83" s="38"/>
    </row>
    <row r="84" spans="13:38">
      <c r="M84" s="41">
        <v>66</v>
      </c>
      <c r="N84" s="62" t="s">
        <v>322</v>
      </c>
      <c r="O84" s="62" t="s">
        <v>323</v>
      </c>
      <c r="P84" s="62"/>
      <c r="Q84" s="63">
        <v>0</v>
      </c>
      <c r="R84" s="88"/>
      <c r="S84" s="88"/>
      <c r="T84" s="88"/>
      <c r="U84" s="88"/>
      <c r="V84" s="67">
        <f t="shared" si="15"/>
        <v>0</v>
      </c>
      <c r="W84" s="68">
        <f t="shared" si="16"/>
        <v>0</v>
      </c>
      <c r="X84" s="67">
        <f t="shared" si="16"/>
        <v>0</v>
      </c>
      <c r="Y84" s="68">
        <f t="shared" si="17"/>
        <v>0</v>
      </c>
      <c r="Z84" s="38"/>
      <c r="AA84" s="38"/>
      <c r="AB84" s="38"/>
      <c r="AC84" s="38"/>
      <c r="AD84" s="38"/>
      <c r="AE84" s="38"/>
      <c r="AG84" s="65"/>
      <c r="AH84" s="38"/>
      <c r="AI84" s="38"/>
      <c r="AJ84" s="38"/>
      <c r="AK84" s="38"/>
      <c r="AL84" s="38"/>
    </row>
    <row r="85" spans="13:38">
      <c r="M85" s="41">
        <v>67</v>
      </c>
      <c r="N85" s="62" t="s">
        <v>324</v>
      </c>
      <c r="O85" s="62" t="s">
        <v>305</v>
      </c>
      <c r="P85" s="62"/>
      <c r="Q85" s="63">
        <v>211901</v>
      </c>
      <c r="R85" s="87">
        <f t="shared" ref="R85:R90" si="18">AG32</f>
        <v>121324.0402079999</v>
      </c>
      <c r="S85" s="88"/>
      <c r="T85" s="88"/>
      <c r="U85" s="88"/>
      <c r="V85" s="67">
        <f t="shared" si="15"/>
        <v>90576.959792000096</v>
      </c>
      <c r="W85" s="68">
        <f t="shared" si="16"/>
        <v>5661.059987000006</v>
      </c>
      <c r="X85" s="67">
        <f t="shared" si="16"/>
        <v>7925.4839818000091</v>
      </c>
      <c r="Y85" s="68">
        <f t="shared" si="17"/>
        <v>2264.4239948000031</v>
      </c>
      <c r="Z85" s="38"/>
      <c r="AA85" s="38"/>
      <c r="AB85" s="38"/>
      <c r="AC85" s="38"/>
      <c r="AD85" s="38"/>
      <c r="AE85" s="38"/>
      <c r="AG85" s="65"/>
      <c r="AH85" s="38"/>
      <c r="AI85" s="38"/>
      <c r="AJ85" s="38"/>
      <c r="AK85" s="38"/>
      <c r="AL85" s="38"/>
    </row>
    <row r="86" spans="13:38">
      <c r="M86" s="41">
        <v>68</v>
      </c>
      <c r="N86" s="62" t="s">
        <v>325</v>
      </c>
      <c r="O86" s="62" t="s">
        <v>307</v>
      </c>
      <c r="P86" s="62"/>
      <c r="Q86" s="63">
        <v>7827</v>
      </c>
      <c r="R86" s="87">
        <f t="shared" si="18"/>
        <v>5106.9345599999988</v>
      </c>
      <c r="S86" s="88"/>
      <c r="T86" s="88"/>
      <c r="U86" s="88"/>
      <c r="V86" s="67">
        <f t="shared" si="15"/>
        <v>2720.0654400000012</v>
      </c>
      <c r="W86" s="68">
        <f t="shared" si="16"/>
        <v>170.00409000000008</v>
      </c>
      <c r="X86" s="67">
        <f t="shared" si="16"/>
        <v>238.00572600000012</v>
      </c>
      <c r="Y86" s="68">
        <f t="shared" si="17"/>
        <v>68.001636000000047</v>
      </c>
      <c r="Z86" s="38"/>
      <c r="AA86" s="38"/>
      <c r="AB86" s="38"/>
      <c r="AC86" s="38"/>
      <c r="AD86" s="38"/>
      <c r="AE86" s="38"/>
      <c r="AG86" s="65"/>
      <c r="AH86" s="38"/>
      <c r="AI86" s="38"/>
      <c r="AJ86" s="38"/>
      <c r="AK86" s="38"/>
      <c r="AL86" s="38"/>
    </row>
    <row r="87" spans="13:38">
      <c r="M87" s="41">
        <v>69</v>
      </c>
      <c r="N87" s="62" t="s">
        <v>326</v>
      </c>
      <c r="O87" s="62" t="s">
        <v>309</v>
      </c>
      <c r="P87" s="62"/>
      <c r="Q87" s="63">
        <v>83430</v>
      </c>
      <c r="R87" s="87">
        <f t="shared" si="18"/>
        <v>37779.366959999999</v>
      </c>
      <c r="S87" s="88"/>
      <c r="T87" s="88"/>
      <c r="U87" s="88"/>
      <c r="V87" s="67">
        <f t="shared" si="15"/>
        <v>45650.633040000001</v>
      </c>
      <c r="W87" s="68">
        <f t="shared" si="16"/>
        <v>2853.164565</v>
      </c>
      <c r="X87" s="67">
        <f t="shared" si="16"/>
        <v>3994.4303910000003</v>
      </c>
      <c r="Y87" s="68">
        <f t="shared" si="17"/>
        <v>1141.2658260000003</v>
      </c>
      <c r="Z87" s="38"/>
      <c r="AA87" s="38"/>
      <c r="AB87" s="38"/>
      <c r="AC87" s="38"/>
      <c r="AD87" s="38"/>
      <c r="AE87" s="38"/>
      <c r="AG87" s="65"/>
      <c r="AH87" s="38"/>
      <c r="AI87" s="38"/>
      <c r="AJ87" s="38"/>
      <c r="AK87" s="38"/>
      <c r="AL87" s="38"/>
    </row>
    <row r="88" spans="13:38">
      <c r="M88" s="41">
        <v>70</v>
      </c>
      <c r="N88" s="62" t="s">
        <v>327</v>
      </c>
      <c r="O88" s="62" t="s">
        <v>328</v>
      </c>
      <c r="P88" s="62"/>
      <c r="Q88" s="63">
        <v>1074003</v>
      </c>
      <c r="R88" s="87">
        <f t="shared" si="18"/>
        <v>565851.65000000072</v>
      </c>
      <c r="S88" s="88"/>
      <c r="T88" s="88"/>
      <c r="U88" s="63">
        <v>-1607</v>
      </c>
      <c r="V88" s="67">
        <f t="shared" si="15"/>
        <v>506544.34999999928</v>
      </c>
      <c r="W88" s="68">
        <f t="shared" si="16"/>
        <v>31659.021874999955</v>
      </c>
      <c r="X88" s="67">
        <f t="shared" si="16"/>
        <v>44322.63062499994</v>
      </c>
      <c r="Y88" s="68">
        <f t="shared" si="17"/>
        <v>12663.608749999985</v>
      </c>
      <c r="Z88" s="38"/>
      <c r="AA88" s="38"/>
      <c r="AB88" s="38"/>
      <c r="AC88" s="38"/>
      <c r="AD88" s="38"/>
      <c r="AE88" s="38"/>
      <c r="AG88" s="65"/>
      <c r="AH88" s="38"/>
      <c r="AI88" s="38"/>
      <c r="AJ88" s="38"/>
      <c r="AK88" s="38"/>
      <c r="AL88" s="38"/>
    </row>
    <row r="89" spans="13:38">
      <c r="M89" s="41">
        <v>71</v>
      </c>
      <c r="N89" s="62" t="s">
        <v>329</v>
      </c>
      <c r="O89" s="62" t="s">
        <v>330</v>
      </c>
      <c r="P89" s="62"/>
      <c r="Q89" s="63">
        <v>1530870</v>
      </c>
      <c r="R89" s="87">
        <f t="shared" si="18"/>
        <v>989093.59601600037</v>
      </c>
      <c r="S89" s="88"/>
      <c r="T89" s="88"/>
      <c r="U89" s="88"/>
      <c r="V89" s="67">
        <f t="shared" si="15"/>
        <v>541776.40398399963</v>
      </c>
      <c r="W89" s="68">
        <f t="shared" si="16"/>
        <v>33861.025248999977</v>
      </c>
      <c r="X89" s="67">
        <f t="shared" si="16"/>
        <v>47405.435348599975</v>
      </c>
      <c r="Y89" s="68">
        <f t="shared" si="17"/>
        <v>13544.410099599998</v>
      </c>
      <c r="Z89" s="38"/>
      <c r="AA89" s="38"/>
      <c r="AB89" s="38"/>
      <c r="AC89" s="38"/>
      <c r="AD89" s="38"/>
      <c r="AE89" s="38"/>
      <c r="AG89" s="65"/>
      <c r="AH89" s="38"/>
      <c r="AI89" s="38"/>
      <c r="AJ89" s="38"/>
      <c r="AK89" s="38"/>
      <c r="AL89" s="38"/>
    </row>
    <row r="90" spans="13:38">
      <c r="M90" s="41">
        <v>72</v>
      </c>
      <c r="N90" s="62" t="s">
        <v>331</v>
      </c>
      <c r="O90" s="62" t="s">
        <v>294</v>
      </c>
      <c r="P90" s="62"/>
      <c r="Q90" s="63">
        <v>120823</v>
      </c>
      <c r="R90" s="87">
        <f t="shared" si="18"/>
        <v>73706.933952000021</v>
      </c>
      <c r="S90" s="88"/>
      <c r="T90" s="88"/>
      <c r="U90" s="88"/>
      <c r="V90" s="67">
        <f t="shared" si="15"/>
        <v>47116.066047999979</v>
      </c>
      <c r="W90" s="68">
        <f t="shared" si="16"/>
        <v>2944.7541279999987</v>
      </c>
      <c r="X90" s="67">
        <f t="shared" si="16"/>
        <v>4122.6557791999985</v>
      </c>
      <c r="Y90" s="68">
        <f t="shared" si="17"/>
        <v>1177.9016511999998</v>
      </c>
      <c r="Z90" s="38"/>
      <c r="AA90" s="38"/>
      <c r="AB90" s="38"/>
      <c r="AC90" s="38"/>
      <c r="AD90" s="38"/>
      <c r="AE90" s="38"/>
      <c r="AG90" s="65"/>
      <c r="AH90" s="38"/>
      <c r="AI90" s="38"/>
      <c r="AJ90" s="38"/>
      <c r="AK90" s="38"/>
      <c r="AL90" s="38"/>
    </row>
    <row r="91" spans="13:38">
      <c r="M91" s="41">
        <v>73</v>
      </c>
      <c r="N91" s="64"/>
      <c r="O91" s="64" t="s">
        <v>332</v>
      </c>
      <c r="P91" s="64"/>
      <c r="Q91" s="72">
        <f t="shared" ref="Q91:Y91" si="19">SUM(Q82:Q86)+ SUM(Q87:Q90)</f>
        <v>4025972</v>
      </c>
      <c r="R91" s="72">
        <f t="shared" si="19"/>
        <v>2368360.8616960025</v>
      </c>
      <c r="S91" s="72">
        <f t="shared" si="19"/>
        <v>0</v>
      </c>
      <c r="T91" s="72">
        <f t="shared" si="19"/>
        <v>0</v>
      </c>
      <c r="U91" s="72">
        <f t="shared" si="19"/>
        <v>-1607</v>
      </c>
      <c r="V91" s="73">
        <f t="shared" si="19"/>
        <v>1656004.1383039975</v>
      </c>
      <c r="W91" s="74">
        <f t="shared" si="19"/>
        <v>103500.25864399984</v>
      </c>
      <c r="X91" s="73">
        <f t="shared" si="19"/>
        <v>144900.36210159978</v>
      </c>
      <c r="Y91" s="74">
        <f t="shared" si="19"/>
        <v>41400.103457599958</v>
      </c>
      <c r="Z91" s="38"/>
      <c r="AA91" s="38"/>
      <c r="AB91" s="38"/>
      <c r="AC91" s="38"/>
      <c r="AD91" s="38"/>
      <c r="AE91" s="38"/>
      <c r="AG91" s="65"/>
      <c r="AH91" s="38"/>
      <c r="AI91" s="38"/>
      <c r="AJ91" s="38"/>
      <c r="AK91" s="38"/>
      <c r="AL91" s="38"/>
    </row>
    <row r="92" spans="13:38">
      <c r="M92" s="41">
        <v>74</v>
      </c>
      <c r="N92" s="62"/>
      <c r="O92" s="62"/>
      <c r="P92" s="62"/>
      <c r="Q92" s="75"/>
      <c r="R92" s="75"/>
      <c r="S92" s="75"/>
      <c r="T92" s="75"/>
      <c r="U92" s="75"/>
      <c r="V92" s="76"/>
      <c r="W92" s="77"/>
      <c r="X92" s="76"/>
      <c r="Y92" s="77"/>
      <c r="Z92" s="38"/>
      <c r="AA92" s="38"/>
      <c r="AB92" s="38"/>
      <c r="AC92" s="38"/>
      <c r="AD92" s="38"/>
      <c r="AE92" s="38"/>
      <c r="AG92" s="65"/>
      <c r="AH92" s="38"/>
      <c r="AI92" s="38"/>
      <c r="AJ92" s="38"/>
      <c r="AK92" s="38"/>
      <c r="AL92" s="38"/>
    </row>
    <row r="93" spans="13:38">
      <c r="M93" s="41">
        <v>75</v>
      </c>
      <c r="N93" s="64"/>
      <c r="O93" s="64" t="s">
        <v>333</v>
      </c>
      <c r="P93" s="64"/>
      <c r="Q93" s="89">
        <f t="shared" ref="Q93:Y93" si="20">Q80+Q91</f>
        <v>12915616</v>
      </c>
      <c r="R93" s="89">
        <f t="shared" si="20"/>
        <v>7835909.012889009</v>
      </c>
      <c r="S93" s="89">
        <f t="shared" si="20"/>
        <v>0</v>
      </c>
      <c r="T93" s="89">
        <f t="shared" si="20"/>
        <v>0</v>
      </c>
      <c r="U93" s="89">
        <f t="shared" si="20"/>
        <v>-4565</v>
      </c>
      <c r="V93" s="90">
        <f t="shared" si="20"/>
        <v>5075141.987110991</v>
      </c>
      <c r="W93" s="91">
        <f t="shared" si="20"/>
        <v>317196.37419443694</v>
      </c>
      <c r="X93" s="90">
        <f t="shared" si="20"/>
        <v>444074.92387221172</v>
      </c>
      <c r="Y93" s="91">
        <f t="shared" si="20"/>
        <v>126878.54967777483</v>
      </c>
      <c r="Z93" s="38"/>
      <c r="AA93" s="38"/>
      <c r="AB93" s="38"/>
      <c r="AC93" s="38"/>
      <c r="AD93" s="38"/>
      <c r="AE93" s="38"/>
      <c r="AG93" s="65"/>
      <c r="AH93" s="38"/>
      <c r="AI93" s="38"/>
      <c r="AJ93" s="38"/>
      <c r="AK93" s="38"/>
      <c r="AL93" s="38"/>
    </row>
    <row r="94" spans="13:38">
      <c r="M94" s="41">
        <v>76</v>
      </c>
      <c r="N94" s="62"/>
      <c r="O94" s="62"/>
      <c r="P94" s="62"/>
      <c r="Q94" s="63"/>
      <c r="R94" s="63"/>
      <c r="S94" s="63"/>
      <c r="T94" s="63"/>
      <c r="U94" s="63"/>
      <c r="V94" s="78"/>
      <c r="W94" s="79"/>
      <c r="X94" s="78"/>
      <c r="Y94" s="68">
        <f t="shared" ref="Y94:Y100" si="21">X94-W94</f>
        <v>0</v>
      </c>
      <c r="Z94" s="38"/>
      <c r="AA94" s="38"/>
      <c r="AB94" s="38"/>
      <c r="AC94" s="38"/>
      <c r="AD94" s="38"/>
      <c r="AE94" s="38"/>
      <c r="AG94" s="65"/>
      <c r="AH94" s="38"/>
      <c r="AI94" s="38"/>
      <c r="AJ94" s="38"/>
      <c r="AK94" s="38"/>
      <c r="AL94" s="38"/>
    </row>
    <row r="95" spans="13:38">
      <c r="M95" s="41">
        <v>77</v>
      </c>
      <c r="N95" s="62"/>
      <c r="O95" s="64" t="s">
        <v>142</v>
      </c>
      <c r="P95" s="62"/>
      <c r="Q95" s="63"/>
      <c r="R95" s="63"/>
      <c r="S95" s="63"/>
      <c r="T95" s="63"/>
      <c r="U95" s="63"/>
      <c r="V95" s="78"/>
      <c r="W95" s="79"/>
      <c r="X95" s="78"/>
      <c r="Y95" s="68">
        <f t="shared" si="21"/>
        <v>0</v>
      </c>
      <c r="Z95" s="38"/>
      <c r="AA95" s="38"/>
      <c r="AB95" s="38"/>
      <c r="AC95" s="38"/>
      <c r="AD95" s="38"/>
      <c r="AE95" s="38"/>
      <c r="AG95" s="65"/>
      <c r="AH95" s="38"/>
      <c r="AI95" s="38"/>
      <c r="AJ95" s="38"/>
      <c r="AK95" s="38"/>
      <c r="AL95" s="38"/>
    </row>
    <row r="96" spans="13:38">
      <c r="M96" s="41">
        <v>78</v>
      </c>
      <c r="N96" s="62" t="s">
        <v>143</v>
      </c>
      <c r="O96" s="62" t="s">
        <v>144</v>
      </c>
      <c r="P96" s="62"/>
      <c r="Q96" s="63">
        <v>56410</v>
      </c>
      <c r="R96" s="63">
        <f>AG38</f>
        <v>57779.495999999992</v>
      </c>
      <c r="S96" s="63"/>
      <c r="T96" s="63"/>
      <c r="U96" s="63"/>
      <c r="V96" s="67">
        <f>Q96-SUM(R96:T96)+U96</f>
        <v>-1369.4959999999919</v>
      </c>
      <c r="W96" s="68">
        <f t="shared" ref="W96:X100" si="22">$V96*W$17</f>
        <v>-85.593499999999494</v>
      </c>
      <c r="X96" s="67">
        <f t="shared" si="22"/>
        <v>-119.8308999999993</v>
      </c>
      <c r="Y96" s="68">
        <f t="shared" si="21"/>
        <v>-34.237399999999809</v>
      </c>
      <c r="Z96" s="38"/>
      <c r="AA96" s="38"/>
      <c r="AB96" s="38"/>
      <c r="AC96" s="38"/>
      <c r="AD96" s="38"/>
      <c r="AE96" s="38"/>
      <c r="AG96" s="65"/>
      <c r="AH96" s="38"/>
      <c r="AI96" s="38"/>
      <c r="AJ96" s="38"/>
      <c r="AK96" s="38"/>
      <c r="AL96" s="38"/>
    </row>
    <row r="97" spans="13:38">
      <c r="M97" s="41">
        <v>79</v>
      </c>
      <c r="N97" s="62" t="s">
        <v>145</v>
      </c>
      <c r="O97" s="62" t="s">
        <v>146</v>
      </c>
      <c r="P97" s="62"/>
      <c r="Q97" s="63">
        <v>334068</v>
      </c>
      <c r="R97" s="63">
        <f>AG39</f>
        <v>234846.55489290011</v>
      </c>
      <c r="S97" s="63"/>
      <c r="T97" s="63"/>
      <c r="U97" s="63">
        <v>0</v>
      </c>
      <c r="V97" s="67">
        <f>Q97-SUM(R97:T97)+U97</f>
        <v>99221.445107099891</v>
      </c>
      <c r="W97" s="68">
        <f t="shared" si="22"/>
        <v>6201.3403191937432</v>
      </c>
      <c r="X97" s="67">
        <f t="shared" si="22"/>
        <v>8681.8764468712416</v>
      </c>
      <c r="Y97" s="68">
        <f t="shared" si="21"/>
        <v>2480.5361276774984</v>
      </c>
      <c r="Z97" s="38"/>
      <c r="AA97" s="38"/>
      <c r="AB97" s="38"/>
      <c r="AC97" s="38"/>
      <c r="AD97" s="38"/>
      <c r="AE97" s="38"/>
      <c r="AG97" s="65"/>
      <c r="AH97" s="38"/>
      <c r="AI97" s="38"/>
      <c r="AJ97" s="38"/>
      <c r="AK97" s="38"/>
      <c r="AL97" s="38"/>
    </row>
    <row r="98" spans="13:38">
      <c r="M98" s="41">
        <v>80</v>
      </c>
      <c r="N98" s="62" t="s">
        <v>147</v>
      </c>
      <c r="O98" s="62" t="s">
        <v>334</v>
      </c>
      <c r="P98" s="62"/>
      <c r="Q98" s="63">
        <v>3431676</v>
      </c>
      <c r="R98" s="63">
        <f>AG40</f>
        <v>1948854.2636049024</v>
      </c>
      <c r="S98" s="63"/>
      <c r="T98" s="63"/>
      <c r="U98" s="63"/>
      <c r="V98" s="67">
        <f>Q98-SUM(R98:T98)+U98</f>
        <v>1482821.7363950976</v>
      </c>
      <c r="W98" s="68">
        <f t="shared" si="22"/>
        <v>92676.358524693598</v>
      </c>
      <c r="X98" s="67">
        <f t="shared" si="22"/>
        <v>129746.90193457105</v>
      </c>
      <c r="Y98" s="68">
        <f t="shared" si="21"/>
        <v>37070.543409877457</v>
      </c>
      <c r="Z98" s="38"/>
      <c r="AA98" s="38"/>
      <c r="AB98" s="38"/>
      <c r="AC98" s="38"/>
      <c r="AD98" s="38"/>
      <c r="AE98" s="38"/>
      <c r="AF98" s="38"/>
      <c r="AG98" s="65"/>
      <c r="AH98" s="38"/>
      <c r="AI98" s="38"/>
      <c r="AJ98" s="38"/>
      <c r="AK98" s="38"/>
      <c r="AL98" s="38"/>
    </row>
    <row r="99" spans="13:38">
      <c r="M99" s="41">
        <v>81</v>
      </c>
      <c r="N99" s="62" t="s">
        <v>148</v>
      </c>
      <c r="O99" s="62" t="s">
        <v>149</v>
      </c>
      <c r="P99" s="62"/>
      <c r="Q99" s="63">
        <v>15712</v>
      </c>
      <c r="R99" s="63"/>
      <c r="S99" s="63"/>
      <c r="T99" s="63">
        <v>15712</v>
      </c>
      <c r="U99" s="63"/>
      <c r="V99" s="67">
        <f>Q99-SUM(R99:T99)+U99</f>
        <v>0</v>
      </c>
      <c r="W99" s="68">
        <f t="shared" si="22"/>
        <v>0</v>
      </c>
      <c r="X99" s="67">
        <f t="shared" si="22"/>
        <v>0</v>
      </c>
      <c r="Y99" s="68">
        <f t="shared" si="21"/>
        <v>0</v>
      </c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</row>
    <row r="100" spans="13:38">
      <c r="M100" s="41">
        <v>82</v>
      </c>
      <c r="N100" s="62" t="s">
        <v>150</v>
      </c>
      <c r="O100" s="62" t="s">
        <v>151</v>
      </c>
      <c r="P100" s="62"/>
      <c r="Q100" s="63">
        <v>154636</v>
      </c>
      <c r="R100" s="63">
        <f>AG41</f>
        <v>130355.39619130027</v>
      </c>
      <c r="S100" s="63"/>
      <c r="T100" s="63"/>
      <c r="U100" s="63"/>
      <c r="V100" s="67">
        <f>Q100-SUM(R100:T100)+U100</f>
        <v>24280.603808699729</v>
      </c>
      <c r="W100" s="68">
        <f t="shared" si="22"/>
        <v>1517.537738043733</v>
      </c>
      <c r="X100" s="67">
        <f t="shared" si="22"/>
        <v>2124.5528332612266</v>
      </c>
      <c r="Y100" s="68">
        <f t="shared" si="21"/>
        <v>607.01509521749358</v>
      </c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</row>
    <row r="101" spans="13:38">
      <c r="M101" s="41">
        <v>83</v>
      </c>
      <c r="N101" s="64"/>
      <c r="O101" s="64" t="s">
        <v>152</v>
      </c>
      <c r="P101" s="64"/>
      <c r="Q101" s="72">
        <f t="shared" ref="Q101:Y101" si="23">SUM(Q96:Q100)</f>
        <v>3992502</v>
      </c>
      <c r="R101" s="72">
        <f t="shared" si="23"/>
        <v>2371835.7106891028</v>
      </c>
      <c r="S101" s="72">
        <f t="shared" si="23"/>
        <v>0</v>
      </c>
      <c r="T101" s="72">
        <f t="shared" si="23"/>
        <v>15712</v>
      </c>
      <c r="U101" s="72">
        <f t="shared" si="23"/>
        <v>0</v>
      </c>
      <c r="V101" s="73">
        <f t="shared" si="23"/>
        <v>1604954.2893108972</v>
      </c>
      <c r="W101" s="74">
        <f t="shared" si="23"/>
        <v>100309.64308193108</v>
      </c>
      <c r="X101" s="73">
        <f t="shared" si="23"/>
        <v>140433.50031470353</v>
      </c>
      <c r="Y101" s="74">
        <f t="shared" si="23"/>
        <v>40123.857232772447</v>
      </c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</row>
    <row r="102" spans="13:38">
      <c r="M102" s="41">
        <v>84</v>
      </c>
      <c r="N102" s="62"/>
      <c r="O102" s="62"/>
      <c r="P102" s="62"/>
      <c r="Q102" s="63"/>
      <c r="R102" s="63"/>
      <c r="S102" s="63"/>
      <c r="T102" s="63"/>
      <c r="U102" s="63"/>
      <c r="V102" s="78"/>
      <c r="W102" s="79"/>
      <c r="X102" s="78"/>
      <c r="Y102" s="79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</row>
    <row r="103" spans="13:38">
      <c r="M103" s="41">
        <v>85</v>
      </c>
      <c r="N103" s="62"/>
      <c r="O103" s="64" t="s">
        <v>335</v>
      </c>
      <c r="P103" s="62"/>
      <c r="Q103" s="63"/>
      <c r="R103" s="63"/>
      <c r="S103" s="63"/>
      <c r="T103" s="63"/>
      <c r="U103" s="63"/>
      <c r="V103" s="78"/>
      <c r="W103" s="79"/>
      <c r="X103" s="78"/>
      <c r="Y103" s="79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</row>
    <row r="104" spans="13:38">
      <c r="M104" s="41">
        <v>86</v>
      </c>
      <c r="N104" s="62" t="s">
        <v>153</v>
      </c>
      <c r="O104" s="62" t="s">
        <v>144</v>
      </c>
      <c r="P104" s="62"/>
      <c r="Q104" s="63">
        <v>0</v>
      </c>
      <c r="R104" s="63"/>
      <c r="S104" s="63"/>
      <c r="T104" s="63"/>
      <c r="U104" s="63"/>
      <c r="V104" s="67">
        <f>Q104-SUM(R104:T104)+U104</f>
        <v>0</v>
      </c>
      <c r="W104" s="68">
        <f t="shared" ref="W104:X107" si="24">$V104*W$17</f>
        <v>0</v>
      </c>
      <c r="X104" s="67">
        <f t="shared" si="24"/>
        <v>0</v>
      </c>
      <c r="Y104" s="68">
        <f>X104-W104</f>
        <v>0</v>
      </c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</row>
    <row r="105" spans="13:38">
      <c r="M105" s="41">
        <v>87</v>
      </c>
      <c r="N105" s="62" t="s">
        <v>154</v>
      </c>
      <c r="O105" s="62" t="s">
        <v>155</v>
      </c>
      <c r="P105" s="62"/>
      <c r="Q105" s="63">
        <v>13605984</v>
      </c>
      <c r="R105" s="63">
        <f>AG42</f>
        <v>133598.04493890004</v>
      </c>
      <c r="S105" s="63"/>
      <c r="T105" s="63"/>
      <c r="U105" s="63">
        <f>-(13328241+2246)</f>
        <v>-13330487</v>
      </c>
      <c r="V105" s="67">
        <f>Q105-SUM(R105:T105)+U105</f>
        <v>141898.95506110042</v>
      </c>
      <c r="W105" s="68">
        <f t="shared" si="24"/>
        <v>8868.6846913187765</v>
      </c>
      <c r="X105" s="67">
        <f t="shared" si="24"/>
        <v>12416.158567846289</v>
      </c>
      <c r="Y105" s="68">
        <f>X105-W105</f>
        <v>3547.4738765275124</v>
      </c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</row>
    <row r="106" spans="13:38">
      <c r="M106" s="41">
        <v>88</v>
      </c>
      <c r="N106" s="62" t="s">
        <v>156</v>
      </c>
      <c r="O106" s="62" t="s">
        <v>157</v>
      </c>
      <c r="P106" s="62"/>
      <c r="Q106" s="63">
        <v>358346</v>
      </c>
      <c r="R106" s="63">
        <f>AG43</f>
        <v>13113.587210500002</v>
      </c>
      <c r="S106" s="63"/>
      <c r="T106" s="63"/>
      <c r="U106" s="63">
        <v>-1450</v>
      </c>
      <c r="V106" s="67">
        <f>Q106-SUM(R106:T106)+U106</f>
        <v>343782.41278949997</v>
      </c>
      <c r="W106" s="68">
        <f t="shared" si="24"/>
        <v>21486.400799343748</v>
      </c>
      <c r="X106" s="67">
        <f t="shared" si="24"/>
        <v>30080.96111908125</v>
      </c>
      <c r="Y106" s="68">
        <f>X106-W106</f>
        <v>8594.5603197375021</v>
      </c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</row>
    <row r="107" spans="13:38">
      <c r="M107" s="41">
        <v>89</v>
      </c>
      <c r="N107" s="62" t="s">
        <v>158</v>
      </c>
      <c r="O107" s="62" t="s">
        <v>336</v>
      </c>
      <c r="P107" s="62"/>
      <c r="Q107" s="63">
        <v>102768</v>
      </c>
      <c r="R107" s="63">
        <f>AG44</f>
        <v>20261.360601999993</v>
      </c>
      <c r="S107" s="63"/>
      <c r="T107" s="63"/>
      <c r="U107" s="63">
        <v>-4</v>
      </c>
      <c r="V107" s="67">
        <f>Q107-SUM(R107:T107)+U107</f>
        <v>82502.639397999999</v>
      </c>
      <c r="W107" s="68">
        <f t="shared" si="24"/>
        <v>5156.414962375</v>
      </c>
      <c r="X107" s="67">
        <f t="shared" si="24"/>
        <v>7218.9809473250007</v>
      </c>
      <c r="Y107" s="68">
        <f>X107-W107</f>
        <v>2062.5659849500007</v>
      </c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</row>
    <row r="108" spans="13:38">
      <c r="M108" s="41">
        <v>90</v>
      </c>
      <c r="N108" s="64"/>
      <c r="O108" s="64" t="s">
        <v>337</v>
      </c>
      <c r="P108" s="64"/>
      <c r="Q108" s="72">
        <f t="shared" ref="Q108:Y108" si="25">SUM(Q104:Q107)</f>
        <v>14067098</v>
      </c>
      <c r="R108" s="72">
        <f t="shared" si="25"/>
        <v>166972.99275140004</v>
      </c>
      <c r="S108" s="72">
        <f t="shared" si="25"/>
        <v>0</v>
      </c>
      <c r="T108" s="72">
        <f t="shared" si="25"/>
        <v>0</v>
      </c>
      <c r="U108" s="72">
        <f t="shared" si="25"/>
        <v>-13331941</v>
      </c>
      <c r="V108" s="73">
        <f t="shared" si="25"/>
        <v>568184.00724860036</v>
      </c>
      <c r="W108" s="74">
        <f t="shared" si="25"/>
        <v>35511.500453037523</v>
      </c>
      <c r="X108" s="73">
        <f t="shared" si="25"/>
        <v>49716.100634252536</v>
      </c>
      <c r="Y108" s="74">
        <f t="shared" si="25"/>
        <v>14204.600181215015</v>
      </c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</row>
    <row r="109" spans="13:38">
      <c r="M109" s="41">
        <v>91</v>
      </c>
      <c r="N109" s="62"/>
      <c r="O109" s="62"/>
      <c r="P109" s="62"/>
      <c r="Q109" s="63"/>
      <c r="R109" s="63"/>
      <c r="S109" s="63"/>
      <c r="T109" s="63"/>
      <c r="U109" s="63"/>
      <c r="V109" s="78"/>
      <c r="W109" s="79"/>
      <c r="X109" s="78"/>
      <c r="Y109" s="79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</row>
    <row r="110" spans="13:38">
      <c r="M110" s="41">
        <v>92</v>
      </c>
      <c r="N110" s="62"/>
      <c r="O110" s="64" t="s">
        <v>159</v>
      </c>
      <c r="P110" s="62"/>
      <c r="Q110" s="63"/>
      <c r="R110" s="63"/>
      <c r="S110" s="63"/>
      <c r="T110" s="63"/>
      <c r="U110" s="63"/>
      <c r="V110" s="78"/>
      <c r="W110" s="79"/>
      <c r="X110" s="78"/>
      <c r="Y110" s="79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</row>
    <row r="111" spans="13:38">
      <c r="M111" s="41">
        <v>93</v>
      </c>
      <c r="N111" s="62" t="s">
        <v>160</v>
      </c>
      <c r="O111" s="62" t="s">
        <v>144</v>
      </c>
      <c r="P111" s="62"/>
      <c r="Q111" s="63">
        <v>0</v>
      </c>
      <c r="R111" s="88"/>
      <c r="S111" s="88"/>
      <c r="T111" s="88"/>
      <c r="U111" s="88"/>
      <c r="V111" s="67">
        <f>Q111-SUM(R111:T111)+U111</f>
        <v>0</v>
      </c>
      <c r="W111" s="68">
        <f t="shared" ref="W111:X114" si="26">$V111*W$17</f>
        <v>0</v>
      </c>
      <c r="X111" s="67">
        <f t="shared" si="26"/>
        <v>0</v>
      </c>
      <c r="Y111" s="68">
        <f>X111-W111</f>
        <v>0</v>
      </c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</row>
    <row r="112" spans="13:38">
      <c r="M112" s="41">
        <v>94</v>
      </c>
      <c r="N112" s="62" t="s">
        <v>161</v>
      </c>
      <c r="O112" s="62" t="s">
        <v>162</v>
      </c>
      <c r="P112" s="62"/>
      <c r="Q112" s="63">
        <v>0</v>
      </c>
      <c r="R112" s="88"/>
      <c r="S112" s="88"/>
      <c r="T112" s="88"/>
      <c r="U112" s="88"/>
      <c r="V112" s="67">
        <f>Q112-SUM(R112:T112)+U112</f>
        <v>0</v>
      </c>
      <c r="W112" s="68">
        <f t="shared" si="26"/>
        <v>0</v>
      </c>
      <c r="X112" s="67">
        <f t="shared" si="26"/>
        <v>0</v>
      </c>
      <c r="Y112" s="68">
        <f>X112-W112</f>
        <v>0</v>
      </c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</row>
    <row r="113" spans="13:38">
      <c r="M113" s="41">
        <v>95</v>
      </c>
      <c r="N113" s="62" t="s">
        <v>163</v>
      </c>
      <c r="O113" s="62" t="s">
        <v>164</v>
      </c>
      <c r="P113" s="62"/>
      <c r="Q113" s="63">
        <v>0</v>
      </c>
      <c r="R113" s="88"/>
      <c r="S113" s="88"/>
      <c r="T113" s="88"/>
      <c r="U113" s="88"/>
      <c r="V113" s="67">
        <f>Q113-SUM(R113:T113)+U113</f>
        <v>0</v>
      </c>
      <c r="W113" s="68">
        <f t="shared" si="26"/>
        <v>0</v>
      </c>
      <c r="X113" s="67">
        <f t="shared" si="26"/>
        <v>0</v>
      </c>
      <c r="Y113" s="68">
        <f>X113-W113</f>
        <v>0</v>
      </c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</row>
    <row r="114" spans="13:38">
      <c r="M114" s="41">
        <v>96</v>
      </c>
      <c r="N114" s="62" t="s">
        <v>165</v>
      </c>
      <c r="O114" s="62" t="s">
        <v>166</v>
      </c>
      <c r="P114" s="62"/>
      <c r="Q114" s="63">
        <v>279</v>
      </c>
      <c r="R114" s="88"/>
      <c r="S114" s="88"/>
      <c r="T114" s="88"/>
      <c r="U114" s="88"/>
      <c r="V114" s="67">
        <f>Q114-SUM(R114:T114)+U114</f>
        <v>279</v>
      </c>
      <c r="W114" s="68">
        <f t="shared" si="26"/>
        <v>17.4375</v>
      </c>
      <c r="X114" s="67">
        <f t="shared" si="26"/>
        <v>24.412500000000001</v>
      </c>
      <c r="Y114" s="68">
        <f>X114-W114</f>
        <v>6.9750000000000014</v>
      </c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</row>
    <row r="115" spans="13:38">
      <c r="M115" s="41">
        <v>97</v>
      </c>
      <c r="N115" s="64"/>
      <c r="O115" s="64" t="s">
        <v>167</v>
      </c>
      <c r="P115" s="64"/>
      <c r="Q115" s="72">
        <f t="shared" ref="Q115:Y115" si="27">SUM(Q111:Q114)</f>
        <v>279</v>
      </c>
      <c r="R115" s="72">
        <f t="shared" si="27"/>
        <v>0</v>
      </c>
      <c r="S115" s="72">
        <f t="shared" si="27"/>
        <v>0</v>
      </c>
      <c r="T115" s="72">
        <f t="shared" si="27"/>
        <v>0</v>
      </c>
      <c r="U115" s="72">
        <f t="shared" si="27"/>
        <v>0</v>
      </c>
      <c r="V115" s="73">
        <f t="shared" si="27"/>
        <v>279</v>
      </c>
      <c r="W115" s="74">
        <f t="shared" si="27"/>
        <v>17.4375</v>
      </c>
      <c r="X115" s="73">
        <f t="shared" si="27"/>
        <v>24.412500000000001</v>
      </c>
      <c r="Y115" s="74">
        <f t="shared" si="27"/>
        <v>6.9750000000000014</v>
      </c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</row>
    <row r="116" spans="13:38">
      <c r="M116" s="41">
        <v>98</v>
      </c>
      <c r="N116" s="62"/>
      <c r="O116" s="62"/>
      <c r="P116" s="62"/>
      <c r="Q116" s="63"/>
      <c r="R116" s="63"/>
      <c r="S116" s="63"/>
      <c r="T116" s="63"/>
      <c r="U116" s="63"/>
      <c r="V116" s="78"/>
      <c r="W116" s="79"/>
      <c r="X116" s="78"/>
      <c r="Y116" s="79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</row>
    <row r="117" spans="13:38">
      <c r="M117" s="41">
        <v>99</v>
      </c>
      <c r="N117" s="64"/>
      <c r="O117" s="64" t="s">
        <v>168</v>
      </c>
      <c r="P117" s="64"/>
      <c r="Q117" s="89">
        <f t="shared" ref="Q117:Y117" si="28">Q115+Q108+Q101+Q93+Q65+Q42</f>
        <v>182516488</v>
      </c>
      <c r="R117" s="89">
        <f t="shared" si="28"/>
        <v>11045334.218047911</v>
      </c>
      <c r="S117" s="89">
        <f t="shared" si="28"/>
        <v>148698047</v>
      </c>
      <c r="T117" s="89">
        <f t="shared" si="28"/>
        <v>15712</v>
      </c>
      <c r="U117" s="89">
        <f t="shared" si="28"/>
        <v>-13336506</v>
      </c>
      <c r="V117" s="90">
        <f t="shared" si="28"/>
        <v>9420888.7819520887</v>
      </c>
      <c r="W117" s="91">
        <f t="shared" si="28"/>
        <v>588805.54887200554</v>
      </c>
      <c r="X117" s="90">
        <f t="shared" si="28"/>
        <v>824327.76842080778</v>
      </c>
      <c r="Y117" s="91">
        <f t="shared" si="28"/>
        <v>235522.21954880233</v>
      </c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</row>
    <row r="118" spans="13:38">
      <c r="M118" s="41">
        <v>100</v>
      </c>
      <c r="N118" s="62"/>
      <c r="O118" s="64" t="s">
        <v>169</v>
      </c>
      <c r="P118" s="62"/>
      <c r="Q118" s="83"/>
      <c r="R118" s="88"/>
      <c r="S118" s="88"/>
      <c r="T118" s="88"/>
      <c r="U118" s="88"/>
      <c r="V118" s="67"/>
      <c r="W118" s="68"/>
      <c r="X118" s="67"/>
      <c r="Y118" s="6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</row>
    <row r="119" spans="13:38">
      <c r="M119" s="41">
        <v>101</v>
      </c>
      <c r="N119" s="62" t="s">
        <v>170</v>
      </c>
      <c r="O119" s="62" t="s">
        <v>338</v>
      </c>
      <c r="P119" s="62"/>
      <c r="Q119" s="63">
        <v>6401276</v>
      </c>
      <c r="R119" s="63">
        <f>AG45</f>
        <v>5385107.7441059863</v>
      </c>
      <c r="S119" s="63"/>
      <c r="T119" s="63">
        <f>(7070465+673132)*AE58*AF58</f>
        <v>1150478.7261376295</v>
      </c>
      <c r="U119" s="63">
        <v>-210612</v>
      </c>
      <c r="V119" s="67">
        <f t="shared" ref="V119:V130" si="29">Q119-SUM(R119:T119)+U119</f>
        <v>-344922.47024361603</v>
      </c>
      <c r="W119" s="68">
        <f t="shared" ref="W119:X130" si="30">$V119*W$17</f>
        <v>-21557.654390226002</v>
      </c>
      <c r="X119" s="67">
        <f t="shared" si="30"/>
        <v>-30180.716146316405</v>
      </c>
      <c r="Y119" s="68">
        <f t="shared" ref="Y119:Y130" si="31">X119-W119</f>
        <v>-8623.0617560904029</v>
      </c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</row>
    <row r="120" spans="13:38">
      <c r="M120" s="41">
        <v>102</v>
      </c>
      <c r="N120" s="62" t="s">
        <v>171</v>
      </c>
      <c r="O120" s="62" t="s">
        <v>172</v>
      </c>
      <c r="P120" s="62"/>
      <c r="Q120" s="63">
        <v>855551</v>
      </c>
      <c r="R120" s="63">
        <f>AG46</f>
        <v>40272.579513600809</v>
      </c>
      <c r="S120" s="63"/>
      <c r="T120" s="92">
        <v>0</v>
      </c>
      <c r="U120" s="63">
        <v>-235</v>
      </c>
      <c r="V120" s="67">
        <f t="shared" si="29"/>
        <v>815043.42048639921</v>
      </c>
      <c r="W120" s="68">
        <f t="shared" si="30"/>
        <v>50940.21378039995</v>
      </c>
      <c r="X120" s="67">
        <f t="shared" si="30"/>
        <v>71316.299292559939</v>
      </c>
      <c r="Y120" s="68">
        <f t="shared" si="31"/>
        <v>20376.085512159989</v>
      </c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</row>
    <row r="121" spans="13:38">
      <c r="M121" s="41">
        <v>103</v>
      </c>
      <c r="N121" s="62" t="s">
        <v>173</v>
      </c>
      <c r="O121" s="62" t="s">
        <v>339</v>
      </c>
      <c r="P121" s="62"/>
      <c r="Q121" s="63">
        <v>-13733</v>
      </c>
      <c r="R121" s="63"/>
      <c r="S121" s="63"/>
      <c r="T121" s="92">
        <f>Q121</f>
        <v>-13733</v>
      </c>
      <c r="U121" s="63"/>
      <c r="V121" s="67">
        <f t="shared" si="29"/>
        <v>0</v>
      </c>
      <c r="W121" s="68">
        <f t="shared" si="30"/>
        <v>0</v>
      </c>
      <c r="X121" s="67">
        <f t="shared" si="30"/>
        <v>0</v>
      </c>
      <c r="Y121" s="68">
        <f t="shared" si="31"/>
        <v>0</v>
      </c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</row>
    <row r="122" spans="13:38">
      <c r="M122" s="41">
        <v>104</v>
      </c>
      <c r="N122" s="62" t="s">
        <v>174</v>
      </c>
      <c r="O122" s="62" t="s">
        <v>175</v>
      </c>
      <c r="P122" s="62"/>
      <c r="Q122" s="63">
        <v>3098211</v>
      </c>
      <c r="R122" s="63">
        <f>AG47</f>
        <v>1152.4631725999998</v>
      </c>
      <c r="S122" s="63"/>
      <c r="T122" s="92">
        <f>AH62-T120</f>
        <v>2883462.8714195429</v>
      </c>
      <c r="U122" s="63"/>
      <c r="V122" s="67">
        <f t="shared" si="29"/>
        <v>213595.66540785693</v>
      </c>
      <c r="W122" s="68">
        <f t="shared" si="30"/>
        <v>13349.729087991058</v>
      </c>
      <c r="X122" s="67">
        <f t="shared" si="30"/>
        <v>18689.620723187483</v>
      </c>
      <c r="Y122" s="68">
        <f t="shared" si="31"/>
        <v>5339.8916351964253</v>
      </c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</row>
    <row r="123" spans="13:38">
      <c r="M123" s="41">
        <v>105</v>
      </c>
      <c r="N123" s="62" t="s">
        <v>176</v>
      </c>
      <c r="O123" s="62" t="s">
        <v>177</v>
      </c>
      <c r="P123" s="62"/>
      <c r="Q123" s="63">
        <v>445161</v>
      </c>
      <c r="R123" s="63"/>
      <c r="S123" s="63"/>
      <c r="T123" s="92">
        <v>423982</v>
      </c>
      <c r="U123" s="63"/>
      <c r="V123" s="67">
        <f t="shared" si="29"/>
        <v>21179</v>
      </c>
      <c r="W123" s="68">
        <f t="shared" si="30"/>
        <v>1323.6875</v>
      </c>
      <c r="X123" s="67">
        <f t="shared" si="30"/>
        <v>1853.1625000000001</v>
      </c>
      <c r="Y123" s="68">
        <f t="shared" si="31"/>
        <v>529.47500000000014</v>
      </c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</row>
    <row r="124" spans="13:38">
      <c r="M124" s="41">
        <v>106</v>
      </c>
      <c r="N124" s="62" t="s">
        <v>178</v>
      </c>
      <c r="O124" s="62" t="s">
        <v>179</v>
      </c>
      <c r="P124" s="62"/>
      <c r="Q124" s="63">
        <v>1296904</v>
      </c>
      <c r="R124" s="63">
        <f>AG48</f>
        <v>18.5319918</v>
      </c>
      <c r="S124" s="63"/>
      <c r="T124" s="92">
        <v>1281269</v>
      </c>
      <c r="U124" s="63">
        <v>-13442</v>
      </c>
      <c r="V124" s="67">
        <f t="shared" si="29"/>
        <v>2174.4680081999395</v>
      </c>
      <c r="W124" s="68">
        <f t="shared" si="30"/>
        <v>135.90425051249622</v>
      </c>
      <c r="X124" s="67">
        <f t="shared" si="30"/>
        <v>190.26595071749472</v>
      </c>
      <c r="Y124" s="68">
        <f t="shared" si="31"/>
        <v>54.361700204998499</v>
      </c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</row>
    <row r="125" spans="13:38">
      <c r="M125" s="41">
        <v>107</v>
      </c>
      <c r="N125" s="62" t="s">
        <v>180</v>
      </c>
      <c r="O125" s="62" t="s">
        <v>181</v>
      </c>
      <c r="P125" s="62"/>
      <c r="Q125" s="63">
        <v>6986558</v>
      </c>
      <c r="R125" s="63">
        <f>AG49</f>
        <v>67764.194160200059</v>
      </c>
      <c r="S125" s="63"/>
      <c r="T125" s="92">
        <f>1731369+(33491704*AE58*AF58)</f>
        <v>6707285.6126670269</v>
      </c>
      <c r="U125" s="63"/>
      <c r="V125" s="67">
        <f t="shared" si="29"/>
        <v>211508.19317277335</v>
      </c>
      <c r="W125" s="68">
        <f t="shared" si="30"/>
        <v>13219.262073298334</v>
      </c>
      <c r="X125" s="67">
        <f t="shared" si="30"/>
        <v>18506.966902617671</v>
      </c>
      <c r="Y125" s="68">
        <f t="shared" si="31"/>
        <v>5287.7048293193366</v>
      </c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</row>
    <row r="126" spans="13:38">
      <c r="M126" s="41">
        <v>108</v>
      </c>
      <c r="N126" s="62" t="s">
        <v>182</v>
      </c>
      <c r="O126" s="62" t="s">
        <v>183</v>
      </c>
      <c r="P126" s="62"/>
      <c r="Q126" s="63">
        <v>0</v>
      </c>
      <c r="R126" s="63"/>
      <c r="S126" s="63"/>
      <c r="T126" s="38"/>
      <c r="U126" s="63"/>
      <c r="V126" s="67">
        <f t="shared" si="29"/>
        <v>0</v>
      </c>
      <c r="W126" s="68">
        <f t="shared" si="30"/>
        <v>0</v>
      </c>
      <c r="X126" s="67">
        <f t="shared" si="30"/>
        <v>0</v>
      </c>
      <c r="Y126" s="68">
        <f t="shared" si="31"/>
        <v>0</v>
      </c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</row>
    <row r="127" spans="13:38">
      <c r="M127" s="41">
        <v>109</v>
      </c>
      <c r="N127" s="62" t="s">
        <v>184</v>
      </c>
      <c r="O127" s="62" t="s">
        <v>185</v>
      </c>
      <c r="P127" s="62"/>
      <c r="Q127" s="63">
        <v>901022</v>
      </c>
      <c r="R127" s="63">
        <f>AG50</f>
        <v>217065.18820919996</v>
      </c>
      <c r="S127" s="63"/>
      <c r="T127" s="92">
        <v>608878</v>
      </c>
      <c r="U127" s="63"/>
      <c r="V127" s="67">
        <f t="shared" si="29"/>
        <v>75078.811790800071</v>
      </c>
      <c r="W127" s="68">
        <f t="shared" si="30"/>
        <v>4692.4257369250045</v>
      </c>
      <c r="X127" s="67">
        <f t="shared" si="30"/>
        <v>6569.396031695007</v>
      </c>
      <c r="Y127" s="68">
        <f t="shared" si="31"/>
        <v>1876.9702947700025</v>
      </c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</row>
    <row r="128" spans="13:38">
      <c r="M128" s="41">
        <v>110</v>
      </c>
      <c r="N128" s="62" t="s">
        <v>340</v>
      </c>
      <c r="O128" s="62" t="s">
        <v>341</v>
      </c>
      <c r="P128" s="62"/>
      <c r="Q128" s="63">
        <v>1217285</v>
      </c>
      <c r="R128" s="63">
        <f>AG51</f>
        <v>132807.30956380002</v>
      </c>
      <c r="S128" s="63"/>
      <c r="T128" s="63"/>
      <c r="U128" s="63">
        <v>-184454</v>
      </c>
      <c r="V128" s="67">
        <f t="shared" si="29"/>
        <v>900023.69043620001</v>
      </c>
      <c r="W128" s="68">
        <f t="shared" si="30"/>
        <v>56251.4806522625</v>
      </c>
      <c r="X128" s="67">
        <f t="shared" si="30"/>
        <v>78752.072913167503</v>
      </c>
      <c r="Y128" s="68">
        <f t="shared" si="31"/>
        <v>22500.592260905003</v>
      </c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</row>
    <row r="129" spans="13:38">
      <c r="M129" s="41">
        <v>111</v>
      </c>
      <c r="N129" s="62" t="s">
        <v>186</v>
      </c>
      <c r="O129" s="62" t="s">
        <v>123</v>
      </c>
      <c r="P129" s="62"/>
      <c r="Q129" s="63">
        <v>102766</v>
      </c>
      <c r="R129" s="63">
        <f>AG52</f>
        <v>169.8299566</v>
      </c>
      <c r="S129" s="63"/>
      <c r="T129" s="63"/>
      <c r="U129" s="63"/>
      <c r="V129" s="67">
        <f t="shared" si="29"/>
        <v>102596.17004339999</v>
      </c>
      <c r="W129" s="68">
        <f t="shared" si="30"/>
        <v>6412.2606277124996</v>
      </c>
      <c r="X129" s="67">
        <f t="shared" si="30"/>
        <v>8977.1648787975009</v>
      </c>
      <c r="Y129" s="68">
        <f t="shared" si="31"/>
        <v>2564.9042510850013</v>
      </c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</row>
    <row r="130" spans="13:38">
      <c r="M130" s="41">
        <v>112</v>
      </c>
      <c r="N130" s="62" t="s">
        <v>187</v>
      </c>
      <c r="O130" s="62" t="s">
        <v>188</v>
      </c>
      <c r="P130" s="62"/>
      <c r="Q130" s="63">
        <v>3107468</v>
      </c>
      <c r="R130" s="63">
        <f>AG53</f>
        <v>237986.69029660011</v>
      </c>
      <c r="S130" s="63"/>
      <c r="T130" s="63"/>
      <c r="U130" s="63">
        <v>-471</v>
      </c>
      <c r="V130" s="67">
        <f t="shared" si="29"/>
        <v>2869010.3097033999</v>
      </c>
      <c r="W130" s="68">
        <f t="shared" si="30"/>
        <v>179313.14435646249</v>
      </c>
      <c r="X130" s="67">
        <f t="shared" si="30"/>
        <v>251038.40209904753</v>
      </c>
      <c r="Y130" s="68">
        <f t="shared" si="31"/>
        <v>71725.257742585032</v>
      </c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</row>
    <row r="131" spans="13:38">
      <c r="M131" s="41">
        <v>113</v>
      </c>
      <c r="N131" s="64"/>
      <c r="O131" s="64" t="s">
        <v>189</v>
      </c>
      <c r="P131" s="64"/>
      <c r="Q131" s="72">
        <f t="shared" ref="Q131:Y131" si="32">SUM(Q119:Q130)</f>
        <v>24398469</v>
      </c>
      <c r="R131" s="72">
        <f t="shared" si="32"/>
        <v>6082344.5309703872</v>
      </c>
      <c r="S131" s="72">
        <f t="shared" si="32"/>
        <v>0</v>
      </c>
      <c r="T131" s="72">
        <f t="shared" si="32"/>
        <v>13041623.2102242</v>
      </c>
      <c r="U131" s="72">
        <f t="shared" si="32"/>
        <v>-409214</v>
      </c>
      <c r="V131" s="73">
        <f t="shared" si="32"/>
        <v>4865287.2588054128</v>
      </c>
      <c r="W131" s="74">
        <f t="shared" si="32"/>
        <v>304080.4536753383</v>
      </c>
      <c r="X131" s="73">
        <f t="shared" si="32"/>
        <v>425712.63514547376</v>
      </c>
      <c r="Y131" s="74">
        <f t="shared" si="32"/>
        <v>121632.18147013539</v>
      </c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</row>
    <row r="132" spans="13:38" ht="16" thickBot="1">
      <c r="M132" s="41">
        <v>114</v>
      </c>
      <c r="N132" s="62"/>
      <c r="O132" s="62"/>
      <c r="P132" s="62"/>
      <c r="Q132" s="63"/>
      <c r="R132" s="63"/>
      <c r="S132" s="63"/>
      <c r="T132" s="63"/>
      <c r="U132" s="63"/>
      <c r="V132" s="78"/>
      <c r="W132" s="79"/>
      <c r="X132" s="78"/>
      <c r="Y132" s="79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</row>
    <row r="133" spans="13:38" ht="16.5" thickTop="1" thickBot="1">
      <c r="M133" s="41">
        <v>115</v>
      </c>
      <c r="N133" s="64"/>
      <c r="O133" s="64" t="s">
        <v>190</v>
      </c>
      <c r="P133" s="64"/>
      <c r="Q133" s="89">
        <f t="shared" ref="Q133:Y133" si="33">Q131+Q117</f>
        <v>206914957</v>
      </c>
      <c r="R133" s="89">
        <f t="shared" si="33"/>
        <v>17127678.749018297</v>
      </c>
      <c r="S133" s="89">
        <f t="shared" si="33"/>
        <v>148698047</v>
      </c>
      <c r="T133" s="89">
        <f t="shared" si="33"/>
        <v>13057335.2102242</v>
      </c>
      <c r="U133" s="89">
        <f t="shared" si="33"/>
        <v>-13745720</v>
      </c>
      <c r="V133" s="90">
        <f t="shared" si="33"/>
        <v>14286176.040757501</v>
      </c>
      <c r="W133" s="93">
        <f t="shared" si="33"/>
        <v>892886.00254734384</v>
      </c>
      <c r="X133" s="94">
        <f t="shared" si="33"/>
        <v>1250040.4035662815</v>
      </c>
      <c r="Y133" s="93">
        <f t="shared" si="33"/>
        <v>357154.4010189377</v>
      </c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</row>
    <row r="134" spans="13:38" ht="16" thickTop="1">
      <c r="M134" s="38"/>
      <c r="N134" s="95"/>
      <c r="O134" s="95"/>
      <c r="P134" s="95"/>
      <c r="Q134" s="92"/>
      <c r="R134" s="88"/>
      <c r="S134" s="88"/>
      <c r="T134" s="88"/>
      <c r="U134" s="88"/>
      <c r="V134" s="67"/>
      <c r="W134" s="68"/>
      <c r="X134" s="67"/>
      <c r="Y134" s="6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</row>
    <row r="135" spans="13:38">
      <c r="M135" s="38"/>
      <c r="N135" s="95"/>
      <c r="O135" s="95"/>
      <c r="P135" s="95"/>
      <c r="Q135" s="92"/>
      <c r="R135" s="92"/>
      <c r="S135" s="92"/>
      <c r="T135" s="92"/>
      <c r="U135" s="92"/>
      <c r="V135" s="96" t="s">
        <v>191</v>
      </c>
      <c r="W135" s="97">
        <f>W133-W136</f>
        <v>535731.60152840614</v>
      </c>
      <c r="X135" s="92"/>
      <c r="Y135" s="9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</row>
    <row r="136" spans="13:38">
      <c r="M136" s="38"/>
      <c r="N136" s="99"/>
      <c r="Q136" s="88"/>
      <c r="R136" s="88"/>
      <c r="S136" s="88"/>
      <c r="T136" s="88"/>
      <c r="U136" s="88"/>
      <c r="V136" s="96" t="s">
        <v>192</v>
      </c>
      <c r="W136" s="100">
        <f>Y133</f>
        <v>357154.4010189377</v>
      </c>
      <c r="X136" s="96" t="s">
        <v>193</v>
      </c>
      <c r="Y136" s="100">
        <f>Y133</f>
        <v>357154.4010189377</v>
      </c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</row>
    <row r="137" spans="13:38">
      <c r="M137" s="38"/>
      <c r="N137" s="38"/>
      <c r="O137" s="38"/>
      <c r="P137" s="38"/>
      <c r="Q137" s="39"/>
      <c r="R137" s="88"/>
      <c r="S137" s="88"/>
      <c r="T137" s="88"/>
      <c r="U137" s="88"/>
      <c r="V137" s="38"/>
      <c r="W137" s="101">
        <f>SUM(W135:W136)</f>
        <v>892886.00254734384</v>
      </c>
      <c r="X137" s="38"/>
      <c r="Y137" s="43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</row>
    <row r="138" spans="13:38">
      <c r="M138" s="38"/>
      <c r="N138" s="38"/>
      <c r="O138" s="38"/>
      <c r="P138" s="38"/>
      <c r="Q138" s="39"/>
      <c r="R138" s="88"/>
      <c r="S138" s="88"/>
      <c r="T138" s="38"/>
      <c r="U138" s="38"/>
      <c r="V138" s="38"/>
      <c r="W138" s="43"/>
      <c r="X138" s="38"/>
      <c r="Y138" s="43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</row>
    <row r="139" spans="13:38">
      <c r="M139" s="38"/>
      <c r="N139" s="38"/>
      <c r="O139" s="38"/>
      <c r="P139" s="38"/>
      <c r="Q139" s="39"/>
      <c r="R139" s="88"/>
      <c r="S139" s="88"/>
      <c r="T139" s="88"/>
      <c r="U139" s="102" t="s">
        <v>194</v>
      </c>
      <c r="V139" s="103">
        <f>V133/Q133</f>
        <v>6.9043708815875987E-2</v>
      </c>
      <c r="W139" s="104"/>
      <c r="Y139" s="104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</row>
    <row r="140" spans="13:38">
      <c r="M140" s="38"/>
      <c r="N140" s="38"/>
      <c r="O140" s="38"/>
      <c r="P140" s="38"/>
      <c r="Q140" s="39"/>
      <c r="R140" s="88"/>
      <c r="S140" s="88"/>
      <c r="T140" s="88"/>
      <c r="U140" s="88"/>
      <c r="W140" s="104"/>
      <c r="Y140" s="104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</row>
  </sheetData>
  <mergeCells count="2">
    <mergeCell ref="V10:X10"/>
    <mergeCell ref="R16:T16"/>
  </mergeCells>
  <pageMargins left="0.7" right="0.7" top="0.75" bottom="0.75" header="0.3" footer="0.3"/>
  <pageSetup scale="77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B981-E00A-40F3-AD0D-4A3B203ED2F5}">
  <sheetPr>
    <tabColor theme="3" tint="0.89999084444715716"/>
    <pageSetUpPr fitToPage="1"/>
  </sheetPr>
  <dimension ref="A1:G34"/>
  <sheetViews>
    <sheetView workbookViewId="0">
      <selection activeCell="J32" sqref="J32"/>
    </sheetView>
  </sheetViews>
  <sheetFormatPr defaultRowHeight="15.5"/>
  <cols>
    <col min="1" max="1" width="5.08203125" customWidth="1"/>
    <col min="2" max="2" width="1.58203125" customWidth="1"/>
    <col min="3" max="3" width="59.33203125" customWidth="1"/>
    <col min="4" max="4" width="1.25" customWidth="1"/>
    <col min="5" max="5" width="10.83203125" customWidth="1"/>
    <col min="6" max="6" width="1.5" customWidth="1"/>
    <col min="7" max="7" width="12.5" customWidth="1"/>
    <col min="8" max="8" width="2" customWidth="1"/>
  </cols>
  <sheetData>
    <row r="1" spans="1:7">
      <c r="A1" t="s">
        <v>386</v>
      </c>
      <c r="G1" s="110" t="s">
        <v>421</v>
      </c>
    </row>
    <row r="2" spans="1:7">
      <c r="A2" t="s">
        <v>389</v>
      </c>
      <c r="G2" s="110" t="s">
        <v>439</v>
      </c>
    </row>
    <row r="3" spans="1:7">
      <c r="A3" s="109" t="s">
        <v>394</v>
      </c>
    </row>
    <row r="4" spans="1:7">
      <c r="A4" t="s">
        <v>387</v>
      </c>
      <c r="G4" s="1"/>
    </row>
    <row r="8" spans="1:7">
      <c r="A8" s="2" t="s">
        <v>0</v>
      </c>
      <c r="C8" s="2"/>
      <c r="D8" s="2"/>
      <c r="E8" s="2"/>
      <c r="F8" s="2"/>
      <c r="G8" s="2"/>
    </row>
    <row r="9" spans="1:7">
      <c r="A9" s="3" t="s">
        <v>1</v>
      </c>
      <c r="C9" s="3" t="s">
        <v>2</v>
      </c>
      <c r="D9" s="2"/>
      <c r="E9" s="3" t="s">
        <v>90</v>
      </c>
      <c r="F9" s="2"/>
      <c r="G9" s="3" t="s">
        <v>3</v>
      </c>
    </row>
    <row r="10" spans="1:7">
      <c r="A10" s="2"/>
      <c r="E10" s="2"/>
    </row>
    <row r="11" spans="1:7">
      <c r="A11" s="2">
        <v>1</v>
      </c>
      <c r="C11" t="s">
        <v>359</v>
      </c>
      <c r="E11" s="2" t="s">
        <v>347</v>
      </c>
      <c r="G11" s="6">
        <v>1199069</v>
      </c>
    </row>
    <row r="12" spans="1:7">
      <c r="A12" s="2"/>
      <c r="E12" s="2"/>
    </row>
    <row r="13" spans="1:7">
      <c r="A13" s="2">
        <v>2</v>
      </c>
      <c r="C13" t="s">
        <v>360</v>
      </c>
      <c r="E13" s="2"/>
      <c r="G13" s="106">
        <f>+G11/2</f>
        <v>599534.5</v>
      </c>
    </row>
    <row r="14" spans="1:7">
      <c r="A14" s="2"/>
      <c r="E14" s="2"/>
    </row>
    <row r="15" spans="1:7">
      <c r="A15" s="2">
        <v>3</v>
      </c>
      <c r="C15" t="s">
        <v>361</v>
      </c>
      <c r="E15" s="2"/>
      <c r="G15" s="30">
        <f>+G13-G11</f>
        <v>-599534.5</v>
      </c>
    </row>
    <row r="16" spans="1:7">
      <c r="A16" s="2"/>
      <c r="E16" s="2"/>
    </row>
    <row r="17" spans="1:7">
      <c r="A17" s="2">
        <v>4</v>
      </c>
      <c r="C17" t="s">
        <v>362</v>
      </c>
      <c r="E17" s="2" t="s">
        <v>352</v>
      </c>
      <c r="G17" s="32">
        <f>-G11/10</f>
        <v>-119906.9</v>
      </c>
    </row>
    <row r="18" spans="1:7">
      <c r="A18" s="2"/>
      <c r="E18" s="2"/>
    </row>
    <row r="19" spans="1:7">
      <c r="A19" s="2">
        <v>5</v>
      </c>
      <c r="C19" t="s">
        <v>354</v>
      </c>
      <c r="E19" s="2"/>
      <c r="G19" s="30">
        <f>+G15-G17</f>
        <v>-479627.6</v>
      </c>
    </row>
    <row r="20" spans="1:7">
      <c r="A20" s="2"/>
      <c r="E20" s="2"/>
    </row>
    <row r="21" spans="1:7">
      <c r="A21" s="2">
        <v>6</v>
      </c>
      <c r="C21" t="s">
        <v>371</v>
      </c>
      <c r="E21" s="2" t="s">
        <v>353</v>
      </c>
      <c r="G21" s="12">
        <f>0.20708*0.71746</f>
        <v>0.1485716168</v>
      </c>
    </row>
    <row r="22" spans="1:7">
      <c r="A22" s="2"/>
      <c r="E22" s="2"/>
    </row>
    <row r="23" spans="1:7">
      <c r="A23" s="2">
        <v>7</v>
      </c>
      <c r="C23" t="s">
        <v>363</v>
      </c>
      <c r="E23" s="2"/>
      <c r="G23" s="30">
        <f>+G19*G21</f>
        <v>-71259.047993903674</v>
      </c>
    </row>
    <row r="24" spans="1:7">
      <c r="A24" s="2"/>
      <c r="E24" s="2"/>
    </row>
    <row r="25" spans="1:7">
      <c r="A25" s="2">
        <v>8</v>
      </c>
      <c r="C25" t="s">
        <v>364</v>
      </c>
      <c r="E25" s="2" t="s">
        <v>365</v>
      </c>
      <c r="G25" s="32">
        <v>597717</v>
      </c>
    </row>
    <row r="26" spans="1:7">
      <c r="A26" s="2"/>
      <c r="E26" s="2"/>
    </row>
    <row r="27" spans="1:7" ht="16" thickBot="1">
      <c r="A27" s="2">
        <v>9</v>
      </c>
      <c r="C27" t="s">
        <v>366</v>
      </c>
      <c r="E27" s="2"/>
      <c r="G27" s="37">
        <f>+G23+G25</f>
        <v>526457.95200609637</v>
      </c>
    </row>
    <row r="28" spans="1:7" ht="16" thickTop="1">
      <c r="A28" s="2"/>
      <c r="E28" s="2"/>
      <c r="G28" s="30"/>
    </row>
    <row r="29" spans="1:7" ht="26.5" thickBot="1">
      <c r="A29" s="127">
        <v>10</v>
      </c>
      <c r="B29" s="128"/>
      <c r="C29" s="128" t="s">
        <v>408</v>
      </c>
      <c r="D29" s="128"/>
      <c r="E29" s="125" t="s">
        <v>437</v>
      </c>
      <c r="F29" s="128"/>
      <c r="G29" s="126">
        <f>+'11.2 Summary'!U44</f>
        <v>-75.092397538804789</v>
      </c>
    </row>
    <row r="30" spans="1:7" ht="16" thickTop="1"/>
    <row r="31" spans="1:7">
      <c r="A31" t="s">
        <v>347</v>
      </c>
      <c r="C31" t="s">
        <v>413</v>
      </c>
    </row>
    <row r="32" spans="1:7">
      <c r="A32" t="s">
        <v>352</v>
      </c>
      <c r="C32" t="s">
        <v>414</v>
      </c>
    </row>
    <row r="33" spans="1:3">
      <c r="A33" t="s">
        <v>353</v>
      </c>
      <c r="C33" t="s">
        <v>415</v>
      </c>
    </row>
    <row r="34" spans="1:3">
      <c r="A34" t="s">
        <v>365</v>
      </c>
      <c r="C34" t="s">
        <v>416</v>
      </c>
    </row>
  </sheetData>
  <pageMargins left="1" right="1" top="1" bottom="1" header="0.5" footer="0.5"/>
  <pageSetup scale="8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1044-B659-4F57-9555-E9B951F94056}">
  <sheetPr>
    <tabColor theme="3" tint="0.89999084444715716"/>
    <pageSetUpPr fitToPage="1"/>
  </sheetPr>
  <dimension ref="A1:K33"/>
  <sheetViews>
    <sheetView workbookViewId="0">
      <selection activeCell="C21" sqref="C21"/>
    </sheetView>
  </sheetViews>
  <sheetFormatPr defaultRowHeight="15.5"/>
  <cols>
    <col min="1" max="1" width="5.08203125" customWidth="1"/>
    <col min="2" max="2" width="1.58203125" customWidth="1"/>
    <col min="3" max="3" width="52.33203125" customWidth="1"/>
    <col min="4" max="4" width="1.25" customWidth="1"/>
    <col min="5" max="5" width="10.83203125" customWidth="1"/>
    <col min="6" max="6" width="1.5" customWidth="1"/>
    <col min="7" max="7" width="11.33203125" customWidth="1"/>
    <col min="8" max="8" width="2" customWidth="1"/>
    <col min="9" max="9" width="11.75" bestFit="1" customWidth="1"/>
    <col min="10" max="10" width="1.83203125" customWidth="1"/>
    <col min="11" max="11" width="13.33203125" bestFit="1" customWidth="1"/>
    <col min="12" max="12" width="2.33203125" customWidth="1"/>
  </cols>
  <sheetData>
    <row r="1" spans="1:11">
      <c r="A1" t="s">
        <v>386</v>
      </c>
      <c r="K1" s="110" t="s">
        <v>421</v>
      </c>
    </row>
    <row r="2" spans="1:11">
      <c r="A2" t="s">
        <v>389</v>
      </c>
      <c r="K2" s="110" t="s">
        <v>440</v>
      </c>
    </row>
    <row r="3" spans="1:11">
      <c r="A3" s="109" t="s">
        <v>395</v>
      </c>
    </row>
    <row r="4" spans="1:11">
      <c r="A4" t="s">
        <v>387</v>
      </c>
      <c r="K4" s="1"/>
    </row>
    <row r="8" spans="1:11">
      <c r="A8" s="2" t="s">
        <v>0</v>
      </c>
      <c r="C8" s="2"/>
      <c r="D8" s="2"/>
      <c r="E8" s="2"/>
      <c r="F8" s="2"/>
      <c r="G8" s="2" t="s">
        <v>343</v>
      </c>
      <c r="I8" s="2" t="s">
        <v>344</v>
      </c>
      <c r="J8" s="2"/>
      <c r="K8" s="2" t="s">
        <v>88</v>
      </c>
    </row>
    <row r="9" spans="1:11">
      <c r="A9" s="3" t="s">
        <v>1</v>
      </c>
      <c r="C9" s="3" t="s">
        <v>2</v>
      </c>
      <c r="D9" s="2"/>
      <c r="E9" s="3" t="s">
        <v>90</v>
      </c>
      <c r="F9" s="2"/>
      <c r="G9" s="3" t="s">
        <v>345</v>
      </c>
      <c r="I9" s="3" t="s">
        <v>345</v>
      </c>
      <c r="J9" s="2"/>
      <c r="K9" s="3" t="s">
        <v>345</v>
      </c>
    </row>
    <row r="11" spans="1:11">
      <c r="A11" s="2">
        <v>1</v>
      </c>
      <c r="C11" t="s">
        <v>346</v>
      </c>
      <c r="E11" s="2" t="s">
        <v>347</v>
      </c>
      <c r="G11" s="6">
        <v>1219762.79</v>
      </c>
      <c r="H11" s="6"/>
      <c r="I11" s="6">
        <v>1304700.19</v>
      </c>
      <c r="J11" s="6"/>
      <c r="K11" s="6">
        <f>+G11+I11</f>
        <v>2524462.98</v>
      </c>
    </row>
    <row r="12" spans="1:11">
      <c r="A12" s="2"/>
      <c r="E12" s="2"/>
    </row>
    <row r="13" spans="1:11">
      <c r="A13" s="2">
        <v>2</v>
      </c>
      <c r="C13" t="s">
        <v>348</v>
      </c>
      <c r="E13" s="2"/>
      <c r="G13" s="35">
        <v>0.5</v>
      </c>
      <c r="I13" s="35">
        <v>0</v>
      </c>
    </row>
    <row r="14" spans="1:11">
      <c r="A14" s="2"/>
      <c r="E14" s="2"/>
    </row>
    <row r="15" spans="1:11">
      <c r="A15" s="2">
        <v>3</v>
      </c>
      <c r="C15" t="s">
        <v>349</v>
      </c>
      <c r="E15" s="2"/>
      <c r="G15" s="6">
        <f>+G11*G13</f>
        <v>609881.39500000002</v>
      </c>
      <c r="I15" s="6">
        <f>+I11*I13</f>
        <v>0</v>
      </c>
      <c r="K15" s="6">
        <f>+G15+I15</f>
        <v>609881.39500000002</v>
      </c>
    </row>
    <row r="16" spans="1:11">
      <c r="A16" s="2"/>
      <c r="E16" s="2"/>
    </row>
    <row r="17" spans="1:11">
      <c r="A17" s="2">
        <v>4</v>
      </c>
      <c r="C17" t="s">
        <v>350</v>
      </c>
      <c r="E17" s="2"/>
      <c r="G17" s="32">
        <v>609881.39</v>
      </c>
      <c r="H17" s="31"/>
      <c r="I17" s="32">
        <v>652350.1</v>
      </c>
      <c r="K17" s="24">
        <f>+G17+I17</f>
        <v>1262231.49</v>
      </c>
    </row>
    <row r="18" spans="1:11">
      <c r="A18" s="2"/>
      <c r="E18" s="2"/>
    </row>
    <row r="19" spans="1:11">
      <c r="A19" s="2">
        <v>5</v>
      </c>
      <c r="C19" t="s">
        <v>351</v>
      </c>
      <c r="E19" s="2"/>
      <c r="G19" s="6">
        <f>+G15-G17</f>
        <v>5.0000000046566129E-3</v>
      </c>
      <c r="I19" s="6">
        <f>+I15-I17</f>
        <v>-652350.1</v>
      </c>
      <c r="K19" s="6">
        <f>+K15-K17</f>
        <v>-652350.09499999997</v>
      </c>
    </row>
    <row r="20" spans="1:11">
      <c r="A20" s="2"/>
      <c r="E20" s="2"/>
    </row>
    <row r="21" spans="1:11">
      <c r="A21" s="2">
        <v>6</v>
      </c>
      <c r="C21" t="s">
        <v>355</v>
      </c>
      <c r="E21" s="2" t="s">
        <v>352</v>
      </c>
      <c r="G21" s="105">
        <f>0.20708*0.71746</f>
        <v>0.1485716168</v>
      </c>
      <c r="I21" s="105">
        <f>0.20708*0.71746</f>
        <v>0.1485716168</v>
      </c>
      <c r="K21" s="105">
        <f>0.20708*0.71746</f>
        <v>0.1485716168</v>
      </c>
    </row>
    <row r="22" spans="1:11">
      <c r="A22" s="2"/>
      <c r="E22" s="2"/>
    </row>
    <row r="23" spans="1:11" ht="16" thickBot="1">
      <c r="A23" s="2">
        <v>7</v>
      </c>
      <c r="C23" t="s">
        <v>367</v>
      </c>
      <c r="E23" s="2"/>
      <c r="G23" s="7">
        <f>+G19*G21</f>
        <v>7.4285808469184056E-4</v>
      </c>
      <c r="H23" s="6"/>
      <c r="I23" s="7">
        <f>+I19*I21</f>
        <v>-96920.70907664168</v>
      </c>
      <c r="J23" s="6"/>
      <c r="K23" s="7">
        <f>+K19*K21</f>
        <v>-96920.708333783594</v>
      </c>
    </row>
    <row r="24" spans="1:11" ht="16" thickTop="1">
      <c r="A24" s="2"/>
      <c r="E24" s="2"/>
    </row>
    <row r="25" spans="1:11">
      <c r="A25" s="2">
        <v>8</v>
      </c>
      <c r="C25" t="s">
        <v>368</v>
      </c>
      <c r="E25" s="2" t="s">
        <v>353</v>
      </c>
      <c r="G25" s="31"/>
      <c r="H25" s="31"/>
      <c r="I25" s="31"/>
      <c r="J25" s="31"/>
      <c r="K25" s="32">
        <v>150025</v>
      </c>
    </row>
    <row r="26" spans="1:11">
      <c r="A26" s="2"/>
    </row>
    <row r="27" spans="1:11" ht="16" thickBot="1">
      <c r="A27" s="2">
        <v>9</v>
      </c>
      <c r="C27" t="s">
        <v>354</v>
      </c>
      <c r="K27" s="7">
        <f>+K23-K25</f>
        <v>-246945.70833378361</v>
      </c>
    </row>
    <row r="28" spans="1:11" ht="16" thickTop="1">
      <c r="A28" s="2"/>
      <c r="K28" s="124"/>
    </row>
    <row r="29" spans="1:11" ht="26.5" thickBot="1">
      <c r="A29" s="127">
        <v>10</v>
      </c>
      <c r="B29" s="128"/>
      <c r="C29" s="128" t="s">
        <v>408</v>
      </c>
      <c r="D29" s="128"/>
      <c r="E29" s="125" t="s">
        <v>437</v>
      </c>
      <c r="F29" s="128"/>
      <c r="G29" s="128"/>
      <c r="H29" s="128"/>
      <c r="I29" s="128"/>
      <c r="J29" s="128"/>
      <c r="K29" s="130">
        <f>+'11.2 Summary'!U52</f>
        <v>-259.1744087664888</v>
      </c>
    </row>
    <row r="30" spans="1:11" ht="16" thickTop="1"/>
    <row r="31" spans="1:11">
      <c r="A31" t="s">
        <v>347</v>
      </c>
      <c r="C31" t="s">
        <v>356</v>
      </c>
    </row>
    <row r="32" spans="1:11">
      <c r="A32" t="s">
        <v>352</v>
      </c>
      <c r="C32" t="s">
        <v>357</v>
      </c>
    </row>
    <row r="33" spans="1:3">
      <c r="A33" t="s">
        <v>353</v>
      </c>
      <c r="C33" t="s">
        <v>358</v>
      </c>
    </row>
  </sheetData>
  <pageMargins left="0.7" right="0.7" top="0.75" bottom="0.75" header="0.3" footer="0.3"/>
  <pageSetup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11B9F-B55D-4241-9514-96F6BA35898F}">
  <sheetPr>
    <tabColor theme="3" tint="0.89999084444715716"/>
    <pageSetUpPr fitToPage="1"/>
  </sheetPr>
  <dimension ref="A1:G27"/>
  <sheetViews>
    <sheetView workbookViewId="0">
      <selection activeCell="E26" sqref="E26"/>
    </sheetView>
  </sheetViews>
  <sheetFormatPr defaultRowHeight="15.5"/>
  <cols>
    <col min="1" max="1" width="5.08203125" customWidth="1"/>
    <col min="2" max="2" width="1.58203125" customWidth="1"/>
    <col min="3" max="3" width="63.33203125" customWidth="1"/>
    <col min="4" max="4" width="1.25" customWidth="1"/>
    <col min="5" max="5" width="10.83203125" customWidth="1"/>
    <col min="6" max="6" width="1.5" customWidth="1"/>
    <col min="7" max="7" width="12.5" customWidth="1"/>
    <col min="8" max="8" width="1.75" customWidth="1"/>
  </cols>
  <sheetData>
    <row r="1" spans="1:7">
      <c r="A1" t="s">
        <v>386</v>
      </c>
      <c r="G1" s="110" t="s">
        <v>421</v>
      </c>
    </row>
    <row r="2" spans="1:7">
      <c r="A2" t="s">
        <v>389</v>
      </c>
      <c r="G2" s="110" t="s">
        <v>441</v>
      </c>
    </row>
    <row r="3" spans="1:7">
      <c r="A3" s="109" t="s">
        <v>396</v>
      </c>
    </row>
    <row r="4" spans="1:7">
      <c r="A4" t="s">
        <v>387</v>
      </c>
      <c r="G4" s="1"/>
    </row>
    <row r="8" spans="1:7">
      <c r="A8" s="2" t="s">
        <v>0</v>
      </c>
      <c r="C8" s="2"/>
      <c r="D8" s="2"/>
      <c r="E8" s="2"/>
      <c r="F8" s="2"/>
      <c r="G8" s="2"/>
    </row>
    <row r="9" spans="1:7">
      <c r="A9" s="3" t="s">
        <v>1</v>
      </c>
      <c r="C9" s="3" t="s">
        <v>2</v>
      </c>
      <c r="D9" s="2"/>
      <c r="E9" s="3" t="s">
        <v>90</v>
      </c>
      <c r="F9" s="2"/>
      <c r="G9" s="3" t="s">
        <v>3</v>
      </c>
    </row>
    <row r="10" spans="1:7">
      <c r="E10" s="2"/>
    </row>
    <row r="11" spans="1:7">
      <c r="A11" s="2">
        <v>1</v>
      </c>
      <c r="C11" t="s">
        <v>372</v>
      </c>
      <c r="E11" s="2" t="s">
        <v>347</v>
      </c>
      <c r="G11" s="6">
        <v>114176</v>
      </c>
    </row>
    <row r="12" spans="1:7">
      <c r="A12" s="2"/>
      <c r="E12" s="2"/>
    </row>
    <row r="13" spans="1:7">
      <c r="A13" s="2">
        <v>2</v>
      </c>
      <c r="C13" t="s">
        <v>360</v>
      </c>
      <c r="E13" s="2"/>
      <c r="G13" s="106">
        <f>+G11/2</f>
        <v>57088</v>
      </c>
    </row>
    <row r="14" spans="1:7">
      <c r="A14" s="2"/>
      <c r="E14" s="2"/>
    </row>
    <row r="15" spans="1:7" ht="16" thickBot="1">
      <c r="A15" s="2">
        <v>3</v>
      </c>
      <c r="C15" t="s">
        <v>361</v>
      </c>
      <c r="E15" s="2"/>
      <c r="G15" s="37">
        <f>+G13-G11</f>
        <v>-57088</v>
      </c>
    </row>
    <row r="16" spans="1:7" ht="16" thickTop="1">
      <c r="A16" s="2"/>
      <c r="E16" s="2"/>
    </row>
    <row r="17" spans="1:7" ht="16" thickBot="1">
      <c r="A17" s="2">
        <v>4</v>
      </c>
      <c r="C17" s="128" t="s">
        <v>408</v>
      </c>
      <c r="E17" s="2"/>
      <c r="G17" s="131">
        <f>+'11.2 Summary'!U55</f>
        <v>-59.921052177044018</v>
      </c>
    </row>
    <row r="18" spans="1:7" ht="16" thickTop="1">
      <c r="E18" s="2"/>
    </row>
    <row r="19" spans="1:7">
      <c r="E19" s="2"/>
      <c r="G19" s="30"/>
    </row>
    <row r="20" spans="1:7">
      <c r="A20" t="s">
        <v>347</v>
      </c>
      <c r="C20" t="s">
        <v>373</v>
      </c>
      <c r="E20" s="2"/>
    </row>
    <row r="21" spans="1:7">
      <c r="E21" s="2"/>
    </row>
    <row r="22" spans="1:7">
      <c r="E22" s="2"/>
    </row>
    <row r="23" spans="1:7">
      <c r="E23" s="2"/>
      <c r="G23" s="30"/>
    </row>
    <row r="24" spans="1:7">
      <c r="E24" s="2"/>
    </row>
    <row r="25" spans="1:7">
      <c r="E25" s="2"/>
      <c r="G25" s="107"/>
    </row>
    <row r="26" spans="1:7">
      <c r="E26" s="2"/>
    </row>
    <row r="27" spans="1:7">
      <c r="E27" s="2"/>
      <c r="G27" s="30"/>
    </row>
  </sheetData>
  <pageMargins left="1" right="1" top="1" bottom="1" header="0.5" footer="0.5"/>
  <pageSetup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7F66-DCFA-473E-8960-2292F3A02DB0}">
  <sheetPr>
    <tabColor theme="3" tint="0.89999084444715716"/>
    <pageSetUpPr fitToPage="1"/>
  </sheetPr>
  <dimension ref="A1:G22"/>
  <sheetViews>
    <sheetView workbookViewId="0">
      <selection activeCell="I24" sqref="I24"/>
    </sheetView>
  </sheetViews>
  <sheetFormatPr defaultRowHeight="15.5"/>
  <cols>
    <col min="1" max="1" width="5.08203125" customWidth="1"/>
    <col min="2" max="2" width="1.58203125" customWidth="1"/>
    <col min="3" max="3" width="60.33203125" customWidth="1"/>
    <col min="4" max="4" width="1.25" customWidth="1"/>
    <col min="5" max="5" width="10.83203125" customWidth="1"/>
    <col min="6" max="6" width="1.5" customWidth="1"/>
    <col min="7" max="7" width="12.5" customWidth="1"/>
    <col min="8" max="8" width="1.75" customWidth="1"/>
  </cols>
  <sheetData>
    <row r="1" spans="1:7">
      <c r="A1" t="s">
        <v>386</v>
      </c>
      <c r="G1" s="110" t="s">
        <v>421</v>
      </c>
    </row>
    <row r="2" spans="1:7">
      <c r="A2" t="s">
        <v>389</v>
      </c>
      <c r="G2" s="110" t="s">
        <v>442</v>
      </c>
    </row>
    <row r="3" spans="1:7">
      <c r="A3" s="109" t="s">
        <v>397</v>
      </c>
    </row>
    <row r="4" spans="1:7">
      <c r="A4" t="s">
        <v>387</v>
      </c>
      <c r="G4" s="1"/>
    </row>
    <row r="8" spans="1:7">
      <c r="A8" s="2" t="s">
        <v>0</v>
      </c>
      <c r="C8" s="2"/>
      <c r="D8" s="2"/>
      <c r="E8" s="2"/>
      <c r="F8" s="2"/>
      <c r="G8" s="2"/>
    </row>
    <row r="9" spans="1:7">
      <c r="A9" s="3" t="s">
        <v>1</v>
      </c>
      <c r="C9" s="3" t="s">
        <v>2</v>
      </c>
      <c r="D9" s="2"/>
      <c r="E9" s="3" t="s">
        <v>90</v>
      </c>
      <c r="F9" s="2"/>
      <c r="G9" s="3" t="s">
        <v>3</v>
      </c>
    </row>
    <row r="10" spans="1:7">
      <c r="E10" s="2"/>
    </row>
    <row r="11" spans="1:7">
      <c r="A11" s="2">
        <v>1</v>
      </c>
      <c r="C11" t="s">
        <v>382</v>
      </c>
      <c r="E11" s="2" t="s">
        <v>347</v>
      </c>
      <c r="G11" s="6">
        <v>133440</v>
      </c>
    </row>
    <row r="12" spans="1:7">
      <c r="A12" s="2"/>
    </row>
    <row r="13" spans="1:7">
      <c r="A13" s="2">
        <v>2</v>
      </c>
      <c r="C13" t="s">
        <v>376</v>
      </c>
      <c r="G13" s="30">
        <f>-G11</f>
        <v>-133440</v>
      </c>
    </row>
    <row r="14" spans="1:7">
      <c r="A14" s="2"/>
    </row>
    <row r="15" spans="1:7">
      <c r="A15" s="2">
        <v>3</v>
      </c>
      <c r="C15" t="s">
        <v>383</v>
      </c>
      <c r="G15" s="32">
        <f>-G13*0.21</f>
        <v>28022.399999999998</v>
      </c>
    </row>
    <row r="16" spans="1:7">
      <c r="A16" s="2"/>
    </row>
    <row r="17" spans="1:7" ht="16" thickBot="1">
      <c r="A17" s="2">
        <v>4</v>
      </c>
      <c r="C17" t="s">
        <v>384</v>
      </c>
      <c r="G17" s="7">
        <f>+G13+G15</f>
        <v>-105417.60000000001</v>
      </c>
    </row>
    <row r="18" spans="1:7" ht="16" thickTop="1"/>
    <row r="19" spans="1:7" ht="26.5" thickBot="1">
      <c r="A19" s="2">
        <v>5</v>
      </c>
      <c r="C19" t="s">
        <v>408</v>
      </c>
      <c r="E19" s="125" t="s">
        <v>437</v>
      </c>
      <c r="G19" s="113">
        <f>+'11.2 Summary'!U56</f>
        <v>-140.06210066046722</v>
      </c>
    </row>
    <row r="20" spans="1:7" ht="16" thickTop="1"/>
    <row r="22" spans="1:7">
      <c r="A22" t="s">
        <v>347</v>
      </c>
      <c r="C22" t="s">
        <v>375</v>
      </c>
    </row>
  </sheetData>
  <pageMargins left="1" right="1" top="1" bottom="1" header="0.5" footer="0.5"/>
  <pageSetup scale="8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7301-3DC1-4718-9273-7A5BFFCF179B}">
  <sheetPr>
    <tabColor theme="3" tint="0.89999084444715716"/>
    <pageSetUpPr fitToPage="1"/>
  </sheetPr>
  <dimension ref="A1:N22"/>
  <sheetViews>
    <sheetView workbookViewId="0">
      <selection activeCell="M26" sqref="M26"/>
    </sheetView>
  </sheetViews>
  <sheetFormatPr defaultRowHeight="15.5"/>
  <cols>
    <col min="1" max="1" width="6" customWidth="1"/>
    <col min="2" max="2" width="0.5" customWidth="1"/>
    <col min="3" max="3" width="60.58203125" customWidth="1"/>
    <col min="4" max="4" width="0.75" customWidth="1"/>
    <col min="5" max="5" width="10.75" customWidth="1"/>
    <col min="6" max="6" width="1.75" customWidth="1"/>
    <col min="7" max="7" width="9.5" customWidth="1"/>
    <col min="8" max="8" width="1.25" customWidth="1"/>
    <col min="9" max="9" width="9.75" customWidth="1"/>
    <col min="10" max="10" width="1.08203125" customWidth="1"/>
    <col min="11" max="11" width="8.58203125" customWidth="1"/>
    <col min="12" max="12" width="1.58203125" customWidth="1"/>
    <col min="13" max="13" width="10.08203125" customWidth="1"/>
    <col min="14" max="14" width="1.75" customWidth="1"/>
    <col min="15" max="15" width="9.58203125" customWidth="1"/>
    <col min="16" max="16" width="1.33203125" customWidth="1"/>
    <col min="17" max="17" width="8.25" customWidth="1"/>
    <col min="18" max="18" width="1.5" customWidth="1"/>
    <col min="19" max="19" width="18.58203125" customWidth="1"/>
    <col min="20" max="20" width="0.75" customWidth="1"/>
    <col min="21" max="21" width="9.58203125" customWidth="1"/>
  </cols>
  <sheetData>
    <row r="1" spans="1:14">
      <c r="A1" t="s">
        <v>386</v>
      </c>
      <c r="M1" s="110" t="s">
        <v>421</v>
      </c>
    </row>
    <row r="2" spans="1:14">
      <c r="A2" t="s">
        <v>389</v>
      </c>
      <c r="M2" s="110" t="s">
        <v>443</v>
      </c>
    </row>
    <row r="3" spans="1:14">
      <c r="A3" s="109" t="s">
        <v>403</v>
      </c>
    </row>
    <row r="4" spans="1:14">
      <c r="A4" t="s">
        <v>387</v>
      </c>
      <c r="M4" s="1"/>
    </row>
    <row r="8" spans="1:14">
      <c r="A8" s="2" t="s">
        <v>0</v>
      </c>
      <c r="B8" s="2"/>
      <c r="C8" s="2"/>
      <c r="D8" s="2"/>
      <c r="E8" s="2" t="s">
        <v>48</v>
      </c>
      <c r="F8" s="2"/>
      <c r="G8" s="2"/>
      <c r="H8" s="2"/>
      <c r="I8" s="2" t="s">
        <v>51</v>
      </c>
      <c r="J8" s="2"/>
      <c r="K8" s="2" t="s">
        <v>52</v>
      </c>
      <c r="L8" s="2"/>
      <c r="M8" s="2" t="s">
        <v>52</v>
      </c>
      <c r="N8" s="2"/>
    </row>
    <row r="9" spans="1:14">
      <c r="A9" s="3" t="s">
        <v>1</v>
      </c>
      <c r="B9" s="3"/>
      <c r="C9" s="3" t="s">
        <v>47</v>
      </c>
      <c r="D9" s="3"/>
      <c r="E9" s="3" t="s">
        <v>49</v>
      </c>
      <c r="F9" s="3"/>
      <c r="G9" s="3" t="s">
        <v>50</v>
      </c>
      <c r="H9" s="3"/>
      <c r="I9" s="3" t="s">
        <v>50</v>
      </c>
      <c r="J9" s="3"/>
      <c r="K9" s="3" t="s">
        <v>53</v>
      </c>
      <c r="L9" s="3"/>
      <c r="M9" s="3" t="s">
        <v>50</v>
      </c>
    </row>
    <row r="10" spans="1:14" ht="25" customHeight="1">
      <c r="A10" s="2"/>
    </row>
    <row r="11" spans="1:14" ht="25" customHeight="1">
      <c r="A11" s="2">
        <v>1</v>
      </c>
      <c r="C11" s="112" t="s">
        <v>54</v>
      </c>
    </row>
    <row r="12" spans="1:14" ht="25" customHeight="1">
      <c r="A12" s="2">
        <v>2</v>
      </c>
      <c r="C12" t="s">
        <v>46</v>
      </c>
      <c r="E12" s="18">
        <f>100%-E13</f>
        <v>0.51500000000000001</v>
      </c>
      <c r="F12" s="18"/>
      <c r="G12" s="18">
        <v>4.99E-2</v>
      </c>
      <c r="H12" s="18"/>
      <c r="I12" s="18">
        <f>+ROUND(E12*G12,4)</f>
        <v>2.5700000000000001E-2</v>
      </c>
      <c r="J12" s="18"/>
      <c r="K12" s="123">
        <v>1</v>
      </c>
      <c r="L12" s="18"/>
      <c r="M12" s="18">
        <f>I12*K12</f>
        <v>2.5700000000000001E-2</v>
      </c>
    </row>
    <row r="13" spans="1:14" ht="25" customHeight="1">
      <c r="A13" s="2">
        <v>3</v>
      </c>
      <c r="C13" t="s">
        <v>45</v>
      </c>
      <c r="E13" s="20">
        <v>0.48499999999999999</v>
      </c>
      <c r="F13" s="18"/>
      <c r="G13" s="18">
        <v>0.104</v>
      </c>
      <c r="H13" s="18"/>
      <c r="I13" s="20">
        <f>+ROUND(E13*G13,4)</f>
        <v>5.04E-2</v>
      </c>
      <c r="J13" s="18"/>
      <c r="K13" s="19">
        <f>1/0.79</f>
        <v>1.2658227848101264</v>
      </c>
      <c r="L13" s="18"/>
      <c r="M13" s="20">
        <f>I13*K13</f>
        <v>6.379746835443037E-2</v>
      </c>
    </row>
    <row r="14" spans="1:14" ht="25" customHeight="1">
      <c r="A14" s="2">
        <v>4</v>
      </c>
      <c r="C14" t="s">
        <v>55</v>
      </c>
      <c r="E14" s="18">
        <f>SUM(E12:E13)</f>
        <v>1</v>
      </c>
      <c r="F14" s="18"/>
      <c r="G14" s="18"/>
      <c r="H14" s="18"/>
      <c r="I14" s="18">
        <f>+I12+I13</f>
        <v>7.6100000000000001E-2</v>
      </c>
      <c r="J14" s="18"/>
      <c r="K14" s="18"/>
      <c r="L14" s="18"/>
      <c r="M14" s="18">
        <f>+M12+M13</f>
        <v>8.9497468354430371E-2</v>
      </c>
    </row>
    <row r="15" spans="1:14" ht="25" customHeight="1">
      <c r="A15" s="2"/>
    </row>
    <row r="16" spans="1:14" ht="25" customHeight="1">
      <c r="A16" s="2">
        <v>5</v>
      </c>
      <c r="C16" s="112" t="s">
        <v>57</v>
      </c>
    </row>
    <row r="17" spans="1:13" ht="25" customHeight="1">
      <c r="A17" s="2">
        <v>6</v>
      </c>
      <c r="C17" t="s">
        <v>46</v>
      </c>
      <c r="E17" s="18">
        <f>100%-E18</f>
        <v>0.51500000000000001</v>
      </c>
      <c r="F17" s="18"/>
      <c r="G17" s="18">
        <v>4.99E-2</v>
      </c>
      <c r="H17" s="18"/>
      <c r="I17" s="18">
        <f>+ROUND(E17*G17,4)</f>
        <v>2.5700000000000001E-2</v>
      </c>
      <c r="J17" s="18"/>
      <c r="K17" s="123">
        <v>1</v>
      </c>
      <c r="L17" s="18"/>
      <c r="M17" s="18">
        <f>I17*K17</f>
        <v>2.5700000000000001E-2</v>
      </c>
    </row>
    <row r="18" spans="1:13" ht="25" customHeight="1">
      <c r="A18" s="2">
        <v>7</v>
      </c>
      <c r="C18" t="s">
        <v>45</v>
      </c>
      <c r="E18" s="20">
        <v>0.48499999999999999</v>
      </c>
      <c r="F18" s="18"/>
      <c r="G18" s="18">
        <v>8.8499999999999995E-2</v>
      </c>
      <c r="H18" s="18"/>
      <c r="I18" s="20">
        <f>+ROUND(E18*G18,4)</f>
        <v>4.2900000000000001E-2</v>
      </c>
      <c r="J18" s="18"/>
      <c r="K18" s="19">
        <f>1/0.79</f>
        <v>1.2658227848101264</v>
      </c>
      <c r="L18" s="18"/>
      <c r="M18" s="20">
        <f>I18*K18</f>
        <v>5.4303797468354426E-2</v>
      </c>
    </row>
    <row r="19" spans="1:13" ht="25" customHeight="1">
      <c r="A19" s="2">
        <v>8</v>
      </c>
      <c r="C19" t="s">
        <v>55</v>
      </c>
      <c r="E19" s="18">
        <f>SUM(E17:E18)</f>
        <v>1</v>
      </c>
      <c r="F19" s="18"/>
      <c r="G19" s="18"/>
      <c r="H19" s="18"/>
      <c r="I19" s="18">
        <f>+I17+I18</f>
        <v>6.8599999999999994E-2</v>
      </c>
      <c r="J19" s="18"/>
      <c r="K19" s="18"/>
      <c r="L19" s="18"/>
      <c r="M19" s="18">
        <f>+M17+M18</f>
        <v>8.0003797468354426E-2</v>
      </c>
    </row>
    <row r="20" spans="1:13" ht="25" customHeight="1">
      <c r="A20" s="2"/>
    </row>
    <row r="21" spans="1:13" ht="25" customHeight="1" thickBot="1">
      <c r="A21" s="2">
        <v>9</v>
      </c>
      <c r="C21" t="s">
        <v>56</v>
      </c>
      <c r="I21" s="21">
        <f>+I19-I14</f>
        <v>-7.5000000000000067E-3</v>
      </c>
      <c r="M21" s="21">
        <f>+M19-M14</f>
        <v>-9.4936708860759444E-3</v>
      </c>
    </row>
    <row r="22" spans="1:13" ht="16" thickTop="1"/>
  </sheetData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6" ma:contentTypeDescription="" ma:contentTypeScope="" ma:versionID="483a396059fc5e661540c3c9e30e60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93BA33-4FC6-48B5-A17D-EB69C43FE53A}"/>
</file>

<file path=customXml/itemProps2.xml><?xml version="1.0" encoding="utf-8"?>
<ds:datastoreItem xmlns:ds="http://schemas.openxmlformats.org/officeDocument/2006/customXml" ds:itemID="{D313483D-2D7E-4B9B-AA4F-6A9FFBDBE83D}"/>
</file>

<file path=customXml/itemProps3.xml><?xml version="1.0" encoding="utf-8"?>
<ds:datastoreItem xmlns:ds="http://schemas.openxmlformats.org/officeDocument/2006/customXml" ds:itemID="{BE55ED92-C6BD-4659-87DC-A3A6162DFDF8}"/>
</file>

<file path=customXml/itemProps4.xml><?xml version="1.0" encoding="utf-8"?>
<ds:datastoreItem xmlns:ds="http://schemas.openxmlformats.org/officeDocument/2006/customXml" ds:itemID="{72F5F853-3094-421E-97D8-6F2E7E6698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11.1 RevReq</vt:lpstr>
      <vt:lpstr>11.2 Summary</vt:lpstr>
      <vt:lpstr>11.3 Executive Payroll</vt:lpstr>
      <vt:lpstr>11.4 Misc O&amp;M Escalation</vt:lpstr>
      <vt:lpstr>11.5 D&amp;O Ins.</vt:lpstr>
      <vt:lpstr>11.6 BoD Comp.</vt:lpstr>
      <vt:lpstr>11.7 Investor Relations</vt:lpstr>
      <vt:lpstr>11.8 Industry Dues</vt:lpstr>
      <vt:lpstr>11.9 Cost of Capital</vt:lpstr>
      <vt:lpstr>11.10 Employee Benefits</vt:lpstr>
      <vt:lpstr>'11.1 RevReq'!Print_Area</vt:lpstr>
      <vt:lpstr>'11.2 Summary'!Print_Area</vt:lpstr>
      <vt:lpstr>'11.3 Executive Payroll'!Print_Area</vt:lpstr>
      <vt:lpstr>'11.4 Misc O&amp;M Escalation'!Print_Area</vt:lpstr>
      <vt:lpstr>'11.5 D&amp;O Ins.'!Print_Area</vt:lpstr>
      <vt:lpstr>'11.6 BoD Comp.'!Print_Area</vt:lpstr>
      <vt:lpstr>'11.7 Investor Relations'!Print_Area</vt:lpstr>
      <vt:lpstr>'11.8 Industry Dues'!Print_Area</vt:lpstr>
      <vt:lpstr>'11.9 Cost of Capital'!Print_Area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Farrar</dc:creator>
  <cp:lastModifiedBy>Dreyer, Jean Marie (ATG)</cp:lastModifiedBy>
  <cp:lastPrinted>2024-06-30T20:51:11Z</cp:lastPrinted>
  <dcterms:created xsi:type="dcterms:W3CDTF">2024-05-30T14:41:54Z</dcterms:created>
  <dcterms:modified xsi:type="dcterms:W3CDTF">2024-08-16T18:16:19Z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