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7955" windowHeight="7965" activeTab="3"/>
  </bookViews>
  <sheets>
    <sheet name="Summary" sheetId="1" r:id="rId1"/>
    <sheet name="NOL" sheetId="5" r:id="rId2"/>
    <sheet name="Rep and Ret" sheetId="6" r:id="rId3"/>
    <sheet name="Reconciliation" sheetId="7" r:id="rId4"/>
  </sheets>
  <calcPr calcId="125725"/>
</workbook>
</file>

<file path=xl/calcChain.xml><?xml version="1.0" encoding="utf-8"?>
<calcChain xmlns="http://schemas.openxmlformats.org/spreadsheetml/2006/main">
  <c r="H56" i="7"/>
  <c r="H53"/>
  <c r="H55" s="1"/>
  <c r="E15"/>
  <c r="G15" s="1"/>
  <c r="E16"/>
  <c r="G16" s="1"/>
  <c r="J16" s="1"/>
  <c r="E17"/>
  <c r="G17" s="1"/>
  <c r="J17" s="1"/>
  <c r="C18"/>
  <c r="D18"/>
  <c r="E18"/>
  <c r="F18"/>
  <c r="E23"/>
  <c r="G23" s="1"/>
  <c r="G24"/>
  <c r="J24"/>
  <c r="C25"/>
  <c r="D25"/>
  <c r="E25"/>
  <c r="F25"/>
  <c r="E27"/>
  <c r="G27" s="1"/>
  <c r="E28"/>
  <c r="G28"/>
  <c r="J28" s="1"/>
  <c r="E29"/>
  <c r="G29" s="1"/>
  <c r="J29" s="1"/>
  <c r="E30"/>
  <c r="G30"/>
  <c r="E31"/>
  <c r="G31" s="1"/>
  <c r="J31" s="1"/>
  <c r="E32"/>
  <c r="G32" s="1"/>
  <c r="J32" s="1"/>
  <c r="E33"/>
  <c r="G33" s="1"/>
  <c r="E34"/>
  <c r="G34" s="1"/>
  <c r="J34" s="1"/>
  <c r="E35"/>
  <c r="G35" s="1"/>
  <c r="J35" s="1"/>
  <c r="E36"/>
  <c r="G36"/>
  <c r="J36" s="1"/>
  <c r="E37"/>
  <c r="G37" s="1"/>
  <c r="J37" s="1"/>
  <c r="E38"/>
  <c r="G38" s="1"/>
  <c r="J38" s="1"/>
  <c r="E39"/>
  <c r="G39" s="1"/>
  <c r="E40"/>
  <c r="G40" s="1"/>
  <c r="E41"/>
  <c r="G41" s="1"/>
  <c r="J41" s="1"/>
  <c r="C42"/>
  <c r="D42"/>
  <c r="F42"/>
  <c r="C44"/>
  <c r="D44"/>
  <c r="F44"/>
  <c r="E51"/>
  <c r="E52"/>
  <c r="E53"/>
  <c r="E54"/>
  <c r="C55"/>
  <c r="D55"/>
  <c r="D57" s="1"/>
  <c r="D46" s="1"/>
  <c r="E56"/>
  <c r="C57"/>
  <c r="C46" s="1"/>
  <c r="E17" i="5"/>
  <c r="E19" s="1"/>
  <c r="E23" s="1"/>
  <c r="E27" s="1"/>
  <c r="G19" i="6"/>
  <c r="G23" s="1"/>
  <c r="I57" i="7" l="1"/>
  <c r="I46" s="1"/>
  <c r="H57"/>
  <c r="H46" s="1"/>
  <c r="E55"/>
  <c r="E57" s="1"/>
  <c r="E46"/>
  <c r="G46" s="1"/>
  <c r="J46" s="1"/>
  <c r="E42"/>
  <c r="E44" s="1"/>
  <c r="G18"/>
  <c r="J27"/>
  <c r="G42"/>
  <c r="J23"/>
  <c r="G25"/>
  <c r="J25" s="1"/>
  <c r="G27" i="6"/>
  <c r="G31" s="1"/>
  <c r="F18" i="1" s="1"/>
  <c r="I15" i="7" s="1"/>
  <c r="E31" i="5"/>
  <c r="F16" i="1" s="1"/>
  <c r="I18" i="7" l="1"/>
  <c r="I30"/>
  <c r="I33"/>
  <c r="I39"/>
  <c r="F20" i="1"/>
  <c r="H15" i="7"/>
  <c r="G44"/>
  <c r="G48"/>
  <c r="I40" l="1"/>
  <c r="H33"/>
  <c r="J33" s="1"/>
  <c r="H39"/>
  <c r="J39" s="1"/>
  <c r="H18"/>
  <c r="J15"/>
  <c r="J18" s="1"/>
  <c r="H30"/>
  <c r="J30" s="1"/>
  <c r="I42"/>
  <c r="I44" s="1"/>
  <c r="F24" i="1"/>
  <c r="H40" i="7" l="1"/>
  <c r="H42" l="1"/>
  <c r="H44" s="1"/>
  <c r="J44" s="1"/>
  <c r="J48" s="1"/>
  <c r="J40"/>
  <c r="J42" s="1"/>
</calcChain>
</file>

<file path=xl/sharedStrings.xml><?xml version="1.0" encoding="utf-8"?>
<sst xmlns="http://schemas.openxmlformats.org/spreadsheetml/2006/main" count="150" uniqueCount="112">
  <si>
    <t>REQUIRED REVENUE INCREASE</t>
  </si>
  <si>
    <t>BASED ON THE TWELVE MONTHS ENDED DECEMBER 31, 2010</t>
  </si>
  <si>
    <t>Gas</t>
  </si>
  <si>
    <t>Total Rate Base Adjustment</t>
  </si>
  <si>
    <t>After Tax Cost of Capital</t>
  </si>
  <si>
    <t>Gross up for Federal Income Taxes</t>
  </si>
  <si>
    <t>Total Revenue Requirement Impact</t>
  </si>
  <si>
    <t>(A)</t>
  </si>
  <si>
    <t>Sources:</t>
  </si>
  <si>
    <t>FOR THE TWELVE MONTHS ENDED DECEMBER 31, 2010</t>
  </si>
  <si>
    <t>Revenue Requirement Impact Including FIT</t>
  </si>
  <si>
    <t>(B)</t>
  </si>
  <si>
    <t>Adjustment Due to Reallocation</t>
  </si>
  <si>
    <t>NOL in Unadjusted Rate Base</t>
  </si>
  <si>
    <t>Return Requirement</t>
  </si>
  <si>
    <t>Total Adjustments</t>
  </si>
  <si>
    <t>(C)</t>
  </si>
  <si>
    <t>Net Operating Loss Adjustment</t>
  </si>
  <si>
    <t>Repairs and Retirements Tax Adjustment</t>
  </si>
  <si>
    <t>Company Claim</t>
  </si>
  <si>
    <t>(D)</t>
  </si>
  <si>
    <t>(E)</t>
  </si>
  <si>
    <t>(F)</t>
  </si>
  <si>
    <t>(G)</t>
  </si>
  <si>
    <t>Maximum Pro Forma Increase</t>
  </si>
  <si>
    <t>Utility</t>
  </si>
  <si>
    <t>Revenue Conversion Factor (Excluding FIT)</t>
  </si>
  <si>
    <t>NET OPERATING LOSS ADJUSTMENT</t>
  </si>
  <si>
    <t>Working Capital Impact @ 5.02%</t>
  </si>
  <si>
    <t>(E) Line 5 / Line 6.</t>
  </si>
  <si>
    <t>(H)</t>
  </si>
  <si>
    <t>(B) Rate of 5.02% per Exhibit JHS-3.04 and Exhibit MJS-3.04.</t>
  </si>
  <si>
    <t>(G) Line 7 / Line 8.</t>
  </si>
  <si>
    <t>(F) Line 5 / Line 6.</t>
  </si>
  <si>
    <t>(H) Line 7 / Line 8.</t>
  </si>
  <si>
    <t>(D) Line 3 X Line 4.</t>
  </si>
  <si>
    <t>(C) Line 3 X Line 4.</t>
  </si>
  <si>
    <t xml:space="preserve">Rate Base (AMA 12/31/10) With Reallocation </t>
  </si>
  <si>
    <t>REPAIRS AND RETIREMENTS ACCOUNTING CHANGE</t>
  </si>
  <si>
    <t>(A) Exhibit ACC-4.02.</t>
  </si>
  <si>
    <t>(B) Exhibit ACC-4.03.</t>
  </si>
  <si>
    <t>(A) Amount per Exhibit MJS-3.08.</t>
  </si>
  <si>
    <t>(C) Exhibit MJS-7.02.</t>
  </si>
  <si>
    <t>(E) Based on tax rate per Exhibit MJS-7.03.</t>
  </si>
  <si>
    <t>(G) Conversion factor per Exhibit MJS-7.03.</t>
  </si>
  <si>
    <t>(A) Amounts per Exhibit MJS-3.08.</t>
  </si>
  <si>
    <t>(B) Exhibit MJS-7.02.</t>
  </si>
  <si>
    <t>(D) Based on tax rate per Exhibit MJS-7.03.</t>
  </si>
  <si>
    <t>(F) Conversion factor per Exhibit MJS-7.03.</t>
  </si>
  <si>
    <t>Total Rate Base</t>
  </si>
  <si>
    <t>Allowance for Working Capital</t>
  </si>
  <si>
    <t>Total Net Investment</t>
  </si>
  <si>
    <t>Other</t>
  </si>
  <si>
    <t>Accumulated Deferred FIT</t>
  </si>
  <si>
    <t>Accumulated Depreciation</t>
  </si>
  <si>
    <t>Utility Plant in Service</t>
  </si>
  <si>
    <t>Rate Base:</t>
  </si>
  <si>
    <t>Rate of Return</t>
  </si>
  <si>
    <t>RATE BASE:</t>
  </si>
  <si>
    <t>Net Operating Income</t>
  </si>
  <si>
    <t>Total Operating Rev. Deductions Excl. Production</t>
  </si>
  <si>
    <t>Deferred Income Taxes</t>
  </si>
  <si>
    <t>Income Taxes</t>
  </si>
  <si>
    <t>Taxes Other Than Income Taxes</t>
  </si>
  <si>
    <t>FAS 133</t>
  </si>
  <si>
    <t>Other Operating Expenses</t>
  </si>
  <si>
    <t>Amortization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</si>
  <si>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</si>
  <si>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</si>
  <si>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</si>
  <si>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</si>
  <si>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</si>
  <si>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</si>
  <si>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</si>
  <si>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</si>
  <si>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</si>
  <si>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</si>
  <si>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>Purchased Gas</t>
  </si>
  <si>
    <t>Gas Costs</t>
  </si>
  <si>
    <t>Operating Revenue Deductions:</t>
  </si>
  <si>
    <t>Total Operating Revenues</t>
  </si>
  <si>
    <t>Other Operating Revenues</t>
  </si>
  <si>
    <t>Municipal Additions</t>
  </si>
  <si>
    <t>Sales to Customers</t>
  </si>
  <si>
    <t>Operating Revenues</t>
  </si>
  <si>
    <t>Increase</t>
  </si>
  <si>
    <t>Deficiency</t>
  </si>
  <si>
    <t>Operations</t>
  </si>
  <si>
    <t>Adjustments</t>
  </si>
  <si>
    <t xml:space="preserve">Rate </t>
  </si>
  <si>
    <t xml:space="preserve">Requirement </t>
  </si>
  <si>
    <t>Results of</t>
  </si>
  <si>
    <t>Total</t>
  </si>
  <si>
    <t>Actual Results</t>
  </si>
  <si>
    <t>After</t>
  </si>
  <si>
    <t>Revenue</t>
  </si>
  <si>
    <t>Adjusted</t>
  </si>
  <si>
    <t>of Operation</t>
  </si>
  <si>
    <t xml:space="preserve">Public </t>
  </si>
  <si>
    <t>Counsel</t>
  </si>
  <si>
    <t>Adj. ACC-3.02</t>
  </si>
  <si>
    <t>Adj. ACC-3.03</t>
  </si>
  <si>
    <t>(A) Exhibit MJS-4, page 1.</t>
  </si>
  <si>
    <t>(C) Exhibit MJS-4.</t>
  </si>
  <si>
    <t>Rate Base (AMA 12/31/10) Without Reallocation</t>
  </si>
  <si>
    <t>PUGET SOUND ENERGY, INC. - GAS</t>
  </si>
  <si>
    <t>Proforma</t>
  </si>
  <si>
    <t>PUGET SOUND ENERGY, INC.-GAS</t>
  </si>
  <si>
    <t>Exhibit No. ACC-4.01</t>
  </si>
  <si>
    <t>Exhibit No.  ACC-4.02</t>
  </si>
  <si>
    <t>Exhibit No. ACC-4.03</t>
  </si>
  <si>
    <t>Exhibit No. ACC-4.04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</si>
</sst>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1" formatCode="_(* #,##0_);_(* \(#,##0\);_(* &quot;-&quot;_);_(@_)"/>
    <numFmt numFmtId="164" formatCode="#."/>
    <numFmt numFmtId="165" formatCode="&quot;$&quot;#,##0.00"/>
    <numFmt numFmtId="166" formatCode="&quot;$&quot;#,##0"/>
  </numFmts>
  <fonts count="4">
    <font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5" fontId="0" fillId="0" borderId="0" xfId="0" applyNumberFormat="1"/>
    <xf numFmtId="166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/>
    <xf numFmtId="37" fontId="0" fillId="0" borderId="1" xfId="0" applyNumberFormat="1" applyBorder="1"/>
    <xf numFmtId="3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/>
    <xf numFmtId="0" fontId="0" fillId="0" borderId="1" xfId="0" applyBorder="1"/>
    <xf numFmtId="5" fontId="1" fillId="0" borderId="0" xfId="0" applyNumberFormat="1" applyFont="1"/>
    <xf numFmtId="166" fontId="1" fillId="0" borderId="0" xfId="0" applyNumberFormat="1" applyFont="1"/>
    <xf numFmtId="0" fontId="1" fillId="0" borderId="0" xfId="0" applyFont="1" applyAlignment="1">
      <alignment horizontal="center"/>
    </xf>
    <xf numFmtId="3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5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1" fontId="0" fillId="0" borderId="0" xfId="0" applyNumberFormat="1"/>
    <xf numFmtId="41" fontId="0" fillId="0" borderId="2" xfId="0" applyNumberFormat="1" applyBorder="1"/>
    <xf numFmtId="0" fontId="2" fillId="0" borderId="0" xfId="0" applyFont="1"/>
    <xf numFmtId="10" fontId="0" fillId="0" borderId="0" xfId="0" applyNumberFormat="1"/>
    <xf numFmtId="41" fontId="0" fillId="0" borderId="0" xfId="0" applyNumberFormat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1" xfId="0" applyNumberFormat="1" applyFill="1" applyBorder="1" applyAlignment="1">
      <alignment horizontal="center"/>
    </xf>
    <xf numFmtId="37" fontId="0" fillId="0" borderId="1" xfId="0" applyNumberFormat="1" applyFill="1" applyBorder="1" applyAlignment="1">
      <alignment horizontal="center"/>
    </xf>
    <xf numFmtId="41" fontId="0" fillId="0" borderId="1" xfId="0" applyNumberFormat="1" applyBorder="1"/>
    <xf numFmtId="166" fontId="0" fillId="0" borderId="0" xfId="0" applyNumberFormat="1" applyBorder="1"/>
    <xf numFmtId="166" fontId="0" fillId="0" borderId="2" xfId="0" applyNumberFormat="1" applyBorder="1"/>
    <xf numFmtId="166" fontId="0" fillId="0" borderId="1" xfId="0" applyNumberFormat="1" applyBorder="1"/>
    <xf numFmtId="0" fontId="0" fillId="0" borderId="2" xfId="0" applyBorder="1"/>
    <xf numFmtId="37" fontId="0" fillId="0" borderId="2" xfId="0" applyNumberFormat="1" applyBorder="1"/>
    <xf numFmtId="5" fontId="0" fillId="0" borderId="0" xfId="0" applyNumberForma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5"/>
  <sheetViews>
    <sheetView tabSelected="1" view="pageLayout" zoomScaleNormal="100" workbookViewId="0">
      <selection activeCell="J3" sqref="J3"/>
    </sheetView>
  </sheetViews>
  <sheetFormatPr defaultRowHeight="15"/>
  <cols>
    <col min="1" max="1" width="3" customWidth="1"/>
    <col min="4" max="4" width="14.85546875" bestFit="1" customWidth="1"/>
    <col min="6" max="6" width="14.7109375" customWidth="1"/>
    <col min="7" max="7" width="8.7109375" customWidth="1"/>
    <col min="8" max="8" width="12.7109375" customWidth="1"/>
  </cols>
  <sheetData>
    <row r="3" spans="1:10">
      <c r="B3" s="41" t="s">
        <v>108</v>
      </c>
    </row>
    <row r="4" spans="1:10">
      <c r="B4" t="s">
        <v>107</v>
      </c>
    </row>
    <row r="6" spans="1:10">
      <c r="B6" t="s">
        <v>0</v>
      </c>
    </row>
    <row r="8" spans="1:10">
      <c r="B8" t="s">
        <v>1</v>
      </c>
    </row>
    <row r="12" spans="1:10">
      <c r="F12" s="5" t="s">
        <v>2</v>
      </c>
      <c r="G12" s="5"/>
    </row>
    <row r="13" spans="1:10">
      <c r="F13" s="12" t="s">
        <v>25</v>
      </c>
      <c r="G13" s="20"/>
    </row>
    <row r="14" spans="1:10">
      <c r="A14" s="2"/>
      <c r="F14" s="3"/>
    </row>
    <row r="15" spans="1:10">
      <c r="A15" s="2"/>
      <c r="F15" s="4"/>
      <c r="G15" s="5"/>
      <c r="I15" s="4"/>
      <c r="J15" s="4"/>
    </row>
    <row r="16" spans="1:10">
      <c r="A16" s="2">
        <v>1</v>
      </c>
      <c r="B16" t="s">
        <v>17</v>
      </c>
      <c r="F16" s="6">
        <f>NOL!E31</f>
        <v>-1191988.9600457998</v>
      </c>
      <c r="G16" s="7" t="s">
        <v>7</v>
      </c>
      <c r="J16" s="4"/>
    </row>
    <row r="17" spans="1:10">
      <c r="A17" s="2"/>
      <c r="D17" s="1"/>
      <c r="F17" s="6"/>
      <c r="G17" s="7"/>
      <c r="J17" s="4"/>
    </row>
    <row r="18" spans="1:10">
      <c r="A18" s="2">
        <v>2</v>
      </c>
      <c r="B18" t="s">
        <v>18</v>
      </c>
      <c r="F18" s="10">
        <f>'Rep and Ret'!G31</f>
        <v>-3143711.9347066293</v>
      </c>
      <c r="G18" s="7" t="s">
        <v>11</v>
      </c>
      <c r="I18" s="5"/>
      <c r="J18" s="4"/>
    </row>
    <row r="19" spans="1:10">
      <c r="A19" s="2"/>
      <c r="F19" s="6"/>
      <c r="G19" s="7"/>
      <c r="I19" s="5"/>
      <c r="J19" s="4"/>
    </row>
    <row r="20" spans="1:10">
      <c r="A20" s="2">
        <v>3</v>
      </c>
      <c r="B20" t="s">
        <v>15</v>
      </c>
      <c r="F20" s="6">
        <f>SUM(F16:F18)</f>
        <v>-4335700.8947524289</v>
      </c>
      <c r="G20" s="7"/>
      <c r="I20" s="5"/>
      <c r="J20" s="4"/>
    </row>
    <row r="21" spans="1:10">
      <c r="A21" s="2"/>
      <c r="F21" s="6"/>
      <c r="G21" s="8"/>
      <c r="I21" s="7"/>
      <c r="J21" s="4"/>
    </row>
    <row r="22" spans="1:10">
      <c r="A22" s="2">
        <v>4</v>
      </c>
      <c r="B22" t="s">
        <v>19</v>
      </c>
      <c r="F22" s="10">
        <v>31864884</v>
      </c>
      <c r="G22" s="8" t="s">
        <v>16</v>
      </c>
      <c r="I22" s="7"/>
      <c r="J22" s="4"/>
    </row>
    <row r="23" spans="1:10">
      <c r="A23" s="2"/>
      <c r="F23" s="4"/>
      <c r="G23" s="8"/>
      <c r="I23" s="7"/>
      <c r="J23" s="4"/>
    </row>
    <row r="24" spans="1:10">
      <c r="A24" s="2">
        <v>5</v>
      </c>
      <c r="B24" t="s">
        <v>24</v>
      </c>
      <c r="F24" s="16">
        <f>+F20+F22</f>
        <v>27529183.105247572</v>
      </c>
      <c r="G24" s="8"/>
      <c r="I24" s="7"/>
      <c r="J24" s="4"/>
    </row>
    <row r="25" spans="1:10">
      <c r="A25" s="2"/>
      <c r="G25" s="8"/>
      <c r="I25" s="7"/>
      <c r="J25" s="4"/>
    </row>
    <row r="26" spans="1:10">
      <c r="A26" s="2"/>
      <c r="G26" s="8"/>
      <c r="I26" s="7"/>
      <c r="J26" s="4"/>
    </row>
    <row r="27" spans="1:10">
      <c r="A27" s="2"/>
      <c r="G27" s="8"/>
      <c r="I27" s="7"/>
      <c r="J27" s="4"/>
    </row>
    <row r="28" spans="1:10">
      <c r="A28" s="2"/>
      <c r="G28" s="11"/>
      <c r="I28" s="7"/>
      <c r="J28" s="4"/>
    </row>
    <row r="29" spans="1:10">
      <c r="A29" s="2"/>
      <c r="G29" s="5"/>
      <c r="I29" s="7"/>
      <c r="J29" s="4"/>
    </row>
    <row r="30" spans="1:10">
      <c r="A30" s="2"/>
      <c r="B30" t="s">
        <v>8</v>
      </c>
      <c r="G30" s="17"/>
      <c r="I30" s="7"/>
      <c r="J30" s="4"/>
    </row>
    <row r="31" spans="1:10">
      <c r="A31" s="2"/>
      <c r="B31" t="s">
        <v>39</v>
      </c>
      <c r="F31" s="4"/>
      <c r="H31" s="4"/>
      <c r="I31" s="7"/>
      <c r="J31" s="4"/>
    </row>
    <row r="32" spans="1:10">
      <c r="B32" t="s">
        <v>40</v>
      </c>
      <c r="F32" s="4"/>
      <c r="H32" s="4"/>
      <c r="I32" s="4"/>
      <c r="J32" s="4"/>
    </row>
    <row r="33" spans="2:10">
      <c r="B33" t="s">
        <v>103</v>
      </c>
      <c r="F33" s="4"/>
      <c r="G33" s="4"/>
      <c r="H33" s="4"/>
      <c r="I33" s="4"/>
      <c r="J33" s="4"/>
    </row>
    <row r="34" spans="2:10">
      <c r="F34" s="4"/>
      <c r="G34" s="4"/>
      <c r="H34" s="4"/>
      <c r="I34" s="4"/>
      <c r="J34" s="4"/>
    </row>
    <row r="35" spans="2:10">
      <c r="F35" s="4"/>
      <c r="G35" s="4"/>
      <c r="H35" s="4"/>
      <c r="I35" s="4"/>
      <c r="J35" s="4"/>
    </row>
  </sheetData>
  <pageMargins left="0.7" right="0.7" top="0.75" bottom="0.75" header="0.3" footer="0.3"/>
  <pageSetup orientation="portrait" r:id="rId1"/>
  <headerFooter>
    <oddHeader>&amp;RDocket Nos. UE-111048 &amp;&amp; UG-111049
Exhibit No. ACC-4
Page 1 of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F44"/>
  <sheetViews>
    <sheetView tabSelected="1" view="pageLayout" zoomScaleNormal="100" workbookViewId="0">
      <selection activeCell="J3" sqref="J3"/>
    </sheetView>
  </sheetViews>
  <sheetFormatPr defaultRowHeight="15"/>
  <cols>
    <col min="1" max="1" width="4.42578125" customWidth="1"/>
    <col min="4" max="4" width="20.7109375" customWidth="1"/>
    <col min="5" max="5" width="12.7109375" bestFit="1" customWidth="1"/>
  </cols>
  <sheetData>
    <row r="4" spans="1:6">
      <c r="B4" s="41" t="s">
        <v>109</v>
      </c>
    </row>
    <row r="5" spans="1:6">
      <c r="B5" t="s">
        <v>107</v>
      </c>
    </row>
    <row r="7" spans="1:6">
      <c r="B7" t="s">
        <v>27</v>
      </c>
    </row>
    <row r="9" spans="1:6">
      <c r="B9" t="s">
        <v>9</v>
      </c>
      <c r="F9" s="19"/>
    </row>
    <row r="10" spans="1:6">
      <c r="F10" s="19"/>
    </row>
    <row r="11" spans="1:6">
      <c r="F11" s="19"/>
    </row>
    <row r="12" spans="1:6">
      <c r="E12" s="5" t="s">
        <v>2</v>
      </c>
      <c r="F12" s="19"/>
    </row>
    <row r="13" spans="1:6">
      <c r="A13" s="2"/>
      <c r="E13" s="12" t="s">
        <v>25</v>
      </c>
      <c r="F13" s="19"/>
    </row>
    <row r="14" spans="1:6">
      <c r="A14" s="2"/>
      <c r="E14" s="1"/>
      <c r="F14" s="19"/>
    </row>
    <row r="15" spans="1:6">
      <c r="A15" s="2">
        <v>1</v>
      </c>
      <c r="B15" t="s">
        <v>13</v>
      </c>
      <c r="E15" s="6">
        <v>-9676250</v>
      </c>
      <c r="F15" s="21" t="s">
        <v>7</v>
      </c>
    </row>
    <row r="16" spans="1:6">
      <c r="A16" s="2"/>
      <c r="E16" s="1"/>
      <c r="F16" s="20"/>
    </row>
    <row r="17" spans="1:6">
      <c r="A17" s="2">
        <v>2</v>
      </c>
      <c r="B17" t="s">
        <v>28</v>
      </c>
      <c r="E17" s="10">
        <f>+E15*0.0502</f>
        <v>-485747.75</v>
      </c>
      <c r="F17" s="22" t="s">
        <v>11</v>
      </c>
    </row>
    <row r="18" spans="1:6">
      <c r="A18" s="2"/>
      <c r="F18" s="20"/>
    </row>
    <row r="19" spans="1:6">
      <c r="A19" s="2">
        <v>3</v>
      </c>
      <c r="B19" t="s">
        <v>3</v>
      </c>
      <c r="E19" s="9">
        <f>+E15+E17</f>
        <v>-10161997.75</v>
      </c>
      <c r="F19" s="22"/>
    </row>
    <row r="20" spans="1:6">
      <c r="A20" s="2"/>
      <c r="F20" s="20"/>
    </row>
    <row r="21" spans="1:6">
      <c r="A21" s="2">
        <v>4</v>
      </c>
      <c r="B21" t="s">
        <v>4</v>
      </c>
      <c r="E21" s="13">
        <v>7.2900000000000006E-2</v>
      </c>
      <c r="F21" s="23" t="s">
        <v>16</v>
      </c>
    </row>
    <row r="22" spans="1:6">
      <c r="A22" s="2"/>
      <c r="F22" s="20"/>
    </row>
    <row r="23" spans="1:6">
      <c r="A23" s="2">
        <v>5</v>
      </c>
      <c r="B23" t="s">
        <v>14</v>
      </c>
      <c r="E23" s="9">
        <f>+E19*E21</f>
        <v>-740809.6359750001</v>
      </c>
      <c r="F23" s="22" t="s">
        <v>20</v>
      </c>
    </row>
    <row r="24" spans="1:6">
      <c r="A24" s="2"/>
      <c r="F24" s="20"/>
    </row>
    <row r="25" spans="1:6">
      <c r="A25" s="2">
        <v>6</v>
      </c>
      <c r="B25" t="s">
        <v>5</v>
      </c>
      <c r="E25" s="14">
        <v>0.65</v>
      </c>
      <c r="F25" s="20" t="s">
        <v>21</v>
      </c>
    </row>
    <row r="26" spans="1:6">
      <c r="A26" s="2"/>
      <c r="F26" s="20"/>
    </row>
    <row r="27" spans="1:6">
      <c r="A27" s="2">
        <v>7</v>
      </c>
      <c r="B27" t="s">
        <v>10</v>
      </c>
      <c r="E27" s="9">
        <f>+E23/E25</f>
        <v>-1139707.1322692309</v>
      </c>
      <c r="F27" s="22" t="s">
        <v>22</v>
      </c>
    </row>
    <row r="28" spans="1:6">
      <c r="A28" s="2"/>
      <c r="F28" s="20"/>
    </row>
    <row r="29" spans="1:6">
      <c r="A29" s="2">
        <v>8</v>
      </c>
      <c r="B29" t="s">
        <v>26</v>
      </c>
      <c r="E29" s="14">
        <v>0.95613899999999996</v>
      </c>
      <c r="F29" s="20" t="s">
        <v>23</v>
      </c>
    </row>
    <row r="30" spans="1:6">
      <c r="A30" s="2"/>
      <c r="F30" s="20"/>
    </row>
    <row r="31" spans="1:6">
      <c r="A31" s="2">
        <v>9</v>
      </c>
      <c r="B31" t="s">
        <v>6</v>
      </c>
      <c r="E31" s="15">
        <f>+E27/E29</f>
        <v>-1191988.9600457998</v>
      </c>
      <c r="F31" s="21" t="s">
        <v>30</v>
      </c>
    </row>
    <row r="32" spans="1:6">
      <c r="A32" s="2"/>
      <c r="F32" s="20"/>
    </row>
    <row r="33" spans="1:2">
      <c r="A33" s="2"/>
    </row>
    <row r="34" spans="1:2">
      <c r="A34" s="2"/>
    </row>
    <row r="36" spans="1:2">
      <c r="B36" t="s">
        <v>8</v>
      </c>
    </row>
    <row r="37" spans="1:2">
      <c r="B37" t="s">
        <v>41</v>
      </c>
    </row>
    <row r="38" spans="1:2">
      <c r="B38" t="s">
        <v>31</v>
      </c>
    </row>
    <row r="39" spans="1:2">
      <c r="B39" t="s">
        <v>42</v>
      </c>
    </row>
    <row r="40" spans="1:2">
      <c r="B40" t="s">
        <v>35</v>
      </c>
    </row>
    <row r="41" spans="1:2">
      <c r="B41" t="s">
        <v>43</v>
      </c>
    </row>
    <row r="42" spans="1:2">
      <c r="B42" t="s">
        <v>33</v>
      </c>
    </row>
    <row r="43" spans="1:2">
      <c r="B43" t="s">
        <v>44</v>
      </c>
    </row>
    <row r="44" spans="1:2">
      <c r="B44" t="s">
        <v>34</v>
      </c>
    </row>
  </sheetData>
  <pageMargins left="0.7" right="0.7" top="0.75" bottom="0.75" header="0.3" footer="0.3"/>
  <pageSetup orientation="portrait" r:id="rId1"/>
  <headerFooter>
    <oddHeader>&amp;RDocket Nos. UE-111048 &amp;&amp; UG-111049
Exhibit No. ACC-4
Page 2 of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43"/>
  <sheetViews>
    <sheetView tabSelected="1" view="pageLayout" zoomScaleNormal="100" workbookViewId="0">
      <selection activeCell="J3" sqref="J3"/>
    </sheetView>
  </sheetViews>
  <sheetFormatPr defaultRowHeight="15"/>
  <cols>
    <col min="1" max="1" width="4.5703125" customWidth="1"/>
    <col min="6" max="6" width="8.7109375" customWidth="1"/>
    <col min="7" max="7" width="14.7109375" customWidth="1"/>
  </cols>
  <sheetData>
    <row r="4" spans="1:8">
      <c r="B4" s="41" t="s">
        <v>110</v>
      </c>
    </row>
    <row r="5" spans="1:8">
      <c r="B5" t="s">
        <v>105</v>
      </c>
    </row>
    <row r="7" spans="1:8">
      <c r="B7" t="s">
        <v>38</v>
      </c>
    </row>
    <row r="9" spans="1:8">
      <c r="B9" t="s">
        <v>9</v>
      </c>
    </row>
    <row r="12" spans="1:8">
      <c r="G12" s="5" t="s">
        <v>2</v>
      </c>
    </row>
    <row r="13" spans="1:8">
      <c r="G13" s="12" t="s">
        <v>25</v>
      </c>
      <c r="H13" s="19"/>
    </row>
    <row r="14" spans="1:8">
      <c r="G14" s="1"/>
      <c r="H14" s="19"/>
    </row>
    <row r="15" spans="1:8">
      <c r="A15" s="2">
        <v>1</v>
      </c>
      <c r="B15" t="s">
        <v>37</v>
      </c>
      <c r="F15" s="9"/>
      <c r="G15" s="6">
        <v>1660735111</v>
      </c>
      <c r="H15" s="21" t="s">
        <v>7</v>
      </c>
    </row>
    <row r="16" spans="1:8">
      <c r="A16" s="2"/>
      <c r="G16" s="1"/>
      <c r="H16" s="20"/>
    </row>
    <row r="17" spans="1:11">
      <c r="A17" s="2">
        <v>2</v>
      </c>
      <c r="B17" t="s">
        <v>104</v>
      </c>
      <c r="G17" s="18">
        <v>1633934197</v>
      </c>
      <c r="H17" s="24" t="s">
        <v>7</v>
      </c>
    </row>
    <row r="18" spans="1:11">
      <c r="A18" s="2"/>
      <c r="G18" s="1"/>
      <c r="H18" s="20"/>
    </row>
    <row r="19" spans="1:11">
      <c r="A19" s="2">
        <v>3</v>
      </c>
      <c r="B19" t="s">
        <v>12</v>
      </c>
      <c r="G19" s="6">
        <f>+G17-G15</f>
        <v>-26800914</v>
      </c>
      <c r="H19" s="22"/>
    </row>
    <row r="20" spans="1:11">
      <c r="A20" s="2"/>
      <c r="G20" s="1"/>
      <c r="H20" s="20"/>
    </row>
    <row r="21" spans="1:11">
      <c r="A21" s="2">
        <v>4</v>
      </c>
      <c r="B21" t="s">
        <v>4</v>
      </c>
      <c r="G21" s="13">
        <v>7.2900000000000006E-2</v>
      </c>
      <c r="H21" s="23" t="s">
        <v>11</v>
      </c>
      <c r="K21" s="19"/>
    </row>
    <row r="22" spans="1:11">
      <c r="A22" s="2"/>
      <c r="H22" s="20"/>
      <c r="K22" s="19"/>
    </row>
    <row r="23" spans="1:11">
      <c r="A23" s="2">
        <v>5</v>
      </c>
      <c r="B23" t="s">
        <v>14</v>
      </c>
      <c r="G23" s="6">
        <f>+G19*G21</f>
        <v>-1953786.6306000003</v>
      </c>
      <c r="H23" s="22" t="s">
        <v>16</v>
      </c>
    </row>
    <row r="24" spans="1:11">
      <c r="A24" s="2"/>
      <c r="H24" s="20"/>
    </row>
    <row r="25" spans="1:11">
      <c r="A25" s="2">
        <v>6</v>
      </c>
      <c r="B25" t="s">
        <v>5</v>
      </c>
      <c r="G25" s="14">
        <v>0.65</v>
      </c>
      <c r="H25" s="20" t="s">
        <v>20</v>
      </c>
    </row>
    <row r="26" spans="1:11">
      <c r="A26" s="2"/>
      <c r="H26" s="20"/>
    </row>
    <row r="27" spans="1:11">
      <c r="A27" s="2">
        <v>7</v>
      </c>
      <c r="B27" t="s">
        <v>10</v>
      </c>
      <c r="G27" s="6">
        <f>+G23/G25</f>
        <v>-3005825.5855384618</v>
      </c>
      <c r="H27" s="24" t="s">
        <v>21</v>
      </c>
    </row>
    <row r="28" spans="1:11">
      <c r="A28" s="2"/>
      <c r="H28" s="20"/>
    </row>
    <row r="29" spans="1:11">
      <c r="A29" s="2">
        <v>8</v>
      </c>
      <c r="B29" t="s">
        <v>26</v>
      </c>
      <c r="G29" s="14">
        <v>0.95613899999999996</v>
      </c>
      <c r="H29" s="20" t="s">
        <v>22</v>
      </c>
    </row>
    <row r="30" spans="1:11">
      <c r="A30" s="2"/>
      <c r="H30" s="20"/>
    </row>
    <row r="31" spans="1:11">
      <c r="A31" s="2">
        <v>9</v>
      </c>
      <c r="B31" t="s">
        <v>6</v>
      </c>
      <c r="G31" s="15">
        <f>+G27/G29</f>
        <v>-3143711.9347066293</v>
      </c>
      <c r="H31" s="21" t="s">
        <v>23</v>
      </c>
    </row>
    <row r="32" spans="1:11">
      <c r="A32" s="2"/>
      <c r="H32" s="19"/>
    </row>
    <row r="33" spans="1:8">
      <c r="A33" s="2"/>
      <c r="H33" s="19"/>
    </row>
    <row r="34" spans="1:8">
      <c r="A34" s="2"/>
    </row>
    <row r="36" spans="1:8">
      <c r="B36" t="s">
        <v>8</v>
      </c>
    </row>
    <row r="37" spans="1:8">
      <c r="B37" t="s">
        <v>45</v>
      </c>
    </row>
    <row r="38" spans="1:8">
      <c r="B38" t="s">
        <v>46</v>
      </c>
    </row>
    <row r="39" spans="1:8">
      <c r="B39" t="s">
        <v>36</v>
      </c>
    </row>
    <row r="40" spans="1:8">
      <c r="B40" t="s">
        <v>47</v>
      </c>
    </row>
    <row r="41" spans="1:8">
      <c r="B41" t="s">
        <v>29</v>
      </c>
    </row>
    <row r="42" spans="1:8">
      <c r="B42" t="s">
        <v>48</v>
      </c>
    </row>
    <row r="43" spans="1:8">
      <c r="B43" t="s">
        <v>32</v>
      </c>
    </row>
  </sheetData>
  <pageMargins left="0.7" right="0.7" top="0.75" bottom="0.75" header="0.3" footer="0.3"/>
  <pageSetup orientation="portrait" r:id="rId1"/>
  <headerFooter>
    <oddHeader>&amp;RDocket Nos. UE-111048 &amp;&amp; UG-111049
Exhibit No. ACC-4
Page 3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61"/>
  <sheetViews>
    <sheetView tabSelected="1" view="pageLayout" zoomScaleNormal="100" workbookViewId="0">
      <selection activeCell="J3" sqref="J3"/>
    </sheetView>
  </sheetViews>
  <sheetFormatPr defaultRowHeight="15"/>
  <cols>
    <col min="1" max="1" width="5.28515625" customWidth="1"/>
    <col min="2" max="2" width="30.7109375" customWidth="1"/>
    <col min="3" max="13" width="14.7109375" customWidth="1"/>
  </cols>
  <sheetData>
    <row r="4" spans="1:21">
      <c r="B4" s="41" t="s">
        <v>111</v>
      </c>
    </row>
    <row r="5" spans="1:21">
      <c r="B5" t="s">
        <v>105</v>
      </c>
    </row>
    <row r="7" spans="1:21">
      <c r="B7" t="s">
        <v>38</v>
      </c>
    </row>
    <row r="9" spans="1:21">
      <c r="B9" t="s">
        <v>9</v>
      </c>
    </row>
    <row r="10" spans="1:21">
      <c r="C10" s="25"/>
      <c r="D10" s="25"/>
      <c r="E10" s="25"/>
      <c r="J10" s="9"/>
    </row>
    <row r="11" spans="1:21">
      <c r="C11" s="29"/>
      <c r="D11" s="29"/>
      <c r="E11" s="29" t="s">
        <v>96</v>
      </c>
      <c r="F11" s="5" t="s">
        <v>95</v>
      </c>
      <c r="G11" s="5" t="s">
        <v>94</v>
      </c>
      <c r="H11" s="5" t="s">
        <v>98</v>
      </c>
      <c r="I11" s="5" t="s">
        <v>98</v>
      </c>
      <c r="J11" s="11" t="s">
        <v>98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>
      <c r="C12" s="29" t="s">
        <v>93</v>
      </c>
      <c r="D12" s="29" t="s">
        <v>92</v>
      </c>
      <c r="E12" s="29" t="s">
        <v>91</v>
      </c>
      <c r="F12" s="29" t="s">
        <v>90</v>
      </c>
      <c r="G12" s="29" t="s">
        <v>89</v>
      </c>
      <c r="H12" s="29" t="s">
        <v>99</v>
      </c>
      <c r="I12" s="29" t="s">
        <v>99</v>
      </c>
      <c r="J12" s="11" t="s">
        <v>99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C13" s="30" t="s">
        <v>97</v>
      </c>
      <c r="D13" s="30" t="s">
        <v>88</v>
      </c>
      <c r="E13" s="31" t="s">
        <v>87</v>
      </c>
      <c r="F13" s="32" t="s">
        <v>86</v>
      </c>
      <c r="G13" s="32" t="s">
        <v>85</v>
      </c>
      <c r="H13" s="32" t="s">
        <v>100</v>
      </c>
      <c r="I13" s="32" t="s">
        <v>101</v>
      </c>
      <c r="J13" s="33" t="s">
        <v>106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>
      <c r="B14" s="27" t="s">
        <v>84</v>
      </c>
      <c r="C14" s="29" t="s">
        <v>7</v>
      </c>
      <c r="D14" s="29" t="s">
        <v>7</v>
      </c>
      <c r="E14" s="29" t="s">
        <v>7</v>
      </c>
      <c r="F14" s="29" t="s">
        <v>7</v>
      </c>
      <c r="G14" s="29" t="s">
        <v>7</v>
      </c>
      <c r="J14" s="9"/>
    </row>
    <row r="15" spans="1:21">
      <c r="A15">
        <v>1</v>
      </c>
      <c r="B15" t="s">
        <v>83</v>
      </c>
      <c r="C15" s="6">
        <v>953445526</v>
      </c>
      <c r="D15" s="6">
        <v>86976708</v>
      </c>
      <c r="E15" s="6">
        <f>C15+D15</f>
        <v>1040422234</v>
      </c>
      <c r="F15" s="6">
        <v>31864884</v>
      </c>
      <c r="G15" s="6">
        <f>+E15+F15</f>
        <v>1072287118</v>
      </c>
      <c r="H15" s="6">
        <f>Summary!F16</f>
        <v>-1191988.9600457998</v>
      </c>
      <c r="I15" s="6">
        <f>Summary!F18</f>
        <v>-3143711.9347066293</v>
      </c>
      <c r="J15" s="6">
        <f>+G15+H15+I15</f>
        <v>1067951417.1052475</v>
      </c>
    </row>
    <row r="16" spans="1:21">
      <c r="A16">
        <v>2</v>
      </c>
      <c r="B16" t="s">
        <v>82</v>
      </c>
      <c r="C16" s="25">
        <v>43761997</v>
      </c>
      <c r="D16" s="25">
        <v>-43761997</v>
      </c>
      <c r="E16" s="25">
        <f>C16+D16</f>
        <v>0</v>
      </c>
      <c r="G16" s="25">
        <f>+E16+F16</f>
        <v>0</v>
      </c>
      <c r="H16" s="1"/>
      <c r="I16" s="1"/>
      <c r="J16" s="9">
        <f>+G16+H16+I16</f>
        <v>0</v>
      </c>
    </row>
    <row r="17" spans="1:10">
      <c r="A17">
        <v>3</v>
      </c>
      <c r="B17" t="s">
        <v>81</v>
      </c>
      <c r="C17" s="26">
        <v>14322994</v>
      </c>
      <c r="D17" s="26">
        <v>575831</v>
      </c>
      <c r="E17" s="34">
        <f>C17+D17</f>
        <v>14898825</v>
      </c>
      <c r="F17" s="18"/>
      <c r="G17" s="34">
        <f>+E17+F17</f>
        <v>14898825</v>
      </c>
      <c r="H17" s="18"/>
      <c r="I17" s="18"/>
      <c r="J17" s="10">
        <f>+G17+H17+I17</f>
        <v>14898825</v>
      </c>
    </row>
    <row r="18" spans="1:10">
      <c r="A18">
        <v>4</v>
      </c>
      <c r="B18" t="s">
        <v>80</v>
      </c>
      <c r="C18" s="35">
        <f t="shared" ref="C18:J18" si="0">SUM(C15:C17)</f>
        <v>1011530517</v>
      </c>
      <c r="D18" s="35">
        <f t="shared" si="0"/>
        <v>43790542</v>
      </c>
      <c r="E18" s="35">
        <f t="shared" si="0"/>
        <v>1055321059</v>
      </c>
      <c r="F18" s="35">
        <f t="shared" si="0"/>
        <v>31864884</v>
      </c>
      <c r="G18" s="35">
        <f t="shared" si="0"/>
        <v>1087185943</v>
      </c>
      <c r="H18" s="40">
        <f t="shared" si="0"/>
        <v>-1191988.9600457998</v>
      </c>
      <c r="I18" s="40">
        <f t="shared" si="0"/>
        <v>-3143711.9347066293</v>
      </c>
      <c r="J18" s="35">
        <f t="shared" si="0"/>
        <v>1082850242.1052475</v>
      </c>
    </row>
    <row r="19" spans="1:10">
      <c r="C19" s="4"/>
      <c r="D19" s="4"/>
      <c r="E19" s="4"/>
      <c r="F19" s="4"/>
      <c r="G19" s="4"/>
      <c r="H19" s="4"/>
      <c r="I19" s="4"/>
      <c r="J19" s="4"/>
    </row>
    <row r="20" spans="1:10">
      <c r="B20" t="s">
        <v>79</v>
      </c>
      <c r="C20" s="4"/>
      <c r="D20" s="4"/>
      <c r="E20" s="4"/>
      <c r="F20" s="4"/>
      <c r="G20" s="4"/>
      <c r="H20" s="4"/>
      <c r="I20" s="4"/>
      <c r="J20" s="4"/>
    </row>
    <row r="21" spans="1:10">
      <c r="C21" s="4"/>
      <c r="D21" s="4"/>
      <c r="E21" s="4"/>
      <c r="F21" s="4"/>
      <c r="G21" s="4"/>
      <c r="H21" s="4"/>
      <c r="I21" s="4"/>
      <c r="J21" s="4"/>
    </row>
    <row r="22" spans="1:10">
      <c r="B22" s="27" t="s">
        <v>78</v>
      </c>
      <c r="C22" s="4"/>
      <c r="D22" s="4"/>
      <c r="E22" s="4"/>
      <c r="F22" s="4"/>
      <c r="G22" s="4"/>
      <c r="H22" s="4"/>
      <c r="I22" s="4"/>
      <c r="J22" s="4"/>
    </row>
    <row r="23" spans="1:10">
      <c r="A23">
        <v>5</v>
      </c>
      <c r="B23" t="s">
        <v>77</v>
      </c>
      <c r="C23" s="4">
        <v>535932510</v>
      </c>
      <c r="D23" s="4">
        <v>65002584</v>
      </c>
      <c r="E23" s="4">
        <f>C23+D23</f>
        <v>600935094</v>
      </c>
      <c r="F23" s="4"/>
      <c r="G23" s="4">
        <f>+E23+F23</f>
        <v>600935094</v>
      </c>
      <c r="H23" s="4"/>
      <c r="I23" s="4"/>
      <c r="J23" s="4">
        <f t="shared" ref="J23:J41" si="1">+G23+H23+I23</f>
        <v>600935094</v>
      </c>
    </row>
    <row r="24" spans="1:10">
      <c r="C24" s="36"/>
      <c r="D24" s="36"/>
      <c r="E24" s="37"/>
      <c r="F24" s="37"/>
      <c r="G24" s="37">
        <f>+E24+F24</f>
        <v>0</v>
      </c>
      <c r="H24" s="37"/>
      <c r="I24" s="37"/>
      <c r="J24" s="37">
        <f t="shared" si="1"/>
        <v>0</v>
      </c>
    </row>
    <row r="25" spans="1:10">
      <c r="A25">
        <v>6</v>
      </c>
      <c r="B25" t="s">
        <v>76</v>
      </c>
      <c r="C25" s="4">
        <f>SUM(C23:C24)</f>
        <v>535932510</v>
      </c>
      <c r="D25" s="4">
        <f>SUM(D23:D24)</f>
        <v>65002584</v>
      </c>
      <c r="E25" s="4">
        <f>SUM(E23:E24)</f>
        <v>600935094</v>
      </c>
      <c r="F25" s="4">
        <f>SUM(F23:F24)</f>
        <v>0</v>
      </c>
      <c r="G25" s="4">
        <f>SUM(G23:G24)</f>
        <v>600935094</v>
      </c>
      <c r="H25" s="4"/>
      <c r="I25" s="4"/>
      <c r="J25" s="4">
        <f t="shared" si="1"/>
        <v>600935094</v>
      </c>
    </row>
    <row r="26" spans="1:10">
      <c r="C26" s="4"/>
      <c r="D26" s="4"/>
      <c r="E26" s="4"/>
      <c r="F26" s="4"/>
      <c r="G26" s="4"/>
      <c r="H26" s="4"/>
      <c r="I26" s="4"/>
      <c r="J26" s="4"/>
    </row>
    <row r="27" spans="1:10">
      <c r="A27">
        <v>7</v>
      </c>
      <c r="B27" t="s">
        <v>75</v>
      </c>
      <c r="C27" s="4">
        <v>1937122</v>
      </c>
      <c r="D27" s="4">
        <v>38715</v>
      </c>
      <c r="E27" s="4">
        <f t="shared" ref="E27:E41" si="2">C27+D27</f>
        <v>1975837</v>
      </c>
      <c r="F27" s="4"/>
      <c r="G27" s="4">
        <f t="shared" ref="G27:G41" si="3">+E27+F27</f>
        <v>1975837</v>
      </c>
      <c r="H27" s="4"/>
      <c r="I27" s="4"/>
      <c r="J27" s="4">
        <f t="shared" si="1"/>
        <v>1975837</v>
      </c>
    </row>
    <row r="28" spans="1:10">
      <c r="A28">
        <v>8</v>
      </c>
      <c r="B28" t="s">
        <v>74</v>
      </c>
      <c r="C28" s="25">
        <v>226853</v>
      </c>
      <c r="D28" s="25">
        <v>3910</v>
      </c>
      <c r="E28" s="25">
        <f t="shared" si="2"/>
        <v>230763</v>
      </c>
      <c r="F28" s="1"/>
      <c r="G28" s="25">
        <f t="shared" si="3"/>
        <v>230763</v>
      </c>
      <c r="H28" s="9"/>
      <c r="I28" s="9"/>
      <c r="J28" s="9">
        <f t="shared" si="1"/>
        <v>230763</v>
      </c>
    </row>
    <row r="29" spans="1:10">
      <c r="A29">
        <v>9</v>
      </c>
      <c r="B29" t="s">
        <v>73</v>
      </c>
      <c r="C29" s="25">
        <v>50238405</v>
      </c>
      <c r="D29" s="25">
        <v>-193087</v>
      </c>
      <c r="E29" s="25">
        <f t="shared" si="2"/>
        <v>50045318</v>
      </c>
      <c r="F29" s="1"/>
      <c r="G29" s="25">
        <f t="shared" si="3"/>
        <v>50045318</v>
      </c>
      <c r="H29" s="9"/>
      <c r="I29" s="9"/>
      <c r="J29" s="9">
        <f t="shared" si="1"/>
        <v>50045318</v>
      </c>
    </row>
    <row r="30" spans="1:10">
      <c r="A30">
        <v>10</v>
      </c>
      <c r="B30" t="s">
        <v>72</v>
      </c>
      <c r="C30" s="25">
        <v>32629594</v>
      </c>
      <c r="D30" s="25">
        <v>-1938909</v>
      </c>
      <c r="E30" s="25">
        <f t="shared" si="2"/>
        <v>30690685</v>
      </c>
      <c r="F30" s="1">
        <v>110730</v>
      </c>
      <c r="G30" s="25">
        <f t="shared" si="3"/>
        <v>30801415</v>
      </c>
      <c r="H30" s="9">
        <f>0.003475*H15</f>
        <v>-4142.1616361591541</v>
      </c>
      <c r="I30" s="9">
        <f>0.003475*I15</f>
        <v>-10924.398973105535</v>
      </c>
      <c r="J30" s="9">
        <f t="shared" si="1"/>
        <v>30786348.439390734</v>
      </c>
    </row>
    <row r="31" spans="1:10">
      <c r="A31">
        <v>11</v>
      </c>
      <c r="B31" t="s">
        <v>71</v>
      </c>
      <c r="C31" s="25">
        <v>4454346</v>
      </c>
      <c r="D31" s="25">
        <v>-3312974</v>
      </c>
      <c r="E31" s="25">
        <f t="shared" si="2"/>
        <v>1141372</v>
      </c>
      <c r="G31" s="25">
        <f t="shared" si="3"/>
        <v>1141372</v>
      </c>
      <c r="H31" s="9"/>
      <c r="I31" s="9"/>
      <c r="J31" s="9">
        <f t="shared" si="1"/>
        <v>1141372</v>
      </c>
    </row>
    <row r="32" spans="1:10">
      <c r="A32">
        <v>12</v>
      </c>
      <c r="B32" t="s">
        <v>70</v>
      </c>
      <c r="C32" s="25">
        <v>14771682</v>
      </c>
      <c r="D32" s="25">
        <v>-14771682</v>
      </c>
      <c r="E32" s="25">
        <f t="shared" si="2"/>
        <v>0</v>
      </c>
      <c r="G32" s="25">
        <f t="shared" si="3"/>
        <v>0</v>
      </c>
      <c r="H32" s="9"/>
      <c r="I32" s="9"/>
      <c r="J32" s="9">
        <f t="shared" si="1"/>
        <v>0</v>
      </c>
    </row>
    <row r="33" spans="1:10">
      <c r="A33">
        <v>13</v>
      </c>
      <c r="B33" t="s">
        <v>69</v>
      </c>
      <c r="C33" s="25">
        <v>42818070</v>
      </c>
      <c r="D33" s="25">
        <v>1240280</v>
      </c>
      <c r="E33" s="25">
        <f t="shared" si="2"/>
        <v>44058350</v>
      </c>
      <c r="F33" s="1">
        <v>63730</v>
      </c>
      <c r="G33" s="25">
        <f t="shared" si="3"/>
        <v>44122080</v>
      </c>
      <c r="H33" s="9">
        <f>0.002*H15</f>
        <v>-2383.9779200915996</v>
      </c>
      <c r="I33" s="9">
        <f>0.002*I15</f>
        <v>-6287.4238694132582</v>
      </c>
      <c r="J33" s="9">
        <f t="shared" si="1"/>
        <v>44113408.598210491</v>
      </c>
    </row>
    <row r="34" spans="1:10">
      <c r="A34">
        <v>14</v>
      </c>
      <c r="B34" t="s">
        <v>68</v>
      </c>
      <c r="C34" s="25">
        <v>102386843</v>
      </c>
      <c r="D34" s="25">
        <v>-6555172</v>
      </c>
      <c r="E34" s="25">
        <f t="shared" si="2"/>
        <v>95831671</v>
      </c>
      <c r="G34" s="25">
        <f t="shared" si="3"/>
        <v>95831671</v>
      </c>
      <c r="H34" s="9"/>
      <c r="I34" s="9"/>
      <c r="J34" s="9">
        <f t="shared" si="1"/>
        <v>95831671</v>
      </c>
    </row>
    <row r="35" spans="1:10">
      <c r="A35">
        <v>15</v>
      </c>
      <c r="B35" t="s">
        <v>67</v>
      </c>
      <c r="C35" s="25">
        <v>12778120</v>
      </c>
      <c r="D35" s="25">
        <v>0</v>
      </c>
      <c r="E35" s="25">
        <f t="shared" si="2"/>
        <v>12778120</v>
      </c>
      <c r="G35" s="25">
        <f t="shared" si="3"/>
        <v>12778120</v>
      </c>
      <c r="H35" s="9"/>
      <c r="I35" s="9"/>
      <c r="J35" s="9">
        <f t="shared" si="1"/>
        <v>12778120</v>
      </c>
    </row>
    <row r="36" spans="1:10">
      <c r="A36">
        <v>16</v>
      </c>
      <c r="B36" t="s">
        <v>66</v>
      </c>
      <c r="C36" s="25">
        <v>0</v>
      </c>
      <c r="D36" s="25">
        <v>0</v>
      </c>
      <c r="E36" s="25">
        <f t="shared" si="2"/>
        <v>0</v>
      </c>
      <c r="F36" s="1"/>
      <c r="G36" s="25">
        <f t="shared" si="3"/>
        <v>0</v>
      </c>
      <c r="H36" s="9"/>
      <c r="I36" s="9"/>
      <c r="J36" s="9">
        <f t="shared" si="1"/>
        <v>0</v>
      </c>
    </row>
    <row r="37" spans="1:10">
      <c r="A37">
        <v>17</v>
      </c>
      <c r="B37" t="s">
        <v>65</v>
      </c>
      <c r="C37" s="25">
        <v>-187824</v>
      </c>
      <c r="D37" s="25">
        <v>142453</v>
      </c>
      <c r="E37" s="25">
        <f t="shared" si="2"/>
        <v>-45371</v>
      </c>
      <c r="F37" s="1"/>
      <c r="G37" s="25">
        <f t="shared" si="3"/>
        <v>-45371</v>
      </c>
      <c r="H37" s="9"/>
      <c r="I37" s="9"/>
      <c r="J37" s="9">
        <f t="shared" si="1"/>
        <v>-45371</v>
      </c>
    </row>
    <row r="38" spans="1:10">
      <c r="A38">
        <v>18</v>
      </c>
      <c r="B38" t="s">
        <v>64</v>
      </c>
      <c r="C38" s="25">
        <v>0</v>
      </c>
      <c r="D38" s="25">
        <v>0</v>
      </c>
      <c r="E38" s="25">
        <f t="shared" si="2"/>
        <v>0</v>
      </c>
      <c r="G38" s="25">
        <f t="shared" si="3"/>
        <v>0</v>
      </c>
      <c r="H38" s="9"/>
      <c r="I38" s="9"/>
      <c r="J38" s="9">
        <f t="shared" si="1"/>
        <v>0</v>
      </c>
    </row>
    <row r="39" spans="1:10">
      <c r="A39">
        <v>19</v>
      </c>
      <c r="B39" t="s">
        <v>63</v>
      </c>
      <c r="C39" s="25">
        <v>98746988</v>
      </c>
      <c r="D39" s="25">
        <v>-37712763</v>
      </c>
      <c r="E39" s="25">
        <f t="shared" si="2"/>
        <v>61034225</v>
      </c>
      <c r="F39">
        <v>1223165</v>
      </c>
      <c r="G39" s="25">
        <f t="shared" si="3"/>
        <v>62257390</v>
      </c>
      <c r="H39" s="9">
        <f>0.038386*H15</f>
        <v>-45755.688220318079</v>
      </c>
      <c r="I39" s="9">
        <f>0.038386*I15</f>
        <v>-120674.52632564868</v>
      </c>
      <c r="J39" s="9">
        <f t="shared" si="1"/>
        <v>62090959.785454035</v>
      </c>
    </row>
    <row r="40" spans="1:10">
      <c r="A40">
        <v>20</v>
      </c>
      <c r="B40" t="s">
        <v>62</v>
      </c>
      <c r="C40" s="25">
        <v>15204117</v>
      </c>
      <c r="D40" s="25">
        <v>-20997781</v>
      </c>
      <c r="E40" s="25">
        <f t="shared" si="2"/>
        <v>-5793664</v>
      </c>
      <c r="F40" s="1">
        <v>10663552</v>
      </c>
      <c r="G40" s="25">
        <f t="shared" si="3"/>
        <v>4869888</v>
      </c>
      <c r="H40" s="9">
        <f>+((H15-H30-H33-H43)*0.35)-(0.35*0.0324*H57)</f>
        <v>-299674.93268634216</v>
      </c>
      <c r="I40" s="9">
        <f>+((I15-I30-I33-I43)*0.35)-(0.35*0.0324*I57)</f>
        <v>-790352.67439243849</v>
      </c>
      <c r="J40" s="9">
        <f t="shared" si="1"/>
        <v>3779860.3929212196</v>
      </c>
    </row>
    <row r="41" spans="1:10">
      <c r="A41">
        <v>21</v>
      </c>
      <c r="B41" t="s">
        <v>61</v>
      </c>
      <c r="C41" s="26">
        <v>-3067771</v>
      </c>
      <c r="D41" s="26">
        <v>45680808</v>
      </c>
      <c r="E41" s="26">
        <f t="shared" si="2"/>
        <v>42613037</v>
      </c>
      <c r="F41" s="18"/>
      <c r="G41" s="34">
        <f t="shared" si="3"/>
        <v>42613037</v>
      </c>
      <c r="H41" s="18"/>
      <c r="I41" s="18"/>
      <c r="J41" s="10">
        <f t="shared" si="1"/>
        <v>42613037</v>
      </c>
    </row>
    <row r="42" spans="1:10">
      <c r="A42">
        <v>22</v>
      </c>
      <c r="B42" t="s">
        <v>60</v>
      </c>
      <c r="C42" s="6">
        <f t="shared" ref="C42:J42" si="4">SUM(C27:C41)</f>
        <v>372936545</v>
      </c>
      <c r="D42" s="6">
        <f t="shared" si="4"/>
        <v>-38376202</v>
      </c>
      <c r="E42" s="6">
        <f t="shared" si="4"/>
        <v>334560343</v>
      </c>
      <c r="F42" s="6">
        <f t="shared" si="4"/>
        <v>12061177</v>
      </c>
      <c r="G42" s="6">
        <f t="shared" si="4"/>
        <v>346621520</v>
      </c>
      <c r="H42" s="6">
        <f t="shared" si="4"/>
        <v>-351956.76046291098</v>
      </c>
      <c r="I42" s="6">
        <f t="shared" si="4"/>
        <v>-928239.02356060594</v>
      </c>
      <c r="J42" s="6">
        <f t="shared" si="4"/>
        <v>345341324.21597648</v>
      </c>
    </row>
    <row r="43" spans="1:10">
      <c r="C43" s="6"/>
      <c r="D43" s="6"/>
      <c r="E43" s="6"/>
      <c r="F43" s="6"/>
      <c r="G43" s="6"/>
      <c r="H43" s="6"/>
      <c r="I43" s="6"/>
      <c r="J43" s="6"/>
    </row>
    <row r="44" spans="1:10">
      <c r="A44">
        <v>23</v>
      </c>
      <c r="B44" t="s">
        <v>59</v>
      </c>
      <c r="C44" s="6">
        <f>C18-C42-C25</f>
        <v>102661462</v>
      </c>
      <c r="D44" s="6">
        <f>D18-D42-D25</f>
        <v>17164160</v>
      </c>
      <c r="E44" s="6">
        <f>E18-E42-E25</f>
        <v>119825622</v>
      </c>
      <c r="F44" s="6">
        <f>F18-F42-F25</f>
        <v>19803707</v>
      </c>
      <c r="G44" s="6">
        <f>G18-G42-G25</f>
        <v>139629329</v>
      </c>
      <c r="H44" s="6">
        <f>H15-H42-H25</f>
        <v>-840032.19958288886</v>
      </c>
      <c r="I44" s="6">
        <f>I15-I42-I25</f>
        <v>-2215472.9111460233</v>
      </c>
      <c r="J44" s="6">
        <f>+G44+H44+I44</f>
        <v>136573823.88927111</v>
      </c>
    </row>
    <row r="45" spans="1:10">
      <c r="C45" s="6"/>
      <c r="D45" s="6"/>
      <c r="E45" s="6"/>
      <c r="F45" s="6"/>
      <c r="G45" s="6"/>
      <c r="H45" s="6"/>
      <c r="I45" s="6"/>
      <c r="J45" s="6"/>
    </row>
    <row r="46" spans="1:10">
      <c r="A46">
        <v>24</v>
      </c>
      <c r="B46" t="s">
        <v>58</v>
      </c>
      <c r="C46" s="6">
        <f>C57</f>
        <v>1660735112</v>
      </c>
      <c r="D46" s="6">
        <f>D57</f>
        <v>-2429587</v>
      </c>
      <c r="E46" s="6">
        <f>C46+D46</f>
        <v>1658305525</v>
      </c>
      <c r="F46" s="6"/>
      <c r="G46" s="6">
        <f>E46+F46</f>
        <v>1658305525</v>
      </c>
      <c r="H46" s="6">
        <f>+H57</f>
        <v>-10161997.75</v>
      </c>
      <c r="I46" s="6">
        <f>+I57</f>
        <v>-26800914</v>
      </c>
      <c r="J46" s="6">
        <f>+G46+H57+I57</f>
        <v>1621342613.25</v>
      </c>
    </row>
    <row r="47" spans="1:10">
      <c r="C47" s="6"/>
      <c r="D47" s="6"/>
      <c r="E47" s="6"/>
      <c r="F47" s="6"/>
      <c r="G47" s="6"/>
      <c r="H47" s="6"/>
      <c r="I47" s="6"/>
      <c r="J47" s="6"/>
    </row>
    <row r="48" spans="1:10">
      <c r="A48">
        <v>25</v>
      </c>
      <c r="B48" t="s">
        <v>57</v>
      </c>
      <c r="C48" s="28">
        <v>6.1800000000000001E-2</v>
      </c>
      <c r="D48" s="28"/>
      <c r="E48" s="28">
        <v>7.2300000000000003E-2</v>
      </c>
      <c r="G48" s="28">
        <f>+G44/G46</f>
        <v>8.4200002288480583E-2</v>
      </c>
      <c r="H48" s="28"/>
      <c r="I48" s="28"/>
      <c r="J48" s="28">
        <f>+(J44)/J46</f>
        <v>8.4235017801393197E-2</v>
      </c>
    </row>
    <row r="49" spans="1:10">
      <c r="C49" s="25"/>
      <c r="D49" s="25"/>
      <c r="E49" s="25"/>
      <c r="J49" s="9"/>
    </row>
    <row r="50" spans="1:10">
      <c r="B50" s="27" t="s">
        <v>56</v>
      </c>
      <c r="C50" s="25"/>
      <c r="D50" s="25"/>
      <c r="E50" s="25"/>
      <c r="J50" s="9"/>
    </row>
    <row r="51" spans="1:10">
      <c r="A51">
        <v>26</v>
      </c>
      <c r="B51" t="s">
        <v>55</v>
      </c>
      <c r="C51" s="4">
        <v>2787911459</v>
      </c>
      <c r="D51" s="4">
        <v>0</v>
      </c>
      <c r="E51" s="4">
        <f>C51+D51</f>
        <v>2787911459</v>
      </c>
      <c r="F51" s="4"/>
      <c r="G51" s="4"/>
      <c r="H51" s="4"/>
      <c r="I51" s="4"/>
      <c r="J51" s="4"/>
    </row>
    <row r="52" spans="1:10">
      <c r="A52">
        <v>27</v>
      </c>
      <c r="B52" t="s">
        <v>54</v>
      </c>
      <c r="C52" s="25">
        <v>-924038095</v>
      </c>
      <c r="D52" s="25">
        <v>-2755565</v>
      </c>
      <c r="E52" s="25">
        <f>C52+D52</f>
        <v>-926793660</v>
      </c>
      <c r="H52" s="9"/>
      <c r="I52" s="9"/>
      <c r="J52" s="9"/>
    </row>
    <row r="53" spans="1:10">
      <c r="A53">
        <v>28</v>
      </c>
      <c r="B53" t="s">
        <v>53</v>
      </c>
      <c r="C53" s="25">
        <v>-254856083</v>
      </c>
      <c r="D53" s="25">
        <v>325978</v>
      </c>
      <c r="E53" s="25">
        <f>C53+D53</f>
        <v>-254530105</v>
      </c>
      <c r="H53" s="6">
        <f>NOL!E15</f>
        <v>-9676250</v>
      </c>
      <c r="J53" s="9"/>
    </row>
    <row r="54" spans="1:10">
      <c r="A54">
        <v>29</v>
      </c>
      <c r="B54" t="s">
        <v>52</v>
      </c>
      <c r="C54" s="26">
        <v>-27129125</v>
      </c>
      <c r="D54" s="26">
        <v>0</v>
      </c>
      <c r="E54" s="26">
        <f>C54+D54</f>
        <v>-27129125</v>
      </c>
      <c r="F54" s="14"/>
      <c r="G54" s="14"/>
      <c r="H54" s="10"/>
      <c r="I54" s="10"/>
      <c r="J54" s="10"/>
    </row>
    <row r="55" spans="1:10">
      <c r="A55">
        <v>30</v>
      </c>
      <c r="B55" t="s">
        <v>51</v>
      </c>
      <c r="C55" s="6">
        <f>SUM(C51:C54)</f>
        <v>1581888156</v>
      </c>
      <c r="D55" s="6">
        <f>SUM(D51:D54)</f>
        <v>-2429587</v>
      </c>
      <c r="E55" s="6">
        <f>SUM(E51:E54)</f>
        <v>1579458569</v>
      </c>
      <c r="F55" s="6"/>
      <c r="G55" s="6"/>
      <c r="H55" s="6">
        <f>SUM(H51:H54)</f>
        <v>-9676250</v>
      </c>
      <c r="I55" s="6"/>
      <c r="J55" s="6"/>
    </row>
    <row r="56" spans="1:10">
      <c r="A56">
        <v>31</v>
      </c>
      <c r="B56" t="s">
        <v>50</v>
      </c>
      <c r="C56" s="26">
        <v>78846956</v>
      </c>
      <c r="D56" s="26">
        <v>0</v>
      </c>
      <c r="E56" s="26">
        <f>C56+D56</f>
        <v>78846956</v>
      </c>
      <c r="F56" s="38"/>
      <c r="G56" s="38"/>
      <c r="H56" s="39">
        <f>NOL!E17</f>
        <v>-485747.75</v>
      </c>
      <c r="I56" s="39"/>
      <c r="J56" s="39"/>
    </row>
    <row r="57" spans="1:10">
      <c r="A57">
        <v>32</v>
      </c>
      <c r="B57" t="s">
        <v>49</v>
      </c>
      <c r="C57" s="6">
        <f>C55+C56</f>
        <v>1660735112</v>
      </c>
      <c r="D57" s="6">
        <f>D55+D56</f>
        <v>-2429587</v>
      </c>
      <c r="E57" s="6">
        <f>E55+E56</f>
        <v>1658305525</v>
      </c>
      <c r="F57" s="6"/>
      <c r="G57" s="6"/>
      <c r="H57" s="6">
        <f>H55+H56</f>
        <v>-10161997.75</v>
      </c>
      <c r="I57" s="6">
        <f>'Rep and Ret'!G19</f>
        <v>-26800914</v>
      </c>
      <c r="J57" s="6"/>
    </row>
    <row r="58" spans="1:10">
      <c r="C58" s="25"/>
      <c r="D58" s="25"/>
      <c r="E58" s="25"/>
      <c r="H58" s="9"/>
      <c r="I58" s="9"/>
      <c r="J58" s="9"/>
    </row>
    <row r="60" spans="1:10">
      <c r="B60" t="s">
        <v>8</v>
      </c>
    </row>
    <row r="61" spans="1:10">
      <c r="B61" t="s">
        <v>102</v>
      </c>
    </row>
  </sheetData>
  <pageMargins left="0.7" right="0.7" top="0.75" bottom="0.75" header="0.3" footer="0.3"/>
  <pageSetup scale="58" orientation="portrait" r:id="rId1"/>
  <headerFooter>
    <oddHeader>&amp;RDocket Nos. UE-111048 &amp;&amp; UG-111049
Exhibit No. ACC-4
Page 4 of 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75F4718-F725-43E3-99BD-32C3D05169EB}"/>
</file>

<file path=customXml/itemProps2.xml><?xml version="1.0" encoding="utf-8"?>
<ds:datastoreItem xmlns:ds="http://schemas.openxmlformats.org/officeDocument/2006/customXml" ds:itemID="{9D0F5F3D-BF8D-42E0-971F-0543747F50FB}"/>
</file>

<file path=customXml/itemProps3.xml><?xml version="1.0" encoding="utf-8"?>
<ds:datastoreItem xmlns:ds="http://schemas.openxmlformats.org/officeDocument/2006/customXml" ds:itemID="{EDE13A21-83C0-4787-B9E7-1BEE3D60E41E}"/>
</file>

<file path=customXml/itemProps4.xml><?xml version="1.0" encoding="utf-8"?>
<ds:datastoreItem xmlns:ds="http://schemas.openxmlformats.org/officeDocument/2006/customXml" ds:itemID="{E0A767C3-EAB4-4925-87F8-9199ADC801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NOL</vt:lpstr>
      <vt:lpstr>Rep and Ret</vt:lpstr>
      <vt:lpstr>Reconciliation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carolw</cp:lastModifiedBy>
  <cp:lastPrinted>2011-12-05T23:14:20Z</cp:lastPrinted>
  <dcterms:created xsi:type="dcterms:W3CDTF">2011-11-25T13:09:27Z</dcterms:created>
  <dcterms:modified xsi:type="dcterms:W3CDTF">2011-12-06T20:42:34Z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