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45" windowWidth="17955" windowHeight="7965" firstSheet="3" activeTab="5"/>
  </bookViews>
  <sheets>
    <sheet name="Summary" sheetId="1" r:id="rId1"/>
    <sheet name="NOLs" sheetId="2" r:id="rId2"/>
    <sheet name="Rep and Retire" sheetId="8" r:id="rId3"/>
    <sheet name="Chelan PUD Rate Base" sheetId="3" r:id="rId4"/>
    <sheet name="Chelan PUD - Expense" sheetId="4" r:id="rId5"/>
    <sheet name="Reconciliation" sheetId="9" r:id="rId6"/>
  </sheets>
  <definedNames>
    <definedName name="_xlnm.Print_Area" localSheetId="3">'Chelan PUD Rate Base'!$A$1:$I$46</definedName>
  </definedNames>
  <calcPr calcId="125725"/>
</workbook>
</file>

<file path=xl/calcChain.xml><?xml version="1.0" encoding="utf-8"?>
<calcChain xmlns="http://schemas.openxmlformats.org/spreadsheetml/2006/main">
  <c r="G74" i="3"/>
  <c r="F74"/>
  <c r="G73"/>
  <c r="F73"/>
  <c r="G72"/>
  <c r="F72"/>
  <c r="G70"/>
  <c r="G76"/>
  <c r="F70"/>
  <c r="F76"/>
  <c r="M17" i="9"/>
  <c r="N46"/>
  <c r="N43"/>
  <c r="N42"/>
  <c r="N41"/>
  <c r="N40"/>
  <c r="N39"/>
  <c r="N37"/>
  <c r="N36"/>
  <c r="N34"/>
  <c r="N33"/>
  <c r="N32"/>
  <c r="M30"/>
  <c r="N29"/>
  <c r="N28"/>
  <c r="N26"/>
  <c r="N20"/>
  <c r="N19"/>
  <c r="N18"/>
  <c r="M21"/>
  <c r="K51"/>
  <c r="F19" i="8"/>
  <c r="F23"/>
  <c r="F27"/>
  <c r="F31"/>
  <c r="E17" i="2"/>
  <c r="E19"/>
  <c r="E23"/>
  <c r="E27"/>
  <c r="E31"/>
  <c r="L46" i="9"/>
  <c r="L43"/>
  <c r="L42"/>
  <c r="L41"/>
  <c r="L40"/>
  <c r="L39"/>
  <c r="L37"/>
  <c r="L36"/>
  <c r="L34"/>
  <c r="L33"/>
  <c r="L32"/>
  <c r="J30"/>
  <c r="I30"/>
  <c r="H30"/>
  <c r="L29"/>
  <c r="L28"/>
  <c r="L26"/>
  <c r="L20"/>
  <c r="L19"/>
  <c r="L18"/>
  <c r="G78" i="3"/>
  <c r="G17"/>
  <c r="M38" i="9"/>
  <c r="M35"/>
  <c r="M44"/>
  <c r="J58"/>
  <c r="I62"/>
  <c r="I51" s="1"/>
  <c r="H60"/>
  <c r="H59"/>
  <c r="E17"/>
  <c r="G17"/>
  <c r="E18"/>
  <c r="G18"/>
  <c r="E19"/>
  <c r="G19"/>
  <c r="E20"/>
  <c r="G20"/>
  <c r="C21"/>
  <c r="D21"/>
  <c r="E21"/>
  <c r="F21"/>
  <c r="E26"/>
  <c r="G26"/>
  <c r="E27"/>
  <c r="G27"/>
  <c r="E28"/>
  <c r="G28"/>
  <c r="E29"/>
  <c r="G29"/>
  <c r="C30"/>
  <c r="D30"/>
  <c r="E30"/>
  <c r="F30"/>
  <c r="E32"/>
  <c r="G32"/>
  <c r="E33"/>
  <c r="G33"/>
  <c r="E34"/>
  <c r="G34"/>
  <c r="E35"/>
  <c r="G35"/>
  <c r="E36"/>
  <c r="G36"/>
  <c r="E37"/>
  <c r="G37"/>
  <c r="E38"/>
  <c r="G38"/>
  <c r="E39"/>
  <c r="G39"/>
  <c r="E40"/>
  <c r="G40"/>
  <c r="E41"/>
  <c r="G41"/>
  <c r="E42"/>
  <c r="G42"/>
  <c r="E43"/>
  <c r="G43"/>
  <c r="E44"/>
  <c r="G44"/>
  <c r="E45"/>
  <c r="G45"/>
  <c r="E46"/>
  <c r="G46"/>
  <c r="C47"/>
  <c r="D47"/>
  <c r="E47"/>
  <c r="F47"/>
  <c r="C49"/>
  <c r="D49"/>
  <c r="E49"/>
  <c r="F49"/>
  <c r="E56"/>
  <c r="E57"/>
  <c r="E58"/>
  <c r="E59"/>
  <c r="E60"/>
  <c r="E61"/>
  <c r="C62"/>
  <c r="C51"/>
  <c r="D62"/>
  <c r="D51"/>
  <c r="E62"/>
  <c r="M45"/>
  <c r="M47" s="1"/>
  <c r="M49" s="1"/>
  <c r="H62"/>
  <c r="H51" s="1"/>
  <c r="G47"/>
  <c r="G30"/>
  <c r="G21"/>
  <c r="G49"/>
  <c r="E51"/>
  <c r="C53"/>
  <c r="G19" i="3"/>
  <c r="J59" i="9"/>
  <c r="G20" i="4"/>
  <c r="F18" i="3" s="1"/>
  <c r="H19"/>
  <c r="H17"/>
  <c r="G18" i="4"/>
  <c r="G14"/>
  <c r="G51" i="9"/>
  <c r="G53"/>
  <c r="E53"/>
  <c r="F17" i="1"/>
  <c r="I17" i="9" s="1"/>
  <c r="I21" s="1"/>
  <c r="F15" i="1"/>
  <c r="H17" i="9"/>
  <c r="H21" s="1"/>
  <c r="G22" i="4"/>
  <c r="K27" i="9" s="1"/>
  <c r="G26" i="4"/>
  <c r="F21" i="1" s="1"/>
  <c r="K17" i="9" s="1"/>
  <c r="K21" s="1"/>
  <c r="H18" i="3"/>
  <c r="H21" s="1"/>
  <c r="K35" i="9" l="1"/>
  <c r="K44"/>
  <c r="K38"/>
  <c r="I44"/>
  <c r="I35"/>
  <c r="I38"/>
  <c r="K30"/>
  <c r="L27"/>
  <c r="H35"/>
  <c r="H44"/>
  <c r="H38"/>
  <c r="H45"/>
  <c r="G18" i="3"/>
  <c r="F21"/>
  <c r="J57" i="9" l="1"/>
  <c r="J62" s="1"/>
  <c r="G21" i="3"/>
  <c r="G25" s="1"/>
  <c r="G29" s="1"/>
  <c r="G33" s="1"/>
  <c r="F19" i="1" s="1"/>
  <c r="H47" i="9"/>
  <c r="L30"/>
  <c r="N27"/>
  <c r="N30" s="1"/>
  <c r="I45"/>
  <c r="K47"/>
  <c r="K49" s="1"/>
  <c r="J17" l="1"/>
  <c r="F25" i="1"/>
  <c r="F29" s="1"/>
  <c r="H49" i="9"/>
  <c r="L51"/>
  <c r="J51"/>
  <c r="I47"/>
  <c r="I49" s="1"/>
  <c r="N51" l="1"/>
  <c r="M51"/>
  <c r="M53" s="1"/>
  <c r="J21"/>
  <c r="L17"/>
  <c r="N17" l="1"/>
  <c r="L21"/>
  <c r="N21" s="1"/>
  <c r="J44"/>
  <c r="L44" s="1"/>
  <c r="N44" s="1"/>
  <c r="J35"/>
  <c r="J38"/>
  <c r="L38" s="1"/>
  <c r="N38" s="1"/>
  <c r="L35" l="1"/>
  <c r="N35" s="1"/>
  <c r="J45"/>
  <c r="L45" s="1"/>
  <c r="N45" s="1"/>
  <c r="N47" l="1"/>
  <c r="N49" s="1"/>
  <c r="N53" s="1"/>
  <c r="J47"/>
  <c r="L47" l="1"/>
  <c r="J49"/>
  <c r="L49" s="1"/>
  <c r="L53" s="1"/>
</calcChain>
</file>

<file path=xl/sharedStrings.xml><?xml version="1.0" encoding="utf-8"?>
<sst xmlns="http://schemas.openxmlformats.org/spreadsheetml/2006/main" count="254" uniqueCount="179">
  <si>
    <t>REQUIRED REVENUE INCREASE</t>
  </si>
  <si>
    <t>BASED ON THE TWELVE MONTHS ENDED DECEMBER 31, 2010</t>
  </si>
  <si>
    <t>Electric</t>
  </si>
  <si>
    <t>Total Rate Base Adjustment</t>
  </si>
  <si>
    <t>After Tax Cost of Capital</t>
  </si>
  <si>
    <t>Gross up for Federal Income Taxes</t>
  </si>
  <si>
    <t>Total Revenue Requirement Impact</t>
  </si>
  <si>
    <t>(A)</t>
  </si>
  <si>
    <t>Sources:</t>
  </si>
  <si>
    <t>PUGET SOUND ENERGY, INC. - ELECTRIC</t>
  </si>
  <si>
    <t>FOR THE TWELVE MONTHS ENDED DECEMBER 31, 2010</t>
  </si>
  <si>
    <t>Adjustment</t>
  </si>
  <si>
    <t>Revenue Requirement Impact Including FIT</t>
  </si>
  <si>
    <t>Gross up for Other Taxes</t>
  </si>
  <si>
    <t>(B)</t>
  </si>
  <si>
    <t xml:space="preserve">Electric </t>
  </si>
  <si>
    <t>Adjustment Due to Reallocation</t>
  </si>
  <si>
    <t>NOL in Unadjusted Rate Base</t>
  </si>
  <si>
    <t>Return Requirement</t>
  </si>
  <si>
    <t>Total Adjustments</t>
  </si>
  <si>
    <t>(C)</t>
  </si>
  <si>
    <t>Chelan PUD - Rate Base Adjustment</t>
  </si>
  <si>
    <t>Chelan PUD - Expense Adjustment</t>
  </si>
  <si>
    <t>Net Operating Loss Adjustment</t>
  </si>
  <si>
    <t>Repairs and Retirements Tax Adjustment</t>
  </si>
  <si>
    <t>Company Claim</t>
  </si>
  <si>
    <t>(D)</t>
  </si>
  <si>
    <t>(E)</t>
  </si>
  <si>
    <t>(F)</t>
  </si>
  <si>
    <t>(G)</t>
  </si>
  <si>
    <t>Maximum Pro Forma Increase</t>
  </si>
  <si>
    <t>Utility</t>
  </si>
  <si>
    <t>After Tax Cost of Capital Per Company</t>
  </si>
  <si>
    <t>Revenue Conversion Factor (Excluding FIT)</t>
  </si>
  <si>
    <t>Total Deferred Balance @ 11/1/11</t>
  </si>
  <si>
    <t>Accumulated Amortization</t>
  </si>
  <si>
    <t>Deferred Income Taxes</t>
  </si>
  <si>
    <t>Chelan PUD Reservation Payment Return Requirement</t>
  </si>
  <si>
    <t>Net Reservation Fee Balance</t>
  </si>
  <si>
    <t>Recommended</t>
  </si>
  <si>
    <t>Per</t>
  </si>
  <si>
    <t>Company</t>
  </si>
  <si>
    <t>Public Counsel</t>
  </si>
  <si>
    <t>(A) Reflects elimination of tax gross up, per the response to PC-266.</t>
  </si>
  <si>
    <t xml:space="preserve">      reduction in Total Deferred Balance.</t>
  </si>
  <si>
    <t>(C) Deferred Income Tax effect of adjustment estimated based on the percentage</t>
  </si>
  <si>
    <t>(D) Exhibit JHS-7.03.</t>
  </si>
  <si>
    <t>(D) Exhibit JHS-7.02.</t>
  </si>
  <si>
    <t>Deferred Balance @ 11/1/11 - After Tax</t>
  </si>
  <si>
    <t>Annual Amortization Expense</t>
  </si>
  <si>
    <t>Recommended Adjustment</t>
  </si>
  <si>
    <t>Amortization Period Per Company (Yrs.)</t>
  </si>
  <si>
    <t>(B) Exhibit JHS-1T, page 32, line 8.</t>
  </si>
  <si>
    <t>(C) Exhibit JHS-5.09.</t>
  </si>
  <si>
    <t>NET OPERATING LOSS ADJUSTMENT</t>
  </si>
  <si>
    <t>Working Capital Impact @ 5.02%</t>
  </si>
  <si>
    <t>(E) Line 5 / Line 6.</t>
  </si>
  <si>
    <t>(H)</t>
  </si>
  <si>
    <t>(G) Line 7 / Line 8.</t>
  </si>
  <si>
    <t>(F) Based on tax rate per Exhibit JSH-7.03.</t>
  </si>
  <si>
    <t>(G) Exhibit JSH-7.03.</t>
  </si>
  <si>
    <t>(E) Line  4 X Line 5.</t>
  </si>
  <si>
    <t>(F) Line 5 / Line 6.</t>
  </si>
  <si>
    <t>(H) Line 7 / Line 8.</t>
  </si>
  <si>
    <t>(D) Line 3 X Line 4.</t>
  </si>
  <si>
    <t>(C) Line 3 X Line 4.</t>
  </si>
  <si>
    <t xml:space="preserve">Rate Base (AMA 12/31/10) With Reallocation </t>
  </si>
  <si>
    <t>REPAIRS AND RETIREMENTS ACCOUNTING CHANGE</t>
  </si>
  <si>
    <t>(B) Exhibit ACC-3.05.</t>
  </si>
  <si>
    <t>(A) Exhibit ACC-3.04.</t>
  </si>
  <si>
    <t>AMORTIZATION EXPENSE ADJUSTMENT</t>
  </si>
  <si>
    <t>CONTRACT PAYMENTS TO CHELAN PUD  (Adjustment 5.09)</t>
  </si>
  <si>
    <t xml:space="preserve">RATE BASE ADJUSTMENT </t>
  </si>
  <si>
    <t>(A) Amount per Exhibit JHS-3.08.</t>
  </si>
  <si>
    <t>(B) Rate of 5.02% per Exhibit JHS-3.04.</t>
  </si>
  <si>
    <t>(C) Exhibit JHS-7.02.</t>
  </si>
  <si>
    <t>(E) Based on tax rate per Exhibit JSH-7.03.</t>
  </si>
  <si>
    <t xml:space="preserve">(G) Conversion factor per Exhibit JSH-7.03. </t>
  </si>
  <si>
    <t xml:space="preserve">(A) Amounts per Exhibit JHS-3.08. </t>
  </si>
  <si>
    <t>(D) Based on tax rate per Exhibit JSH-7.03.</t>
  </si>
  <si>
    <t>(F) Conversion factor per Exhibit JSH-7.03.</t>
  </si>
  <si>
    <t>(A) Exhibit ACC-3.02</t>
  </si>
  <si>
    <t>(B) Exhibit ACC-3.03</t>
  </si>
  <si>
    <t>(C) Exhibit ACC-3.04</t>
  </si>
  <si>
    <t>(D) Exhibit ACC-3.05</t>
  </si>
  <si>
    <t>ASC 815</t>
  </si>
  <si>
    <t>Revised</t>
  </si>
  <si>
    <t>Total Rate Base</t>
  </si>
  <si>
    <t>Other</t>
  </si>
  <si>
    <t>Allowance for Working Capital</t>
  </si>
  <si>
    <t>Deferred Taxes</t>
  </si>
  <si>
    <t>Deferred Debits and Credits</t>
  </si>
  <si>
    <t>Accum. Dep. And Amortization</t>
  </si>
  <si>
    <t>Gross Uitility Plant in Service</t>
  </si>
  <si>
    <t>Rate Base:</t>
  </si>
  <si>
    <t>Rate of Return</t>
  </si>
  <si>
    <t>Net Operating Income</t>
  </si>
  <si>
    <t>Total Operating Rev. Deductions Excl. Production</t>
  </si>
  <si>
    <t>Income Taxes</t>
  </si>
  <si>
    <t>Taxes Other Than Income Taxes</t>
  </si>
  <si>
    <t>Other Operating Expenses</t>
  </si>
  <si>
    <t>Amortzation of Property Gains/Losses</t>
  </si>
  <si>
    <t>Amortization</t>
  </si>
  <si>
    <t>Depreciation</t>
  </si>
  <si>
    <t>Admin &amp; General Expenses</t>
  </si>
  <si>
    <t>Conservation Amortization</t>
  </si>
  <si>
    <t>Customer Service Expenses</t>
  </si>
  <si>
    <t>Customer Accts Expenses</t>
  </si>
  <si>
    <t>Distribution Expense</t>
  </si>
  <si>
    <t>Transmission Expense</t>
  </si>
  <si>
    <t>Other Power Supply Expenses</t>
  </si>
  <si>
    <t>Total Production Expenses</t>
  </si>
  <si>
    <t>Residential Exchange</t>
  </si>
  <si>
    <t>Wheeling</t>
  </si>
  <si>
    <t>Purchased and Interchanged</t>
  </si>
  <si>
    <t>Fuel</t>
  </si>
  <si>
    <t>Power Costs:</t>
  </si>
  <si>
    <t>Operating Revenue Deductions:</t>
  </si>
  <si>
    <t>Total Operating Revenues</t>
  </si>
  <si>
    <t>Other Operating Revenues</t>
  </si>
  <si>
    <t>Sales to Other Utilities</t>
  </si>
  <si>
    <t>Sales from Resale-Firm/Special Contract</t>
  </si>
  <si>
    <t>Sales to Customers</t>
  </si>
  <si>
    <t>Total Revenues</t>
  </si>
  <si>
    <t>Increase</t>
  </si>
  <si>
    <t>Deficiency</t>
  </si>
  <si>
    <t>Operations</t>
  </si>
  <si>
    <t>Adjustments</t>
  </si>
  <si>
    <t>As Filed</t>
  </si>
  <si>
    <t>Counsel</t>
  </si>
  <si>
    <t>Rate</t>
  </si>
  <si>
    <t>Requirement</t>
  </si>
  <si>
    <t>Results of</t>
  </si>
  <si>
    <t>Total</t>
  </si>
  <si>
    <t>Of Operations</t>
  </si>
  <si>
    <t>Public</t>
  </si>
  <si>
    <t>After</t>
  </si>
  <si>
    <t xml:space="preserve">Revenue </t>
  </si>
  <si>
    <t>Adjusted</t>
  </si>
  <si>
    <t>Revied</t>
  </si>
  <si>
    <t>Actual Results</t>
  </si>
  <si>
    <t>Lower Snake River Adjustment</t>
  </si>
  <si>
    <t>(E) Testimony of Mr. Norwood.</t>
  </si>
  <si>
    <t>(F) Exhibit JHS-12.</t>
  </si>
  <si>
    <t>RECONCILIATION WITH COMPANY FILING</t>
  </si>
  <si>
    <t>Adj. ACC-3.02</t>
  </si>
  <si>
    <t>Adj. ACC-3.03</t>
  </si>
  <si>
    <t>Adj. ACC-3.04</t>
  </si>
  <si>
    <t>Adj. ACC-3.05</t>
  </si>
  <si>
    <t>Lower</t>
  </si>
  <si>
    <t>Snake</t>
  </si>
  <si>
    <t>Rate Base</t>
  </si>
  <si>
    <t>(B) Testimony of Mr. Norwood.</t>
  </si>
  <si>
    <t>(A) Exhibit JHS-12, page 1.</t>
  </si>
  <si>
    <t>River Adj.</t>
  </si>
  <si>
    <t>Including LSR Adj.</t>
  </si>
  <si>
    <t>Excluding LSR Adj.</t>
  </si>
  <si>
    <t>Notes:</t>
  </si>
  <si>
    <t>For illustrative purposes, Public Counsel adjustments are shown as being allocated entirely to "Sales to Customers".</t>
  </si>
  <si>
    <t>Resulting Public Counsel ROE assumes that rate base has not been reduced to reflect a LSR adjustment.</t>
  </si>
  <si>
    <t>Rate Base (AMA 12/31/10) Without Reallocation</t>
  </si>
  <si>
    <t>(B) Exhibit JHS-7.02.</t>
  </si>
  <si>
    <t>(H) Line 8 X Line 9.</t>
  </si>
  <si>
    <t>May 06-Dec. 06</t>
  </si>
  <si>
    <t>April 06</t>
  </si>
  <si>
    <t>Jan. 07</t>
  </si>
  <si>
    <t>Feb. 07-Oct. 08</t>
  </si>
  <si>
    <t>Nov. 08 - March 10</t>
  </si>
  <si>
    <t>April 10-Oct. 11</t>
  </si>
  <si>
    <t>PUGET SOUND ENERGY, INC. -ELECTRIC</t>
  </si>
  <si>
    <t>PUGET SOUND ENERGY, INC.-ELECTRIC</t>
  </si>
  <si>
    <t xml:space="preserve"> </t>
  </si>
  <si>
    <t>Proforma</t>
  </si>
  <si>
    <t>Exhibit No. ACC-3.06</t>
  </si>
  <si>
    <t xml:space="preserve">Exhibit No. ACC-3.01 </t>
  </si>
  <si>
    <t>Exhibit No. ACC-3.02</t>
  </si>
  <si>
    <t>Exhibit No. ACC-3.03</t>
  </si>
  <si>
    <t>Exhibit No. ACC-3.04</t>
  </si>
  <si>
    <t xml:space="preserve">Exhibit  No. ACC-3.05 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</si>
</sst>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164" formatCode="#."/>
    <numFmt numFmtId="165" formatCode="&quot;$&quot;#,##0"/>
    <numFmt numFmtId="166" formatCode="0.0000%"/>
    <numFmt numFmtId="167" formatCode="&quot;$&quot;#,##0.00"/>
  </numFmts>
  <fonts count="5">
    <font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5" fontId="0" fillId="0" borderId="0" xfId="0" applyNumberFormat="1"/>
    <xf numFmtId="165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37" fontId="0" fillId="0" borderId="0" xfId="0" applyNumberFormat="1"/>
    <xf numFmtId="37" fontId="0" fillId="0" borderId="2" xfId="0" applyNumberFormat="1" applyBorder="1"/>
    <xf numFmtId="37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10" fontId="0" fillId="0" borderId="2" xfId="0" applyNumberFormat="1" applyBorder="1"/>
    <xf numFmtId="0" fontId="0" fillId="0" borderId="2" xfId="0" applyBorder="1"/>
    <xf numFmtId="5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horizontal="center"/>
    </xf>
    <xf numFmtId="5" fontId="0" fillId="0" borderId="0" xfId="0" applyNumberFormat="1" applyAlignment="1">
      <alignment horizontal="right"/>
    </xf>
    <xf numFmtId="37" fontId="0" fillId="0" borderId="0" xfId="0" applyNumberFormat="1" applyAlignment="1">
      <alignment horizontal="right"/>
    </xf>
    <xf numFmtId="37" fontId="0" fillId="0" borderId="2" xfId="0" applyNumberFormat="1" applyBorder="1" applyAlignment="1">
      <alignment horizontal="right"/>
    </xf>
    <xf numFmtId="10" fontId="0" fillId="0" borderId="2" xfId="0" applyNumberFormat="1" applyBorder="1" applyAlignment="1">
      <alignment horizontal="right"/>
    </xf>
    <xf numFmtId="3" fontId="0" fillId="0" borderId="2" xfId="0" applyNumberFormat="1" applyBorder="1" applyAlignment="1">
      <alignment horizontal="center"/>
    </xf>
    <xf numFmtId="5" fontId="2" fillId="0" borderId="0" xfId="0" applyNumberFormat="1" applyFont="1"/>
    <xf numFmtId="3" fontId="0" fillId="0" borderId="2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5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0" fillId="0" borderId="0" xfId="0" applyNumberFormat="1"/>
    <xf numFmtId="41" fontId="0" fillId="0" borderId="0" xfId="0" applyNumberFormat="1"/>
    <xf numFmtId="41" fontId="0" fillId="0" borderId="1" xfId="0" applyNumberFormat="1" applyBorder="1"/>
    <xf numFmtId="0" fontId="3" fillId="0" borderId="0" xfId="0" applyFont="1"/>
    <xf numFmtId="166" fontId="0" fillId="0" borderId="0" xfId="0" applyNumberFormat="1"/>
    <xf numFmtId="41" fontId="0" fillId="0" borderId="1" xfId="0" applyNumberFormat="1" applyBorder="1" applyAlignment="1">
      <alignment horizontal="center"/>
    </xf>
    <xf numFmtId="41" fontId="0" fillId="0" borderId="0" xfId="0" applyNumberFormat="1" applyAlignment="1">
      <alignment horizontal="center"/>
    </xf>
    <xf numFmtId="37" fontId="0" fillId="0" borderId="0" xfId="0" applyNumberFormat="1" applyBorder="1"/>
    <xf numFmtId="41" fontId="0" fillId="0" borderId="2" xfId="0" applyNumberFormat="1" applyFill="1" applyBorder="1" applyAlignment="1">
      <alignment horizontal="center"/>
    </xf>
    <xf numFmtId="167" fontId="0" fillId="0" borderId="0" xfId="0" applyNumberFormat="1"/>
    <xf numFmtId="37" fontId="0" fillId="0" borderId="1" xfId="0" applyNumberFormat="1" applyBorder="1"/>
    <xf numFmtId="7" fontId="0" fillId="0" borderId="0" xfId="0" applyNumberFormat="1"/>
    <xf numFmtId="49" fontId="0" fillId="0" borderId="0" xfId="0" applyNumberFormat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44"/>
  <sheetViews>
    <sheetView view="pageLayout" zoomScaleNormal="100" workbookViewId="0">
      <selection activeCell="C4" sqref="C4"/>
    </sheetView>
  </sheetViews>
  <sheetFormatPr defaultRowHeight="15"/>
  <cols>
    <col min="1" max="1" width="7.7109375" customWidth="1"/>
    <col min="4" max="4" width="14.85546875" bestFit="1" customWidth="1"/>
    <col min="6" max="6" width="14.7109375" customWidth="1"/>
    <col min="7" max="7" width="12.7109375" customWidth="1"/>
  </cols>
  <sheetData>
    <row r="3" spans="1:8">
      <c r="B3" s="46" t="s">
        <v>174</v>
      </c>
    </row>
    <row r="4" spans="1:8">
      <c r="B4" t="s">
        <v>170</v>
      </c>
    </row>
    <row r="6" spans="1:8">
      <c r="B6" t="s">
        <v>0</v>
      </c>
    </row>
    <row r="8" spans="1:8">
      <c r="B8" t="s">
        <v>1</v>
      </c>
    </row>
    <row r="12" spans="1:8">
      <c r="F12" s="5" t="s">
        <v>2</v>
      </c>
      <c r="G12" s="5"/>
    </row>
    <row r="13" spans="1:8">
      <c r="F13" s="14" t="s">
        <v>31</v>
      </c>
      <c r="G13" s="28"/>
    </row>
    <row r="14" spans="1:8">
      <c r="A14" s="3"/>
    </row>
    <row r="15" spans="1:8">
      <c r="A15" s="3">
        <v>1</v>
      </c>
      <c r="B15" t="s">
        <v>23</v>
      </c>
      <c r="F15" s="8">
        <f>NOLs!E31</f>
        <v>-1498412.9310536452</v>
      </c>
      <c r="G15" s="9" t="s">
        <v>7</v>
      </c>
      <c r="H15" s="4"/>
    </row>
    <row r="16" spans="1:8">
      <c r="A16" s="3"/>
      <c r="D16" s="1"/>
      <c r="F16" s="11"/>
      <c r="G16" s="9"/>
      <c r="H16" s="4"/>
    </row>
    <row r="17" spans="1:8">
      <c r="A17" s="3">
        <v>2</v>
      </c>
      <c r="B17" t="s">
        <v>24</v>
      </c>
      <c r="F17" s="40">
        <f>'Rep and Retire'!F31</f>
        <v>-4055959.4463911084</v>
      </c>
      <c r="G17" s="9" t="s">
        <v>14</v>
      </c>
      <c r="H17" s="4"/>
    </row>
    <row r="18" spans="1:8">
      <c r="A18" s="3"/>
      <c r="H18" s="4"/>
    </row>
    <row r="19" spans="1:8">
      <c r="A19" s="3">
        <v>3</v>
      </c>
      <c r="B19" t="s">
        <v>21</v>
      </c>
      <c r="F19" s="11">
        <f>'Chelan PUD Rate Base'!G33</f>
        <v>-1791871.5706751843</v>
      </c>
      <c r="G19" s="9" t="s">
        <v>20</v>
      </c>
      <c r="H19" s="4"/>
    </row>
    <row r="20" spans="1:8">
      <c r="A20" s="3"/>
      <c r="F20" s="11"/>
      <c r="G20" s="9"/>
      <c r="H20" s="4"/>
    </row>
    <row r="21" spans="1:8">
      <c r="A21" s="3">
        <v>4</v>
      </c>
      <c r="B21" t="s">
        <v>22</v>
      </c>
      <c r="F21" s="11">
        <f>'Chelan PUD - Expense'!G26</f>
        <v>-966832.34519862791</v>
      </c>
      <c r="G21" s="9" t="s">
        <v>26</v>
      </c>
      <c r="H21" s="4"/>
    </row>
    <row r="22" spans="1:8">
      <c r="A22" s="3"/>
      <c r="G22" s="10"/>
      <c r="H22" s="4"/>
    </row>
    <row r="23" spans="1:8">
      <c r="A23" s="3">
        <v>5</v>
      </c>
      <c r="B23" t="s">
        <v>141</v>
      </c>
      <c r="F23" s="12">
        <v>-55000000</v>
      </c>
      <c r="G23" s="10" t="s">
        <v>27</v>
      </c>
      <c r="H23" s="4"/>
    </row>
    <row r="24" spans="1:8">
      <c r="A24" s="3"/>
      <c r="F24" s="8"/>
      <c r="G24" s="10"/>
      <c r="H24" s="4"/>
    </row>
    <row r="25" spans="1:8">
      <c r="A25" s="3">
        <v>6</v>
      </c>
      <c r="B25" t="s">
        <v>19</v>
      </c>
      <c r="F25" s="8">
        <f>SUM(F15:F23)</f>
        <v>-63313076.293318562</v>
      </c>
      <c r="G25" s="10"/>
      <c r="H25" s="4"/>
    </row>
    <row r="26" spans="1:8">
      <c r="A26" s="3"/>
      <c r="G26" s="10"/>
      <c r="H26" s="4"/>
    </row>
    <row r="27" spans="1:8">
      <c r="A27" s="3">
        <v>7</v>
      </c>
      <c r="B27" t="s">
        <v>25</v>
      </c>
      <c r="F27" s="12">
        <v>152928501</v>
      </c>
      <c r="G27" s="10" t="s">
        <v>28</v>
      </c>
      <c r="H27" s="4"/>
    </row>
    <row r="28" spans="1:8">
      <c r="A28" s="3"/>
      <c r="F28" s="4"/>
      <c r="G28" s="10"/>
      <c r="H28" s="4"/>
    </row>
    <row r="29" spans="1:8">
      <c r="A29" s="3">
        <v>8</v>
      </c>
      <c r="B29" t="s">
        <v>30</v>
      </c>
      <c r="F29" s="18">
        <f>+F25+F27</f>
        <v>89615424.70668143</v>
      </c>
      <c r="G29" s="13"/>
      <c r="H29" s="4"/>
    </row>
    <row r="30" spans="1:8">
      <c r="A30" s="3"/>
      <c r="F30" s="4"/>
      <c r="H30" s="4"/>
    </row>
    <row r="31" spans="1:8">
      <c r="A31" s="3"/>
      <c r="H31" s="4"/>
    </row>
    <row r="32" spans="1:8">
      <c r="H32" s="4"/>
    </row>
    <row r="33" spans="2:8">
      <c r="H33" s="4"/>
    </row>
    <row r="34" spans="2:8">
      <c r="B34" t="s">
        <v>8</v>
      </c>
      <c r="F34" s="8"/>
      <c r="H34" s="4"/>
    </row>
    <row r="35" spans="2:8">
      <c r="B35" t="s">
        <v>81</v>
      </c>
      <c r="H35" s="4"/>
    </row>
    <row r="36" spans="2:8">
      <c r="B36" t="s">
        <v>82</v>
      </c>
      <c r="F36" s="8"/>
    </row>
    <row r="37" spans="2:8">
      <c r="B37" t="s">
        <v>83</v>
      </c>
    </row>
    <row r="38" spans="2:8">
      <c r="B38" t="s">
        <v>84</v>
      </c>
      <c r="G38" s="5"/>
    </row>
    <row r="39" spans="2:8">
      <c r="B39" t="s">
        <v>142</v>
      </c>
      <c r="G39" s="19"/>
    </row>
    <row r="40" spans="2:8">
      <c r="B40" t="s">
        <v>143</v>
      </c>
    </row>
    <row r="41" spans="2:8">
      <c r="F41" s="4"/>
    </row>
    <row r="42" spans="2:8">
      <c r="F42" s="4"/>
      <c r="G42" s="4"/>
    </row>
    <row r="43" spans="2:8">
      <c r="F43" s="4"/>
      <c r="G43" s="4"/>
    </row>
    <row r="44" spans="2:8">
      <c r="F44" s="4"/>
      <c r="G44" s="4"/>
    </row>
  </sheetData>
  <pageMargins left="0.7" right="0.7" top="0.75" bottom="0.75" header="0.3" footer="0.3"/>
  <pageSetup fitToHeight="0" orientation="portrait" r:id="rId1"/>
  <headerFooter>
    <oddHeader xml:space="preserve">&amp;RDocket Nos. UE-111048 &amp;&amp; UG-111049
Exhibit No. ACC-3
Page 1 of 6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2"/>
  <sheetViews>
    <sheetView view="pageLayout" zoomScaleNormal="100" workbookViewId="0">
      <selection activeCell="E7" sqref="E7"/>
    </sheetView>
  </sheetViews>
  <sheetFormatPr defaultRowHeight="15"/>
  <cols>
    <col min="1" max="1" width="7.7109375" customWidth="1"/>
    <col min="2" max="3" width="12.7109375" customWidth="1"/>
    <col min="4" max="4" width="16.7109375" customWidth="1"/>
    <col min="5" max="7" width="12.7109375" customWidth="1"/>
    <col min="8" max="8" width="16.7109375" customWidth="1"/>
    <col min="9" max="9" width="10.7109375" customWidth="1"/>
    <col min="10" max="10" width="10.5703125" bestFit="1" customWidth="1"/>
  </cols>
  <sheetData>
    <row r="1" spans="1:10">
      <c r="I1" s="27"/>
      <c r="J1" s="27"/>
    </row>
    <row r="2" spans="1:10">
      <c r="I2" s="27"/>
      <c r="J2" s="27"/>
    </row>
    <row r="3" spans="1:10">
      <c r="I3" s="27"/>
      <c r="J3" s="27"/>
    </row>
    <row r="4" spans="1:10">
      <c r="B4" s="46" t="s">
        <v>175</v>
      </c>
      <c r="I4" s="27"/>
      <c r="J4" s="27"/>
    </row>
    <row r="5" spans="1:10">
      <c r="B5" t="s">
        <v>169</v>
      </c>
      <c r="I5" s="27"/>
      <c r="J5" s="27"/>
    </row>
    <row r="6" spans="1:10">
      <c r="I6" s="27"/>
      <c r="J6" s="27"/>
    </row>
    <row r="7" spans="1:10">
      <c r="B7" t="s">
        <v>54</v>
      </c>
      <c r="I7" s="27"/>
      <c r="J7" s="27"/>
    </row>
    <row r="8" spans="1:10">
      <c r="I8" s="27"/>
      <c r="J8" s="27"/>
    </row>
    <row r="9" spans="1:10">
      <c r="B9" t="s">
        <v>10</v>
      </c>
      <c r="I9" s="27"/>
      <c r="J9" s="27"/>
    </row>
    <row r="10" spans="1:10">
      <c r="I10" s="27"/>
      <c r="J10" s="27"/>
    </row>
    <row r="11" spans="1:10">
      <c r="I11" s="30"/>
      <c r="J11" s="28"/>
    </row>
    <row r="12" spans="1:10">
      <c r="E12" s="5" t="s">
        <v>2</v>
      </c>
      <c r="F12" s="5"/>
      <c r="I12" s="27"/>
      <c r="J12" s="27"/>
    </row>
    <row r="13" spans="1:10">
      <c r="A13" s="3"/>
      <c r="E13" s="14" t="s">
        <v>31</v>
      </c>
      <c r="F13" s="27"/>
      <c r="I13" s="27"/>
      <c r="J13" s="27"/>
    </row>
    <row r="14" spans="1:10">
      <c r="A14" s="3"/>
      <c r="E14" s="1"/>
      <c r="F14" s="27"/>
      <c r="I14" s="30"/>
      <c r="J14" s="27"/>
    </row>
    <row r="15" spans="1:10">
      <c r="A15" s="3">
        <v>1</v>
      </c>
      <c r="B15" t="s">
        <v>17</v>
      </c>
      <c r="E15" s="8">
        <v>-12149203</v>
      </c>
      <c r="F15" s="29" t="s">
        <v>7</v>
      </c>
      <c r="I15" s="30"/>
      <c r="J15" s="27"/>
    </row>
    <row r="16" spans="1:10">
      <c r="A16" s="3"/>
      <c r="E16" s="1"/>
      <c r="F16" s="28"/>
      <c r="I16" s="30"/>
      <c r="J16" s="27"/>
    </row>
    <row r="17" spans="1:10">
      <c r="A17" s="3">
        <v>2</v>
      </c>
      <c r="B17" t="s">
        <v>55</v>
      </c>
      <c r="E17" s="12">
        <f>+E15*0.0502</f>
        <v>-609889.99060000002</v>
      </c>
      <c r="F17" s="31" t="s">
        <v>14</v>
      </c>
      <c r="I17" s="30"/>
      <c r="J17" s="27"/>
    </row>
    <row r="18" spans="1:10">
      <c r="A18" s="3"/>
      <c r="F18" s="28"/>
      <c r="I18" s="30"/>
      <c r="J18" s="27"/>
    </row>
    <row r="19" spans="1:10">
      <c r="A19" s="3">
        <v>3</v>
      </c>
      <c r="B19" t="s">
        <v>3</v>
      </c>
      <c r="E19" s="8">
        <f>+E15+E17</f>
        <v>-12759092.990599999</v>
      </c>
      <c r="F19" s="31"/>
      <c r="I19" s="28"/>
      <c r="J19" s="27"/>
    </row>
    <row r="20" spans="1:10">
      <c r="A20" s="3"/>
      <c r="F20" s="28"/>
      <c r="I20" s="28"/>
      <c r="J20" s="27"/>
    </row>
    <row r="21" spans="1:10">
      <c r="A21" s="3">
        <v>4</v>
      </c>
      <c r="B21" t="s">
        <v>4</v>
      </c>
      <c r="E21" s="15">
        <v>7.2900000000000006E-2</v>
      </c>
      <c r="F21" s="32" t="s">
        <v>20</v>
      </c>
      <c r="I21" s="28"/>
      <c r="J21" s="27"/>
    </row>
    <row r="22" spans="1:10">
      <c r="A22" s="3"/>
      <c r="F22" s="28"/>
      <c r="I22" s="28"/>
      <c r="J22" s="27"/>
    </row>
    <row r="23" spans="1:10">
      <c r="A23" s="3">
        <v>5</v>
      </c>
      <c r="B23" t="s">
        <v>18</v>
      </c>
      <c r="E23" s="8">
        <f>+E19*E21</f>
        <v>-930137.87901474</v>
      </c>
      <c r="F23" s="31" t="s">
        <v>26</v>
      </c>
      <c r="I23" s="28"/>
      <c r="J23" s="27"/>
    </row>
    <row r="24" spans="1:10">
      <c r="A24" s="3"/>
      <c r="F24" s="28"/>
      <c r="I24" s="28"/>
      <c r="J24" s="27"/>
    </row>
    <row r="25" spans="1:10">
      <c r="A25" s="3">
        <v>6</v>
      </c>
      <c r="B25" t="s">
        <v>5</v>
      </c>
      <c r="E25" s="16">
        <v>0.65</v>
      </c>
      <c r="F25" s="28" t="s">
        <v>27</v>
      </c>
      <c r="I25" s="28"/>
      <c r="J25" s="27"/>
    </row>
    <row r="26" spans="1:10">
      <c r="A26" s="3"/>
      <c r="F26" s="28"/>
      <c r="I26" s="28"/>
      <c r="J26" s="27"/>
    </row>
    <row r="27" spans="1:10">
      <c r="A27" s="3">
        <v>7</v>
      </c>
      <c r="B27" t="s">
        <v>12</v>
      </c>
      <c r="E27" s="8">
        <f>+E23/E25</f>
        <v>-1430981.3523303692</v>
      </c>
      <c r="F27" s="31" t="s">
        <v>28</v>
      </c>
      <c r="I27" s="27"/>
      <c r="J27" s="28"/>
    </row>
    <row r="28" spans="1:10">
      <c r="A28" s="3"/>
      <c r="F28" s="28"/>
      <c r="I28" s="27"/>
      <c r="J28" s="27"/>
    </row>
    <row r="29" spans="1:10">
      <c r="A29" s="3">
        <v>8</v>
      </c>
      <c r="B29" t="s">
        <v>33</v>
      </c>
      <c r="E29" s="16">
        <v>0.95499800000000001</v>
      </c>
      <c r="F29" s="28" t="s">
        <v>29</v>
      </c>
      <c r="I29" s="27"/>
      <c r="J29" s="27"/>
    </row>
    <row r="30" spans="1:10">
      <c r="A30" s="3"/>
      <c r="F30" s="28"/>
      <c r="I30" s="27"/>
      <c r="J30" s="27"/>
    </row>
    <row r="31" spans="1:10">
      <c r="A31" s="3">
        <v>9</v>
      </c>
      <c r="B31" t="s">
        <v>6</v>
      </c>
      <c r="E31" s="17">
        <f>+E27/E29</f>
        <v>-1498412.9310536452</v>
      </c>
      <c r="F31" s="29" t="s">
        <v>57</v>
      </c>
      <c r="I31" s="27"/>
      <c r="J31" s="27"/>
    </row>
    <row r="32" spans="1:10">
      <c r="A32" s="3"/>
      <c r="F32" s="27"/>
      <c r="G32" s="5"/>
      <c r="I32" s="27"/>
      <c r="J32" s="28"/>
    </row>
    <row r="33" spans="1:10">
      <c r="A33" s="3"/>
      <c r="F33" s="5"/>
      <c r="I33" s="27"/>
      <c r="J33" s="28"/>
    </row>
    <row r="34" spans="1:10">
      <c r="A34" s="3"/>
      <c r="I34" s="27"/>
      <c r="J34" s="27"/>
    </row>
    <row r="35" spans="1:10">
      <c r="I35" s="27"/>
      <c r="J35" s="27"/>
    </row>
    <row r="36" spans="1:10">
      <c r="B36" t="s">
        <v>8</v>
      </c>
      <c r="I36" s="27"/>
      <c r="J36" s="27"/>
    </row>
    <row r="37" spans="1:10">
      <c r="B37" t="s">
        <v>73</v>
      </c>
      <c r="I37" s="27"/>
      <c r="J37" s="27"/>
    </row>
    <row r="38" spans="1:10">
      <c r="B38" t="s">
        <v>74</v>
      </c>
      <c r="I38" s="27"/>
      <c r="J38" s="27"/>
    </row>
    <row r="39" spans="1:10">
      <c r="B39" t="s">
        <v>75</v>
      </c>
      <c r="I39" s="27"/>
      <c r="J39" s="27"/>
    </row>
    <row r="40" spans="1:10">
      <c r="B40" t="s">
        <v>64</v>
      </c>
      <c r="I40" s="27"/>
      <c r="J40" s="27"/>
    </row>
    <row r="41" spans="1:10">
      <c r="B41" t="s">
        <v>76</v>
      </c>
      <c r="I41" s="27"/>
      <c r="J41" s="27"/>
    </row>
    <row r="42" spans="1:10">
      <c r="B42" t="s">
        <v>62</v>
      </c>
      <c r="I42" s="27"/>
      <c r="J42" s="27"/>
    </row>
    <row r="43" spans="1:10">
      <c r="B43" t="s">
        <v>77</v>
      </c>
      <c r="I43" s="27"/>
      <c r="J43" s="27"/>
    </row>
    <row r="44" spans="1:10">
      <c r="B44" t="s">
        <v>63</v>
      </c>
      <c r="I44" s="27"/>
      <c r="J44" s="27"/>
    </row>
    <row r="45" spans="1:10">
      <c r="I45" s="27"/>
      <c r="J45" s="27"/>
    </row>
    <row r="46" spans="1:10">
      <c r="I46" s="27"/>
      <c r="J46" s="27"/>
    </row>
    <row r="47" spans="1:10">
      <c r="I47" s="27"/>
      <c r="J47" s="27"/>
    </row>
    <row r="48" spans="1:10">
      <c r="I48" s="27"/>
      <c r="J48" s="27"/>
    </row>
    <row r="49" spans="9:10">
      <c r="I49" s="27"/>
      <c r="J49" s="27"/>
    </row>
    <row r="50" spans="9:10">
      <c r="I50" s="27"/>
      <c r="J50" s="27"/>
    </row>
    <row r="51" spans="9:10">
      <c r="I51" s="27"/>
      <c r="J51" s="27"/>
    </row>
    <row r="52" spans="9:10">
      <c r="I52" s="27"/>
      <c r="J52" s="27"/>
    </row>
    <row r="53" spans="9:10">
      <c r="I53" s="27"/>
      <c r="J53" s="27"/>
    </row>
    <row r="54" spans="9:10">
      <c r="I54" s="27"/>
      <c r="J54" s="27"/>
    </row>
    <row r="55" spans="9:10">
      <c r="I55" s="27"/>
      <c r="J55" s="27"/>
    </row>
    <row r="56" spans="9:10">
      <c r="I56" s="27"/>
      <c r="J56" s="27"/>
    </row>
    <row r="57" spans="9:10">
      <c r="I57" s="27"/>
      <c r="J57" s="27"/>
    </row>
    <row r="58" spans="9:10">
      <c r="I58" s="27"/>
      <c r="J58" s="27"/>
    </row>
    <row r="59" spans="9:10">
      <c r="I59" s="27"/>
      <c r="J59" s="27"/>
    </row>
    <row r="60" spans="9:10">
      <c r="I60" s="27"/>
      <c r="J60" s="27"/>
    </row>
    <row r="61" spans="9:10">
      <c r="I61" s="27"/>
      <c r="J61" s="27"/>
    </row>
    <row r="62" spans="9:10">
      <c r="I62" s="27"/>
      <c r="J62" s="27"/>
    </row>
  </sheetData>
  <pageMargins left="0.7" right="0.7" top="0.75" bottom="0.75" header="0.3" footer="0.3"/>
  <pageSetup fitToHeight="0" orientation="portrait" r:id="rId1"/>
  <headerFooter>
    <oddHeader xml:space="preserve">&amp;RDocket Nos. UE-111048 &amp;&amp; UG-111049
Exhibit No. ACC-3
Page 2 of 6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4"/>
  <sheetViews>
    <sheetView view="pageLayout" zoomScaleNormal="100" workbookViewId="0">
      <selection activeCell="C7" sqref="C7"/>
    </sheetView>
  </sheetViews>
  <sheetFormatPr defaultRowHeight="15"/>
  <cols>
    <col min="1" max="1" width="7" customWidth="1"/>
    <col min="2" max="4" width="12.7109375" customWidth="1"/>
    <col min="5" max="5" width="8.7109375" customWidth="1"/>
    <col min="6" max="6" width="14.7109375" customWidth="1"/>
    <col min="7" max="7" width="12.7109375" customWidth="1"/>
  </cols>
  <sheetData>
    <row r="1" spans="1:10">
      <c r="I1" s="27"/>
      <c r="J1" s="27"/>
    </row>
    <row r="2" spans="1:10">
      <c r="I2" s="27"/>
      <c r="J2" s="27"/>
    </row>
    <row r="3" spans="1:10">
      <c r="I3" s="27"/>
      <c r="J3" s="27"/>
    </row>
    <row r="4" spans="1:10">
      <c r="B4" s="46" t="s">
        <v>176</v>
      </c>
      <c r="I4" s="27"/>
      <c r="J4" s="27"/>
    </row>
    <row r="5" spans="1:10">
      <c r="B5" t="s">
        <v>9</v>
      </c>
      <c r="I5" s="27"/>
      <c r="J5" s="27"/>
    </row>
    <row r="6" spans="1:10">
      <c r="I6" s="27"/>
      <c r="J6" s="27"/>
    </row>
    <row r="7" spans="1:10">
      <c r="B7" t="s">
        <v>67</v>
      </c>
      <c r="I7" s="27"/>
      <c r="J7" s="27"/>
    </row>
    <row r="8" spans="1:10">
      <c r="I8" s="27"/>
      <c r="J8" s="27"/>
    </row>
    <row r="9" spans="1:10">
      <c r="B9" t="s">
        <v>10</v>
      </c>
      <c r="I9" s="27"/>
      <c r="J9" s="27"/>
    </row>
    <row r="10" spans="1:10">
      <c r="I10" s="27"/>
      <c r="J10" s="27"/>
    </row>
    <row r="11" spans="1:10">
      <c r="G11" s="27"/>
      <c r="I11" s="27"/>
      <c r="J11" s="27"/>
    </row>
    <row r="12" spans="1:10">
      <c r="F12" s="5" t="s">
        <v>15</v>
      </c>
      <c r="G12" s="27"/>
      <c r="I12" s="27"/>
      <c r="J12" s="27"/>
    </row>
    <row r="13" spans="1:10">
      <c r="F13" s="14" t="s">
        <v>31</v>
      </c>
      <c r="G13" s="27"/>
      <c r="I13" s="27"/>
      <c r="J13" s="27"/>
    </row>
    <row r="14" spans="1:10">
      <c r="F14" s="1"/>
      <c r="G14" s="27"/>
      <c r="I14" s="27"/>
      <c r="J14" s="27"/>
    </row>
    <row r="15" spans="1:10">
      <c r="A15" s="3">
        <v>1</v>
      </c>
      <c r="B15" t="s">
        <v>66</v>
      </c>
      <c r="F15" s="8">
        <v>4100870913</v>
      </c>
      <c r="G15" s="29" t="s">
        <v>7</v>
      </c>
      <c r="I15" s="27"/>
      <c r="J15" s="27"/>
    </row>
    <row r="16" spans="1:10">
      <c r="A16" s="3"/>
      <c r="F16" s="1"/>
      <c r="G16" s="28"/>
      <c r="I16" s="27"/>
      <c r="J16" s="27"/>
    </row>
    <row r="17" spans="1:10">
      <c r="A17" s="3">
        <v>2</v>
      </c>
      <c r="B17" t="s">
        <v>160</v>
      </c>
      <c r="F17" s="26">
        <v>4066334129</v>
      </c>
      <c r="G17" s="30" t="s">
        <v>7</v>
      </c>
      <c r="I17" s="27"/>
      <c r="J17" s="27"/>
    </row>
    <row r="18" spans="1:10">
      <c r="A18" s="3"/>
      <c r="F18" s="1"/>
      <c r="G18" s="28"/>
      <c r="I18" s="27"/>
      <c r="J18" s="27"/>
    </row>
    <row r="19" spans="1:10">
      <c r="A19" s="3">
        <v>3</v>
      </c>
      <c r="B19" t="s">
        <v>16</v>
      </c>
      <c r="F19" s="8">
        <f>+F17-F15</f>
        <v>-34536784</v>
      </c>
      <c r="G19" s="31"/>
      <c r="I19" s="27"/>
      <c r="J19" s="27"/>
    </row>
    <row r="20" spans="1:10">
      <c r="A20" s="3"/>
      <c r="F20" s="1"/>
      <c r="G20" s="28"/>
      <c r="I20" s="27"/>
      <c r="J20" s="27"/>
    </row>
    <row r="21" spans="1:10">
      <c r="A21" s="3">
        <v>4</v>
      </c>
      <c r="B21" t="s">
        <v>4</v>
      </c>
      <c r="F21" s="15">
        <v>7.2900000000000006E-2</v>
      </c>
      <c r="G21" s="32" t="s">
        <v>14</v>
      </c>
      <c r="I21" s="27"/>
      <c r="J21" s="27"/>
    </row>
    <row r="22" spans="1:10">
      <c r="A22" s="3"/>
      <c r="G22" s="28"/>
      <c r="I22" s="27"/>
      <c r="J22" s="27"/>
    </row>
    <row r="23" spans="1:10">
      <c r="A23" s="3">
        <v>5</v>
      </c>
      <c r="B23" t="s">
        <v>18</v>
      </c>
      <c r="F23" s="8">
        <f>+F19*F21</f>
        <v>-2517731.5536000002</v>
      </c>
      <c r="G23" s="31" t="s">
        <v>20</v>
      </c>
      <c r="I23" s="27"/>
      <c r="J23" s="27"/>
    </row>
    <row r="24" spans="1:10">
      <c r="A24" s="3"/>
      <c r="G24" s="28"/>
      <c r="I24" s="27"/>
      <c r="J24" s="27"/>
    </row>
    <row r="25" spans="1:10">
      <c r="A25" s="3">
        <v>6</v>
      </c>
      <c r="B25" t="s">
        <v>5</v>
      </c>
      <c r="F25" s="16">
        <v>0.65</v>
      </c>
      <c r="G25" s="28" t="s">
        <v>26</v>
      </c>
      <c r="I25" s="27"/>
      <c r="J25" s="27"/>
    </row>
    <row r="26" spans="1:10">
      <c r="A26" s="3"/>
      <c r="G26" s="28"/>
      <c r="I26" s="27"/>
      <c r="J26" s="27"/>
    </row>
    <row r="27" spans="1:10">
      <c r="A27" s="3">
        <v>7</v>
      </c>
      <c r="B27" t="s">
        <v>12</v>
      </c>
      <c r="F27" s="8">
        <f>+F23/F25</f>
        <v>-3873433.1593846157</v>
      </c>
      <c r="G27" s="30" t="s">
        <v>27</v>
      </c>
      <c r="I27" s="27"/>
      <c r="J27" s="27"/>
    </row>
    <row r="28" spans="1:10">
      <c r="A28" s="3"/>
      <c r="G28" s="28"/>
      <c r="I28" s="27"/>
      <c r="J28" s="27"/>
    </row>
    <row r="29" spans="1:10">
      <c r="A29" s="3">
        <v>8</v>
      </c>
      <c r="B29" t="s">
        <v>13</v>
      </c>
      <c r="F29" s="16">
        <v>0.95499800000000001</v>
      </c>
      <c r="G29" s="28" t="s">
        <v>28</v>
      </c>
      <c r="I29" s="27"/>
      <c r="J29" s="27"/>
    </row>
    <row r="30" spans="1:10">
      <c r="A30" s="3"/>
      <c r="G30" s="28"/>
      <c r="I30" s="27"/>
      <c r="J30" s="27"/>
    </row>
    <row r="31" spans="1:10">
      <c r="A31" s="3">
        <v>9</v>
      </c>
      <c r="B31" t="s">
        <v>6</v>
      </c>
      <c r="F31" s="17">
        <f>+F27/F29</f>
        <v>-4055959.4463911084</v>
      </c>
      <c r="G31" s="29" t="s">
        <v>29</v>
      </c>
      <c r="I31" s="27"/>
      <c r="J31" s="27"/>
    </row>
    <row r="32" spans="1:10">
      <c r="A32" s="3"/>
      <c r="G32" s="27"/>
      <c r="I32" s="27"/>
      <c r="J32" s="27"/>
    </row>
    <row r="33" spans="1:10">
      <c r="A33" s="3"/>
      <c r="G33" s="27"/>
      <c r="I33" s="27"/>
      <c r="J33" s="27"/>
    </row>
    <row r="34" spans="1:10">
      <c r="A34" s="3"/>
      <c r="G34" s="27"/>
      <c r="I34" s="27"/>
      <c r="J34" s="27"/>
    </row>
    <row r="35" spans="1:10">
      <c r="G35" s="27"/>
      <c r="I35" s="27"/>
      <c r="J35" s="27"/>
    </row>
    <row r="36" spans="1:10">
      <c r="B36" t="s">
        <v>78</v>
      </c>
      <c r="G36" s="27"/>
      <c r="I36" s="27"/>
      <c r="J36" s="27"/>
    </row>
    <row r="37" spans="1:10">
      <c r="B37" t="s">
        <v>161</v>
      </c>
      <c r="G37" s="27"/>
      <c r="I37" s="27"/>
      <c r="J37" s="27"/>
    </row>
    <row r="38" spans="1:10">
      <c r="B38" t="s">
        <v>65</v>
      </c>
      <c r="G38" s="27"/>
      <c r="I38" s="27"/>
      <c r="J38" s="27"/>
    </row>
    <row r="39" spans="1:10">
      <c r="B39" t="s">
        <v>79</v>
      </c>
      <c r="G39" s="27"/>
      <c r="I39" s="27"/>
      <c r="J39" s="27"/>
    </row>
    <row r="40" spans="1:10">
      <c r="B40" t="s">
        <v>56</v>
      </c>
      <c r="G40" s="27"/>
      <c r="I40" s="27"/>
      <c r="J40" s="27"/>
    </row>
    <row r="41" spans="1:10">
      <c r="B41" t="s">
        <v>80</v>
      </c>
      <c r="G41" s="27"/>
      <c r="I41" s="27"/>
      <c r="J41" s="27"/>
    </row>
    <row r="42" spans="1:10">
      <c r="B42" t="s">
        <v>58</v>
      </c>
      <c r="I42" s="27"/>
      <c r="J42" s="27"/>
    </row>
    <row r="43" spans="1:10">
      <c r="I43" s="27"/>
      <c r="J43" s="27"/>
    </row>
    <row r="44" spans="1:10">
      <c r="I44" s="27"/>
      <c r="J44" s="27"/>
    </row>
    <row r="45" spans="1:10">
      <c r="I45" s="27"/>
      <c r="J45" s="27"/>
    </row>
    <row r="46" spans="1:10">
      <c r="I46" s="27"/>
      <c r="J46" s="27"/>
    </row>
    <row r="47" spans="1:10">
      <c r="I47" s="27"/>
      <c r="J47" s="27"/>
    </row>
    <row r="48" spans="1:10">
      <c r="I48" s="27"/>
      <c r="J48" s="27"/>
    </row>
    <row r="49" spans="9:10">
      <c r="I49" s="27"/>
      <c r="J49" s="27"/>
    </row>
    <row r="50" spans="9:10">
      <c r="I50" s="27"/>
      <c r="J50" s="27"/>
    </row>
    <row r="51" spans="9:10">
      <c r="I51" s="27"/>
      <c r="J51" s="27"/>
    </row>
    <row r="52" spans="9:10">
      <c r="I52" s="27"/>
      <c r="J52" s="27"/>
    </row>
    <row r="53" spans="9:10">
      <c r="I53" s="27"/>
      <c r="J53" s="27"/>
    </row>
    <row r="54" spans="9:10">
      <c r="I54" s="27"/>
      <c r="J54" s="27"/>
    </row>
    <row r="55" spans="9:10">
      <c r="I55" s="27"/>
      <c r="J55" s="27"/>
    </row>
    <row r="56" spans="9:10">
      <c r="I56" s="27"/>
      <c r="J56" s="27"/>
    </row>
    <row r="57" spans="9:10">
      <c r="I57" s="27"/>
      <c r="J57" s="27"/>
    </row>
    <row r="58" spans="9:10">
      <c r="I58" s="27"/>
      <c r="J58" s="27"/>
    </row>
    <row r="59" spans="9:10">
      <c r="I59" s="27"/>
      <c r="J59" s="27"/>
    </row>
    <row r="60" spans="9:10">
      <c r="I60" s="27"/>
      <c r="J60" s="27"/>
    </row>
    <row r="61" spans="9:10">
      <c r="I61" s="27"/>
      <c r="J61" s="27"/>
    </row>
    <row r="62" spans="9:10">
      <c r="I62" s="27"/>
      <c r="J62" s="27"/>
    </row>
    <row r="63" spans="9:10">
      <c r="I63" s="27"/>
      <c r="J63" s="27"/>
    </row>
    <row r="64" spans="9:10">
      <c r="I64" s="27"/>
      <c r="J64" s="27"/>
    </row>
    <row r="65" spans="9:10">
      <c r="I65" s="27"/>
      <c r="J65" s="27"/>
    </row>
    <row r="66" spans="9:10">
      <c r="I66" s="27"/>
      <c r="J66" s="27"/>
    </row>
    <row r="67" spans="9:10">
      <c r="I67" s="27"/>
      <c r="J67" s="27"/>
    </row>
    <row r="68" spans="9:10">
      <c r="I68" s="27"/>
      <c r="J68" s="27"/>
    </row>
    <row r="69" spans="9:10">
      <c r="I69" s="27"/>
      <c r="J69" s="27"/>
    </row>
    <row r="70" spans="9:10">
      <c r="I70" s="27"/>
      <c r="J70" s="27"/>
    </row>
    <row r="71" spans="9:10">
      <c r="I71" s="27"/>
      <c r="J71" s="27"/>
    </row>
    <row r="72" spans="9:10">
      <c r="I72" s="27"/>
      <c r="J72" s="27"/>
    </row>
    <row r="73" spans="9:10">
      <c r="I73" s="27"/>
      <c r="J73" s="27"/>
    </row>
    <row r="74" spans="9:10">
      <c r="I74" s="27"/>
      <c r="J74" s="27"/>
    </row>
  </sheetData>
  <pageMargins left="0.7" right="0.7" top="0.75" bottom="0.75" header="0.3" footer="0.3"/>
  <pageSetup fitToHeight="0" orientation="portrait" r:id="rId1"/>
  <headerFooter>
    <oddHeader xml:space="preserve">&amp;RDocket Nos. UE-111048 &amp;&amp; UG-111049
Exhibit No. ACC-3
Page 3 of 6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4:J80"/>
  <sheetViews>
    <sheetView view="pageLayout" zoomScaleNormal="100" workbookViewId="0">
      <selection activeCell="F4" sqref="F4:G4"/>
    </sheetView>
  </sheetViews>
  <sheetFormatPr defaultRowHeight="15"/>
  <cols>
    <col min="1" max="1" width="9.140625" customWidth="1"/>
    <col min="6" max="8" width="15.7109375" customWidth="1"/>
  </cols>
  <sheetData>
    <row r="4" spans="2:9">
      <c r="B4" s="46" t="s">
        <v>177</v>
      </c>
    </row>
    <row r="5" spans="2:9">
      <c r="B5" t="s">
        <v>9</v>
      </c>
    </row>
    <row r="7" spans="2:9">
      <c r="B7" t="s">
        <v>71</v>
      </c>
    </row>
    <row r="9" spans="2:9">
      <c r="B9" t="s">
        <v>72</v>
      </c>
    </row>
    <row r="11" spans="2:9">
      <c r="B11" t="s">
        <v>10</v>
      </c>
      <c r="F11" s="1"/>
      <c r="G11" s="5"/>
    </row>
    <row r="13" spans="2:9">
      <c r="F13" s="5"/>
      <c r="G13" s="5"/>
      <c r="H13" s="5"/>
    </row>
    <row r="14" spans="2:9">
      <c r="F14" s="2" t="s">
        <v>40</v>
      </c>
      <c r="G14" s="5" t="s">
        <v>39</v>
      </c>
      <c r="H14" s="5" t="s">
        <v>40</v>
      </c>
    </row>
    <row r="15" spans="2:9">
      <c r="F15" s="24" t="s">
        <v>41</v>
      </c>
      <c r="G15" s="14" t="s">
        <v>11</v>
      </c>
      <c r="H15" s="14" t="s">
        <v>42</v>
      </c>
    </row>
    <row r="16" spans="2:9">
      <c r="F16" s="1"/>
      <c r="G16" s="6"/>
      <c r="I16" s="5"/>
    </row>
    <row r="17" spans="1:9">
      <c r="A17" s="3">
        <v>1</v>
      </c>
      <c r="B17" t="s">
        <v>34</v>
      </c>
      <c r="F17" s="8">
        <v>141761312</v>
      </c>
      <c r="G17" s="20">
        <f>-G78</f>
        <v>-18466459.11999999</v>
      </c>
      <c r="H17" s="8">
        <f>+F17+G17</f>
        <v>123294852.88000001</v>
      </c>
      <c r="I17" s="5" t="s">
        <v>7</v>
      </c>
    </row>
    <row r="18" spans="1:9">
      <c r="A18" s="3">
        <v>2</v>
      </c>
      <c r="B18" t="s">
        <v>35</v>
      </c>
      <c r="F18" s="11">
        <f>-'Chelan PUD - Expense'!G20</f>
        <v>-7088065.5999999996</v>
      </c>
      <c r="G18" s="21">
        <f>+H18-F18</f>
        <v>923322.95599999931</v>
      </c>
      <c r="H18" s="11">
        <f>-'Chelan PUD - Expense'!G18</f>
        <v>-6164742.6440000003</v>
      </c>
      <c r="I18" s="5" t="s">
        <v>14</v>
      </c>
    </row>
    <row r="19" spans="1:9">
      <c r="A19" s="3">
        <v>3</v>
      </c>
      <c r="B19" t="s">
        <v>36</v>
      </c>
      <c r="F19" s="12">
        <v>-17542944</v>
      </c>
      <c r="G19" s="22">
        <f>+(G17/F17)*F19</f>
        <v>2285221.9244447248</v>
      </c>
      <c r="H19" s="12">
        <f>+F19+G19</f>
        <v>-15257722.075555276</v>
      </c>
      <c r="I19" s="5" t="s">
        <v>20</v>
      </c>
    </row>
    <row r="20" spans="1:9">
      <c r="A20" s="3"/>
      <c r="F20" s="1"/>
      <c r="G20" s="6"/>
      <c r="I20" s="5"/>
    </row>
    <row r="21" spans="1:9">
      <c r="A21" s="3">
        <v>4</v>
      </c>
      <c r="B21" t="s">
        <v>38</v>
      </c>
      <c r="F21" s="8">
        <f>SUM(F17:F19)</f>
        <v>117130302.40000001</v>
      </c>
      <c r="G21" s="20">
        <f>SUM(G17:G19)</f>
        <v>-15257914.239555266</v>
      </c>
      <c r="H21" s="8">
        <f>SUM(H17:H19)</f>
        <v>101872388.16044474</v>
      </c>
      <c r="I21" s="5"/>
    </row>
    <row r="22" spans="1:9">
      <c r="A22" s="3"/>
      <c r="F22" s="1"/>
      <c r="G22" s="7"/>
      <c r="H22" s="1"/>
      <c r="I22" s="5"/>
    </row>
    <row r="23" spans="1:9">
      <c r="A23" s="3">
        <v>5</v>
      </c>
      <c r="B23" t="s">
        <v>32</v>
      </c>
      <c r="F23" s="1"/>
      <c r="G23" s="23">
        <v>7.2900000000000006E-2</v>
      </c>
      <c r="H23" s="5" t="s">
        <v>26</v>
      </c>
    </row>
    <row r="24" spans="1:9">
      <c r="A24" s="3"/>
      <c r="H24" s="5"/>
    </row>
    <row r="25" spans="1:9">
      <c r="A25" s="3">
        <v>6</v>
      </c>
      <c r="B25" t="s">
        <v>37</v>
      </c>
      <c r="G25" s="8">
        <f>+G21*G23</f>
        <v>-1112301.9480635789</v>
      </c>
      <c r="H25" s="5" t="s">
        <v>27</v>
      </c>
    </row>
    <row r="26" spans="1:9">
      <c r="A26" s="3"/>
      <c r="H26" s="5"/>
    </row>
    <row r="27" spans="1:9">
      <c r="A27" s="3">
        <v>7</v>
      </c>
      <c r="B27" t="s">
        <v>5</v>
      </c>
      <c r="G27" s="16">
        <v>0.65</v>
      </c>
      <c r="H27" s="5" t="s">
        <v>28</v>
      </c>
    </row>
    <row r="28" spans="1:9">
      <c r="A28" s="3"/>
      <c r="H28" s="5"/>
    </row>
    <row r="29" spans="1:9">
      <c r="A29" s="3">
        <v>8</v>
      </c>
      <c r="B29" t="s">
        <v>12</v>
      </c>
      <c r="G29" s="8">
        <f>+G25/G27</f>
        <v>-1711233.7662516597</v>
      </c>
      <c r="H29" s="5"/>
    </row>
    <row r="30" spans="1:9">
      <c r="A30" s="3"/>
      <c r="H30" s="5"/>
    </row>
    <row r="31" spans="1:9">
      <c r="A31" s="3">
        <v>9</v>
      </c>
      <c r="B31" t="s">
        <v>33</v>
      </c>
      <c r="G31" s="16">
        <v>0.95499800000000001</v>
      </c>
      <c r="H31" s="5" t="s">
        <v>29</v>
      </c>
    </row>
    <row r="32" spans="1:9">
      <c r="A32" s="3"/>
      <c r="H32" s="5"/>
    </row>
    <row r="33" spans="1:8" ht="17.25">
      <c r="A33" s="3">
        <v>10</v>
      </c>
      <c r="B33" t="s">
        <v>6</v>
      </c>
      <c r="G33" s="25">
        <f>+G29/G31</f>
        <v>-1791871.5706751843</v>
      </c>
      <c r="H33" s="5" t="s">
        <v>57</v>
      </c>
    </row>
    <row r="34" spans="1:8">
      <c r="A34" s="3"/>
    </row>
    <row r="35" spans="1:8">
      <c r="A35" s="3"/>
    </row>
    <row r="37" spans="1:8">
      <c r="B37" t="s">
        <v>8</v>
      </c>
    </row>
    <row r="38" spans="1:8">
      <c r="B38" t="s">
        <v>43</v>
      </c>
    </row>
    <row r="39" spans="1:8">
      <c r="B39" t="s">
        <v>68</v>
      </c>
    </row>
    <row r="40" spans="1:8">
      <c r="B40" t="s">
        <v>45</v>
      </c>
    </row>
    <row r="41" spans="1:8">
      <c r="B41" t="s">
        <v>44</v>
      </c>
    </row>
    <row r="42" spans="1:8">
      <c r="B42" t="s">
        <v>47</v>
      </c>
    </row>
    <row r="43" spans="1:8">
      <c r="B43" t="s">
        <v>61</v>
      </c>
    </row>
    <row r="44" spans="1:8">
      <c r="B44" t="s">
        <v>59</v>
      </c>
    </row>
    <row r="45" spans="1:8">
      <c r="B45" t="s">
        <v>60</v>
      </c>
    </row>
    <row r="46" spans="1:8">
      <c r="B46" t="s">
        <v>162</v>
      </c>
    </row>
    <row r="68" spans="2:10">
      <c r="B68" s="45" t="s">
        <v>164</v>
      </c>
    </row>
    <row r="69" spans="2:10">
      <c r="B69" s="45" t="s">
        <v>163</v>
      </c>
      <c r="F69" s="1">
        <v>68371.509999999995</v>
      </c>
      <c r="G69" s="1">
        <v>105186.93</v>
      </c>
    </row>
    <row r="70" spans="2:10">
      <c r="B70" s="45" t="s">
        <v>165</v>
      </c>
      <c r="F70" s="1">
        <f>8*519908.33</f>
        <v>4159266.64</v>
      </c>
      <c r="G70" s="1">
        <f>8*799858.97</f>
        <v>6398871.7599999998</v>
      </c>
      <c r="J70" t="s">
        <v>171</v>
      </c>
    </row>
    <row r="71" spans="2:10">
      <c r="B71" s="45" t="s">
        <v>166</v>
      </c>
      <c r="F71" s="1">
        <v>522181.54</v>
      </c>
      <c r="G71" s="1">
        <v>803356.22</v>
      </c>
    </row>
    <row r="72" spans="2:10">
      <c r="B72" s="45" t="s">
        <v>167</v>
      </c>
      <c r="F72" s="1">
        <f>21*523616.67</f>
        <v>10995950.07</v>
      </c>
      <c r="G72" s="1">
        <f>21*805564.1</f>
        <v>16916846.099999998</v>
      </c>
    </row>
    <row r="73" spans="2:10">
      <c r="B73" s="45" t="s">
        <v>168</v>
      </c>
      <c r="F73" s="1">
        <f>17*519166.67</f>
        <v>8825833.3900000006</v>
      </c>
      <c r="G73" s="1">
        <f>17*798717.95</f>
        <v>13578205.149999999</v>
      </c>
    </row>
    <row r="74" spans="2:10">
      <c r="B74" s="45"/>
      <c r="F74" s="1">
        <f>19*511750</f>
        <v>9723250</v>
      </c>
      <c r="G74" s="1">
        <f>19*787307.69</f>
        <v>14958846.109999999</v>
      </c>
    </row>
    <row r="75" spans="2:10">
      <c r="B75" s="45"/>
      <c r="F75" s="1"/>
      <c r="G75" s="1"/>
    </row>
    <row r="76" spans="2:10">
      <c r="B76" s="45"/>
      <c r="F76" s="1">
        <f>SUM(F69:F74)</f>
        <v>34294853.150000006</v>
      </c>
      <c r="G76" s="1">
        <f>SUM(G69:G74)</f>
        <v>52761312.269999996</v>
      </c>
    </row>
    <row r="77" spans="2:10">
      <c r="B77" s="45"/>
      <c r="F77" s="1"/>
      <c r="G77" s="1"/>
    </row>
    <row r="78" spans="2:10">
      <c r="B78" s="45"/>
      <c r="G78" s="1">
        <f>+G76-F76</f>
        <v>18466459.11999999</v>
      </c>
    </row>
    <row r="79" spans="2:10">
      <c r="B79" s="45"/>
    </row>
    <row r="80" spans="2:10">
      <c r="B80" s="45"/>
    </row>
  </sheetData>
  <pageMargins left="0.7" right="0.7" top="0.75" bottom="0.75" header="0.3" footer="0.3"/>
  <pageSetup scale="88" fitToHeight="0" orientation="portrait" r:id="rId1"/>
  <headerFooter>
    <oddHeader xml:space="preserve">&amp;RDocket Nos. UE-111048 &amp;&amp; UG-111049
Exhibit No. ACC-3
Page 4 of 6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4:N35"/>
  <sheetViews>
    <sheetView view="pageLayout" topLeftCell="B1" zoomScaleNormal="100" workbookViewId="0">
      <selection activeCell="G6" sqref="G6"/>
    </sheetView>
  </sheetViews>
  <sheetFormatPr defaultRowHeight="15"/>
  <cols>
    <col min="7" max="7" width="12.85546875" bestFit="1" customWidth="1"/>
  </cols>
  <sheetData>
    <row r="4" spans="1:9">
      <c r="B4" s="46" t="s">
        <v>178</v>
      </c>
    </row>
    <row r="5" spans="1:9">
      <c r="B5" t="s">
        <v>9</v>
      </c>
    </row>
    <row r="7" spans="1:9">
      <c r="B7" t="s">
        <v>71</v>
      </c>
    </row>
    <row r="9" spans="1:9">
      <c r="B9" t="s">
        <v>70</v>
      </c>
    </row>
    <row r="11" spans="1:9">
      <c r="B11" t="s">
        <v>10</v>
      </c>
      <c r="F11" s="1"/>
      <c r="G11" s="5"/>
    </row>
    <row r="13" spans="1:9">
      <c r="A13" s="3"/>
      <c r="H13" s="5"/>
    </row>
    <row r="14" spans="1:9">
      <c r="A14" s="3">
        <v>1</v>
      </c>
      <c r="B14" t="s">
        <v>48</v>
      </c>
      <c r="G14" s="8">
        <f>+'Chelan PUD Rate Base'!H17</f>
        <v>123294852.88000001</v>
      </c>
      <c r="H14" s="5" t="s">
        <v>7</v>
      </c>
    </row>
    <row r="15" spans="1:9">
      <c r="A15" s="3"/>
      <c r="G15" s="1"/>
      <c r="H15" s="5"/>
      <c r="I15" s="1"/>
    </row>
    <row r="16" spans="1:9">
      <c r="A16" s="3">
        <v>2</v>
      </c>
      <c r="B16" t="s">
        <v>51</v>
      </c>
      <c r="G16" s="16">
        <v>20</v>
      </c>
      <c r="H16" s="5" t="s">
        <v>14</v>
      </c>
    </row>
    <row r="17" spans="1:14">
      <c r="A17" s="3"/>
      <c r="H17" s="5"/>
    </row>
    <row r="18" spans="1:14">
      <c r="A18" s="3">
        <v>3</v>
      </c>
      <c r="B18" t="s">
        <v>49</v>
      </c>
      <c r="G18" s="8">
        <f>+'Chelan PUD Rate Base'!H17/20</f>
        <v>6164742.6440000003</v>
      </c>
      <c r="H18" s="5"/>
    </row>
    <row r="19" spans="1:14">
      <c r="A19" s="3"/>
      <c r="H19" s="5"/>
    </row>
    <row r="20" spans="1:14">
      <c r="A20" s="3">
        <v>4</v>
      </c>
      <c r="B20" t="s">
        <v>25</v>
      </c>
      <c r="G20" s="26">
        <f>+'Chelan PUD Rate Base'!F17/20</f>
        <v>7088065.5999999996</v>
      </c>
      <c r="H20" s="5" t="s">
        <v>20</v>
      </c>
    </row>
    <row r="21" spans="1:14">
      <c r="A21" s="3"/>
      <c r="H21" s="5"/>
    </row>
    <row r="22" spans="1:14">
      <c r="A22" s="3">
        <v>5</v>
      </c>
      <c r="B22" t="s">
        <v>50</v>
      </c>
      <c r="G22" s="20">
        <f>+G18-G20</f>
        <v>-923322.95599999931</v>
      </c>
      <c r="H22" s="2"/>
      <c r="L22" s="1"/>
      <c r="M22" s="6"/>
      <c r="N22" s="1"/>
    </row>
    <row r="23" spans="1:14">
      <c r="A23" s="3"/>
      <c r="G23" s="1"/>
      <c r="H23" s="5"/>
      <c r="L23" s="1"/>
      <c r="M23" s="6"/>
      <c r="N23" s="1"/>
    </row>
    <row r="24" spans="1:14">
      <c r="A24" s="3">
        <v>6</v>
      </c>
      <c r="B24" t="s">
        <v>33</v>
      </c>
      <c r="G24" s="16">
        <v>0.95499800000000001</v>
      </c>
      <c r="H24" s="5" t="s">
        <v>26</v>
      </c>
      <c r="L24" s="1"/>
      <c r="N24" s="1"/>
    </row>
    <row r="25" spans="1:14">
      <c r="A25" s="3"/>
      <c r="H25" s="5"/>
      <c r="L25" s="1"/>
      <c r="M25" s="6"/>
      <c r="N25" s="1"/>
    </row>
    <row r="26" spans="1:14" ht="17.25">
      <c r="A26" s="3">
        <v>7</v>
      </c>
      <c r="B26" t="s">
        <v>6</v>
      </c>
      <c r="G26" s="25">
        <f>+G22/G24</f>
        <v>-966832.34519862791</v>
      </c>
      <c r="H26" s="5" t="s">
        <v>27</v>
      </c>
      <c r="L26" s="1"/>
    </row>
    <row r="27" spans="1:14">
      <c r="A27" s="3"/>
    </row>
    <row r="28" spans="1:14">
      <c r="A28" s="3"/>
    </row>
    <row r="31" spans="1:14">
      <c r="B31" t="s">
        <v>8</v>
      </c>
    </row>
    <row r="32" spans="1:14">
      <c r="B32" t="s">
        <v>69</v>
      </c>
    </row>
    <row r="33" spans="2:2">
      <c r="B33" t="s">
        <v>52</v>
      </c>
    </row>
    <row r="34" spans="2:2">
      <c r="B34" t="s">
        <v>53</v>
      </c>
    </row>
    <row r="35" spans="2:2">
      <c r="B35" t="s">
        <v>46</v>
      </c>
    </row>
  </sheetData>
  <pageMargins left="0.7" right="0.7" top="0.75" bottom="0.75" header="0.3" footer="0.3"/>
  <pageSetup fitToHeight="0" orientation="portrait" r:id="rId1"/>
  <headerFooter>
    <oddHeader xml:space="preserve">&amp;RDocket Nos. UE-111048 &amp;&amp; UG-111049
Exhibit No. ACC-3
Page 5 of 6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4:T71"/>
  <sheetViews>
    <sheetView tabSelected="1" view="pageLayout" topLeftCell="K1" zoomScaleNormal="100" workbookViewId="0">
      <selection activeCell="N2" sqref="N2"/>
    </sheetView>
  </sheetViews>
  <sheetFormatPr defaultRowHeight="15"/>
  <cols>
    <col min="1" max="1" width="6.28515625" customWidth="1"/>
    <col min="2" max="2" width="26.7109375" customWidth="1"/>
    <col min="3" max="5" width="16.7109375" customWidth="1"/>
    <col min="6" max="6" width="12.7109375" customWidth="1"/>
    <col min="7" max="7" width="14.7109375" customWidth="1"/>
    <col min="8" max="14" width="16.7109375" customWidth="1"/>
    <col min="15" max="15" width="15.5703125" bestFit="1" customWidth="1"/>
  </cols>
  <sheetData>
    <row r="4" spans="2:15">
      <c r="C4" s="46" t="s">
        <v>173</v>
      </c>
    </row>
    <row r="5" spans="2:15">
      <c r="C5" t="s">
        <v>9</v>
      </c>
    </row>
    <row r="7" spans="2:15">
      <c r="C7" t="s">
        <v>144</v>
      </c>
    </row>
    <row r="9" spans="2:15">
      <c r="C9" t="s">
        <v>10</v>
      </c>
    </row>
    <row r="11" spans="2:15">
      <c r="G11" s="1"/>
      <c r="H11" s="5"/>
    </row>
    <row r="12" spans="2:15">
      <c r="C12" s="39"/>
      <c r="D12" s="39"/>
      <c r="E12" s="39" t="s">
        <v>86</v>
      </c>
      <c r="F12" s="5" t="s">
        <v>86</v>
      </c>
      <c r="G12" s="5" t="s">
        <v>86</v>
      </c>
      <c r="H12" s="5"/>
      <c r="I12" s="5"/>
      <c r="J12" s="5"/>
      <c r="K12" s="5"/>
      <c r="L12" s="5" t="s">
        <v>135</v>
      </c>
      <c r="M12" s="5"/>
      <c r="N12" s="5" t="s">
        <v>135</v>
      </c>
      <c r="O12" s="5"/>
    </row>
    <row r="13" spans="2:15">
      <c r="C13" s="39" t="s">
        <v>140</v>
      </c>
      <c r="D13" s="39" t="s">
        <v>139</v>
      </c>
      <c r="E13" s="39" t="s">
        <v>138</v>
      </c>
      <c r="F13" s="5" t="s">
        <v>137</v>
      </c>
      <c r="G13" s="5" t="s">
        <v>136</v>
      </c>
      <c r="H13" s="5" t="s">
        <v>135</v>
      </c>
      <c r="I13" s="5" t="s">
        <v>135</v>
      </c>
      <c r="J13" s="5" t="s">
        <v>135</v>
      </c>
      <c r="K13" s="5" t="s">
        <v>135</v>
      </c>
      <c r="L13" s="5" t="s">
        <v>129</v>
      </c>
      <c r="M13" s="5" t="s">
        <v>149</v>
      </c>
      <c r="N13" s="5" t="s">
        <v>129</v>
      </c>
      <c r="O13" s="5"/>
    </row>
    <row r="14" spans="2:15">
      <c r="C14" s="39" t="s">
        <v>134</v>
      </c>
      <c r="D14" s="39" t="s">
        <v>133</v>
      </c>
      <c r="E14" s="39" t="s">
        <v>132</v>
      </c>
      <c r="F14" s="39" t="s">
        <v>131</v>
      </c>
      <c r="G14" s="39" t="s">
        <v>130</v>
      </c>
      <c r="H14" s="39" t="s">
        <v>129</v>
      </c>
      <c r="I14" s="39" t="s">
        <v>129</v>
      </c>
      <c r="J14" s="39" t="s">
        <v>129</v>
      </c>
      <c r="K14" s="39" t="s">
        <v>129</v>
      </c>
      <c r="L14" s="39" t="s">
        <v>172</v>
      </c>
      <c r="M14" s="5" t="s">
        <v>150</v>
      </c>
      <c r="N14" s="39" t="s">
        <v>172</v>
      </c>
      <c r="O14" s="5"/>
    </row>
    <row r="15" spans="2:15">
      <c r="C15" s="38" t="s">
        <v>128</v>
      </c>
      <c r="D15" s="38" t="s">
        <v>127</v>
      </c>
      <c r="E15" s="38" t="s">
        <v>126</v>
      </c>
      <c r="F15" s="41" t="s">
        <v>125</v>
      </c>
      <c r="G15" s="41" t="s">
        <v>124</v>
      </c>
      <c r="H15" s="14" t="s">
        <v>145</v>
      </c>
      <c r="I15" s="14" t="s">
        <v>146</v>
      </c>
      <c r="J15" s="14" t="s">
        <v>147</v>
      </c>
      <c r="K15" s="14" t="s">
        <v>148</v>
      </c>
      <c r="L15" s="14" t="s">
        <v>156</v>
      </c>
      <c r="M15" s="14" t="s">
        <v>154</v>
      </c>
      <c r="N15" s="14" t="s">
        <v>155</v>
      </c>
      <c r="O15" s="5"/>
    </row>
    <row r="16" spans="2:15">
      <c r="B16" s="36" t="s">
        <v>123</v>
      </c>
      <c r="C16" s="39" t="s">
        <v>7</v>
      </c>
      <c r="D16" s="39" t="s">
        <v>7</v>
      </c>
      <c r="E16" s="39" t="s">
        <v>7</v>
      </c>
      <c r="F16" s="39" t="s">
        <v>7</v>
      </c>
      <c r="G16" s="39" t="s">
        <v>7</v>
      </c>
      <c r="H16" s="5"/>
      <c r="I16" s="5"/>
      <c r="J16" s="5"/>
      <c r="K16" s="5"/>
      <c r="L16" s="5"/>
      <c r="M16" s="5" t="s">
        <v>14</v>
      </c>
    </row>
    <row r="17" spans="1:15">
      <c r="A17">
        <v>1</v>
      </c>
      <c r="B17" t="s">
        <v>122</v>
      </c>
      <c r="C17" s="8">
        <v>2042334319</v>
      </c>
      <c r="D17" s="8">
        <v>-64997951</v>
      </c>
      <c r="E17" s="8">
        <f>C17+D17</f>
        <v>1977336368</v>
      </c>
      <c r="F17" s="8">
        <v>152337039</v>
      </c>
      <c r="G17" s="8">
        <f>+E17+F17</f>
        <v>2129673407</v>
      </c>
      <c r="H17" s="8">
        <f>Summary!F15</f>
        <v>-1498412.9310536452</v>
      </c>
      <c r="I17" s="8">
        <f>Summary!F17</f>
        <v>-4055959.4463911084</v>
      </c>
      <c r="J17" s="8">
        <f>Summary!F19</f>
        <v>-1791871.5706751843</v>
      </c>
      <c r="K17" s="8">
        <f>Summary!F21</f>
        <v>-966832.34519862791</v>
      </c>
      <c r="L17" s="8">
        <f>SUM(G17:K17)</f>
        <v>2121360330.7066815</v>
      </c>
      <c r="M17" s="8">
        <f>Summary!F23</f>
        <v>-55000000</v>
      </c>
      <c r="N17" s="8">
        <f>+L17+M17</f>
        <v>2066360330.7066815</v>
      </c>
    </row>
    <row r="18" spans="1:15">
      <c r="A18">
        <v>2</v>
      </c>
      <c r="B18" t="s">
        <v>121</v>
      </c>
      <c r="C18" s="34">
        <v>350182</v>
      </c>
      <c r="D18" s="34">
        <v>867565</v>
      </c>
      <c r="E18" s="34">
        <f>C18+D18</f>
        <v>1217747</v>
      </c>
      <c r="F18" s="11">
        <v>591462</v>
      </c>
      <c r="G18" s="11">
        <f>+E18+F18</f>
        <v>1809209</v>
      </c>
      <c r="H18" s="11"/>
      <c r="I18" s="11"/>
      <c r="J18" s="11"/>
      <c r="K18" s="11"/>
      <c r="L18" s="11">
        <f>SUM(G18:K18)</f>
        <v>1809209</v>
      </c>
      <c r="M18" s="11"/>
      <c r="N18" s="11">
        <f>+L18+M18</f>
        <v>1809209</v>
      </c>
    </row>
    <row r="19" spans="1:15">
      <c r="A19">
        <v>3</v>
      </c>
      <c r="B19" t="s">
        <v>120</v>
      </c>
      <c r="C19" s="34">
        <v>201262557</v>
      </c>
      <c r="D19" s="34">
        <v>-191035261</v>
      </c>
      <c r="E19" s="34">
        <f>C19+D19</f>
        <v>10227296</v>
      </c>
      <c r="F19" s="11"/>
      <c r="G19" s="11">
        <f>+E19+F19</f>
        <v>10227296</v>
      </c>
      <c r="H19" s="11"/>
      <c r="I19" s="11"/>
      <c r="J19" s="11"/>
      <c r="K19" s="11"/>
      <c r="L19" s="11">
        <f>SUM(G19:K19)</f>
        <v>10227296</v>
      </c>
      <c r="M19" s="11"/>
      <c r="N19" s="11">
        <f>+L19+M19</f>
        <v>10227296</v>
      </c>
    </row>
    <row r="20" spans="1:15">
      <c r="A20">
        <v>4</v>
      </c>
      <c r="B20" t="s">
        <v>119</v>
      </c>
      <c r="C20" s="35">
        <v>30706333</v>
      </c>
      <c r="D20" s="35">
        <v>5968010</v>
      </c>
      <c r="E20" s="35">
        <f>C20+D20</f>
        <v>36674343</v>
      </c>
      <c r="F20" s="12"/>
      <c r="G20" s="12">
        <f>+E20+F20</f>
        <v>36674343</v>
      </c>
      <c r="H20" s="12"/>
      <c r="I20" s="12"/>
      <c r="J20" s="12"/>
      <c r="K20" s="12"/>
      <c r="L20" s="12">
        <f>SUM(G20:K20)</f>
        <v>36674343</v>
      </c>
      <c r="M20" s="12"/>
      <c r="N20" s="12">
        <f>+L20+M20</f>
        <v>36674343</v>
      </c>
    </row>
    <row r="21" spans="1:15">
      <c r="A21">
        <v>5</v>
      </c>
      <c r="B21" t="s">
        <v>118</v>
      </c>
      <c r="C21" s="8">
        <f t="shared" ref="C21:L21" si="0">SUM(C17:C20)</f>
        <v>2274653391</v>
      </c>
      <c r="D21" s="8">
        <f t="shared" si="0"/>
        <v>-249197637</v>
      </c>
      <c r="E21" s="8">
        <f t="shared" si="0"/>
        <v>2025455754</v>
      </c>
      <c r="F21" s="8">
        <f t="shared" si="0"/>
        <v>152928501</v>
      </c>
      <c r="G21" s="8">
        <f t="shared" si="0"/>
        <v>2178384255</v>
      </c>
      <c r="H21" s="8">
        <f t="shared" si="0"/>
        <v>-1498412.9310536452</v>
      </c>
      <c r="I21" s="8">
        <f t="shared" si="0"/>
        <v>-4055959.4463911084</v>
      </c>
      <c r="J21" s="8">
        <f t="shared" si="0"/>
        <v>-1791871.5706751843</v>
      </c>
      <c r="K21" s="8">
        <f t="shared" si="0"/>
        <v>-966832.34519862791</v>
      </c>
      <c r="L21" s="8">
        <f t="shared" si="0"/>
        <v>2170071178.7066813</v>
      </c>
      <c r="M21" s="8">
        <f>Summary!F23</f>
        <v>-55000000</v>
      </c>
      <c r="N21" s="8">
        <f>+L21+M21</f>
        <v>2115071178.7066813</v>
      </c>
      <c r="O21" s="8"/>
    </row>
    <row r="22" spans="1:1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5">
      <c r="B23" t="s">
        <v>117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5">
      <c r="B25" s="36" t="s">
        <v>116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5">
      <c r="A26">
        <v>6</v>
      </c>
      <c r="B26" t="s">
        <v>115</v>
      </c>
      <c r="C26" s="8">
        <v>268147071</v>
      </c>
      <c r="D26" s="8">
        <v>-31601842</v>
      </c>
      <c r="E26" s="8">
        <f>C26+D26</f>
        <v>236545229</v>
      </c>
      <c r="F26" s="8"/>
      <c r="G26" s="8">
        <f>+E26+F26</f>
        <v>236545229</v>
      </c>
      <c r="H26" s="8"/>
      <c r="I26" s="8"/>
      <c r="J26" s="8"/>
      <c r="K26" s="8"/>
      <c r="L26" s="8">
        <f>SUM(G26:K26)</f>
        <v>236545229</v>
      </c>
      <c r="M26" s="8"/>
      <c r="N26" s="8">
        <f>+L26+M26</f>
        <v>236545229</v>
      </c>
    </row>
    <row r="27" spans="1:15">
      <c r="A27">
        <v>7</v>
      </c>
      <c r="B27" t="s">
        <v>114</v>
      </c>
      <c r="C27" s="34">
        <v>832711097</v>
      </c>
      <c r="D27" s="34">
        <v>-327295830</v>
      </c>
      <c r="E27" s="34">
        <f>C27+D27</f>
        <v>505415267</v>
      </c>
      <c r="F27" s="11"/>
      <c r="G27" s="11">
        <f>+E27+F27</f>
        <v>505415267</v>
      </c>
      <c r="H27" s="11"/>
      <c r="I27" s="11"/>
      <c r="J27" s="11"/>
      <c r="K27" s="11">
        <f>'Chelan PUD - Expense'!G22</f>
        <v>-923322.95599999931</v>
      </c>
      <c r="L27" s="11">
        <f>SUM(G27:K27)</f>
        <v>504491944.04400003</v>
      </c>
      <c r="M27" s="11"/>
      <c r="N27" s="11">
        <f>+L27+M27</f>
        <v>504491944.04400003</v>
      </c>
    </row>
    <row r="28" spans="1:15">
      <c r="A28">
        <v>8</v>
      </c>
      <c r="B28" t="s">
        <v>113</v>
      </c>
      <c r="C28" s="34">
        <v>78564669</v>
      </c>
      <c r="D28" s="34">
        <v>17045598</v>
      </c>
      <c r="E28" s="34">
        <f>C28+D28</f>
        <v>95610267</v>
      </c>
      <c r="F28" s="11"/>
      <c r="G28" s="11">
        <f>+E28+F28</f>
        <v>95610267</v>
      </c>
      <c r="H28" s="11"/>
      <c r="I28" s="11"/>
      <c r="J28" s="11"/>
      <c r="K28" s="11"/>
      <c r="L28" s="11">
        <f>SUM(G28:K28)</f>
        <v>95610267</v>
      </c>
      <c r="M28" s="11"/>
      <c r="N28" s="11">
        <f>+L28+M28</f>
        <v>95610267</v>
      </c>
    </row>
    <row r="29" spans="1:15">
      <c r="A29">
        <v>9</v>
      </c>
      <c r="B29" t="s">
        <v>112</v>
      </c>
      <c r="C29" s="35">
        <v>-75109150</v>
      </c>
      <c r="D29" s="35">
        <v>75109150</v>
      </c>
      <c r="E29" s="35">
        <f>C29+D29</f>
        <v>0</v>
      </c>
      <c r="F29" s="12"/>
      <c r="G29" s="12">
        <f>+E29+F29</f>
        <v>0</v>
      </c>
      <c r="H29" s="12"/>
      <c r="I29" s="12"/>
      <c r="J29" s="12"/>
      <c r="K29" s="12"/>
      <c r="L29" s="12">
        <f>SUM(G29:K29)</f>
        <v>0</v>
      </c>
      <c r="M29" s="12"/>
      <c r="N29" s="12">
        <f>+L29+M29</f>
        <v>0</v>
      </c>
    </row>
    <row r="30" spans="1:15">
      <c r="A30">
        <v>10</v>
      </c>
      <c r="B30" t="s">
        <v>111</v>
      </c>
      <c r="C30" s="4">
        <f>SUM(C26:C29)</f>
        <v>1104313687</v>
      </c>
      <c r="D30" s="4">
        <f>SUM(D26:D29)</f>
        <v>-266742924</v>
      </c>
      <c r="E30" s="4">
        <f>SUM(E26:E29)</f>
        <v>837570763</v>
      </c>
      <c r="F30" s="4">
        <f>SUM(F26:F29)</f>
        <v>0</v>
      </c>
      <c r="G30" s="4">
        <f>SUM(G26:G29)</f>
        <v>837570763</v>
      </c>
      <c r="H30" s="4">
        <f t="shared" ref="H30:N30" si="1">SUM(H26:H29)</f>
        <v>0</v>
      </c>
      <c r="I30" s="4">
        <f t="shared" si="1"/>
        <v>0</v>
      </c>
      <c r="J30" s="4">
        <f t="shared" si="1"/>
        <v>0</v>
      </c>
      <c r="K30" s="4">
        <f t="shared" si="1"/>
        <v>-923322.95599999931</v>
      </c>
      <c r="L30" s="4">
        <f t="shared" si="1"/>
        <v>836647440.04400003</v>
      </c>
      <c r="M30" s="4">
        <f t="shared" si="1"/>
        <v>0</v>
      </c>
      <c r="N30" s="4">
        <f t="shared" si="1"/>
        <v>836647440.04400003</v>
      </c>
    </row>
    <row r="31" spans="1:1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5">
      <c r="A32">
        <v>11</v>
      </c>
      <c r="B32" t="s">
        <v>110</v>
      </c>
      <c r="C32" s="4">
        <v>102409192</v>
      </c>
      <c r="D32" s="4">
        <v>24983852</v>
      </c>
      <c r="E32" s="4">
        <f t="shared" ref="E32:E46" si="2">C32+D32</f>
        <v>127393044</v>
      </c>
      <c r="F32" s="4"/>
      <c r="G32" s="4">
        <f t="shared" ref="G32:G46" si="3">+E32+F32</f>
        <v>127393044</v>
      </c>
      <c r="H32" s="4"/>
      <c r="I32" s="4"/>
      <c r="J32" s="4"/>
      <c r="K32" s="4"/>
      <c r="L32" s="4">
        <f t="shared" ref="L32:L46" si="4">SUM(G32:K32)</f>
        <v>127393044</v>
      </c>
      <c r="M32" s="4"/>
      <c r="N32" s="8">
        <f>+L32+M32</f>
        <v>127393044</v>
      </c>
    </row>
    <row r="33" spans="1:20">
      <c r="A33">
        <v>12</v>
      </c>
      <c r="B33" t="s">
        <v>109</v>
      </c>
      <c r="C33" s="34">
        <v>11865443</v>
      </c>
      <c r="D33" s="34">
        <v>92122</v>
      </c>
      <c r="E33" s="34">
        <f t="shared" si="2"/>
        <v>11957565</v>
      </c>
      <c r="F33" s="11"/>
      <c r="G33" s="11">
        <f t="shared" si="3"/>
        <v>11957565</v>
      </c>
      <c r="H33" s="11"/>
      <c r="J33" s="11"/>
      <c r="K33" s="11"/>
      <c r="L33" s="11">
        <f t="shared" si="4"/>
        <v>11957565</v>
      </c>
      <c r="M33" s="11"/>
      <c r="N33" s="11">
        <f t="shared" ref="N33:N46" si="5">+L33+M33</f>
        <v>11957565</v>
      </c>
      <c r="T33" s="11"/>
    </row>
    <row r="34" spans="1:20">
      <c r="A34">
        <v>13</v>
      </c>
      <c r="B34" t="s">
        <v>108</v>
      </c>
      <c r="C34" s="34">
        <v>82924735</v>
      </c>
      <c r="D34" s="34">
        <v>-998711</v>
      </c>
      <c r="E34" s="34">
        <f t="shared" si="2"/>
        <v>81926024</v>
      </c>
      <c r="F34" s="11"/>
      <c r="G34" s="11">
        <f t="shared" si="3"/>
        <v>81926024</v>
      </c>
      <c r="H34" s="11"/>
      <c r="J34" s="11"/>
      <c r="K34" s="11"/>
      <c r="L34" s="11">
        <f t="shared" si="4"/>
        <v>81926024</v>
      </c>
      <c r="M34" s="11"/>
      <c r="N34" s="11">
        <f t="shared" si="5"/>
        <v>81926024</v>
      </c>
      <c r="T34" s="11"/>
    </row>
    <row r="35" spans="1:20">
      <c r="A35">
        <v>14</v>
      </c>
      <c r="B35" t="s">
        <v>107</v>
      </c>
      <c r="C35" s="34">
        <v>50172086</v>
      </c>
      <c r="D35" s="34">
        <v>-2459606</v>
      </c>
      <c r="E35" s="34">
        <f t="shared" si="2"/>
        <v>47712480</v>
      </c>
      <c r="F35" s="11">
        <v>679614</v>
      </c>
      <c r="G35" s="11">
        <f t="shared" si="3"/>
        <v>48392094</v>
      </c>
      <c r="H35" s="11">
        <f>0.004444*H21</f>
        <v>-6658.9470656023996</v>
      </c>
      <c r="I35" s="11">
        <f>0.004444*I21</f>
        <v>-18024.683779762086</v>
      </c>
      <c r="J35" s="11">
        <f>0.004444*J21</f>
        <v>-7963.0772600805185</v>
      </c>
      <c r="K35" s="11">
        <f>0.004444*K21</f>
        <v>-4296.6029420627028</v>
      </c>
      <c r="L35" s="11">
        <f t="shared" si="4"/>
        <v>48355150.688952498</v>
      </c>
      <c r="M35" s="11">
        <f>0.004444*M21</f>
        <v>-244420</v>
      </c>
      <c r="N35" s="11">
        <f t="shared" si="5"/>
        <v>48110730.688952498</v>
      </c>
      <c r="T35" s="37"/>
    </row>
    <row r="36" spans="1:20">
      <c r="A36">
        <v>15</v>
      </c>
      <c r="B36" t="s">
        <v>106</v>
      </c>
      <c r="C36" s="34">
        <v>13431632</v>
      </c>
      <c r="D36" s="34">
        <v>-11727008</v>
      </c>
      <c r="E36" s="34">
        <f t="shared" si="2"/>
        <v>1704624</v>
      </c>
      <c r="F36" s="11"/>
      <c r="G36" s="11">
        <f t="shared" si="3"/>
        <v>1704624</v>
      </c>
      <c r="H36" s="11"/>
      <c r="J36" s="11"/>
      <c r="K36" s="11"/>
      <c r="L36" s="11">
        <f t="shared" si="4"/>
        <v>1704624</v>
      </c>
      <c r="M36" s="11"/>
      <c r="N36" s="11">
        <f t="shared" si="5"/>
        <v>1704624</v>
      </c>
      <c r="T36" s="11"/>
    </row>
    <row r="37" spans="1:20">
      <c r="A37">
        <v>16</v>
      </c>
      <c r="B37" t="s">
        <v>105</v>
      </c>
      <c r="C37" s="34">
        <v>75336909</v>
      </c>
      <c r="D37" s="34">
        <v>-75334320</v>
      </c>
      <c r="E37" s="34">
        <f t="shared" si="2"/>
        <v>2589</v>
      </c>
      <c r="F37" s="11"/>
      <c r="G37" s="11">
        <f t="shared" si="3"/>
        <v>2589</v>
      </c>
      <c r="H37" s="11"/>
      <c r="J37" s="11"/>
      <c r="K37" s="11"/>
      <c r="L37" s="11">
        <f t="shared" si="4"/>
        <v>2589</v>
      </c>
      <c r="M37" s="11"/>
      <c r="N37" s="11">
        <f t="shared" si="5"/>
        <v>2589</v>
      </c>
      <c r="T37" s="11"/>
    </row>
    <row r="38" spans="1:20">
      <c r="A38">
        <v>17</v>
      </c>
      <c r="B38" t="s">
        <v>104</v>
      </c>
      <c r="C38" s="34">
        <v>94643935</v>
      </c>
      <c r="D38" s="34">
        <v>5403561</v>
      </c>
      <c r="E38" s="34">
        <f t="shared" si="2"/>
        <v>100047496</v>
      </c>
      <c r="F38" s="11">
        <v>305857</v>
      </c>
      <c r="G38" s="11">
        <f t="shared" si="3"/>
        <v>100353353</v>
      </c>
      <c r="H38" s="11">
        <f>0.002*H21</f>
        <v>-2996.8258621072905</v>
      </c>
      <c r="I38" s="11">
        <f>0.002*I21</f>
        <v>-8111.918892782217</v>
      </c>
      <c r="J38" s="11">
        <f>0.002*J21</f>
        <v>-3583.7431413503687</v>
      </c>
      <c r="K38" s="11">
        <f>0.002*K21</f>
        <v>-1933.6646903972558</v>
      </c>
      <c r="L38" s="11">
        <f t="shared" si="4"/>
        <v>100336726.84741336</v>
      </c>
      <c r="M38" s="11">
        <f>0.002*M21</f>
        <v>-110000</v>
      </c>
      <c r="N38" s="11">
        <f t="shared" si="5"/>
        <v>100226726.84741336</v>
      </c>
      <c r="T38" s="37"/>
    </row>
    <row r="39" spans="1:20">
      <c r="A39">
        <v>18</v>
      </c>
      <c r="B39" t="s">
        <v>103</v>
      </c>
      <c r="C39" s="34">
        <v>190245449</v>
      </c>
      <c r="D39" s="34">
        <v>29592275</v>
      </c>
      <c r="E39" s="34">
        <f t="shared" si="2"/>
        <v>219837724</v>
      </c>
      <c r="F39" s="11"/>
      <c r="G39" s="11">
        <f t="shared" si="3"/>
        <v>219837724</v>
      </c>
      <c r="H39" s="11"/>
      <c r="J39" s="11"/>
      <c r="K39" s="11"/>
      <c r="L39" s="11">
        <f t="shared" si="4"/>
        <v>219837724</v>
      </c>
      <c r="M39" s="11"/>
      <c r="N39" s="11">
        <f t="shared" si="5"/>
        <v>219837724</v>
      </c>
      <c r="T39" s="37"/>
    </row>
    <row r="40" spans="1:20">
      <c r="A40">
        <v>19</v>
      </c>
      <c r="B40" t="s">
        <v>102</v>
      </c>
      <c r="C40" s="34">
        <v>40184321</v>
      </c>
      <c r="D40" s="34">
        <v>-236433</v>
      </c>
      <c r="E40" s="34">
        <f t="shared" si="2"/>
        <v>39947888</v>
      </c>
      <c r="F40" s="11"/>
      <c r="G40" s="11">
        <f t="shared" si="3"/>
        <v>39947888</v>
      </c>
      <c r="H40" s="11"/>
      <c r="J40" s="11"/>
      <c r="K40" s="11"/>
      <c r="L40" s="11">
        <f t="shared" si="4"/>
        <v>39947888</v>
      </c>
      <c r="M40" s="11"/>
      <c r="N40" s="11">
        <f t="shared" si="5"/>
        <v>39947888</v>
      </c>
      <c r="T40" s="37"/>
    </row>
    <row r="41" spans="1:20">
      <c r="A41">
        <v>20</v>
      </c>
      <c r="B41" t="s">
        <v>101</v>
      </c>
      <c r="C41" s="34">
        <v>17493031</v>
      </c>
      <c r="D41" s="34">
        <v>-552298</v>
      </c>
      <c r="E41" s="34">
        <f t="shared" si="2"/>
        <v>16940733</v>
      </c>
      <c r="F41" s="11"/>
      <c r="G41" s="11">
        <f t="shared" si="3"/>
        <v>16940733</v>
      </c>
      <c r="H41" s="11"/>
      <c r="J41" s="11"/>
      <c r="K41" s="11"/>
      <c r="L41" s="11">
        <f t="shared" si="4"/>
        <v>16940733</v>
      </c>
      <c r="M41" s="11"/>
      <c r="N41" s="11">
        <f t="shared" si="5"/>
        <v>16940733</v>
      </c>
      <c r="T41" s="37"/>
    </row>
    <row r="42" spans="1:20">
      <c r="A42">
        <v>21</v>
      </c>
      <c r="B42" t="s">
        <v>100</v>
      </c>
      <c r="C42" s="34">
        <v>30169560</v>
      </c>
      <c r="D42" s="34">
        <v>-26608988</v>
      </c>
      <c r="E42" s="34">
        <f t="shared" si="2"/>
        <v>3560572</v>
      </c>
      <c r="F42" s="11"/>
      <c r="G42" s="11">
        <f t="shared" si="3"/>
        <v>3560572</v>
      </c>
      <c r="H42" s="11"/>
      <c r="J42" s="11"/>
      <c r="K42" s="11"/>
      <c r="L42" s="11">
        <f t="shared" si="4"/>
        <v>3560572</v>
      </c>
      <c r="M42" s="11"/>
      <c r="N42" s="11">
        <f t="shared" si="5"/>
        <v>3560572</v>
      </c>
      <c r="T42" s="37"/>
    </row>
    <row r="43" spans="1:20">
      <c r="A43">
        <v>22</v>
      </c>
      <c r="B43" t="s">
        <v>85</v>
      </c>
      <c r="C43" s="34">
        <v>166953097</v>
      </c>
      <c r="D43" s="34">
        <v>-166953097</v>
      </c>
      <c r="E43" s="34">
        <f t="shared" si="2"/>
        <v>0</v>
      </c>
      <c r="F43" s="11"/>
      <c r="G43" s="11">
        <f t="shared" si="3"/>
        <v>0</v>
      </c>
      <c r="H43" s="11"/>
      <c r="J43" s="11"/>
      <c r="K43" s="11"/>
      <c r="L43" s="11">
        <f t="shared" si="4"/>
        <v>0</v>
      </c>
      <c r="M43" s="11"/>
      <c r="N43" s="11">
        <f t="shared" si="5"/>
        <v>0</v>
      </c>
      <c r="T43" s="37"/>
    </row>
    <row r="44" spans="1:20">
      <c r="A44">
        <v>23</v>
      </c>
      <c r="B44" t="s">
        <v>99</v>
      </c>
      <c r="C44" s="34">
        <v>193255907</v>
      </c>
      <c r="D44" s="34">
        <v>-67569351</v>
      </c>
      <c r="E44" s="34">
        <f t="shared" si="2"/>
        <v>125686556</v>
      </c>
      <c r="F44" s="11">
        <v>5896617</v>
      </c>
      <c r="G44" s="11">
        <f t="shared" si="3"/>
        <v>131583173</v>
      </c>
      <c r="H44" s="11">
        <f>0.038558*H21</f>
        <v>-57775.805795566455</v>
      </c>
      <c r="I44" s="11">
        <f>0.038558*I21</f>
        <v>-156389.68433394836</v>
      </c>
      <c r="J44" s="11">
        <f>0.038558*J21</f>
        <v>-69090.984022093762</v>
      </c>
      <c r="K44" s="11">
        <f>0.038558*K21</f>
        <v>-37279.121566168695</v>
      </c>
      <c r="L44" s="11">
        <f t="shared" si="4"/>
        <v>131262637.40428223</v>
      </c>
      <c r="M44" s="11">
        <f>0.038558*M21</f>
        <v>-2120690</v>
      </c>
      <c r="N44" s="11">
        <f t="shared" si="5"/>
        <v>129141947.40428223</v>
      </c>
      <c r="T44" s="37"/>
    </row>
    <row r="45" spans="1:20">
      <c r="A45">
        <v>24</v>
      </c>
      <c r="B45" t="s">
        <v>98</v>
      </c>
      <c r="C45" s="34">
        <v>16263334</v>
      </c>
      <c r="D45" s="34">
        <v>-91611792</v>
      </c>
      <c r="E45" s="34">
        <f t="shared" si="2"/>
        <v>-75348458</v>
      </c>
      <c r="F45" s="11">
        <v>51116199</v>
      </c>
      <c r="G45" s="11">
        <f t="shared" si="3"/>
        <v>-24232259</v>
      </c>
      <c r="H45" s="11">
        <f>+((+H21-H35-H38-H44)*0.35)-(0.35*0.0324*H62)</f>
        <v>-356155.35880222521</v>
      </c>
      <c r="I45" s="11">
        <f>+((+I21-I35-I38-I44)*0.35)-(0.35*0.0324*I62)</f>
        <v>-964054.47522461554</v>
      </c>
      <c r="J45" s="11">
        <f>+((+J21-J35-J38-J44)*0.35)-(0.35*0.0324*J62)</f>
        <v>-425907.07071152423</v>
      </c>
      <c r="K45" s="11">
        <v>0</v>
      </c>
      <c r="L45" s="11">
        <f t="shared" si="4"/>
        <v>-25978375.904738363</v>
      </c>
      <c r="M45" s="11">
        <f>+((+M21-M35-M38-M44)*0.35)</f>
        <v>-18383711.5</v>
      </c>
      <c r="N45" s="11">
        <f t="shared" si="5"/>
        <v>-44362087.404738367</v>
      </c>
      <c r="T45" s="37"/>
    </row>
    <row r="46" spans="1:20">
      <c r="A46">
        <v>25</v>
      </c>
      <c r="B46" t="s">
        <v>36</v>
      </c>
      <c r="C46" s="35">
        <v>-32436237</v>
      </c>
      <c r="D46" s="35">
        <v>200902071</v>
      </c>
      <c r="E46" s="35">
        <f t="shared" si="2"/>
        <v>168465834</v>
      </c>
      <c r="F46" s="12"/>
      <c r="G46" s="12">
        <f t="shared" si="3"/>
        <v>168465834</v>
      </c>
      <c r="H46" s="12"/>
      <c r="I46" s="16"/>
      <c r="J46" s="12"/>
      <c r="K46" s="12"/>
      <c r="L46" s="12">
        <f t="shared" si="4"/>
        <v>168465834</v>
      </c>
      <c r="M46" s="12"/>
      <c r="N46" s="43">
        <f t="shared" si="5"/>
        <v>168465834</v>
      </c>
      <c r="T46" s="37"/>
    </row>
    <row r="47" spans="1:20">
      <c r="A47">
        <v>26</v>
      </c>
      <c r="B47" t="s">
        <v>97</v>
      </c>
      <c r="C47" s="4">
        <f t="shared" ref="C47:H47" si="6">SUM(C32:C46)</f>
        <v>1052912394</v>
      </c>
      <c r="D47" s="8">
        <f t="shared" si="6"/>
        <v>-183077723</v>
      </c>
      <c r="E47" s="4">
        <f t="shared" si="6"/>
        <v>869834671</v>
      </c>
      <c r="F47" s="4">
        <f t="shared" si="6"/>
        <v>57998287</v>
      </c>
      <c r="G47" s="4">
        <f t="shared" si="6"/>
        <v>927832958</v>
      </c>
      <c r="H47" s="8">
        <f t="shared" si="6"/>
        <v>-423586.93752550136</v>
      </c>
      <c r="I47" s="8">
        <f>SUM(I32:I46)</f>
        <v>-1146580.7622311083</v>
      </c>
      <c r="J47" s="8">
        <f>SUM(J32:J46)</f>
        <v>-506544.87513504887</v>
      </c>
      <c r="K47" s="8">
        <f>SUM(K32:K46)</f>
        <v>-43509.389198628654</v>
      </c>
      <c r="L47" s="4">
        <f>SUM(G47:K47)</f>
        <v>925712736.03590965</v>
      </c>
      <c r="M47" s="8">
        <f>SUM(M32:M46)</f>
        <v>-20858821.5</v>
      </c>
      <c r="N47" s="4">
        <f>SUM(N32:N46)</f>
        <v>904853914.53590965</v>
      </c>
      <c r="O47" s="44"/>
      <c r="T47" s="34"/>
    </row>
    <row r="48" spans="1:20">
      <c r="C48" s="4"/>
      <c r="D48" s="4"/>
      <c r="E48" s="4"/>
      <c r="F48" s="4"/>
      <c r="G48" s="4"/>
      <c r="H48" s="8"/>
      <c r="I48" s="8"/>
      <c r="J48" s="8"/>
      <c r="K48" s="8"/>
      <c r="L48" s="4"/>
      <c r="M48" s="4"/>
      <c r="N48" s="4"/>
      <c r="T48" s="11"/>
    </row>
    <row r="49" spans="1:16">
      <c r="A49">
        <v>27</v>
      </c>
      <c r="B49" t="s">
        <v>96</v>
      </c>
      <c r="C49" s="4">
        <f>C21-C47-C30</f>
        <v>117427310</v>
      </c>
      <c r="D49" s="4">
        <f>D21-D47-D30</f>
        <v>200623010</v>
      </c>
      <c r="E49" s="4">
        <f>E21-E47-E30</f>
        <v>318050320</v>
      </c>
      <c r="F49" s="4">
        <f>F21-F47-F30</f>
        <v>94930214</v>
      </c>
      <c r="G49" s="4">
        <f>G21-G47-G30</f>
        <v>412980534</v>
      </c>
      <c r="H49" s="8">
        <f t="shared" ref="H49:N49" si="7">H21-H47-H30</f>
        <v>-1074825.993528144</v>
      </c>
      <c r="I49" s="8">
        <f t="shared" si="7"/>
        <v>-2909378.6841600002</v>
      </c>
      <c r="J49" s="8">
        <f t="shared" si="7"/>
        <v>-1285326.6955401353</v>
      </c>
      <c r="K49" s="8">
        <f t="shared" si="7"/>
        <v>0</v>
      </c>
      <c r="L49" s="4">
        <f>SUM(G49:K49)</f>
        <v>407711002.62677175</v>
      </c>
      <c r="M49" s="8">
        <f t="shared" si="7"/>
        <v>-34141178.5</v>
      </c>
      <c r="N49" s="8">
        <f t="shared" si="7"/>
        <v>373569824.12677157</v>
      </c>
    </row>
    <row r="50" spans="1:16">
      <c r="C50" s="4"/>
      <c r="D50" s="4"/>
      <c r="E50" s="4"/>
      <c r="F50" s="4"/>
      <c r="G50" s="4"/>
      <c r="H50" s="8"/>
      <c r="I50" s="8"/>
      <c r="J50" s="8"/>
      <c r="K50" s="8"/>
      <c r="L50" s="4"/>
      <c r="M50" s="4"/>
      <c r="N50" s="4"/>
    </row>
    <row r="51" spans="1:16">
      <c r="A51">
        <v>28</v>
      </c>
      <c r="B51" t="s">
        <v>151</v>
      </c>
      <c r="C51" s="4">
        <f>C62</f>
        <v>4100870913</v>
      </c>
      <c r="D51" s="4">
        <f>D62</f>
        <v>803886032</v>
      </c>
      <c r="E51" s="4">
        <f>C51+D51</f>
        <v>4904756945</v>
      </c>
      <c r="F51" s="4"/>
      <c r="G51" s="4">
        <f>+E51</f>
        <v>4904756945</v>
      </c>
      <c r="H51" s="8">
        <f>+H62</f>
        <v>-12759092.990599999</v>
      </c>
      <c r="I51" s="8">
        <f>+I62</f>
        <v>-34536784</v>
      </c>
      <c r="J51" s="8">
        <f>+J62</f>
        <v>-15257914.239555266</v>
      </c>
      <c r="K51" s="8">
        <f>+K62</f>
        <v>0</v>
      </c>
      <c r="L51" s="4">
        <f>+G51+H62+I62+J62</f>
        <v>4842203153.769845</v>
      </c>
      <c r="M51" s="4">
        <f>+L51</f>
        <v>4842203153.769845</v>
      </c>
      <c r="N51" s="4">
        <f>+L51</f>
        <v>4842203153.769845</v>
      </c>
    </row>
    <row r="52" spans="1:16">
      <c r="C52" s="34"/>
      <c r="D52" s="34"/>
      <c r="E52" s="34"/>
    </row>
    <row r="53" spans="1:16">
      <c r="A53">
        <v>29</v>
      </c>
      <c r="B53" t="s">
        <v>95</v>
      </c>
      <c r="C53" s="33">
        <f>+C49/C51</f>
        <v>2.8634724791689634E-2</v>
      </c>
      <c r="D53" s="33"/>
      <c r="E53" s="33">
        <f>+E49/E51</f>
        <v>6.4845276446211339E-2</v>
      </c>
      <c r="F53" s="33"/>
      <c r="G53" s="33">
        <f>+G49/G51</f>
        <v>8.4199999843213427E-2</v>
      </c>
      <c r="H53" s="33"/>
      <c r="I53" s="33"/>
      <c r="J53" s="33"/>
      <c r="K53" s="33"/>
      <c r="L53" s="33">
        <f>+L49/L51</f>
        <v>8.4199483102924494E-2</v>
      </c>
      <c r="M53" s="33">
        <f>+M49/M51</f>
        <v>-7.0507530179562483E-3</v>
      </c>
      <c r="N53" s="33">
        <f>+N49/N51</f>
        <v>7.7148730084968212E-2</v>
      </c>
      <c r="P53" s="33"/>
    </row>
    <row r="54" spans="1:16">
      <c r="C54" s="34"/>
      <c r="D54" s="34"/>
      <c r="E54" s="34"/>
    </row>
    <row r="55" spans="1:16">
      <c r="B55" s="36" t="s">
        <v>94</v>
      </c>
      <c r="C55" s="34"/>
      <c r="D55" s="34"/>
      <c r="E55" s="34"/>
    </row>
    <row r="56" spans="1:16">
      <c r="A56">
        <v>30</v>
      </c>
      <c r="B56" t="s">
        <v>93</v>
      </c>
      <c r="C56" s="42">
        <v>7157671291</v>
      </c>
      <c r="D56" s="42">
        <v>693485863</v>
      </c>
      <c r="E56" s="42">
        <f t="shared" ref="E56:E61" si="8">C56+D56</f>
        <v>7851157154</v>
      </c>
      <c r="F56" s="42"/>
      <c r="G56" s="42"/>
      <c r="H56" s="42"/>
      <c r="I56" s="42"/>
      <c r="J56" s="42"/>
      <c r="K56" s="42"/>
      <c r="L56" s="42"/>
    </row>
    <row r="57" spans="1:16">
      <c r="A57">
        <v>31</v>
      </c>
      <c r="B57" t="s">
        <v>92</v>
      </c>
      <c r="C57" s="34">
        <v>-2758182029</v>
      </c>
      <c r="D57" s="34">
        <v>7805936</v>
      </c>
      <c r="E57" s="34">
        <f t="shared" si="8"/>
        <v>-2750376093</v>
      </c>
      <c r="J57" s="11">
        <f>'Chelan PUD Rate Base'!G18</f>
        <v>923322.95599999931</v>
      </c>
    </row>
    <row r="58" spans="1:16">
      <c r="A58">
        <v>32</v>
      </c>
      <c r="B58" t="s">
        <v>91</v>
      </c>
      <c r="C58" s="34">
        <v>241208023</v>
      </c>
      <c r="D58" s="34">
        <v>184108059</v>
      </c>
      <c r="E58" s="34">
        <f t="shared" si="8"/>
        <v>425316082</v>
      </c>
      <c r="J58" s="8">
        <f>'Chelan PUD Rate Base'!G17</f>
        <v>-18466459.11999999</v>
      </c>
    </row>
    <row r="59" spans="1:16">
      <c r="A59">
        <v>33</v>
      </c>
      <c r="B59" t="s">
        <v>90</v>
      </c>
      <c r="C59" s="34">
        <v>-656658557</v>
      </c>
      <c r="D59" s="34">
        <v>-81513826</v>
      </c>
      <c r="E59" s="34">
        <f t="shared" si="8"/>
        <v>-738172383</v>
      </c>
      <c r="H59" s="8">
        <f>NOLs!E15</f>
        <v>-12149203</v>
      </c>
      <c r="J59" s="11">
        <f>'Chelan PUD Rate Base'!G19</f>
        <v>2285221.9244447248</v>
      </c>
    </row>
    <row r="60" spans="1:16">
      <c r="A60">
        <v>34</v>
      </c>
      <c r="B60" t="s">
        <v>89</v>
      </c>
      <c r="C60" s="34">
        <v>204952589</v>
      </c>
      <c r="D60" s="34">
        <v>0</v>
      </c>
      <c r="E60" s="34">
        <f t="shared" si="8"/>
        <v>204952589</v>
      </c>
      <c r="H60" s="11">
        <f>NOLs!E17</f>
        <v>-609889.99060000002</v>
      </c>
    </row>
    <row r="61" spans="1:16">
      <c r="A61">
        <v>35</v>
      </c>
      <c r="B61" t="s">
        <v>88</v>
      </c>
      <c r="C61" s="35">
        <v>-88120404</v>
      </c>
      <c r="D61" s="35">
        <v>0</v>
      </c>
      <c r="E61" s="35">
        <f t="shared" si="8"/>
        <v>-88120404</v>
      </c>
      <c r="F61" s="16"/>
      <c r="G61" s="16"/>
      <c r="H61" s="16"/>
      <c r="I61" s="16"/>
      <c r="J61" s="16"/>
      <c r="K61" s="16"/>
      <c r="L61" s="16"/>
      <c r="M61" s="16"/>
      <c r="N61" s="16"/>
    </row>
    <row r="62" spans="1:16">
      <c r="A62">
        <v>36</v>
      </c>
      <c r="B62" t="s">
        <v>87</v>
      </c>
      <c r="C62" s="8">
        <f>SUM(C56:C61)</f>
        <v>4100870913</v>
      </c>
      <c r="D62" s="8">
        <f>SUM(D56:D61)</f>
        <v>803886032</v>
      </c>
      <c r="E62" s="8">
        <f>SUM(E56:E61)</f>
        <v>4904756945</v>
      </c>
      <c r="F62" s="8"/>
      <c r="G62" s="8"/>
      <c r="H62" s="8">
        <f>SUM(H56:H61)</f>
        <v>-12759092.990599999</v>
      </c>
      <c r="I62" s="8">
        <f>'Rep and Retire'!F19</f>
        <v>-34536784</v>
      </c>
      <c r="J62" s="8">
        <f>SUM(J56:J61)</f>
        <v>-15257914.239555266</v>
      </c>
      <c r="K62" s="8"/>
      <c r="L62" s="8"/>
      <c r="M62" s="8"/>
      <c r="N62" s="8"/>
      <c r="O62" s="8"/>
    </row>
    <row r="63" spans="1:16">
      <c r="C63" s="34"/>
      <c r="D63" s="34"/>
      <c r="E63" s="34"/>
    </row>
    <row r="64" spans="1:16">
      <c r="C64" s="34"/>
      <c r="D64" s="34"/>
      <c r="E64" s="34"/>
    </row>
    <row r="65" spans="2:2">
      <c r="B65" t="s">
        <v>8</v>
      </c>
    </row>
    <row r="66" spans="2:2">
      <c r="B66" t="s">
        <v>153</v>
      </c>
    </row>
    <row r="67" spans="2:2">
      <c r="B67" t="s">
        <v>152</v>
      </c>
    </row>
    <row r="69" spans="2:2">
      <c r="B69" t="s">
        <v>157</v>
      </c>
    </row>
    <row r="70" spans="2:2">
      <c r="B70" t="s">
        <v>158</v>
      </c>
    </row>
    <row r="71" spans="2:2">
      <c r="B71" t="s">
        <v>159</v>
      </c>
    </row>
  </sheetData>
  <pageMargins left="0.7" right="0.7" top="0.75" bottom="0.75" header="0.3" footer="0.3"/>
  <pageSetup scale="49" orientation="landscape" r:id="rId1"/>
  <headerFooter>
    <oddHeader xml:space="preserve">&amp;RDocket Nos. UE-111048 &amp;&amp; UG-111049
Exhibit No. ACC-3
Page 6 of 6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2011-06-13T07:00:00+00:00</OpenedDate>
    <Date1 xmlns="dc463f71-b30c-4ab2-9473-d307f9d35888">2011-12-07T08:00:00+00:00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EC8B21DBB10C40AB4409B4BAF96A70" ma:contentTypeVersion="143" ma:contentTypeDescription="" ma:contentTypeScope="" ma:versionID="3c7207432fc916bd95c5b70dd967b1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3894D4E-A668-4CAA-9EBC-7C49838A6FDB}"/>
</file>

<file path=customXml/itemProps2.xml><?xml version="1.0" encoding="utf-8"?>
<ds:datastoreItem xmlns:ds="http://schemas.openxmlformats.org/officeDocument/2006/customXml" ds:itemID="{061041ED-F2FE-4B90-B7E3-FF8B9B578AA2}"/>
</file>

<file path=customXml/itemProps3.xml><?xml version="1.0" encoding="utf-8"?>
<ds:datastoreItem xmlns:ds="http://schemas.openxmlformats.org/officeDocument/2006/customXml" ds:itemID="{19E8EF1A-96FD-4D1D-B560-DEF6C09F04EB}"/>
</file>

<file path=customXml/itemProps4.xml><?xml version="1.0" encoding="utf-8"?>
<ds:datastoreItem xmlns:ds="http://schemas.openxmlformats.org/officeDocument/2006/customXml" ds:itemID="{695B4DAB-23F1-4050-868E-42E661A248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Summary</vt:lpstr>
      <vt:lpstr>NOLs</vt:lpstr>
      <vt:lpstr>Rep and Retire</vt:lpstr>
      <vt:lpstr>Chelan PUD Rate Base</vt:lpstr>
      <vt:lpstr>Chelan PUD - Expense</vt:lpstr>
      <vt:lpstr>Reconciliation</vt:lpstr>
      <vt:lpstr>'Chelan PUD Rate Base'!Print_Area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carolw</cp:lastModifiedBy>
  <cp:lastPrinted>2011-12-05T23:13:05Z</cp:lastPrinted>
  <dcterms:created xsi:type="dcterms:W3CDTF">2011-11-25T13:09:27Z</dcterms:created>
  <dcterms:modified xsi:type="dcterms:W3CDTF">2011-12-06T20:37:28Z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0x0101006E56B4D1795A2E4DB2F0B01679ED314A00C4EC8B21DBB10C40AB4409B4BAF96A70</vt:lpwstr>
  </property>
  <property fmtid="{D5CDD505-2E9C-101B-9397-08002B2CF9AE}" pid="3" name="_docset_NoMedatataSyncRequired">
    <vt:lpwstr>False</vt:lpwstr>
  </property>
</Properties>
</file>