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9.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xl/externalLinks/externalLink9.xml" ContentType="application/vnd.openxmlformats-officedocument.spreadsheetml.externalLink+xml"/>
  <Override PartName="/xl/comments3.xml" ContentType="application/vnd.openxmlformats-officedocument.spreadsheetml.comments+xml"/>
  <Override PartName="/xl/comments2.xml" ContentType="application/vnd.openxmlformats-officedocument.spreadsheetml.comments+xml"/>
  <Override PartName="/xl/comments1.xml" ContentType="application/vnd.openxmlformats-officedocument.spreadsheetml.comments+xml"/>
  <Override PartName="/xl/externalLinks/externalLink8.xml" ContentType="application/vnd.openxmlformats-officedocument.spreadsheetml.externalLink+xml"/>
  <Override PartName="/xl/comments4.xml" ContentType="application/vnd.openxmlformats-officedocument.spreadsheetml.comments+xml"/>
  <Override PartName="/xl/comments6.xml" ContentType="application/vnd.openxmlformats-officedocument.spreadsheetml.comments+xml"/>
  <Override PartName="/xl/externalLinks/externalLink6.xml" ContentType="application/vnd.openxmlformats-officedocument.spreadsheetml.externalLink+xml"/>
  <Override PartName="/xl/comments5.xml" ContentType="application/vnd.openxmlformats-officedocument.spreadsheetml.comments+xml"/>
  <Override PartName="/xl/externalLinks/externalLink7.xml" ContentType="application/vnd.openxmlformats-officedocument.spreadsheetml.externalLink+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01m107\c01m107\2017\2017_ WA Elec and Gas GRC\Rebuttal Testimony &amp; Exhibits\Andrews\"/>
    </mc:Choice>
  </mc:AlternateContent>
  <bookViews>
    <workbookView xWindow="-330" yWindow="-105" windowWidth="19410" windowHeight="11010" tabRatio="848" firstSheet="1" activeTab="1"/>
  </bookViews>
  <sheets>
    <sheet name="Acerno_Cache_XXXXX" sheetId="115" state="veryHidden" r:id="rId1"/>
    <sheet name="Revised Year 2-3 - Table" sheetId="122" r:id="rId2"/>
    <sheet name="ADJ DETAIL-INPUT-Restate" sheetId="1" r:id="rId3"/>
    <sheet name="2007-2016 Data" sheetId="117" r:id="rId4"/>
    <sheet name="CBR Hist" sheetId="118" r:id="rId5"/>
    <sheet name="Reg Amorts" sheetId="119" r:id="rId6"/>
    <sheet name="Cost of Capital" sheetId="123" r:id="rId7"/>
    <sheet name="DEBT CALC" sheetId="48" r:id="rId8"/>
    <sheet name="ADJ SUMMARY" sheetId="3" r:id="rId9"/>
    <sheet name="ROO INPUT" sheetId="111" r:id="rId10"/>
    <sheet name="CF " sheetId="52" r:id="rId11"/>
    <sheet name="Table" sheetId="121"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ctuals_Mo">[1]Tables!$B$19</definedName>
    <definedName name="Allocation_Categories">OFFSET('[2]Allocation Factors'!$A$4,0,0,COUNTA('[2]Allocation Factors'!$A:$A)-COUNTA('[2]Allocation Factors'!$A$1:$A$3),1)</definedName>
    <definedName name="Base1_Billing2" localSheetId="3">#REF!</definedName>
    <definedName name="Base1_Billing2" localSheetId="4">#REF!</definedName>
    <definedName name="Base1_Billing2" localSheetId="1">#REF!</definedName>
    <definedName name="Base1_Billing2">#REF!</definedName>
    <definedName name="BaseRev60_EntryLookup">INDEX('[3]Rev Summary'!$F$1176:$F$1177,2):'[3]Rev Summary'!$F$1221</definedName>
    <definedName name="Basic">'[3]Rev Summary'!$I$1279:$I$1322</definedName>
    <definedName name="BilledRev60_EntryLookup">INDEX('[3]Rev Summary'!$F$70:$F$71,2):'[3]Rev Summary'!$F$115</definedName>
    <definedName name="CalRev60_EntryLookup">INDEX('[3]Rev Summary'!$F$373:$F$374,2):'[3]Rev Summary'!$F$418</definedName>
    <definedName name="ClassEntry">'[3]Rev Summary'!$D$2</definedName>
    <definedName name="ClassEntryNo">'[3]Rev Summary'!$D$3</definedName>
    <definedName name="CopyClasses">'[3]Rev Summary'!$F$1279:INDEX('[3]Rev Summary'!$F$1279:$F$1323,COUNTA('[3]Rev Summary'!$F$1279:$F$1323))</definedName>
    <definedName name="CustMos">'[1]Cust Load'!$D$3</definedName>
    <definedName name="DSMFlag">'[3]Exp Summary'!$E$30</definedName>
    <definedName name="EndMo">[1]Tables!$B$16</definedName>
    <definedName name="ERM">'[4]Rate Design'!$D$45</definedName>
    <definedName name="GRCRev60_EntryLookup">INDEX('[3]Rev Summary'!$F$1075:$F$1076,2):'[3]Rev Summary'!$F$1120</definedName>
    <definedName name="GrossUnbillAccrRev60_EntryLookup">INDEX('[3]Rev Summary'!$F$873:$F$874,2):'[3]Rev Summary'!$F$918</definedName>
    <definedName name="GrossUnbillRevRev60_EntryLookup">INDEX('[3]Rev Summary'!$F$974:$F$975,2):'[3]Rev Summary'!$F$1019</definedName>
    <definedName name="ID" localSheetId="3">#REF!</definedName>
    <definedName name="ID" localSheetId="1">#REF!</definedName>
    <definedName name="ID">#REF!</definedName>
    <definedName name="ID_001b" localSheetId="3">#REF!</definedName>
    <definedName name="ID_001b" localSheetId="4">#REF!</definedName>
    <definedName name="ID_001b" localSheetId="1">#REF!</definedName>
    <definedName name="ID_001b">#REF!</definedName>
    <definedName name="ID_011b" localSheetId="3">#REF!</definedName>
    <definedName name="ID_011b" localSheetId="4">#REF!</definedName>
    <definedName name="ID_011b" localSheetId="1">#REF!</definedName>
    <definedName name="ID_011b">#REF!</definedName>
    <definedName name="ID_012b" localSheetId="3">#REF!</definedName>
    <definedName name="ID_012b" localSheetId="4">#REF!</definedName>
    <definedName name="ID_012b" localSheetId="1">#REF!</definedName>
    <definedName name="ID_012b">#REF!</definedName>
    <definedName name="ID_021b" localSheetId="3">#REF!</definedName>
    <definedName name="ID_021b" localSheetId="4">#REF!</definedName>
    <definedName name="ID_021b" localSheetId="1">#REF!</definedName>
    <definedName name="ID_021b">#REF!</definedName>
    <definedName name="ID_Elec" localSheetId="3">#REF!</definedName>
    <definedName name="ID_Elec" localSheetId="9">#REF!</definedName>
    <definedName name="ID_Elec">'DEBT CALC'!$A$70:$F$147</definedName>
    <definedName name="ID_Gas" localSheetId="3">'[5]DEBT CALC'!#REF!</definedName>
    <definedName name="ID_Gas" localSheetId="4">'[5]DEBT CALC'!#REF!</definedName>
    <definedName name="ID_Gas" localSheetId="6">'[6]DEBT CALC'!#REF!</definedName>
    <definedName name="ID_Gas" localSheetId="1">'DEBT CALC'!#REF!</definedName>
    <definedName name="ID_Gas" localSheetId="9">#REF!</definedName>
    <definedName name="ID_Gas">'DEBT CALC'!#REF!</definedName>
    <definedName name="ID04X">[3]Rates!$O$121:$V$121</definedName>
    <definedName name="IDPPRider">[3]Rates!$O$124:$V$124</definedName>
    <definedName name="IDResEx">[3]Rates!$O$125:$V$125</definedName>
    <definedName name="IDSurch">[3]Rates!$O$122:$V$122</definedName>
    <definedName name="ManualSched">'[3]Rev Summary'!$B$36</definedName>
    <definedName name="Month1">[3]Setup!$B$3</definedName>
    <definedName name="NetUnbillRev60_EntryLookup">INDEX('[3]Rev Summary'!$F$272:$F$273,2):'[3]Rev Summary'!$F$317</definedName>
    <definedName name="PPRev60_EntryLookup">INDEX('[3]Rev Summary'!$F$671:$F$672,2):'[3]Rev Summary'!$F$716</definedName>
    <definedName name="_xlnm.Print_Area" localSheetId="3">'2007-2016 Data'!$A$1:$Z$206</definedName>
    <definedName name="_xlnm.Print_Area" localSheetId="2">'ADJ DETAIL-INPUT-Restate'!$A$2:$AN$84</definedName>
    <definedName name="_xlnm.Print_Area" localSheetId="8">'ADJ SUMMARY'!$A$1:$H$43</definedName>
    <definedName name="_xlnm.Print_Area" localSheetId="4">'CBR Hist'!$A$1:$V$79</definedName>
    <definedName name="_xlnm.Print_Area" localSheetId="10">'CF '!$A$1:$E$28</definedName>
    <definedName name="_xlnm.Print_Area" localSheetId="6">'Cost of Capital'!#REF!,'Cost of Capital'!$A$1:$F$18</definedName>
    <definedName name="_xlnm.Print_Area" localSheetId="7">'DEBT CALC'!$A$1:$I$49</definedName>
    <definedName name="_xlnm.Print_Area" localSheetId="9">'ROO INPUT'!$A$1:$G$81</definedName>
    <definedName name="Print_for_CBReport" localSheetId="3">#REF!</definedName>
    <definedName name="Print_for_CBReport">'ADJ SUMMARY'!$A$1:$F$43</definedName>
    <definedName name="Print_for_Checking" localSheetId="3">'[5]ADJ SUMMARY'!#REF!:'[5]ADJ SUMMARY'!#REF!</definedName>
    <definedName name="Print_for_Checking" localSheetId="4">'[5]ADJ SUMMARY'!#REF!:'[5]ADJ SUMMARY'!#REF!</definedName>
    <definedName name="Print_for_Checking" localSheetId="6">'[6]ADJ SUMMARY'!#REF!:'[6]ADJ SUMMARY'!#REF!</definedName>
    <definedName name="Print_for_Checking" localSheetId="1">'ADJ SUMMARY'!#REF!:'ADJ SUMMARY'!#REF!</definedName>
    <definedName name="Print_for_Checking" localSheetId="9">[7]PFRstmtSheet!$A$1:[7]PFRstmtSheet!#REF!</definedName>
    <definedName name="Print_for_Checking">'ADJ SUMMARY'!#REF!:'ADJ SUMMARY'!#REF!</definedName>
    <definedName name="_xlnm.Print_Titles" localSheetId="3">'2007-2016 Data'!$2:$2</definedName>
    <definedName name="_xlnm.Print_Titles" localSheetId="4">'CBR Hist'!$A:$D,'CBR Hist'!$1:$9</definedName>
    <definedName name="_xlnm.Print_Titles" localSheetId="9">'ROO INPUT'!$1:$10</definedName>
    <definedName name="RateDesc">CHOOSE([1]Rev!$B$5, [1]!Rates_WA[RateDesc], [1]!Rates_ID[RateDesc])</definedName>
    <definedName name="RateDesc2">CHOOSE('[1]Manual Rev'!$C1, [1]!Rates_WA[RateDesc], [1]!Rates_ID[RateDesc])</definedName>
    <definedName name="RateID">CHOOSE([1]Rev!$B$5, [1]!Rates_WA[ID], [1]!Rates_ID[ID])</definedName>
    <definedName name="RateID2">CHOOSE('[1]Manual Rev'!$C1, [1]!Rates_WA[ID], [1]!Rates_ID[ID])</definedName>
    <definedName name="RData">CHOOSE([1]Rev!$B$5, [1]!Rates_WA[#Data], [1]!Rates_ID[#Data])</definedName>
    <definedName name="RData2">CHOOSE('[1]Manual Rev'!$C1, [1]!Rates_WA[#Data], [1]!Rates_ID[#Data])</definedName>
    <definedName name="Recover">[8]Macro1!$A$92</definedName>
    <definedName name="ResExchRev60_EntryLookup">INDEX('[3]Rev Summary'!$F$772:$F$773,2):'[3]Rev Summary'!$F$817</definedName>
    <definedName name="RevMos">[1]Rev!$C$2</definedName>
    <definedName name="RH">CHOOSE([1]Rev!$B$5, [1]!Rates_WA[#Headers], [1]!Rates_ID[#Headers])</definedName>
    <definedName name="RH_2">CHOOSE('[1]Manual Rev'!$C1, [1]!Rates_WA[#Headers], [1]!Rates_ID[#Headers])</definedName>
    <definedName name="RRC_Adjustment_Print" localSheetId="1">#REF!</definedName>
    <definedName name="RRC_Adjustment_Print">#REF!</definedName>
    <definedName name="RRC_Rate_Print" localSheetId="1">#REF!</definedName>
    <definedName name="RRC_Rate_Print">#REF!</definedName>
    <definedName name="Sch">CHOOSE([1]Rev!$B$5, [1]!Rates_WA[St-Sch], [1]!Rates_ID[St-Sch])</definedName>
    <definedName name="Sch_2">CHOOSE('[1]Manual Rev'!$C1, [1]!Rates_WA[St-Sch], [1]!Rates_ID[St-Sch])</definedName>
    <definedName name="Sched">'[3]Rev Summary'!$E$2</definedName>
    <definedName name="SL_RateIncr">'[4]St Lts'!$AD$1</definedName>
    <definedName name="StartMo">[1]Tables!$B$13</definedName>
    <definedName name="Summary" localSheetId="3">#REF!</definedName>
    <definedName name="Summary" localSheetId="4">#REF!</definedName>
    <definedName name="Summary" localSheetId="1">#REF!</definedName>
    <definedName name="Summary" localSheetId="9">#REF!</definedName>
    <definedName name="Summary">#REF!</definedName>
    <definedName name="SurchRev60_EntryLookup">INDEX('[3]Rev Summary'!$F$474:$F$475,2):'[3]Rev Summary'!$F$519</definedName>
    <definedName name="TableName">"Dummy"</definedName>
    <definedName name="TaxCreditRev60_EntryLookup">INDEX('[3]Rev Summary'!$F$572:$F$621,2):'[3]Rev Summary'!$F$617</definedName>
    <definedName name="TaxRev60_EntryLookup">INDEX('[3]Rev Summary'!$F$171:$F$216,2):'[3]Rev Summary'!$F$216</definedName>
    <definedName name="Utility">[3]Setup!$B$1</definedName>
    <definedName name="vl_tbl_SchedClass">[1]!tbl_SchedAll[StClSch]</definedName>
    <definedName name="WA_001b" localSheetId="3">#REF!</definedName>
    <definedName name="WA_001b" localSheetId="4">#REF!</definedName>
    <definedName name="WA_001b" localSheetId="1">#REF!</definedName>
    <definedName name="WA_001b">#REF!</definedName>
    <definedName name="WA_011b" localSheetId="3">#REF!</definedName>
    <definedName name="WA_011b" localSheetId="4">#REF!</definedName>
    <definedName name="WA_011b" localSheetId="1">#REF!</definedName>
    <definedName name="WA_011b">#REF!</definedName>
    <definedName name="WA_012b" localSheetId="3">#REF!</definedName>
    <definedName name="WA_012b" localSheetId="4">#REF!</definedName>
    <definedName name="WA_012b" localSheetId="1">#REF!</definedName>
    <definedName name="WA_012b">#REF!</definedName>
    <definedName name="WA_021b" localSheetId="3">#REF!</definedName>
    <definedName name="WA_021b" localSheetId="4">#REF!</definedName>
    <definedName name="WA_021b" localSheetId="1">#REF!</definedName>
    <definedName name="WA_021b">#REF!</definedName>
    <definedName name="WA_Elec" localSheetId="3">#REF!</definedName>
    <definedName name="WA_Elec" localSheetId="9">#REF!</definedName>
    <definedName name="WA_Elec">'DEBT CALC'!$A$1:$F$69</definedName>
    <definedName name="WA_Gas" localSheetId="3">'[5]DEBT CALC'!#REF!</definedName>
    <definedName name="WA_Gas" localSheetId="4">'[5]DEBT CALC'!#REF!</definedName>
    <definedName name="WA_Gas" localSheetId="6">'[6]DEBT CALC'!#REF!</definedName>
    <definedName name="WA_Gas" localSheetId="1">'DEBT CALC'!#REF!</definedName>
    <definedName name="WA_Gas" localSheetId="9">#REF!</definedName>
    <definedName name="WA_Gas">'DEBT CALC'!#REF!</definedName>
    <definedName name="WA04X">[3]Rates!$D$121:$K$121</definedName>
    <definedName name="WAPPRider">[3]Rates!$D$124:$K$124</definedName>
    <definedName name="WAResEx">[3]Rates!$D$125:$K$125</definedName>
    <definedName name="WASurch">[3]Rates!$D$122:$K$122</definedName>
    <definedName name="Year1">[3]Setup!$B$2</definedName>
    <definedName name="Z_6E1B8C45_B07F_11D2_B0DC_0000832CDFF0_.wvu.Cols" localSheetId="2" hidden="1">'ADJ DETAIL-INPUT-Restate'!#REF!,'ADJ DETAIL-INPUT-Restate'!$AD:$AE</definedName>
    <definedName name="Z_6E1B8C45_B07F_11D2_B0DC_0000832CDFF0_.wvu.Cols" localSheetId="4" hidden="1">'CBR Hist'!#REF!,'CBR Hist'!$E:$E</definedName>
    <definedName name="Z_6E1B8C45_B07F_11D2_B0DC_0000832CDFF0_.wvu.PrintArea" localSheetId="2" hidden="1">'ADJ DETAIL-INPUT-Restate'!$E:$AC</definedName>
    <definedName name="Z_6E1B8C45_B07F_11D2_B0DC_0000832CDFF0_.wvu.PrintArea" localSheetId="8" hidden="1">'ADJ SUMMARY'!$A$1:$F$43</definedName>
    <definedName name="Z_6E1B8C45_B07F_11D2_B0DC_0000832CDFF0_.wvu.PrintArea" localSheetId="4" hidden="1">'CBR Hist'!$E:$E</definedName>
    <definedName name="Z_6E1B8C45_B07F_11D2_B0DC_0000832CDFF0_.wvu.PrintArea" localSheetId="9" hidden="1">'ROO INPUT'!$A$1:$G$80</definedName>
    <definedName name="Z_6E1B8C45_B07F_11D2_B0DC_0000832CDFF0_.wvu.PrintTitles" localSheetId="2" hidden="1">'ADJ DETAIL-INPUT-Restate'!$A:$D,'ADJ DETAIL-INPUT-Restate'!$2:$10</definedName>
    <definedName name="Z_6E1B8C45_B07F_11D2_B0DC_0000832CDFF0_.wvu.PrintTitles" localSheetId="4" hidden="1">'CBR Hist'!$A:$D,'CBR Hist'!$1:$9</definedName>
    <definedName name="Z_6E1B8C45_B07F_11D2_B0DC_0000832CDFF0_.wvu.Rows" localSheetId="8" hidden="1">'ADJ SUMMARY'!#REF!,'ADJ SUMMARY'!$20:$43,'ADJ SUMMARY'!$33:$33,'ADJ SUMMARY'!$36:$43,'ADJ SUMMARY'!#REF!,'ADJ SUMMARY'!#REF!,'ADJ SUMMARY'!#REF!</definedName>
    <definedName name="Z_A15D1962_B049_11D2_8670_0000832CEEE8_.wvu.Cols" localSheetId="2" hidden="1">'ADJ DETAIL-INPUT-Restate'!$AD:$AP</definedName>
    <definedName name="Z_A15D1962_B049_11D2_8670_0000832CEEE8_.wvu.Cols" localSheetId="4" hidden="1">'CBR Hist'!$E:$E</definedName>
    <definedName name="Z_A15D1962_B049_11D2_8670_0000832CEEE8_.wvu.Rows" localSheetId="8" hidden="1">'ADJ SUMMARY'!$36:$43,'ADJ SUMMARY'!#REF!</definedName>
  </definedNames>
  <calcPr calcId="152511" calcMode="manual"/>
  <customWorkbookViews>
    <customWorkbookView name="Don Falkner - Personal View" guid="{6E1B8C45-B07F-11D2-B0DC-0000832CDFF0}" mergeInterval="0" personalView="1" maximized="1" windowWidth="1020" windowHeight="604" tabRatio="768" activeSheetId="3"/>
    <customWorkbookView name="Kathy Mitchell - Personal View" guid="{A15D1962-B049-11D2-8670-0000832CEEE8}" mergeInterval="0" personalView="1" maximized="1" windowWidth="796" windowHeight="436" tabRatio="768" activeSheetId="2"/>
  </customWorkbookViews>
</workbook>
</file>

<file path=xl/calcChain.xml><?xml version="1.0" encoding="utf-8"?>
<calcChain xmlns="http://schemas.openxmlformats.org/spreadsheetml/2006/main">
  <c r="E23" i="1" l="1"/>
  <c r="E35" i="1"/>
  <c r="G18" i="122" l="1"/>
  <c r="AL42" i="1" l="1"/>
  <c r="D10" i="123"/>
  <c r="F10" i="123" s="1"/>
  <c r="L18" i="123"/>
  <c r="K18" i="123"/>
  <c r="M18" i="123" s="1"/>
  <c r="M16" i="123"/>
  <c r="M14" i="123"/>
  <c r="F12" i="123"/>
  <c r="E38" i="48" l="1"/>
  <c r="O18" i="123"/>
  <c r="G13" i="123"/>
  <c r="F14" i="123"/>
  <c r="E85" i="1" s="1"/>
  <c r="N18" i="123"/>
  <c r="D14" i="123"/>
  <c r="H11" i="122" l="1"/>
  <c r="I22" i="122" s="1"/>
  <c r="H11" i="121" l="1"/>
  <c r="I22" i="121" s="1"/>
  <c r="AL33" i="1" l="1"/>
  <c r="V202" i="117" l="1"/>
  <c r="U108" i="119" l="1"/>
  <c r="S108" i="119"/>
  <c r="Q108" i="119"/>
  <c r="O108" i="119"/>
  <c r="N108" i="119"/>
  <c r="M108" i="119"/>
  <c r="L108" i="119"/>
  <c r="K108" i="119"/>
  <c r="J108" i="119"/>
  <c r="I108" i="119"/>
  <c r="H108" i="119"/>
  <c r="G108" i="119"/>
  <c r="F108" i="119"/>
  <c r="E108" i="119"/>
  <c r="N107" i="119"/>
  <c r="M107" i="119"/>
  <c r="L107" i="119"/>
  <c r="K107" i="119"/>
  <c r="J107" i="119"/>
  <c r="I107" i="119"/>
  <c r="H107" i="119"/>
  <c r="G107" i="119"/>
  <c r="F107" i="119"/>
  <c r="E107" i="119"/>
  <c r="O106" i="119"/>
  <c r="N106" i="119"/>
  <c r="M106" i="119"/>
  <c r="L106" i="119"/>
  <c r="K106" i="119"/>
  <c r="J106" i="119"/>
  <c r="I106" i="119"/>
  <c r="H106" i="119"/>
  <c r="G106" i="119"/>
  <c r="F106" i="119"/>
  <c r="E106" i="119"/>
  <c r="O105" i="119"/>
  <c r="N105" i="119"/>
  <c r="M105" i="119"/>
  <c r="L105" i="119"/>
  <c r="K105" i="119"/>
  <c r="J105" i="119"/>
  <c r="I105" i="119"/>
  <c r="H105" i="119"/>
  <c r="G105" i="119"/>
  <c r="F105" i="119"/>
  <c r="E105" i="119"/>
  <c r="O104" i="119"/>
  <c r="M104" i="119"/>
  <c r="L104" i="119"/>
  <c r="K104" i="119"/>
  <c r="J104" i="119"/>
  <c r="I104" i="119"/>
  <c r="H104" i="119"/>
  <c r="G104" i="119"/>
  <c r="F104" i="119"/>
  <c r="E104" i="119"/>
  <c r="R103" i="119"/>
  <c r="N103" i="119"/>
  <c r="M103" i="119"/>
  <c r="L103" i="119"/>
  <c r="K103" i="119"/>
  <c r="J103" i="119"/>
  <c r="I103" i="119"/>
  <c r="H103" i="119"/>
  <c r="G103" i="119"/>
  <c r="F103" i="119"/>
  <c r="E103" i="119"/>
  <c r="P100" i="119"/>
  <c r="U94" i="119"/>
  <c r="T94" i="119"/>
  <c r="S94" i="119"/>
  <c r="R94" i="119"/>
  <c r="Q94" i="119"/>
  <c r="P94" i="119"/>
  <c r="O94" i="119"/>
  <c r="O103" i="119" s="1"/>
  <c r="N94" i="119"/>
  <c r="U93" i="119"/>
  <c r="U103" i="119" s="1"/>
  <c r="T93" i="119"/>
  <c r="S93" i="119"/>
  <c r="S103" i="119" s="1"/>
  <c r="R93" i="119"/>
  <c r="Q93" i="119"/>
  <c r="Q103" i="119" s="1"/>
  <c r="U92" i="119"/>
  <c r="T92" i="119"/>
  <c r="T103" i="119" s="1"/>
  <c r="S92" i="119"/>
  <c r="R92" i="119"/>
  <c r="Q92" i="119"/>
  <c r="P92" i="119"/>
  <c r="P103" i="119" s="1"/>
  <c r="O92" i="119"/>
  <c r="N92" i="119"/>
  <c r="N104" i="119" s="1"/>
  <c r="U75" i="119"/>
  <c r="T75" i="119"/>
  <c r="S75" i="119"/>
  <c r="R75" i="119"/>
  <c r="Q75" i="119"/>
  <c r="P75" i="119"/>
  <c r="O75" i="119"/>
  <c r="N75" i="119"/>
  <c r="M75" i="119"/>
  <c r="L75" i="119"/>
  <c r="K75" i="119"/>
  <c r="J75" i="119"/>
  <c r="I75" i="119"/>
  <c r="H75" i="119"/>
  <c r="G75" i="119"/>
  <c r="F75" i="119"/>
  <c r="E75" i="119"/>
  <c r="U71" i="119"/>
  <c r="T71" i="119"/>
  <c r="S71" i="119"/>
  <c r="R71" i="119"/>
  <c r="Q71" i="119"/>
  <c r="P71" i="119"/>
  <c r="O71" i="119"/>
  <c r="N71" i="119"/>
  <c r="M71" i="119"/>
  <c r="L71" i="119"/>
  <c r="K71" i="119"/>
  <c r="J71" i="119"/>
  <c r="I71" i="119"/>
  <c r="H71" i="119"/>
  <c r="G71" i="119"/>
  <c r="F71" i="119"/>
  <c r="E71" i="119"/>
  <c r="U70" i="119"/>
  <c r="T70" i="119"/>
  <c r="T108" i="119" s="1"/>
  <c r="S70" i="119"/>
  <c r="R70" i="119"/>
  <c r="R108" i="119" s="1"/>
  <c r="Q70" i="119"/>
  <c r="P70" i="119"/>
  <c r="P108" i="119" s="1"/>
  <c r="O70" i="119"/>
  <c r="N70" i="119"/>
  <c r="M70" i="119"/>
  <c r="L70" i="119"/>
  <c r="K70" i="119"/>
  <c r="J70" i="119"/>
  <c r="I70" i="119"/>
  <c r="H70" i="119"/>
  <c r="G70" i="119"/>
  <c r="F70" i="119"/>
  <c r="E70" i="119"/>
  <c r="R69" i="119"/>
  <c r="R73" i="119" s="1"/>
  <c r="U68" i="119"/>
  <c r="T68" i="119"/>
  <c r="S68" i="119"/>
  <c r="R68" i="119"/>
  <c r="Q68" i="119"/>
  <c r="P68" i="119"/>
  <c r="O68" i="119"/>
  <c r="N68" i="119"/>
  <c r="M68" i="119"/>
  <c r="L68" i="119"/>
  <c r="K68" i="119"/>
  <c r="J68" i="119"/>
  <c r="I68" i="119"/>
  <c r="H68" i="119"/>
  <c r="G68" i="119"/>
  <c r="F68" i="119"/>
  <c r="E68" i="119"/>
  <c r="H66" i="119"/>
  <c r="U65" i="119"/>
  <c r="T65" i="119"/>
  <c r="R65" i="119"/>
  <c r="Q65" i="119"/>
  <c r="P65" i="119"/>
  <c r="O65" i="119"/>
  <c r="N65" i="119"/>
  <c r="M65" i="119"/>
  <c r="L65" i="119"/>
  <c r="K65" i="119"/>
  <c r="J65" i="119"/>
  <c r="I65" i="119"/>
  <c r="H65" i="119"/>
  <c r="G65" i="119"/>
  <c r="F65" i="119"/>
  <c r="E65" i="119"/>
  <c r="U64" i="119"/>
  <c r="T64" i="119"/>
  <c r="S64" i="119"/>
  <c r="R64" i="119"/>
  <c r="Q64" i="119"/>
  <c r="P64" i="119"/>
  <c r="U63" i="119"/>
  <c r="T63" i="119"/>
  <c r="S63" i="119"/>
  <c r="R63" i="119"/>
  <c r="Q63" i="119"/>
  <c r="P63" i="119"/>
  <c r="U62" i="119"/>
  <c r="T62" i="119"/>
  <c r="S62" i="119"/>
  <c r="R62" i="119"/>
  <c r="Q62" i="119"/>
  <c r="P62" i="119"/>
  <c r="U61" i="119"/>
  <c r="T61" i="119"/>
  <c r="S61" i="119"/>
  <c r="R61" i="119"/>
  <c r="Q61" i="119"/>
  <c r="P61" i="119"/>
  <c r="U60" i="119"/>
  <c r="T60" i="119"/>
  <c r="S60" i="119"/>
  <c r="S65" i="119" s="1"/>
  <c r="R60" i="119"/>
  <c r="Q60" i="119"/>
  <c r="P60" i="119"/>
  <c r="T58" i="119"/>
  <c r="T66" i="119" s="1"/>
  <c r="T69" i="119" s="1"/>
  <c r="T73" i="119" s="1"/>
  <c r="P58" i="119"/>
  <c r="P66" i="119" s="1"/>
  <c r="L58" i="119"/>
  <c r="L66" i="119" s="1"/>
  <c r="H58" i="119"/>
  <c r="U57" i="119"/>
  <c r="T57" i="119"/>
  <c r="S57" i="119"/>
  <c r="R57" i="119"/>
  <c r="Q57" i="119"/>
  <c r="P57" i="119"/>
  <c r="O57" i="119"/>
  <c r="N57" i="119"/>
  <c r="M57" i="119"/>
  <c r="L57" i="119"/>
  <c r="K57" i="119"/>
  <c r="J57" i="119"/>
  <c r="I57" i="119"/>
  <c r="H57" i="119"/>
  <c r="G57" i="119"/>
  <c r="F57" i="119"/>
  <c r="E57" i="119"/>
  <c r="U56" i="119"/>
  <c r="T56" i="119"/>
  <c r="S56" i="119"/>
  <c r="R56" i="119"/>
  <c r="Q56" i="119"/>
  <c r="P56" i="119"/>
  <c r="O56" i="119"/>
  <c r="N56" i="119"/>
  <c r="M56" i="119"/>
  <c r="L56" i="119"/>
  <c r="K56" i="119"/>
  <c r="J56" i="119"/>
  <c r="I56" i="119"/>
  <c r="H56" i="119"/>
  <c r="G56" i="119"/>
  <c r="F56" i="119"/>
  <c r="E56" i="119"/>
  <c r="U55" i="119"/>
  <c r="T55" i="119"/>
  <c r="S55" i="119"/>
  <c r="R55" i="119"/>
  <c r="Q55" i="119"/>
  <c r="P55" i="119"/>
  <c r="O55" i="119"/>
  <c r="N55" i="119"/>
  <c r="M55" i="119"/>
  <c r="L55" i="119"/>
  <c r="K55" i="119"/>
  <c r="J55" i="119"/>
  <c r="I55" i="119"/>
  <c r="H55" i="119"/>
  <c r="G55" i="119"/>
  <c r="F55" i="119"/>
  <c r="E55" i="119"/>
  <c r="U54" i="119"/>
  <c r="U58" i="119" s="1"/>
  <c r="U66" i="119" s="1"/>
  <c r="U69" i="119" s="1"/>
  <c r="U73" i="119" s="1"/>
  <c r="T54" i="119"/>
  <c r="S54" i="119"/>
  <c r="S58" i="119" s="1"/>
  <c r="S66" i="119" s="1"/>
  <c r="S69" i="119" s="1"/>
  <c r="S73" i="119" s="1"/>
  <c r="R54" i="119"/>
  <c r="Q54" i="119"/>
  <c r="Q58" i="119" s="1"/>
  <c r="P54" i="119"/>
  <c r="O54" i="119"/>
  <c r="O58" i="119" s="1"/>
  <c r="O66" i="119" s="1"/>
  <c r="N54" i="119"/>
  <c r="M54" i="119"/>
  <c r="M58" i="119" s="1"/>
  <c r="M66" i="119" s="1"/>
  <c r="L54" i="119"/>
  <c r="K54" i="119"/>
  <c r="K58" i="119" s="1"/>
  <c r="K66" i="119" s="1"/>
  <c r="J54" i="119"/>
  <c r="I54" i="119"/>
  <c r="I58" i="119" s="1"/>
  <c r="I66" i="119" s="1"/>
  <c r="H54" i="119"/>
  <c r="G54" i="119"/>
  <c r="G58" i="119" s="1"/>
  <c r="G66" i="119" s="1"/>
  <c r="F54" i="119"/>
  <c r="E54" i="119"/>
  <c r="E58" i="119" s="1"/>
  <c r="E66" i="119" s="1"/>
  <c r="U53" i="119"/>
  <c r="T53" i="119"/>
  <c r="S53" i="119"/>
  <c r="R53" i="119"/>
  <c r="R58" i="119" s="1"/>
  <c r="R66" i="119" s="1"/>
  <c r="Q53" i="119"/>
  <c r="P53" i="119"/>
  <c r="O53" i="119"/>
  <c r="N53" i="119"/>
  <c r="N58" i="119" s="1"/>
  <c r="N66" i="119" s="1"/>
  <c r="N69" i="119" s="1"/>
  <c r="N73" i="119" s="1"/>
  <c r="M53" i="119"/>
  <c r="L53" i="119"/>
  <c r="K53" i="119"/>
  <c r="J53" i="119"/>
  <c r="J58" i="119" s="1"/>
  <c r="J66" i="119" s="1"/>
  <c r="J69" i="119" s="1"/>
  <c r="J73" i="119" s="1"/>
  <c r="J74" i="119" s="1"/>
  <c r="I53" i="119"/>
  <c r="H53" i="119"/>
  <c r="G53" i="119"/>
  <c r="F53" i="119"/>
  <c r="F58" i="119" s="1"/>
  <c r="F66" i="119" s="1"/>
  <c r="E53" i="119"/>
  <c r="U50" i="119"/>
  <c r="T50" i="119"/>
  <c r="T48" i="119"/>
  <c r="L48" i="119"/>
  <c r="K46" i="119"/>
  <c r="T45" i="119"/>
  <c r="T46" i="119" s="1"/>
  <c r="L45" i="119"/>
  <c r="L46" i="119" s="1"/>
  <c r="U43" i="119"/>
  <c r="U48" i="119" s="1"/>
  <c r="Q43" i="119"/>
  <c r="Q48" i="119" s="1"/>
  <c r="M43" i="119"/>
  <c r="M48" i="119" s="1"/>
  <c r="L43" i="119"/>
  <c r="J43" i="119"/>
  <c r="J48" i="119" s="1"/>
  <c r="I43" i="119"/>
  <c r="I48" i="119" s="1"/>
  <c r="E43" i="119"/>
  <c r="E48" i="119" s="1"/>
  <c r="S38" i="119"/>
  <c r="S43" i="119" s="1"/>
  <c r="S48" i="119" s="1"/>
  <c r="R35" i="119"/>
  <c r="Q35" i="119"/>
  <c r="U34" i="119"/>
  <c r="T34" i="119"/>
  <c r="S34" i="119"/>
  <c r="R34" i="119"/>
  <c r="Q34" i="119"/>
  <c r="O33" i="119"/>
  <c r="U31" i="119"/>
  <c r="T31" i="119"/>
  <c r="T43" i="119" s="1"/>
  <c r="S31" i="119"/>
  <c r="R31" i="119"/>
  <c r="R43" i="119" s="1"/>
  <c r="Q31" i="119"/>
  <c r="P31" i="119"/>
  <c r="P43" i="119" s="1"/>
  <c r="P48" i="119" s="1"/>
  <c r="O31" i="119"/>
  <c r="N31" i="119"/>
  <c r="N43" i="119" s="1"/>
  <c r="N48" i="119" s="1"/>
  <c r="K28" i="119"/>
  <c r="I28" i="119"/>
  <c r="F27" i="119"/>
  <c r="G26" i="119"/>
  <c r="F26" i="119"/>
  <c r="E26" i="119"/>
  <c r="F25" i="119"/>
  <c r="E25" i="119"/>
  <c r="E24" i="119"/>
  <c r="Q23" i="119"/>
  <c r="P23" i="119"/>
  <c r="O23" i="119"/>
  <c r="O43" i="119" s="1"/>
  <c r="O48" i="119" s="1"/>
  <c r="N23" i="119"/>
  <c r="M23" i="119"/>
  <c r="L23" i="119"/>
  <c r="K23" i="119"/>
  <c r="K43" i="119" s="1"/>
  <c r="K48" i="119" s="1"/>
  <c r="J23" i="119"/>
  <c r="I23" i="119"/>
  <c r="H23" i="119"/>
  <c r="G23" i="119"/>
  <c r="G43" i="119" s="1"/>
  <c r="G48" i="119" s="1"/>
  <c r="F23" i="119"/>
  <c r="E23" i="119"/>
  <c r="I22" i="119"/>
  <c r="H22" i="119"/>
  <c r="H43" i="119" s="1"/>
  <c r="H48" i="119" s="1"/>
  <c r="G22" i="119"/>
  <c r="F22" i="119"/>
  <c r="F43" i="119" s="1"/>
  <c r="F48" i="119" s="1"/>
  <c r="E22" i="119"/>
  <c r="U20" i="119"/>
  <c r="U45" i="119" s="1"/>
  <c r="U46" i="119" s="1"/>
  <c r="T20" i="119"/>
  <c r="S20" i="119"/>
  <c r="S45" i="119" s="1"/>
  <c r="R20" i="119"/>
  <c r="P20" i="119"/>
  <c r="N20" i="119"/>
  <c r="N45" i="119" s="1"/>
  <c r="N46" i="119" s="1"/>
  <c r="L20" i="119"/>
  <c r="J20" i="119"/>
  <c r="J45" i="119" s="1"/>
  <c r="J46" i="119" s="1"/>
  <c r="F20" i="119"/>
  <c r="F45" i="119" s="1"/>
  <c r="F46" i="119" s="1"/>
  <c r="P18" i="119"/>
  <c r="O18" i="119"/>
  <c r="N18" i="119"/>
  <c r="M18" i="119"/>
  <c r="L18" i="119"/>
  <c r="K18" i="119"/>
  <c r="J18" i="119"/>
  <c r="I18" i="119"/>
  <c r="H18" i="119"/>
  <c r="G18" i="119"/>
  <c r="F18" i="119"/>
  <c r="E18" i="119"/>
  <c r="L17" i="119"/>
  <c r="K17" i="119"/>
  <c r="I17" i="119"/>
  <c r="H17" i="119"/>
  <c r="H20" i="119" s="1"/>
  <c r="H45" i="119" s="1"/>
  <c r="H46" i="119" s="1"/>
  <c r="G17" i="119"/>
  <c r="F17" i="119"/>
  <c r="E17" i="119"/>
  <c r="Q16" i="119"/>
  <c r="Q20" i="119" s="1"/>
  <c r="Q45" i="119" s="1"/>
  <c r="Q46" i="119" s="1"/>
  <c r="P16" i="119"/>
  <c r="O16" i="119"/>
  <c r="O20" i="119" s="1"/>
  <c r="O45" i="119" s="1"/>
  <c r="O46" i="119" s="1"/>
  <c r="N16" i="119"/>
  <c r="M16" i="119"/>
  <c r="M20" i="119" s="1"/>
  <c r="L16" i="119"/>
  <c r="K16" i="119"/>
  <c r="K20" i="119" s="1"/>
  <c r="K45" i="119" s="1"/>
  <c r="J16" i="119"/>
  <c r="I16" i="119"/>
  <c r="I20" i="119" s="1"/>
  <c r="I45" i="119" s="1"/>
  <c r="I46" i="119" s="1"/>
  <c r="H16" i="119"/>
  <c r="G16" i="119"/>
  <c r="G20" i="119" s="1"/>
  <c r="G45" i="119" s="1"/>
  <c r="G46" i="119" s="1"/>
  <c r="F16" i="119"/>
  <c r="E16" i="119"/>
  <c r="E20" i="119" s="1"/>
  <c r="U12" i="119"/>
  <c r="T12" i="119"/>
  <c r="S12" i="119"/>
  <c r="R12" i="119"/>
  <c r="Q12" i="119"/>
  <c r="P12" i="119"/>
  <c r="U11" i="119"/>
  <c r="T11" i="119"/>
  <c r="S11" i="119"/>
  <c r="R11" i="119"/>
  <c r="Q11" i="119"/>
  <c r="P11" i="119"/>
  <c r="O11" i="119"/>
  <c r="N11" i="119"/>
  <c r="M11" i="119"/>
  <c r="L11" i="119"/>
  <c r="K11" i="119"/>
  <c r="J11" i="119"/>
  <c r="I11" i="119"/>
  <c r="H11" i="119"/>
  <c r="G11" i="119"/>
  <c r="F11" i="119"/>
  <c r="E11" i="119"/>
  <c r="Q81" i="118"/>
  <c r="O81" i="118"/>
  <c r="M81" i="118"/>
  <c r="K81" i="118"/>
  <c r="I81" i="118"/>
  <c r="G81" i="118"/>
  <c r="R80" i="118"/>
  <c r="R81" i="118" s="1"/>
  <c r="Q80" i="118"/>
  <c r="P80" i="118"/>
  <c r="P81" i="118" s="1"/>
  <c r="O80" i="118"/>
  <c r="N80" i="118"/>
  <c r="N81" i="118" s="1"/>
  <c r="M80" i="118"/>
  <c r="L80" i="118"/>
  <c r="L81" i="118" s="1"/>
  <c r="K80" i="118"/>
  <c r="J80" i="118"/>
  <c r="J81" i="118" s="1"/>
  <c r="I80" i="118"/>
  <c r="H80" i="118"/>
  <c r="H81" i="118" s="1"/>
  <c r="G80" i="118"/>
  <c r="R79" i="118"/>
  <c r="Q79" i="118"/>
  <c r="P79" i="118"/>
  <c r="O79" i="118"/>
  <c r="N79" i="118"/>
  <c r="M79" i="118"/>
  <c r="L79" i="118"/>
  <c r="K79" i="118"/>
  <c r="J79" i="118"/>
  <c r="I79" i="118"/>
  <c r="H79" i="118"/>
  <c r="G79" i="118"/>
  <c r="F79" i="118"/>
  <c r="V71" i="118"/>
  <c r="V74" i="118" s="1"/>
  <c r="V78" i="118" s="1"/>
  <c r="T71" i="118"/>
  <c r="T74" i="118" s="1"/>
  <c r="T78" i="118" s="1"/>
  <c r="V70" i="118"/>
  <c r="U70" i="118"/>
  <c r="T70" i="118"/>
  <c r="S70" i="118"/>
  <c r="V63" i="118"/>
  <c r="U63" i="118"/>
  <c r="U71" i="118" s="1"/>
  <c r="U74" i="118" s="1"/>
  <c r="U78" i="118" s="1"/>
  <c r="T63" i="118"/>
  <c r="S63" i="118"/>
  <c r="S71" i="118" s="1"/>
  <c r="S74" i="118" s="1"/>
  <c r="S78" i="118" s="1"/>
  <c r="V43" i="118"/>
  <c r="U43" i="118"/>
  <c r="T43" i="118"/>
  <c r="S43" i="118"/>
  <c r="V33" i="118"/>
  <c r="U33" i="118"/>
  <c r="U44" i="118" s="1"/>
  <c r="S33" i="118"/>
  <c r="S44" i="118" s="1"/>
  <c r="U32" i="118"/>
  <c r="T32" i="118"/>
  <c r="T33" i="118" s="1"/>
  <c r="S32" i="118"/>
  <c r="R32" i="118"/>
  <c r="Q32" i="118"/>
  <c r="P32" i="118"/>
  <c r="O32" i="118"/>
  <c r="V27" i="118"/>
  <c r="V44" i="118" s="1"/>
  <c r="U27" i="118"/>
  <c r="T27" i="118"/>
  <c r="T44" i="118" s="1"/>
  <c r="S27" i="118"/>
  <c r="O23" i="118"/>
  <c r="V18" i="118"/>
  <c r="U18" i="118"/>
  <c r="T18" i="118"/>
  <c r="T46" i="118" s="1"/>
  <c r="T54" i="118" s="1"/>
  <c r="T79" i="118" s="1"/>
  <c r="V16" i="118"/>
  <c r="U16" i="118"/>
  <c r="T16" i="118"/>
  <c r="S16" i="118"/>
  <c r="S18" i="118" s="1"/>
  <c r="S46" i="118" s="1"/>
  <c r="S54" i="118" s="1"/>
  <c r="S79" i="118" s="1"/>
  <c r="M195" i="117"/>
  <c r="M193" i="117"/>
  <c r="N185" i="117"/>
  <c r="V175" i="117"/>
  <c r="Z159" i="117"/>
  <c r="Y159" i="117"/>
  <c r="Z155" i="117"/>
  <c r="Y155" i="117"/>
  <c r="V141" i="117"/>
  <c r="U141" i="117"/>
  <c r="T141" i="117"/>
  <c r="S141" i="117"/>
  <c r="R141" i="117"/>
  <c r="Q141" i="117"/>
  <c r="P141" i="117"/>
  <c r="O141" i="117"/>
  <c r="N141" i="117"/>
  <c r="M141" i="117"/>
  <c r="L141" i="117"/>
  <c r="K141" i="117"/>
  <c r="J141" i="117"/>
  <c r="I141" i="117"/>
  <c r="H141" i="117"/>
  <c r="G141" i="117"/>
  <c r="F141" i="117"/>
  <c r="V140" i="117"/>
  <c r="U140" i="117"/>
  <c r="T140" i="117"/>
  <c r="S140" i="117"/>
  <c r="R140" i="117"/>
  <c r="Q140" i="117"/>
  <c r="P140" i="117"/>
  <c r="O140" i="117"/>
  <c r="N140" i="117"/>
  <c r="M140" i="117"/>
  <c r="L140" i="117"/>
  <c r="K140" i="117"/>
  <c r="J140" i="117"/>
  <c r="I140" i="117"/>
  <c r="H140" i="117"/>
  <c r="G140" i="117"/>
  <c r="F140" i="117"/>
  <c r="V139" i="117"/>
  <c r="U139" i="117"/>
  <c r="R127" i="117"/>
  <c r="Q127" i="117"/>
  <c r="P127" i="117"/>
  <c r="O127" i="117"/>
  <c r="N127" i="117"/>
  <c r="M127" i="117"/>
  <c r="K127" i="117"/>
  <c r="I127" i="117"/>
  <c r="H127" i="117"/>
  <c r="G127" i="117"/>
  <c r="F127" i="117"/>
  <c r="R117" i="117"/>
  <c r="Q117" i="117"/>
  <c r="P117" i="117"/>
  <c r="O117" i="117"/>
  <c r="N117" i="117"/>
  <c r="M117" i="117"/>
  <c r="K117" i="117"/>
  <c r="I117" i="117"/>
  <c r="H117" i="117"/>
  <c r="G117" i="117"/>
  <c r="F117" i="117"/>
  <c r="V102" i="117"/>
  <c r="U102" i="117"/>
  <c r="T102" i="117"/>
  <c r="S102" i="117"/>
  <c r="R102" i="117"/>
  <c r="Q102" i="117"/>
  <c r="P102" i="117"/>
  <c r="O102" i="117"/>
  <c r="N102" i="117"/>
  <c r="M102" i="117"/>
  <c r="K102" i="117"/>
  <c r="I102" i="117"/>
  <c r="H102" i="117"/>
  <c r="G102" i="117"/>
  <c r="F102" i="117"/>
  <c r="V100" i="117"/>
  <c r="U100" i="117"/>
  <c r="T100" i="117"/>
  <c r="S100" i="117"/>
  <c r="R100" i="117"/>
  <c r="Q100" i="117"/>
  <c r="P100" i="117"/>
  <c r="O100" i="117"/>
  <c r="N100" i="117"/>
  <c r="M100" i="117"/>
  <c r="L100" i="117"/>
  <c r="K100" i="117"/>
  <c r="J100" i="117"/>
  <c r="I100" i="117"/>
  <c r="H100" i="117"/>
  <c r="G100" i="117"/>
  <c r="F100" i="117"/>
  <c r="V90" i="117"/>
  <c r="U90" i="117"/>
  <c r="T90" i="117"/>
  <c r="S90" i="117"/>
  <c r="R90" i="117"/>
  <c r="Q90" i="117"/>
  <c r="P90" i="117"/>
  <c r="O90" i="117"/>
  <c r="N90" i="117"/>
  <c r="M90" i="117"/>
  <c r="L90" i="117"/>
  <c r="K90" i="117"/>
  <c r="J90" i="117"/>
  <c r="I90" i="117"/>
  <c r="H90" i="117"/>
  <c r="G90" i="117"/>
  <c r="F90" i="117"/>
  <c r="V82" i="117"/>
  <c r="V134" i="117" s="1"/>
  <c r="U82" i="117"/>
  <c r="U134" i="117" s="1"/>
  <c r="R82" i="117"/>
  <c r="R134" i="117" s="1"/>
  <c r="Q82" i="117"/>
  <c r="Q134" i="117" s="1"/>
  <c r="P82" i="117"/>
  <c r="P134" i="117" s="1"/>
  <c r="O82" i="117"/>
  <c r="O134" i="117" s="1"/>
  <c r="N82" i="117"/>
  <c r="N134" i="117" s="1"/>
  <c r="M82" i="117"/>
  <c r="M134" i="117" s="1"/>
  <c r="L82" i="117"/>
  <c r="L134" i="117" s="1"/>
  <c r="K82" i="117"/>
  <c r="K134" i="117" s="1"/>
  <c r="J82" i="117"/>
  <c r="J134" i="117" s="1"/>
  <c r="I82" i="117"/>
  <c r="I134" i="117" s="1"/>
  <c r="H82" i="117"/>
  <c r="H134" i="117" s="1"/>
  <c r="G82" i="117"/>
  <c r="G134" i="117" s="1"/>
  <c r="F82" i="117"/>
  <c r="F134" i="117" s="1"/>
  <c r="V80" i="117"/>
  <c r="U80" i="117"/>
  <c r="T80" i="117"/>
  <c r="S80" i="117"/>
  <c r="R80" i="117"/>
  <c r="P80" i="117"/>
  <c r="O80" i="117"/>
  <c r="N80" i="117"/>
  <c r="M80" i="117"/>
  <c r="L80" i="117"/>
  <c r="K80" i="117"/>
  <c r="J80" i="117"/>
  <c r="I80" i="117"/>
  <c r="H80" i="117"/>
  <c r="G80" i="117"/>
  <c r="F80" i="117"/>
  <c r="V79" i="117"/>
  <c r="U79" i="117"/>
  <c r="T79" i="117"/>
  <c r="S79" i="117"/>
  <c r="R79" i="117"/>
  <c r="Q79" i="117"/>
  <c r="P79" i="117"/>
  <c r="O79" i="117"/>
  <c r="N79" i="117"/>
  <c r="M79" i="117"/>
  <c r="L79" i="117"/>
  <c r="K79" i="117"/>
  <c r="J79" i="117"/>
  <c r="I79" i="117"/>
  <c r="H79" i="117"/>
  <c r="G79" i="117"/>
  <c r="F79" i="117"/>
  <c r="V77" i="117"/>
  <c r="U77" i="117"/>
  <c r="T77" i="117"/>
  <c r="S77" i="117"/>
  <c r="R77" i="117"/>
  <c r="Q77" i="117"/>
  <c r="O77" i="117"/>
  <c r="N77" i="117"/>
  <c r="M77" i="117"/>
  <c r="L77" i="117"/>
  <c r="K77" i="117"/>
  <c r="J77" i="117"/>
  <c r="I77" i="117"/>
  <c r="H77" i="117"/>
  <c r="G77" i="117"/>
  <c r="F77" i="117"/>
  <c r="P74" i="117"/>
  <c r="O74" i="117"/>
  <c r="N74" i="117"/>
  <c r="M74" i="117"/>
  <c r="L74" i="117"/>
  <c r="K74" i="117"/>
  <c r="J74" i="117"/>
  <c r="I74" i="117"/>
  <c r="H74" i="117"/>
  <c r="G74" i="117"/>
  <c r="F74" i="117"/>
  <c r="V73" i="117"/>
  <c r="U73" i="117"/>
  <c r="T73" i="117"/>
  <c r="S73" i="117"/>
  <c r="V72" i="117"/>
  <c r="U72" i="117"/>
  <c r="T72" i="117"/>
  <c r="S72" i="117"/>
  <c r="R72" i="117"/>
  <c r="Q72" i="117"/>
  <c r="V71" i="117"/>
  <c r="U71" i="117"/>
  <c r="T71" i="117"/>
  <c r="S71" i="117"/>
  <c r="R71" i="117"/>
  <c r="Q71" i="117"/>
  <c r="V70" i="117"/>
  <c r="U70" i="117"/>
  <c r="T70" i="117"/>
  <c r="S70" i="117"/>
  <c r="R70" i="117"/>
  <c r="Q70" i="117"/>
  <c r="V69" i="117"/>
  <c r="U69" i="117"/>
  <c r="T69" i="117"/>
  <c r="S69" i="117"/>
  <c r="V66" i="117"/>
  <c r="U66" i="117"/>
  <c r="T66" i="117"/>
  <c r="S66" i="117"/>
  <c r="R66" i="117"/>
  <c r="Q66" i="117"/>
  <c r="P66" i="117"/>
  <c r="O66" i="117"/>
  <c r="N66" i="117"/>
  <c r="M66" i="117"/>
  <c r="L66" i="117"/>
  <c r="K66" i="117"/>
  <c r="J66" i="117"/>
  <c r="I66" i="117"/>
  <c r="H66" i="117"/>
  <c r="G66" i="117"/>
  <c r="F66" i="117"/>
  <c r="V65" i="117"/>
  <c r="U65" i="117"/>
  <c r="T65" i="117"/>
  <c r="S65" i="117"/>
  <c r="R65" i="117"/>
  <c r="Q65" i="117"/>
  <c r="P65" i="117"/>
  <c r="O65" i="117"/>
  <c r="N65" i="117"/>
  <c r="M65" i="117"/>
  <c r="L65" i="117"/>
  <c r="K65" i="117"/>
  <c r="J65" i="117"/>
  <c r="I65" i="117"/>
  <c r="H65" i="117"/>
  <c r="G65" i="117"/>
  <c r="F65" i="117"/>
  <c r="V64" i="117"/>
  <c r="U64" i="117"/>
  <c r="T64" i="117"/>
  <c r="S64" i="117"/>
  <c r="R64" i="117"/>
  <c r="Q64" i="117"/>
  <c r="P64" i="117"/>
  <c r="O64" i="117"/>
  <c r="N64" i="117"/>
  <c r="M64" i="117"/>
  <c r="L64" i="117"/>
  <c r="K64" i="117"/>
  <c r="J64" i="117"/>
  <c r="I64" i="117"/>
  <c r="H64" i="117"/>
  <c r="G64" i="117"/>
  <c r="F64" i="117"/>
  <c r="V63" i="117"/>
  <c r="U63" i="117"/>
  <c r="T63" i="117"/>
  <c r="S63" i="117"/>
  <c r="R63" i="117"/>
  <c r="Q63" i="117"/>
  <c r="P63" i="117"/>
  <c r="O63" i="117"/>
  <c r="N63" i="117"/>
  <c r="M63" i="117"/>
  <c r="L63" i="117"/>
  <c r="K63" i="117"/>
  <c r="J63" i="117"/>
  <c r="I63" i="117"/>
  <c r="H63" i="117"/>
  <c r="G63" i="117"/>
  <c r="F63" i="117"/>
  <c r="V62" i="117"/>
  <c r="U62" i="117"/>
  <c r="T62" i="117"/>
  <c r="S62" i="117"/>
  <c r="R62" i="117"/>
  <c r="Q62" i="117"/>
  <c r="P62" i="117"/>
  <c r="O62" i="117"/>
  <c r="N62" i="117"/>
  <c r="M62" i="117"/>
  <c r="L62" i="117"/>
  <c r="K62" i="117"/>
  <c r="J62" i="117"/>
  <c r="I62" i="117"/>
  <c r="H62" i="117"/>
  <c r="G62" i="117"/>
  <c r="F62" i="117"/>
  <c r="V59" i="117"/>
  <c r="U59" i="117"/>
  <c r="T59" i="117"/>
  <c r="S59" i="117"/>
  <c r="R59" i="117"/>
  <c r="Q59" i="117"/>
  <c r="P59" i="117"/>
  <c r="O59" i="117"/>
  <c r="N59" i="117"/>
  <c r="M59" i="117"/>
  <c r="L59" i="117"/>
  <c r="K59" i="117"/>
  <c r="J59" i="117"/>
  <c r="I59" i="117"/>
  <c r="H59" i="117"/>
  <c r="G59" i="117"/>
  <c r="F59" i="117"/>
  <c r="A58" i="117"/>
  <c r="A88" i="117" s="1"/>
  <c r="E55" i="117"/>
  <c r="A55" i="117"/>
  <c r="V50" i="117"/>
  <c r="U50" i="117"/>
  <c r="T50" i="117"/>
  <c r="S50" i="117"/>
  <c r="R50" i="117"/>
  <c r="Q50" i="117"/>
  <c r="P50" i="117"/>
  <c r="O50" i="117"/>
  <c r="N50" i="117"/>
  <c r="M50" i="117"/>
  <c r="L50" i="117"/>
  <c r="K50" i="117"/>
  <c r="J50" i="117"/>
  <c r="I50" i="117"/>
  <c r="H50" i="117"/>
  <c r="G50" i="117"/>
  <c r="F50" i="117"/>
  <c r="V49" i="117"/>
  <c r="U49" i="117"/>
  <c r="T49" i="117"/>
  <c r="S49" i="117"/>
  <c r="R49" i="117"/>
  <c r="Q49" i="117"/>
  <c r="P49" i="117"/>
  <c r="O49" i="117"/>
  <c r="N49" i="117"/>
  <c r="M49" i="117"/>
  <c r="L49" i="117"/>
  <c r="K49" i="117"/>
  <c r="J49" i="117"/>
  <c r="I49" i="117"/>
  <c r="H49" i="117"/>
  <c r="G49" i="117"/>
  <c r="F49" i="117"/>
  <c r="V48" i="117"/>
  <c r="U48" i="117"/>
  <c r="T48" i="117"/>
  <c r="S48" i="117"/>
  <c r="R48" i="117"/>
  <c r="Q48" i="117"/>
  <c r="P48" i="117"/>
  <c r="O48" i="117"/>
  <c r="N48" i="117"/>
  <c r="M48" i="117"/>
  <c r="L48" i="117"/>
  <c r="K48" i="117"/>
  <c r="J48" i="117"/>
  <c r="I48" i="117"/>
  <c r="H48" i="117"/>
  <c r="G48" i="117"/>
  <c r="F48" i="117"/>
  <c r="V47" i="117"/>
  <c r="U47" i="117"/>
  <c r="T47" i="117"/>
  <c r="S47" i="117"/>
  <c r="R47" i="117"/>
  <c r="Q47" i="117"/>
  <c r="P47" i="117"/>
  <c r="O47" i="117"/>
  <c r="N47" i="117"/>
  <c r="M47" i="117"/>
  <c r="L47" i="117"/>
  <c r="K47" i="117"/>
  <c r="J47" i="117"/>
  <c r="I47" i="117"/>
  <c r="H47" i="117"/>
  <c r="G47" i="117"/>
  <c r="F47" i="117"/>
  <c r="V46" i="117"/>
  <c r="U46" i="117"/>
  <c r="T46" i="117"/>
  <c r="S46" i="117"/>
  <c r="R46" i="117"/>
  <c r="Q46" i="117"/>
  <c r="P46" i="117"/>
  <c r="O46" i="117"/>
  <c r="N46" i="117"/>
  <c r="M46" i="117"/>
  <c r="L46" i="117"/>
  <c r="K46" i="117"/>
  <c r="J46" i="117"/>
  <c r="I46" i="117"/>
  <c r="H46" i="117"/>
  <c r="G46" i="117"/>
  <c r="F46" i="117"/>
  <c r="V39" i="117"/>
  <c r="V124" i="117" s="1"/>
  <c r="U39" i="117"/>
  <c r="U124" i="117" s="1"/>
  <c r="T39" i="117"/>
  <c r="T124" i="117" s="1"/>
  <c r="S39" i="117"/>
  <c r="S124" i="117" s="1"/>
  <c r="R39" i="117"/>
  <c r="R124" i="117" s="1"/>
  <c r="Q39" i="117"/>
  <c r="Q124" i="117" s="1"/>
  <c r="P39" i="117"/>
  <c r="P124" i="117" s="1"/>
  <c r="O39" i="117"/>
  <c r="O124" i="117" s="1"/>
  <c r="N39" i="117"/>
  <c r="N124" i="117" s="1"/>
  <c r="M39" i="117"/>
  <c r="M124" i="117" s="1"/>
  <c r="L39" i="117"/>
  <c r="L124" i="117" s="1"/>
  <c r="K39" i="117"/>
  <c r="K124" i="117" s="1"/>
  <c r="J39" i="117"/>
  <c r="J124" i="117" s="1"/>
  <c r="I39" i="117"/>
  <c r="I124" i="117" s="1"/>
  <c r="H39" i="117"/>
  <c r="H124" i="117" s="1"/>
  <c r="G39" i="117"/>
  <c r="G124" i="117" s="1"/>
  <c r="F39" i="117"/>
  <c r="F124" i="117" s="1"/>
  <c r="V38" i="117"/>
  <c r="V111" i="117" s="1"/>
  <c r="U38" i="117"/>
  <c r="U111" i="117" s="1"/>
  <c r="T38" i="117"/>
  <c r="T111" i="117" s="1"/>
  <c r="S38" i="117"/>
  <c r="S111" i="117" s="1"/>
  <c r="R38" i="117"/>
  <c r="R111" i="117" s="1"/>
  <c r="Q38" i="117"/>
  <c r="Q111" i="117" s="1"/>
  <c r="P38" i="117"/>
  <c r="P111" i="117" s="1"/>
  <c r="O38" i="117"/>
  <c r="O111" i="117" s="1"/>
  <c r="N38" i="117"/>
  <c r="N111" i="117" s="1"/>
  <c r="M38" i="117"/>
  <c r="M111" i="117" s="1"/>
  <c r="L38" i="117"/>
  <c r="L111" i="117" s="1"/>
  <c r="K38" i="117"/>
  <c r="K111" i="117" s="1"/>
  <c r="J38" i="117"/>
  <c r="J111" i="117" s="1"/>
  <c r="I38" i="117"/>
  <c r="I111" i="117" s="1"/>
  <c r="H38" i="117"/>
  <c r="H111" i="117" s="1"/>
  <c r="G38" i="117"/>
  <c r="G111" i="117" s="1"/>
  <c r="F38" i="117"/>
  <c r="F111" i="117" s="1"/>
  <c r="V37" i="117"/>
  <c r="U37" i="117"/>
  <c r="T37" i="117"/>
  <c r="S37" i="117"/>
  <c r="R37" i="117"/>
  <c r="R98" i="117" s="1"/>
  <c r="Q37" i="117"/>
  <c r="Q98" i="117" s="1"/>
  <c r="P37" i="117"/>
  <c r="O37" i="117"/>
  <c r="O98" i="117" s="1"/>
  <c r="N37" i="117"/>
  <c r="N98" i="117" s="1"/>
  <c r="M37" i="117"/>
  <c r="M98" i="117" s="1"/>
  <c r="L37" i="117"/>
  <c r="L98" i="117" s="1"/>
  <c r="K37" i="117"/>
  <c r="K98" i="117" s="1"/>
  <c r="J37" i="117"/>
  <c r="J98" i="117" s="1"/>
  <c r="I37" i="117"/>
  <c r="I98" i="117" s="1"/>
  <c r="H37" i="117"/>
  <c r="H98" i="117" s="1"/>
  <c r="G37" i="117"/>
  <c r="G98" i="117" s="1"/>
  <c r="F37" i="117"/>
  <c r="F98" i="117" s="1"/>
  <c r="V34" i="117"/>
  <c r="V97" i="117" s="1"/>
  <c r="U34" i="117"/>
  <c r="U97" i="117" s="1"/>
  <c r="T34" i="117"/>
  <c r="T97" i="117" s="1"/>
  <c r="S34" i="117"/>
  <c r="S97" i="117" s="1"/>
  <c r="R34" i="117"/>
  <c r="R97" i="117" s="1"/>
  <c r="Q34" i="117"/>
  <c r="Q97" i="117" s="1"/>
  <c r="P34" i="117"/>
  <c r="P97" i="117" s="1"/>
  <c r="O34" i="117"/>
  <c r="O97" i="117" s="1"/>
  <c r="N34" i="117"/>
  <c r="N97" i="117" s="1"/>
  <c r="M34" i="117"/>
  <c r="M97" i="117" s="1"/>
  <c r="L34" i="117"/>
  <c r="L97" i="117" s="1"/>
  <c r="K34" i="117"/>
  <c r="K97" i="117" s="1"/>
  <c r="J34" i="117"/>
  <c r="J97" i="117" s="1"/>
  <c r="I34" i="117"/>
  <c r="I97" i="117" s="1"/>
  <c r="H34" i="117"/>
  <c r="H97" i="117" s="1"/>
  <c r="G34" i="117"/>
  <c r="G97" i="117" s="1"/>
  <c r="F34" i="117"/>
  <c r="F97" i="117" s="1"/>
  <c r="V33" i="117"/>
  <c r="V96" i="117" s="1"/>
  <c r="U33" i="117"/>
  <c r="U96" i="117" s="1"/>
  <c r="T33" i="117"/>
  <c r="T96" i="117" s="1"/>
  <c r="S33" i="117"/>
  <c r="S96" i="117" s="1"/>
  <c r="R33" i="117"/>
  <c r="R96" i="117" s="1"/>
  <c r="Q33" i="117"/>
  <c r="Q96" i="117" s="1"/>
  <c r="P33" i="117"/>
  <c r="P96" i="117" s="1"/>
  <c r="O33" i="117"/>
  <c r="O96" i="117" s="1"/>
  <c r="N33" i="117"/>
  <c r="N96" i="117" s="1"/>
  <c r="M33" i="117"/>
  <c r="M96" i="117" s="1"/>
  <c r="L33" i="117"/>
  <c r="L96" i="117" s="1"/>
  <c r="K33" i="117"/>
  <c r="K96" i="117" s="1"/>
  <c r="J33" i="117"/>
  <c r="J96" i="117" s="1"/>
  <c r="I33" i="117"/>
  <c r="I96" i="117" s="1"/>
  <c r="H33" i="117"/>
  <c r="H96" i="117" s="1"/>
  <c r="G33" i="117"/>
  <c r="G96" i="117" s="1"/>
  <c r="F33" i="117"/>
  <c r="F96" i="117" s="1"/>
  <c r="V32" i="117"/>
  <c r="V95" i="117" s="1"/>
  <c r="U32" i="117"/>
  <c r="U95" i="117" s="1"/>
  <c r="T32" i="117"/>
  <c r="T95" i="117" s="1"/>
  <c r="S32" i="117"/>
  <c r="S95" i="117" s="1"/>
  <c r="R32" i="117"/>
  <c r="R95" i="117" s="1"/>
  <c r="Q32" i="117"/>
  <c r="Q95" i="117" s="1"/>
  <c r="P32" i="117"/>
  <c r="P95" i="117" s="1"/>
  <c r="O32" i="117"/>
  <c r="O95" i="117" s="1"/>
  <c r="N32" i="117"/>
  <c r="N95" i="117" s="1"/>
  <c r="M32" i="117"/>
  <c r="M95" i="117" s="1"/>
  <c r="L32" i="117"/>
  <c r="L95" i="117" s="1"/>
  <c r="K32" i="117"/>
  <c r="K95" i="117" s="1"/>
  <c r="J32" i="117"/>
  <c r="J95" i="117" s="1"/>
  <c r="I32" i="117"/>
  <c r="I95" i="117" s="1"/>
  <c r="H32" i="117"/>
  <c r="H95" i="117" s="1"/>
  <c r="G32" i="117"/>
  <c r="G95" i="117" s="1"/>
  <c r="F32" i="117"/>
  <c r="F95" i="117" s="1"/>
  <c r="V29" i="117"/>
  <c r="V123" i="117" s="1"/>
  <c r="U29" i="117"/>
  <c r="U123" i="117" s="1"/>
  <c r="T29" i="117"/>
  <c r="T123" i="117" s="1"/>
  <c r="S29" i="117"/>
  <c r="S123" i="117" s="1"/>
  <c r="R29" i="117"/>
  <c r="R123" i="117" s="1"/>
  <c r="Q29" i="117"/>
  <c r="Q123" i="117" s="1"/>
  <c r="P29" i="117"/>
  <c r="P123" i="117" s="1"/>
  <c r="O29" i="117"/>
  <c r="O123" i="117" s="1"/>
  <c r="N29" i="117"/>
  <c r="N123" i="117" s="1"/>
  <c r="M29" i="117"/>
  <c r="M123" i="117" s="1"/>
  <c r="L29" i="117"/>
  <c r="L123" i="117" s="1"/>
  <c r="K29" i="117"/>
  <c r="K123" i="117" s="1"/>
  <c r="J29" i="117"/>
  <c r="J123" i="117" s="1"/>
  <c r="I29" i="117"/>
  <c r="I123" i="117" s="1"/>
  <c r="H29" i="117"/>
  <c r="H123" i="117" s="1"/>
  <c r="G29" i="117"/>
  <c r="G123" i="117" s="1"/>
  <c r="F29" i="117"/>
  <c r="F123" i="117" s="1"/>
  <c r="V28" i="117"/>
  <c r="V110" i="117" s="1"/>
  <c r="U28" i="117"/>
  <c r="U110" i="117" s="1"/>
  <c r="T28" i="117"/>
  <c r="T110" i="117" s="1"/>
  <c r="S28" i="117"/>
  <c r="S110" i="117" s="1"/>
  <c r="R28" i="117"/>
  <c r="R110" i="117" s="1"/>
  <c r="Q28" i="117"/>
  <c r="Q110" i="117" s="1"/>
  <c r="P28" i="117"/>
  <c r="P110" i="117" s="1"/>
  <c r="O28" i="117"/>
  <c r="O110" i="117" s="1"/>
  <c r="N28" i="117"/>
  <c r="N110" i="117" s="1"/>
  <c r="M28" i="117"/>
  <c r="M110" i="117" s="1"/>
  <c r="L28" i="117"/>
  <c r="L110" i="117" s="1"/>
  <c r="K28" i="117"/>
  <c r="K110" i="117" s="1"/>
  <c r="J28" i="117"/>
  <c r="J110" i="117" s="1"/>
  <c r="I28" i="117"/>
  <c r="I110" i="117" s="1"/>
  <c r="H28" i="117"/>
  <c r="H110" i="117" s="1"/>
  <c r="G28" i="117"/>
  <c r="G110" i="117" s="1"/>
  <c r="F28" i="117"/>
  <c r="F110" i="117" s="1"/>
  <c r="V27" i="117"/>
  <c r="V94" i="117" s="1"/>
  <c r="U27" i="117"/>
  <c r="U94" i="117" s="1"/>
  <c r="T27" i="117"/>
  <c r="T94" i="117" s="1"/>
  <c r="S27" i="117"/>
  <c r="S94" i="117" s="1"/>
  <c r="R27" i="117"/>
  <c r="R94" i="117" s="1"/>
  <c r="Q27" i="117"/>
  <c r="Q94" i="117" s="1"/>
  <c r="P27" i="117"/>
  <c r="P94" i="117" s="1"/>
  <c r="O27" i="117"/>
  <c r="O94" i="117" s="1"/>
  <c r="N27" i="117"/>
  <c r="N94" i="117" s="1"/>
  <c r="M27" i="117"/>
  <c r="M94" i="117" s="1"/>
  <c r="L27" i="117"/>
  <c r="L94" i="117" s="1"/>
  <c r="K27" i="117"/>
  <c r="K94" i="117" s="1"/>
  <c r="J27" i="117"/>
  <c r="J94" i="117" s="1"/>
  <c r="I27" i="117"/>
  <c r="H27" i="117"/>
  <c r="H94" i="117" s="1"/>
  <c r="G27" i="117"/>
  <c r="G94" i="117" s="1"/>
  <c r="F27" i="117"/>
  <c r="F94" i="117" s="1"/>
  <c r="V23" i="117"/>
  <c r="V122" i="117" s="1"/>
  <c r="U23" i="117"/>
  <c r="U122" i="117" s="1"/>
  <c r="T23" i="117"/>
  <c r="T122" i="117" s="1"/>
  <c r="S23" i="117"/>
  <c r="S122" i="117" s="1"/>
  <c r="R23" i="117"/>
  <c r="R122" i="117" s="1"/>
  <c r="Q23" i="117"/>
  <c r="Q122" i="117" s="1"/>
  <c r="P23" i="117"/>
  <c r="P122" i="117" s="1"/>
  <c r="O23" i="117"/>
  <c r="O122" i="117" s="1"/>
  <c r="N23" i="117"/>
  <c r="N122" i="117" s="1"/>
  <c r="M23" i="117"/>
  <c r="M122" i="117" s="1"/>
  <c r="L23" i="117"/>
  <c r="L122" i="117" s="1"/>
  <c r="K23" i="117"/>
  <c r="K122" i="117" s="1"/>
  <c r="J23" i="117"/>
  <c r="J122" i="117" s="1"/>
  <c r="I23" i="117"/>
  <c r="I122" i="117" s="1"/>
  <c r="H23" i="117"/>
  <c r="H122" i="117" s="1"/>
  <c r="G23" i="117"/>
  <c r="G122" i="117" s="1"/>
  <c r="F23" i="117"/>
  <c r="F122" i="117" s="1"/>
  <c r="V22" i="117"/>
  <c r="V116" i="117" s="1"/>
  <c r="V118" i="117" s="1"/>
  <c r="U22" i="117"/>
  <c r="U116" i="117" s="1"/>
  <c r="U118" i="117" s="1"/>
  <c r="T22" i="117"/>
  <c r="T116" i="117" s="1"/>
  <c r="T118" i="117" s="1"/>
  <c r="S22" i="117"/>
  <c r="S116" i="117" s="1"/>
  <c r="S118" i="117" s="1"/>
  <c r="R22" i="117"/>
  <c r="R21" i="117" s="1"/>
  <c r="R109" i="117" s="1"/>
  <c r="Q22" i="117"/>
  <c r="Q116" i="117" s="1"/>
  <c r="P22" i="117"/>
  <c r="P116" i="117" s="1"/>
  <c r="O22" i="117"/>
  <c r="O116" i="117" s="1"/>
  <c r="N22" i="117"/>
  <c r="N116" i="117" s="1"/>
  <c r="N118" i="117" s="1"/>
  <c r="M22" i="117"/>
  <c r="M116" i="117" s="1"/>
  <c r="L22" i="117"/>
  <c r="L116" i="117" s="1"/>
  <c r="L118" i="117" s="1"/>
  <c r="K22" i="117"/>
  <c r="K116" i="117" s="1"/>
  <c r="J22" i="117"/>
  <c r="J116" i="117" s="1"/>
  <c r="J118" i="117" s="1"/>
  <c r="I22" i="117"/>
  <c r="I116" i="117" s="1"/>
  <c r="H22" i="117"/>
  <c r="H116" i="117" s="1"/>
  <c r="G22" i="117"/>
  <c r="G116" i="117" s="1"/>
  <c r="F22" i="117"/>
  <c r="F116" i="117" s="1"/>
  <c r="V20" i="117"/>
  <c r="V93" i="117" s="1"/>
  <c r="U20" i="117"/>
  <c r="U93" i="117" s="1"/>
  <c r="T20" i="117"/>
  <c r="T93" i="117" s="1"/>
  <c r="S20" i="117"/>
  <c r="S93" i="117" s="1"/>
  <c r="R20" i="117"/>
  <c r="R93" i="117" s="1"/>
  <c r="Q20" i="117"/>
  <c r="Q93" i="117" s="1"/>
  <c r="P20" i="117"/>
  <c r="P93" i="117" s="1"/>
  <c r="O20" i="117"/>
  <c r="O93" i="117" s="1"/>
  <c r="N20" i="117"/>
  <c r="N93" i="117" s="1"/>
  <c r="M20" i="117"/>
  <c r="M93" i="117" s="1"/>
  <c r="L20" i="117"/>
  <c r="L93" i="117" s="1"/>
  <c r="K20" i="117"/>
  <c r="K93" i="117" s="1"/>
  <c r="J20" i="117"/>
  <c r="J93" i="117" s="1"/>
  <c r="I20" i="117"/>
  <c r="I93" i="117" s="1"/>
  <c r="H20" i="117"/>
  <c r="H93" i="117" s="1"/>
  <c r="G20" i="117"/>
  <c r="G93" i="117" s="1"/>
  <c r="F20" i="117"/>
  <c r="F93" i="117" s="1"/>
  <c r="V19" i="117"/>
  <c r="V92" i="117" s="1"/>
  <c r="U19" i="117"/>
  <c r="U92" i="117" s="1"/>
  <c r="T19" i="117"/>
  <c r="T92" i="117" s="1"/>
  <c r="S19" i="117"/>
  <c r="S92" i="117" s="1"/>
  <c r="R19" i="117"/>
  <c r="R92" i="117" s="1"/>
  <c r="Q19" i="117"/>
  <c r="Q92" i="117" s="1"/>
  <c r="P19" i="117"/>
  <c r="P92" i="117" s="1"/>
  <c r="O19" i="117"/>
  <c r="O92" i="117" s="1"/>
  <c r="N19" i="117"/>
  <c r="N92" i="117" s="1"/>
  <c r="M19" i="117"/>
  <c r="M92" i="117" s="1"/>
  <c r="L19" i="117"/>
  <c r="L92" i="117" s="1"/>
  <c r="K19" i="117"/>
  <c r="K92" i="117" s="1"/>
  <c r="J19" i="117"/>
  <c r="J92" i="117" s="1"/>
  <c r="I19" i="117"/>
  <c r="I92" i="117" s="1"/>
  <c r="H19" i="117"/>
  <c r="H92" i="117" s="1"/>
  <c r="G19" i="117"/>
  <c r="G92" i="117" s="1"/>
  <c r="F19" i="117"/>
  <c r="F92" i="117" s="1"/>
  <c r="V14" i="117"/>
  <c r="V138" i="117" s="1"/>
  <c r="U14" i="117"/>
  <c r="U138" i="117" s="1"/>
  <c r="T14" i="117"/>
  <c r="T138" i="117" s="1"/>
  <c r="S14" i="117"/>
  <c r="S138" i="117" s="1"/>
  <c r="R14" i="117"/>
  <c r="R138" i="117" s="1"/>
  <c r="Q14" i="117"/>
  <c r="Q138" i="117" s="1"/>
  <c r="P14" i="117"/>
  <c r="P138" i="117" s="1"/>
  <c r="O14" i="117"/>
  <c r="O138" i="117" s="1"/>
  <c r="N14" i="117"/>
  <c r="N138" i="117" s="1"/>
  <c r="M14" i="117"/>
  <c r="M138" i="117" s="1"/>
  <c r="L14" i="117"/>
  <c r="L138" i="117" s="1"/>
  <c r="K14" i="117"/>
  <c r="K138" i="117" s="1"/>
  <c r="J14" i="117"/>
  <c r="J138" i="117" s="1"/>
  <c r="I14" i="117"/>
  <c r="I138" i="117" s="1"/>
  <c r="H14" i="117"/>
  <c r="H138" i="117" s="1"/>
  <c r="G14" i="117"/>
  <c r="G138" i="117" s="1"/>
  <c r="F14" i="117"/>
  <c r="F138" i="117" s="1"/>
  <c r="V12" i="117"/>
  <c r="U12" i="117"/>
  <c r="T12" i="117"/>
  <c r="S12" i="117"/>
  <c r="R12" i="117"/>
  <c r="Q12" i="117"/>
  <c r="P12" i="117"/>
  <c r="O12" i="117"/>
  <c r="N12" i="117"/>
  <c r="M12" i="117"/>
  <c r="L12" i="117"/>
  <c r="K12" i="117"/>
  <c r="J12" i="117"/>
  <c r="I12" i="117"/>
  <c r="H12" i="117"/>
  <c r="G12" i="117"/>
  <c r="F12" i="117"/>
  <c r="V11" i="117"/>
  <c r="U11" i="117"/>
  <c r="T11" i="117"/>
  <c r="S11" i="117"/>
  <c r="R11" i="117"/>
  <c r="Q11" i="117"/>
  <c r="P11" i="117"/>
  <c r="O11" i="117"/>
  <c r="N11" i="117"/>
  <c r="M11" i="117"/>
  <c r="L11" i="117"/>
  <c r="K11" i="117"/>
  <c r="J11" i="117"/>
  <c r="I11" i="117"/>
  <c r="H11" i="117"/>
  <c r="G11" i="117"/>
  <c r="F11" i="117"/>
  <c r="V10" i="117"/>
  <c r="U10" i="117"/>
  <c r="T10" i="117"/>
  <c r="S10" i="117"/>
  <c r="R10" i="117"/>
  <c r="P10" i="117"/>
  <c r="O10" i="117"/>
  <c r="N10" i="117"/>
  <c r="M10" i="117"/>
  <c r="L10" i="117"/>
  <c r="K10" i="117"/>
  <c r="J10" i="117"/>
  <c r="I10" i="117"/>
  <c r="H10" i="117"/>
  <c r="G10" i="117"/>
  <c r="F10" i="117"/>
  <c r="AL53" i="1"/>
  <c r="G21" i="122" l="1"/>
  <c r="G33" i="122" s="1"/>
  <c r="G21" i="121"/>
  <c r="AL45" i="1"/>
  <c r="H118" i="117"/>
  <c r="N21" i="117"/>
  <c r="N109" i="117" s="1"/>
  <c r="G13" i="117"/>
  <c r="G15" i="117" s="1"/>
  <c r="K13" i="117"/>
  <c r="O13" i="117"/>
  <c r="O15" i="117" s="1"/>
  <c r="F21" i="117"/>
  <c r="F109" i="117" s="1"/>
  <c r="F112" i="117" s="1"/>
  <c r="G118" i="117"/>
  <c r="T74" i="117"/>
  <c r="T21" i="117"/>
  <c r="T109" i="117" s="1"/>
  <c r="T112" i="117" s="1"/>
  <c r="M118" i="117"/>
  <c r="Q118" i="117"/>
  <c r="F142" i="117"/>
  <c r="J142" i="117"/>
  <c r="N142" i="117"/>
  <c r="R142" i="117"/>
  <c r="J21" i="117"/>
  <c r="J109" i="117" s="1"/>
  <c r="J112" i="117" s="1"/>
  <c r="V21" i="117"/>
  <c r="V109" i="117" s="1"/>
  <c r="V112" i="117" s="1"/>
  <c r="R116" i="117"/>
  <c r="R118" i="117" s="1"/>
  <c r="N13" i="117"/>
  <c r="N15" i="117" s="1"/>
  <c r="S13" i="117"/>
  <c r="S15" i="117" s="1"/>
  <c r="S67" i="117"/>
  <c r="T13" i="117"/>
  <c r="T15" i="117" s="1"/>
  <c r="N125" i="117"/>
  <c r="K30" i="117"/>
  <c r="F67" i="117"/>
  <c r="F75" i="117" s="1"/>
  <c r="F78" i="117" s="1"/>
  <c r="F131" i="117" s="1"/>
  <c r="J67" i="117"/>
  <c r="J75" i="117" s="1"/>
  <c r="J78" i="117" s="1"/>
  <c r="J131" i="117" s="1"/>
  <c r="N67" i="117"/>
  <c r="N75" i="117" s="1"/>
  <c r="N78" i="117" s="1"/>
  <c r="N131" i="117" s="1"/>
  <c r="R67" i="117"/>
  <c r="V67" i="117"/>
  <c r="V74" i="117"/>
  <c r="L21" i="117"/>
  <c r="L109" i="117" s="1"/>
  <c r="L112" i="117" s="1"/>
  <c r="K15" i="117"/>
  <c r="L142" i="117"/>
  <c r="P142" i="117"/>
  <c r="T142" i="117"/>
  <c r="I179" i="117" s="1"/>
  <c r="I195" i="117" s="1"/>
  <c r="K99" i="117"/>
  <c r="K105" i="117" s="1"/>
  <c r="U40" i="117"/>
  <c r="H142" i="117"/>
  <c r="F13" i="117"/>
  <c r="F15" i="117" s="1"/>
  <c r="H99" i="117"/>
  <c r="H105" i="117" s="1"/>
  <c r="H40" i="117"/>
  <c r="I13" i="117"/>
  <c r="I15" i="117" s="1"/>
  <c r="M13" i="117"/>
  <c r="M15" i="117" s="1"/>
  <c r="R13" i="117"/>
  <c r="R15" i="117" s="1"/>
  <c r="V13" i="117"/>
  <c r="V15" i="117" s="1"/>
  <c r="Q13" i="117"/>
  <c r="Q15" i="117" s="1"/>
  <c r="G142" i="117"/>
  <c r="H179" i="117" s="1"/>
  <c r="H195" i="117" s="1"/>
  <c r="K142" i="117"/>
  <c r="O142" i="117"/>
  <c r="O163" i="117" s="1"/>
  <c r="S142" i="117"/>
  <c r="R112" i="117"/>
  <c r="K118" i="117"/>
  <c r="F125" i="117"/>
  <c r="F128" i="117" s="1"/>
  <c r="J125" i="117"/>
  <c r="J128" i="117" s="1"/>
  <c r="R125" i="117"/>
  <c r="R128" i="117" s="1"/>
  <c r="V125" i="117"/>
  <c r="V128" i="117" s="1"/>
  <c r="I30" i="117"/>
  <c r="U30" i="117"/>
  <c r="G30" i="117"/>
  <c r="R74" i="117"/>
  <c r="J13" i="117"/>
  <c r="J15" i="117" s="1"/>
  <c r="L99" i="117"/>
  <c r="L105" i="117" s="1"/>
  <c r="O30" i="117"/>
  <c r="H13" i="117"/>
  <c r="H15" i="117" s="1"/>
  <c r="L13" i="117"/>
  <c r="L15" i="117" s="1"/>
  <c r="P13" i="117"/>
  <c r="P15" i="117" s="1"/>
  <c r="U13" i="117"/>
  <c r="U15" i="117" s="1"/>
  <c r="V142" i="117"/>
  <c r="H21" i="117"/>
  <c r="H109" i="117" s="1"/>
  <c r="H112" i="117" s="1"/>
  <c r="I171" i="117" s="1"/>
  <c r="I187" i="117" s="1"/>
  <c r="P21" i="117"/>
  <c r="P109" i="117" s="1"/>
  <c r="P112" i="117" s="1"/>
  <c r="F118" i="117"/>
  <c r="I125" i="117"/>
  <c r="I128" i="117" s="1"/>
  <c r="M125" i="117"/>
  <c r="M128" i="117" s="1"/>
  <c r="U125" i="117"/>
  <c r="U128" i="117" s="1"/>
  <c r="S30" i="117"/>
  <c r="L40" i="117"/>
  <c r="H67" i="117"/>
  <c r="H75" i="117" s="1"/>
  <c r="H78" i="117" s="1"/>
  <c r="H131" i="117" s="1"/>
  <c r="L67" i="117"/>
  <c r="L75" i="117" s="1"/>
  <c r="L78" i="117" s="1"/>
  <c r="L131" i="117" s="1"/>
  <c r="P67" i="117"/>
  <c r="P75" i="117" s="1"/>
  <c r="T67" i="117"/>
  <c r="T75" i="117" s="1"/>
  <c r="T78" i="117" s="1"/>
  <c r="T131" i="117" s="1"/>
  <c r="G67" i="117"/>
  <c r="G75" i="117" s="1"/>
  <c r="G78" i="117" s="1"/>
  <c r="G131" i="117" s="1"/>
  <c r="K67" i="117"/>
  <c r="K75" i="117" s="1"/>
  <c r="K78" i="117" s="1"/>
  <c r="K131" i="117" s="1"/>
  <c r="O67" i="117"/>
  <c r="O75" i="117" s="1"/>
  <c r="O78" i="117" s="1"/>
  <c r="O131" i="117" s="1"/>
  <c r="O159" i="117" s="1"/>
  <c r="S74" i="117"/>
  <c r="Q74" i="117"/>
  <c r="P118" i="117"/>
  <c r="N128" i="117"/>
  <c r="O118" i="117"/>
  <c r="I142" i="117"/>
  <c r="M142" i="117"/>
  <c r="Q142" i="117"/>
  <c r="R143" i="117" s="1"/>
  <c r="U142" i="117"/>
  <c r="I118" i="117"/>
  <c r="T143" i="117"/>
  <c r="O99" i="117"/>
  <c r="O105" i="117" s="1"/>
  <c r="J161" i="117"/>
  <c r="J135" i="117"/>
  <c r="N112" i="117"/>
  <c r="L125" i="117"/>
  <c r="L128" i="117" s="1"/>
  <c r="O177" i="117"/>
  <c r="O193" i="117" s="1"/>
  <c r="N135" i="117"/>
  <c r="N161" i="117"/>
  <c r="P177" i="117"/>
  <c r="P193" i="117" s="1"/>
  <c r="O161" i="117"/>
  <c r="M99" i="117"/>
  <c r="M105" i="117" s="1"/>
  <c r="Q99" i="117"/>
  <c r="Q105" i="117" s="1"/>
  <c r="G21" i="117"/>
  <c r="G109" i="117" s="1"/>
  <c r="G112" i="117" s="1"/>
  <c r="K21" i="117"/>
  <c r="K109" i="117" s="1"/>
  <c r="K112" i="117" s="1"/>
  <c r="O21" i="117"/>
  <c r="O109" i="117" s="1"/>
  <c r="O112" i="117" s="1"/>
  <c r="S21" i="117"/>
  <c r="S109" i="117" s="1"/>
  <c r="S112" i="117" s="1"/>
  <c r="H30" i="117"/>
  <c r="L30" i="117"/>
  <c r="P30" i="117"/>
  <c r="T30" i="117"/>
  <c r="P98" i="117"/>
  <c r="P99" i="117" s="1"/>
  <c r="P105" i="117" s="1"/>
  <c r="P40" i="117"/>
  <c r="T98" i="117"/>
  <c r="T99" i="117" s="1"/>
  <c r="T105" i="117" s="1"/>
  <c r="T40" i="117"/>
  <c r="I40" i="117"/>
  <c r="M40" i="117"/>
  <c r="R40" i="117"/>
  <c r="G135" i="117"/>
  <c r="K161" i="117"/>
  <c r="K135" i="117"/>
  <c r="I94" i="117"/>
  <c r="I99" i="117" s="1"/>
  <c r="I105" i="117" s="1"/>
  <c r="U98" i="117"/>
  <c r="U99" i="117" s="1"/>
  <c r="U105" i="117" s="1"/>
  <c r="H125" i="117"/>
  <c r="H128" i="117" s="1"/>
  <c r="T125" i="117"/>
  <c r="T128" i="117" s="1"/>
  <c r="S98" i="117"/>
  <c r="S99" i="117" s="1"/>
  <c r="S105" i="117" s="1"/>
  <c r="S40" i="117"/>
  <c r="G99" i="117"/>
  <c r="G105" i="117" s="1"/>
  <c r="F99" i="117"/>
  <c r="F105" i="117" s="1"/>
  <c r="J99" i="117"/>
  <c r="J105" i="117" s="1"/>
  <c r="N99" i="117"/>
  <c r="N105" i="117" s="1"/>
  <c r="R99" i="117"/>
  <c r="R105" i="117" s="1"/>
  <c r="M30" i="117"/>
  <c r="Q30" i="117"/>
  <c r="F40" i="117"/>
  <c r="J40" i="117"/>
  <c r="N40" i="117"/>
  <c r="H132" i="117"/>
  <c r="V135" i="117"/>
  <c r="S80" i="118"/>
  <c r="S81" i="118" s="1"/>
  <c r="S82" i="117"/>
  <c r="S134" i="117" s="1"/>
  <c r="T80" i="118"/>
  <c r="T81" i="118" s="1"/>
  <c r="T82" i="117"/>
  <c r="T134" i="117" s="1"/>
  <c r="K177" i="117" s="1"/>
  <c r="K193" i="117" s="1"/>
  <c r="P125" i="117"/>
  <c r="P128" i="117" s="1"/>
  <c r="Q40" i="117"/>
  <c r="S177" i="117"/>
  <c r="S193" i="117" s="1"/>
  <c r="R135" i="117"/>
  <c r="Q125" i="117"/>
  <c r="Q128" i="117" s="1"/>
  <c r="I21" i="117"/>
  <c r="I109" i="117" s="1"/>
  <c r="I112" i="117" s="1"/>
  <c r="M21" i="117"/>
  <c r="M109" i="117" s="1"/>
  <c r="M112" i="117" s="1"/>
  <c r="Q21" i="117"/>
  <c r="Q109" i="117" s="1"/>
  <c r="Q112" i="117" s="1"/>
  <c r="U21" i="117"/>
  <c r="U109" i="117" s="1"/>
  <c r="U112" i="117" s="1"/>
  <c r="G125" i="117"/>
  <c r="G128" i="117" s="1"/>
  <c r="K125" i="117"/>
  <c r="K128" i="117" s="1"/>
  <c r="O125" i="117"/>
  <c r="O128" i="117" s="1"/>
  <c r="S125" i="117"/>
  <c r="S128" i="117" s="1"/>
  <c r="N24" i="117"/>
  <c r="R24" i="117"/>
  <c r="F30" i="117"/>
  <c r="J30" i="117"/>
  <c r="N30" i="117"/>
  <c r="R30" i="117"/>
  <c r="V30" i="117"/>
  <c r="V98" i="117"/>
  <c r="V99" i="117" s="1"/>
  <c r="V105" i="117" s="1"/>
  <c r="V40" i="117"/>
  <c r="G40" i="117"/>
  <c r="K40" i="117"/>
  <c r="O40" i="117"/>
  <c r="I67" i="117"/>
  <c r="I75" i="117" s="1"/>
  <c r="I78" i="117" s="1"/>
  <c r="I131" i="117" s="1"/>
  <c r="M67" i="117"/>
  <c r="M75" i="117" s="1"/>
  <c r="M78" i="117" s="1"/>
  <c r="M131" i="117" s="1"/>
  <c r="Q67" i="117"/>
  <c r="U67" i="117"/>
  <c r="U74" i="117"/>
  <c r="I161" i="117"/>
  <c r="I135" i="117"/>
  <c r="M161" i="117"/>
  <c r="N177" i="117"/>
  <c r="N193" i="117" s="1"/>
  <c r="M135" i="117"/>
  <c r="Q161" i="117"/>
  <c r="R177" i="117"/>
  <c r="R193" i="117" s="1"/>
  <c r="Q135" i="117"/>
  <c r="O135" i="117"/>
  <c r="U46" i="118"/>
  <c r="U54" i="118" s="1"/>
  <c r="U79" i="118" s="1"/>
  <c r="F74" i="119"/>
  <c r="H161" i="117"/>
  <c r="H135" i="117"/>
  <c r="L161" i="117"/>
  <c r="L135" i="117"/>
  <c r="Q177" i="117"/>
  <c r="Q193" i="117" s="1"/>
  <c r="P161" i="117"/>
  <c r="P135" i="117"/>
  <c r="U80" i="118"/>
  <c r="U81" i="118" s="1"/>
  <c r="V83" i="118" s="1"/>
  <c r="L74" i="119"/>
  <c r="L69" i="119"/>
  <c r="L73" i="119" s="1"/>
  <c r="G69" i="119"/>
  <c r="G73" i="119" s="1"/>
  <c r="G74" i="119" s="1"/>
  <c r="K74" i="119"/>
  <c r="K69" i="119"/>
  <c r="K73" i="119" s="1"/>
  <c r="O69" i="119"/>
  <c r="O73" i="119" s="1"/>
  <c r="O74" i="119" s="1"/>
  <c r="P74" i="119"/>
  <c r="P69" i="119"/>
  <c r="P73" i="119" s="1"/>
  <c r="H69" i="119"/>
  <c r="H73" i="119" s="1"/>
  <c r="H74" i="119" s="1"/>
  <c r="V46" i="118"/>
  <c r="V54" i="118" s="1"/>
  <c r="V79" i="118" s="1"/>
  <c r="P45" i="119"/>
  <c r="P46" i="119" s="1"/>
  <c r="F69" i="119"/>
  <c r="F73" i="119" s="1"/>
  <c r="N74" i="119"/>
  <c r="P110" i="119"/>
  <c r="P111" i="119" s="1"/>
  <c r="Q80" i="117" s="1"/>
  <c r="V80" i="118"/>
  <c r="V81" i="118" s="1"/>
  <c r="V85" i="118"/>
  <c r="E74" i="119"/>
  <c r="E69" i="119"/>
  <c r="E73" i="119" s="1"/>
  <c r="I69" i="119"/>
  <c r="I73" i="119" s="1"/>
  <c r="I74" i="119" s="1"/>
  <c r="M74" i="119"/>
  <c r="M69" i="119"/>
  <c r="M73" i="119" s="1"/>
  <c r="Q66" i="119"/>
  <c r="E45" i="119"/>
  <c r="E46" i="119" s="1"/>
  <c r="M45" i="119"/>
  <c r="M46" i="119" s="1"/>
  <c r="R48" i="119"/>
  <c r="R45" i="119"/>
  <c r="O107" i="119"/>
  <c r="P77" i="117" s="1"/>
  <c r="AD42" i="1"/>
  <c r="AD37" i="1"/>
  <c r="AD34" i="1"/>
  <c r="AK33" i="1"/>
  <c r="AM33" i="1" s="1"/>
  <c r="AI32" i="1"/>
  <c r="AI34" i="1" s="1"/>
  <c r="AD23" i="1"/>
  <c r="Q75" i="117" l="1"/>
  <c r="Q78" i="117" s="1"/>
  <c r="Q131" i="117" s="1"/>
  <c r="S143" i="117"/>
  <c r="O179" i="117"/>
  <c r="O195" i="117" s="1"/>
  <c r="L24" i="117"/>
  <c r="J24" i="117"/>
  <c r="N173" i="117"/>
  <c r="N189" i="117" s="1"/>
  <c r="O143" i="117"/>
  <c r="Q171" i="117"/>
  <c r="Q187" i="117" s="1"/>
  <c r="J177" i="117"/>
  <c r="J193" i="117" s="1"/>
  <c r="O173" i="117"/>
  <c r="O189" i="117" s="1"/>
  <c r="S179" i="117"/>
  <c r="S195" i="117" s="1"/>
  <c r="N159" i="117"/>
  <c r="N179" i="117"/>
  <c r="N195" i="117" s="1"/>
  <c r="Q179" i="117"/>
  <c r="Q195" i="117" s="1"/>
  <c r="P78" i="117"/>
  <c r="P131" i="117" s="1"/>
  <c r="P159" i="117" s="1"/>
  <c r="L155" i="117"/>
  <c r="J179" i="117"/>
  <c r="J195" i="117" s="1"/>
  <c r="H175" i="117"/>
  <c r="H191" i="117" s="1"/>
  <c r="H159" i="117"/>
  <c r="J143" i="117"/>
  <c r="H24" i="117"/>
  <c r="H41" i="117" s="1"/>
  <c r="H43" i="117" s="1"/>
  <c r="H51" i="117" s="1"/>
  <c r="H155" i="117"/>
  <c r="K159" i="117"/>
  <c r="S75" i="117"/>
  <c r="S78" i="117" s="1"/>
  <c r="S131" i="117" s="1"/>
  <c r="I175" i="117"/>
  <c r="I191" i="117" s="1"/>
  <c r="J129" i="117"/>
  <c r="M163" i="117"/>
  <c r="N163" i="117"/>
  <c r="T155" i="117"/>
  <c r="N143" i="117"/>
  <c r="V129" i="117"/>
  <c r="S173" i="117"/>
  <c r="S189" i="117" s="1"/>
  <c r="L179" i="117"/>
  <c r="L195" i="117" s="1"/>
  <c r="F24" i="117"/>
  <c r="T24" i="117"/>
  <c r="T41" i="117" s="1"/>
  <c r="T43" i="117" s="1"/>
  <c r="T51" i="117" s="1"/>
  <c r="G132" i="117"/>
  <c r="K175" i="117"/>
  <c r="K191" i="117" s="1"/>
  <c r="R113" i="117"/>
  <c r="G143" i="117"/>
  <c r="K143" i="117"/>
  <c r="V24" i="117"/>
  <c r="V41" i="117" s="1"/>
  <c r="V43" i="117" s="1"/>
  <c r="V51" i="117" s="1"/>
  <c r="L143" i="117"/>
  <c r="J173" i="117"/>
  <c r="J189" i="117" s="1"/>
  <c r="M143" i="117"/>
  <c r="K132" i="117"/>
  <c r="L159" i="117"/>
  <c r="U129" i="117"/>
  <c r="Q143" i="117"/>
  <c r="S24" i="117"/>
  <c r="S41" i="117" s="1"/>
  <c r="S43" i="117" s="1"/>
  <c r="S51" i="117" s="1"/>
  <c r="K179" i="117"/>
  <c r="K195" i="117" s="1"/>
  <c r="I177" i="117"/>
  <c r="I193" i="117" s="1"/>
  <c r="P163" i="117"/>
  <c r="L132" i="117"/>
  <c r="U179" i="117"/>
  <c r="U195" i="117" s="1"/>
  <c r="J157" i="117"/>
  <c r="T163" i="117"/>
  <c r="H163" i="117"/>
  <c r="P143" i="117"/>
  <c r="I163" i="117"/>
  <c r="R75" i="117"/>
  <c r="R78" i="117" s="1"/>
  <c r="R131" i="117" s="1"/>
  <c r="R159" i="117" s="1"/>
  <c r="V75" i="117"/>
  <c r="V78" i="117" s="1"/>
  <c r="V131" i="117" s="1"/>
  <c r="Q175" i="117" s="1"/>
  <c r="L153" i="117"/>
  <c r="L106" i="117"/>
  <c r="T159" i="117"/>
  <c r="L175" i="117"/>
  <c r="L191" i="117" s="1"/>
  <c r="F41" i="117"/>
  <c r="F43" i="117" s="1"/>
  <c r="F51" i="117" s="1"/>
  <c r="K24" i="117"/>
  <c r="K41" i="117" s="1"/>
  <c r="K43" i="117" s="1"/>
  <c r="K51" i="117" s="1"/>
  <c r="I24" i="117"/>
  <c r="I41" i="117" s="1"/>
  <c r="I43" i="117" s="1"/>
  <c r="I51" i="117" s="1"/>
  <c r="L163" i="117"/>
  <c r="P24" i="117"/>
  <c r="P41" i="117" s="1"/>
  <c r="P43" i="117" s="1"/>
  <c r="P51" i="117" s="1"/>
  <c r="K163" i="117"/>
  <c r="I143" i="117"/>
  <c r="S163" i="117"/>
  <c r="H143" i="117"/>
  <c r="U75" i="117"/>
  <c r="U78" i="117" s="1"/>
  <c r="U131" i="117" s="1"/>
  <c r="N41" i="117"/>
  <c r="N43" i="117" s="1"/>
  <c r="N51" i="117" s="1"/>
  <c r="Q163" i="117"/>
  <c r="J163" i="117"/>
  <c r="I157" i="117"/>
  <c r="N129" i="117"/>
  <c r="U143" i="117"/>
  <c r="R179" i="117"/>
  <c r="R195" i="117" s="1"/>
  <c r="T179" i="117"/>
  <c r="T195" i="117" s="1"/>
  <c r="N157" i="117"/>
  <c r="P179" i="117"/>
  <c r="P195" i="117" s="1"/>
  <c r="V143" i="117"/>
  <c r="Q167" i="117"/>
  <c r="P153" i="117"/>
  <c r="P106" i="117"/>
  <c r="V106" i="117"/>
  <c r="T167" i="117"/>
  <c r="S153" i="117"/>
  <c r="S106" i="117"/>
  <c r="U106" i="117"/>
  <c r="I153" i="117"/>
  <c r="J167" i="117"/>
  <c r="J183" i="117" s="1"/>
  <c r="T153" i="117"/>
  <c r="T106" i="117"/>
  <c r="I167" i="117"/>
  <c r="I183" i="117" s="1"/>
  <c r="L167" i="117"/>
  <c r="L183" i="117" s="1"/>
  <c r="H167" i="117"/>
  <c r="H183" i="117" s="1"/>
  <c r="O155" i="117"/>
  <c r="P171" i="117"/>
  <c r="O113" i="117"/>
  <c r="O171" i="117"/>
  <c r="N155" i="117"/>
  <c r="N113" i="117"/>
  <c r="I132" i="117"/>
  <c r="I159" i="117"/>
  <c r="J175" i="117"/>
  <c r="J191" i="117" s="1"/>
  <c r="R41" i="117"/>
  <c r="R43" i="117" s="1"/>
  <c r="R51" i="117" s="1"/>
  <c r="T173" i="117"/>
  <c r="S157" i="117"/>
  <c r="S129" i="117"/>
  <c r="U113" i="117"/>
  <c r="P155" i="117"/>
  <c r="J159" i="117"/>
  <c r="M24" i="117"/>
  <c r="M41" i="117" s="1"/>
  <c r="M43" i="117" s="1"/>
  <c r="M51" i="117" s="1"/>
  <c r="N153" i="117"/>
  <c r="N106" i="117"/>
  <c r="O167" i="117"/>
  <c r="I173" i="117"/>
  <c r="I189" i="117" s="1"/>
  <c r="H157" i="117"/>
  <c r="H129" i="117"/>
  <c r="H177" i="117"/>
  <c r="H193" i="117" s="1"/>
  <c r="S155" i="117"/>
  <c r="T171" i="117"/>
  <c r="S113" i="117"/>
  <c r="L129" i="117"/>
  <c r="L157" i="117"/>
  <c r="T113" i="117"/>
  <c r="I129" i="117"/>
  <c r="P173" i="117"/>
  <c r="O157" i="117"/>
  <c r="O129" i="117"/>
  <c r="R171" i="117"/>
  <c r="Q155" i="117"/>
  <c r="Q113" i="117"/>
  <c r="T177" i="117"/>
  <c r="T193" i="117" s="1"/>
  <c r="S161" i="117"/>
  <c r="S135" i="117"/>
  <c r="R167" i="117"/>
  <c r="Q153" i="117"/>
  <c r="Q106" i="117"/>
  <c r="Q74" i="119"/>
  <c r="Q69" i="119"/>
  <c r="Q73" i="119" s="1"/>
  <c r="Q159" i="117"/>
  <c r="J41" i="117"/>
  <c r="J43" i="117" s="1"/>
  <c r="J51" i="117" s="1"/>
  <c r="K157" i="117"/>
  <c r="L173" i="117"/>
  <c r="L189" i="117" s="1"/>
  <c r="K129" i="117"/>
  <c r="N171" i="117"/>
  <c r="M155" i="117"/>
  <c r="M113" i="117"/>
  <c r="R173" i="117"/>
  <c r="Q157" i="117"/>
  <c r="Q129" i="117"/>
  <c r="V113" i="117"/>
  <c r="V84" i="118"/>
  <c r="U24" i="117"/>
  <c r="U41" i="117" s="1"/>
  <c r="U43" i="117" s="1"/>
  <c r="U51" i="117" s="1"/>
  <c r="O24" i="117"/>
  <c r="O41" i="117" s="1"/>
  <c r="O43" i="117" s="1"/>
  <c r="O51" i="117" s="1"/>
  <c r="R155" i="117"/>
  <c r="L177" i="117"/>
  <c r="L193" i="117" s="1"/>
  <c r="L41" i="117"/>
  <c r="L43" i="117" s="1"/>
  <c r="L51" i="117" s="1"/>
  <c r="L171" i="117"/>
  <c r="L187" i="117" s="1"/>
  <c r="K155" i="117"/>
  <c r="K113" i="117"/>
  <c r="N167" i="117"/>
  <c r="M153" i="117"/>
  <c r="M106" i="117"/>
  <c r="H153" i="117"/>
  <c r="K173" i="117"/>
  <c r="K189" i="117" s="1"/>
  <c r="M129" i="117"/>
  <c r="P167" i="117"/>
  <c r="O153" i="117"/>
  <c r="O106" i="117"/>
  <c r="R129" i="117"/>
  <c r="Q173" i="117"/>
  <c r="P129" i="117"/>
  <c r="P157" i="117"/>
  <c r="K167" i="117"/>
  <c r="K183" i="117" s="1"/>
  <c r="J153" i="117"/>
  <c r="M159" i="117"/>
  <c r="G129" i="117"/>
  <c r="H173" i="117"/>
  <c r="H189" i="117" s="1"/>
  <c r="J171" i="117"/>
  <c r="J187" i="117" s="1"/>
  <c r="I155" i="117"/>
  <c r="I113" i="117"/>
  <c r="P113" i="117"/>
  <c r="J132" i="117"/>
  <c r="J155" i="117"/>
  <c r="J113" i="117"/>
  <c r="K171" i="117"/>
  <c r="K187" i="117" s="1"/>
  <c r="U177" i="117"/>
  <c r="U193" i="117" s="1"/>
  <c r="T161" i="117"/>
  <c r="T135" i="117"/>
  <c r="U135" i="117"/>
  <c r="U191" i="117"/>
  <c r="Q24" i="117"/>
  <c r="Q41" i="117" s="1"/>
  <c r="Q43" i="117" s="1"/>
  <c r="Q51" i="117" s="1"/>
  <c r="R153" i="117"/>
  <c r="S167" i="117"/>
  <c r="R106" i="117"/>
  <c r="T157" i="117"/>
  <c r="T129" i="117"/>
  <c r="S171" i="117"/>
  <c r="V82" i="118"/>
  <c r="H171" i="117"/>
  <c r="H187" i="117" s="1"/>
  <c r="G113" i="117"/>
  <c r="G24" i="117"/>
  <c r="G41" i="117" s="1"/>
  <c r="G43" i="117" s="1"/>
  <c r="G51" i="117" s="1"/>
  <c r="M157" i="117"/>
  <c r="L113" i="117"/>
  <c r="K153" i="117"/>
  <c r="R157" i="117"/>
  <c r="H113" i="117"/>
  <c r="AK35" i="1"/>
  <c r="AK32" i="1"/>
  <c r="AK43" i="1" l="1"/>
  <c r="F9" i="122"/>
  <c r="F20" i="122"/>
  <c r="F20" i="121"/>
  <c r="F9" i="121"/>
  <c r="AK41" i="1"/>
  <c r="F8" i="122"/>
  <c r="F19" i="122"/>
  <c r="F19" i="121"/>
  <c r="F8" i="121"/>
  <c r="AK42" i="1"/>
  <c r="F7" i="122"/>
  <c r="F7" i="121"/>
  <c r="T175" i="117"/>
  <c r="P175" i="117"/>
  <c r="O175" i="117"/>
  <c r="S175" i="117"/>
  <c r="N175" i="117"/>
  <c r="N191" i="117" s="1"/>
  <c r="R175" i="117"/>
  <c r="S159" i="117"/>
  <c r="U187" i="117"/>
  <c r="O187" i="117"/>
  <c r="U189" i="117"/>
  <c r="N187" i="117"/>
  <c r="R183" i="117"/>
  <c r="T189" i="117"/>
  <c r="S183" i="117"/>
  <c r="Q189" i="117"/>
  <c r="S187" i="117"/>
  <c r="N183" i="117"/>
  <c r="R189" i="117"/>
  <c r="P189" i="117"/>
  <c r="O183" i="117"/>
  <c r="P187" i="117"/>
  <c r="T183" i="117"/>
  <c r="V167" i="117"/>
  <c r="P183" i="117"/>
  <c r="R187" i="117"/>
  <c r="T187" i="117"/>
  <c r="U183" i="117"/>
  <c r="Q191" i="117"/>
  <c r="Q183" i="117"/>
  <c r="AK34" i="1"/>
  <c r="AK36" i="1" s="1"/>
  <c r="F10" i="122" l="1"/>
  <c r="F10" i="121"/>
  <c r="G18" i="121"/>
  <c r="T191" i="117"/>
  <c r="AK45" i="1"/>
  <c r="R191" i="117"/>
  <c r="S191" i="117"/>
  <c r="O191" i="117"/>
  <c r="P191" i="117"/>
  <c r="E24" i="52"/>
  <c r="Z72" i="1" l="1"/>
  <c r="Z65" i="1"/>
  <c r="Z45" i="1"/>
  <c r="Z35" i="1"/>
  <c r="Z23" i="1"/>
  <c r="Z28" i="1" s="1"/>
  <c r="Z18" i="1"/>
  <c r="Z17" i="1"/>
  <c r="Z73" i="1" l="1"/>
  <c r="Z76" i="1" s="1"/>
  <c r="Z80" i="1" s="1"/>
  <c r="Z52" i="1" s="1"/>
  <c r="Z46" i="1"/>
  <c r="Z19" i="1"/>
  <c r="Z48" i="1" l="1"/>
  <c r="Z51" i="1" s="1"/>
  <c r="C36" i="3"/>
  <c r="B36" i="3"/>
  <c r="AD72" i="1"/>
  <c r="AD65" i="1"/>
  <c r="AD45" i="1"/>
  <c r="AD35" i="1"/>
  <c r="AD28" i="1"/>
  <c r="AD17" i="1"/>
  <c r="AD19" i="1" s="1"/>
  <c r="AD46" i="1" l="1"/>
  <c r="B33" i="48"/>
  <c r="AD73" i="1"/>
  <c r="AD76" i="1" l="1"/>
  <c r="AD48" i="1"/>
  <c r="AD80" i="1" l="1"/>
  <c r="AD52" i="1" s="1"/>
  <c r="AD51" i="1"/>
  <c r="E36" i="3" l="1"/>
  <c r="F33" i="48" s="1"/>
  <c r="G33" i="48" s="1"/>
  <c r="C28" i="3" l="1"/>
  <c r="B28" i="3"/>
  <c r="W72" i="1"/>
  <c r="W65" i="1"/>
  <c r="W45" i="1"/>
  <c r="W35" i="1"/>
  <c r="W28" i="1"/>
  <c r="W17" i="1"/>
  <c r="W19" i="1" l="1"/>
  <c r="W73" i="1"/>
  <c r="W46" i="1"/>
  <c r="W76" i="1" l="1"/>
  <c r="W48" i="1"/>
  <c r="W80" i="1" l="1"/>
  <c r="W52" i="1" s="1"/>
  <c r="W51" i="1"/>
  <c r="E28" i="3" l="1"/>
  <c r="U37" i="1" l="1"/>
  <c r="F77" i="111" l="1"/>
  <c r="F324" i="111"/>
  <c r="F60" i="111" s="1"/>
  <c r="F323" i="111"/>
  <c r="F325" i="111"/>
  <c r="F326" i="111"/>
  <c r="F327" i="111"/>
  <c r="F328" i="111"/>
  <c r="F329" i="111"/>
  <c r="F330" i="111"/>
  <c r="F331" i="111"/>
  <c r="F332" i="111"/>
  <c r="F333" i="111"/>
  <c r="F334" i="111"/>
  <c r="F335" i="111"/>
  <c r="F336" i="111"/>
  <c r="F337" i="111"/>
  <c r="F338" i="111"/>
  <c r="F339" i="111"/>
  <c r="F340" i="111"/>
  <c r="F341" i="111"/>
  <c r="F342" i="111"/>
  <c r="F343" i="111"/>
  <c r="F344" i="111"/>
  <c r="F345" i="111"/>
  <c r="F346" i="111"/>
  <c r="F347" i="111"/>
  <c r="F348" i="111"/>
  <c r="F349" i="111"/>
  <c r="F350" i="111"/>
  <c r="F351" i="111"/>
  <c r="F352" i="111"/>
  <c r="F353" i="111"/>
  <c r="F354" i="111"/>
  <c r="F355" i="111"/>
  <c r="F356" i="111"/>
  <c r="F357" i="111"/>
  <c r="F61" i="111" s="1"/>
  <c r="F358" i="111"/>
  <c r="F359" i="111"/>
  <c r="F360" i="111"/>
  <c r="F361" i="111"/>
  <c r="F362" i="111"/>
  <c r="F363" i="111"/>
  <c r="F364" i="111"/>
  <c r="F365" i="111"/>
  <c r="F366" i="111"/>
  <c r="F367" i="111"/>
  <c r="F368" i="111"/>
  <c r="F369" i="111"/>
  <c r="F370" i="111"/>
  <c r="F62" i="111" s="1"/>
  <c r="F373" i="111"/>
  <c r="F374" i="111"/>
  <c r="F375" i="111"/>
  <c r="F376" i="111"/>
  <c r="F377" i="111"/>
  <c r="F378" i="111"/>
  <c r="F379" i="111"/>
  <c r="F380" i="111"/>
  <c r="F381" i="111"/>
  <c r="F382" i="111"/>
  <c r="F383" i="111"/>
  <c r="F384" i="111"/>
  <c r="F385" i="111"/>
  <c r="F386" i="111"/>
  <c r="F387" i="111"/>
  <c r="F388" i="111"/>
  <c r="F389" i="111"/>
  <c r="F391" i="111"/>
  <c r="F392" i="111"/>
  <c r="F393" i="111"/>
  <c r="F394" i="111"/>
  <c r="F395" i="111"/>
  <c r="F396" i="111"/>
  <c r="F397" i="111"/>
  <c r="F398" i="111"/>
  <c r="F399" i="111"/>
  <c r="F400" i="111"/>
  <c r="F401" i="111"/>
  <c r="F402" i="111"/>
  <c r="F403" i="111"/>
  <c r="F404" i="111"/>
  <c r="F405" i="111"/>
  <c r="F406" i="111"/>
  <c r="F407" i="111"/>
  <c r="F408" i="111"/>
  <c r="F409" i="111"/>
  <c r="F410" i="111"/>
  <c r="F411" i="111"/>
  <c r="F412" i="111"/>
  <c r="F413" i="111"/>
  <c r="F414" i="111"/>
  <c r="F415" i="111"/>
  <c r="F416" i="111"/>
  <c r="F417" i="111"/>
  <c r="F418" i="111"/>
  <c r="F419" i="111"/>
  <c r="F420" i="111"/>
  <c r="F421" i="111"/>
  <c r="F422" i="111"/>
  <c r="F423" i="111"/>
  <c r="F424" i="111"/>
  <c r="F425" i="111"/>
  <c r="F426" i="111"/>
  <c r="F427" i="111"/>
  <c r="F428" i="111"/>
  <c r="F429" i="111"/>
  <c r="F430" i="111"/>
  <c r="F431" i="111"/>
  <c r="F432" i="111"/>
  <c r="F433" i="111"/>
  <c r="F434" i="111"/>
  <c r="F435" i="111"/>
  <c r="F436" i="111"/>
  <c r="F437" i="111"/>
  <c r="F438" i="111"/>
  <c r="F439" i="111"/>
  <c r="F440" i="111"/>
  <c r="F441" i="111"/>
  <c r="F442" i="111"/>
  <c r="F443" i="111"/>
  <c r="F444" i="111"/>
  <c r="F445" i="111"/>
  <c r="F446" i="111"/>
  <c r="F447" i="111"/>
  <c r="F448" i="111"/>
  <c r="F449" i="111"/>
  <c r="F450" i="111"/>
  <c r="F451" i="111"/>
  <c r="F452" i="111"/>
  <c r="F453" i="111"/>
  <c r="F454" i="111"/>
  <c r="F455" i="111"/>
  <c r="F456" i="111"/>
  <c r="F457" i="111"/>
  <c r="F458" i="111"/>
  <c r="F459" i="111"/>
  <c r="F460" i="111"/>
  <c r="F461" i="111"/>
  <c r="F462" i="111"/>
  <c r="F463" i="111"/>
  <c r="F464" i="111"/>
  <c r="F465" i="111"/>
  <c r="F466" i="111"/>
  <c r="F467" i="111"/>
  <c r="F468" i="111"/>
  <c r="F469" i="111"/>
  <c r="F470" i="111"/>
  <c r="F471" i="111"/>
  <c r="F472" i="111"/>
  <c r="F473" i="111"/>
  <c r="F474" i="111"/>
  <c r="F475" i="111"/>
  <c r="F476" i="111"/>
  <c r="F477" i="111"/>
  <c r="F478" i="111"/>
  <c r="F185" i="111"/>
  <c r="F186" i="111"/>
  <c r="F187" i="111"/>
  <c r="F188" i="111"/>
  <c r="F189" i="111"/>
  <c r="F190" i="111"/>
  <c r="F191" i="111"/>
  <c r="F192" i="111"/>
  <c r="F193" i="111"/>
  <c r="F194" i="111"/>
  <c r="F195" i="111"/>
  <c r="F196" i="111"/>
  <c r="F197" i="111"/>
  <c r="F198" i="111"/>
  <c r="F199" i="111"/>
  <c r="F200" i="111"/>
  <c r="F201" i="111"/>
  <c r="F202" i="111"/>
  <c r="F203" i="111"/>
  <c r="F204" i="111"/>
  <c r="F205" i="111"/>
  <c r="F206" i="111"/>
  <c r="F207" i="111"/>
  <c r="F208" i="111"/>
  <c r="F209" i="111"/>
  <c r="F210" i="111"/>
  <c r="F211" i="111"/>
  <c r="F212" i="111"/>
  <c r="F213" i="111"/>
  <c r="F214" i="111"/>
  <c r="F215" i="111"/>
  <c r="F216" i="111"/>
  <c r="F217" i="111"/>
  <c r="F218" i="111"/>
  <c r="F219" i="111"/>
  <c r="F220" i="111"/>
  <c r="F221" i="111"/>
  <c r="F222" i="111"/>
  <c r="F223" i="111"/>
  <c r="F184" i="111"/>
  <c r="C31" i="3" l="1"/>
  <c r="B31" i="3"/>
  <c r="A3" i="111"/>
  <c r="G14" i="111"/>
  <c r="J14" i="111"/>
  <c r="I14" i="111" s="1"/>
  <c r="G15" i="111"/>
  <c r="J15" i="111"/>
  <c r="I15" i="111" s="1"/>
  <c r="G16" i="111"/>
  <c r="J16" i="111"/>
  <c r="I16" i="111" s="1"/>
  <c r="G18" i="111"/>
  <c r="J18" i="111"/>
  <c r="I18" i="111" s="1"/>
  <c r="G23" i="111"/>
  <c r="J23" i="111"/>
  <c r="I23" i="111" s="1"/>
  <c r="G24" i="111"/>
  <c r="J24" i="111"/>
  <c r="I24" i="111" s="1"/>
  <c r="G25" i="111"/>
  <c r="J25" i="111"/>
  <c r="I25" i="111" s="1"/>
  <c r="G26" i="111"/>
  <c r="G27" i="111"/>
  <c r="J27" i="111"/>
  <c r="G31" i="111"/>
  <c r="J31" i="111"/>
  <c r="I31" i="111" s="1"/>
  <c r="G32" i="111"/>
  <c r="J32" i="111"/>
  <c r="I32" i="111" s="1"/>
  <c r="G33" i="111"/>
  <c r="J33" i="111"/>
  <c r="I33" i="111" s="1"/>
  <c r="G34" i="111"/>
  <c r="J34" i="111"/>
  <c r="I34" i="111" s="1"/>
  <c r="G37" i="111"/>
  <c r="J37" i="111"/>
  <c r="I37" i="111" s="1"/>
  <c r="G38" i="111"/>
  <c r="J38" i="111"/>
  <c r="I38" i="111" s="1"/>
  <c r="G39" i="111"/>
  <c r="J39" i="111"/>
  <c r="I39" i="111" s="1"/>
  <c r="G42" i="111"/>
  <c r="J42" i="111"/>
  <c r="I42" i="111" s="1"/>
  <c r="G43" i="111"/>
  <c r="J43" i="111"/>
  <c r="I43" i="111" s="1"/>
  <c r="E44" i="111"/>
  <c r="H44" i="111" s="1"/>
  <c r="J44" i="111"/>
  <c r="I44" i="111" s="1"/>
  <c r="G51" i="111"/>
  <c r="J51" i="111"/>
  <c r="I51" i="111" s="1"/>
  <c r="G53" i="111"/>
  <c r="J53" i="111"/>
  <c r="I53" i="111" s="1"/>
  <c r="G54" i="111"/>
  <c r="J54" i="111"/>
  <c r="I54" i="111" s="1"/>
  <c r="G60" i="111"/>
  <c r="J60" i="111"/>
  <c r="I60" i="111" s="1"/>
  <c r="G61" i="111"/>
  <c r="J61" i="111"/>
  <c r="I61" i="111" s="1"/>
  <c r="G62" i="111"/>
  <c r="J62" i="111"/>
  <c r="I62" i="111" s="1"/>
  <c r="G63" i="111"/>
  <c r="J63" i="111"/>
  <c r="I63" i="111" s="1"/>
  <c r="G64" i="111"/>
  <c r="J64" i="111"/>
  <c r="I64" i="111" s="1"/>
  <c r="H66" i="111"/>
  <c r="J66" i="111"/>
  <c r="I66" i="111" s="1"/>
  <c r="G67" i="111"/>
  <c r="G68" i="111"/>
  <c r="G69" i="111"/>
  <c r="G70" i="111"/>
  <c r="G71" i="111"/>
  <c r="G75" i="111"/>
  <c r="J75" i="111"/>
  <c r="I75" i="111" s="1"/>
  <c r="G78" i="111"/>
  <c r="G77" i="111" s="1"/>
  <c r="F85" i="111"/>
  <c r="F86" i="111"/>
  <c r="F87" i="111"/>
  <c r="F88" i="111"/>
  <c r="F89" i="111"/>
  <c r="F15" i="111" s="1"/>
  <c r="F90" i="111"/>
  <c r="F91" i="111"/>
  <c r="F92" i="111"/>
  <c r="F93" i="111"/>
  <c r="F16" i="111" s="1"/>
  <c r="F94" i="111"/>
  <c r="F95" i="111"/>
  <c r="F96" i="111"/>
  <c r="F97" i="111"/>
  <c r="F98" i="111"/>
  <c r="F99" i="111"/>
  <c r="F100" i="111"/>
  <c r="F101" i="111"/>
  <c r="F102" i="111"/>
  <c r="F103" i="111"/>
  <c r="F104" i="111"/>
  <c r="F105" i="111"/>
  <c r="F106" i="111"/>
  <c r="F107" i="111"/>
  <c r="F108" i="111"/>
  <c r="F109" i="111"/>
  <c r="F110" i="111"/>
  <c r="F111" i="111"/>
  <c r="F112" i="111"/>
  <c r="F113" i="111"/>
  <c r="F114" i="111"/>
  <c r="F115" i="111"/>
  <c r="F116" i="111"/>
  <c r="F117" i="111"/>
  <c r="F118" i="111"/>
  <c r="F119" i="111"/>
  <c r="F120" i="111"/>
  <c r="F121" i="111"/>
  <c r="F122" i="111"/>
  <c r="F123" i="111"/>
  <c r="F124" i="111"/>
  <c r="F125" i="111"/>
  <c r="F126" i="111"/>
  <c r="F127" i="111"/>
  <c r="F128" i="111"/>
  <c r="F129" i="111"/>
  <c r="F130" i="111"/>
  <c r="F131" i="111"/>
  <c r="F132" i="111"/>
  <c r="F133" i="111"/>
  <c r="F134" i="111"/>
  <c r="F135" i="111"/>
  <c r="F136" i="111"/>
  <c r="F137" i="111"/>
  <c r="F138" i="111"/>
  <c r="F139" i="111"/>
  <c r="F140" i="111"/>
  <c r="F141" i="111"/>
  <c r="F142" i="111"/>
  <c r="F143" i="111"/>
  <c r="F144" i="111"/>
  <c r="F145" i="111"/>
  <c r="F146" i="111"/>
  <c r="F147" i="111"/>
  <c r="F148" i="111"/>
  <c r="F149" i="111"/>
  <c r="F150" i="111"/>
  <c r="F151" i="111"/>
  <c r="F152" i="111"/>
  <c r="F153" i="111"/>
  <c r="F154" i="111"/>
  <c r="F155" i="111"/>
  <c r="F156" i="111"/>
  <c r="F157" i="111"/>
  <c r="F24" i="111" s="1"/>
  <c r="F158" i="111"/>
  <c r="F159" i="111"/>
  <c r="F160" i="111"/>
  <c r="F161" i="111"/>
  <c r="F162" i="111"/>
  <c r="F163" i="111"/>
  <c r="F164" i="111"/>
  <c r="F165" i="111"/>
  <c r="F166" i="111"/>
  <c r="F167" i="111"/>
  <c r="F168" i="111"/>
  <c r="F169" i="111"/>
  <c r="F170" i="111"/>
  <c r="F171" i="111"/>
  <c r="F172" i="111"/>
  <c r="F173" i="111"/>
  <c r="F174" i="111"/>
  <c r="F175" i="111"/>
  <c r="F176" i="111"/>
  <c r="F177" i="111"/>
  <c r="F178" i="111"/>
  <c r="F179" i="111"/>
  <c r="F180" i="111"/>
  <c r="F181" i="111"/>
  <c r="F182" i="111"/>
  <c r="F183" i="111"/>
  <c r="F27" i="111"/>
  <c r="F224" i="111"/>
  <c r="F225" i="111"/>
  <c r="F226" i="111"/>
  <c r="F237" i="111"/>
  <c r="F238" i="111"/>
  <c r="F250" i="111"/>
  <c r="F253" i="111"/>
  <c r="F34" i="111" s="1"/>
  <c r="F255" i="111"/>
  <c r="F257" i="111"/>
  <c r="F258" i="111"/>
  <c r="F259" i="111"/>
  <c r="F260" i="111"/>
  <c r="F261" i="111"/>
  <c r="F262" i="111"/>
  <c r="F263" i="111"/>
  <c r="F264" i="111"/>
  <c r="F265" i="111"/>
  <c r="F37" i="111" s="1"/>
  <c r="F266" i="111"/>
  <c r="F267" i="111"/>
  <c r="F268" i="111"/>
  <c r="F269" i="111"/>
  <c r="F270" i="111"/>
  <c r="F271" i="111"/>
  <c r="F38" i="111" s="1"/>
  <c r="F272" i="111"/>
  <c r="F273" i="111"/>
  <c r="F274" i="111"/>
  <c r="F275" i="111"/>
  <c r="F276" i="111"/>
  <c r="F277" i="111"/>
  <c r="F39" i="111" s="1"/>
  <c r="F278" i="111"/>
  <c r="F279" i="111"/>
  <c r="F280" i="111"/>
  <c r="F281" i="111"/>
  <c r="F282" i="111"/>
  <c r="F283" i="111"/>
  <c r="F284" i="111"/>
  <c r="F285" i="111"/>
  <c r="F286" i="111"/>
  <c r="F287" i="111"/>
  <c r="F288" i="111"/>
  <c r="F289" i="111"/>
  <c r="F290" i="111"/>
  <c r="F291" i="111"/>
  <c r="F292" i="111"/>
  <c r="F42" i="111" s="1"/>
  <c r="F293" i="111"/>
  <c r="F294" i="111"/>
  <c r="F295" i="111"/>
  <c r="F296" i="111"/>
  <c r="F297" i="111"/>
  <c r="F298" i="111"/>
  <c r="F299" i="111"/>
  <c r="F300" i="111"/>
  <c r="F43" i="111" s="1"/>
  <c r="Q297" i="111"/>
  <c r="F301" i="111"/>
  <c r="F302" i="111"/>
  <c r="F303" i="111"/>
  <c r="F304" i="111"/>
  <c r="F305" i="111"/>
  <c r="F306" i="111"/>
  <c r="F307" i="111"/>
  <c r="F308" i="111"/>
  <c r="F51" i="111" s="1"/>
  <c r="F309" i="111"/>
  <c r="F53" i="111" s="1"/>
  <c r="F310" i="111"/>
  <c r="F54" i="111" s="1"/>
  <c r="F311" i="111"/>
  <c r="F312" i="111"/>
  <c r="F313" i="111"/>
  <c r="F314" i="111"/>
  <c r="F315" i="111"/>
  <c r="F316" i="111"/>
  <c r="F317" i="111"/>
  <c r="F318" i="111"/>
  <c r="F319" i="111"/>
  <c r="F320" i="111"/>
  <c r="F321" i="111"/>
  <c r="F322" i="111"/>
  <c r="F63" i="111"/>
  <c r="F64" i="111"/>
  <c r="F69" i="111"/>
  <c r="F70" i="111"/>
  <c r="F75" i="111"/>
  <c r="F78" i="111"/>
  <c r="B32" i="48" l="1"/>
  <c r="F18" i="111"/>
  <c r="E64" i="111"/>
  <c r="H64" i="111" s="1"/>
  <c r="E61" i="111"/>
  <c r="H61" i="111" s="1"/>
  <c r="J17" i="111"/>
  <c r="J19" i="111" s="1"/>
  <c r="E51" i="111"/>
  <c r="H51" i="111" s="1"/>
  <c r="E39" i="111"/>
  <c r="H39" i="111" s="1"/>
  <c r="E37" i="111"/>
  <c r="H37" i="111" s="1"/>
  <c r="E62" i="111"/>
  <c r="H62" i="111" s="1"/>
  <c r="G35" i="111"/>
  <c r="E34" i="111"/>
  <c r="H34" i="111" s="1"/>
  <c r="J65" i="111"/>
  <c r="J80" i="111" s="1"/>
  <c r="I80" i="111" s="1"/>
  <c r="E42" i="111"/>
  <c r="H42" i="111" s="1"/>
  <c r="E16" i="111"/>
  <c r="H16" i="111" s="1"/>
  <c r="J35" i="111"/>
  <c r="I35" i="111"/>
  <c r="G45" i="111"/>
  <c r="E54" i="111"/>
  <c r="H54" i="111" s="1"/>
  <c r="E38" i="111"/>
  <c r="H38" i="111" s="1"/>
  <c r="F25" i="111"/>
  <c r="E25" i="111" s="1"/>
  <c r="H25" i="111" s="1"/>
  <c r="G65" i="111"/>
  <c r="E75" i="111"/>
  <c r="H75" i="111" s="1"/>
  <c r="E63" i="111"/>
  <c r="H63" i="111" s="1"/>
  <c r="I17" i="111"/>
  <c r="I19" i="111" s="1"/>
  <c r="G17" i="111"/>
  <c r="G19" i="111" s="1"/>
  <c r="F26" i="111"/>
  <c r="E26" i="111" s="1"/>
  <c r="F67" i="111"/>
  <c r="E67" i="111" s="1"/>
  <c r="F71" i="111"/>
  <c r="E71" i="111" s="1"/>
  <c r="F68" i="111"/>
  <c r="E68" i="111" s="1"/>
  <c r="E53" i="111"/>
  <c r="H53" i="111" s="1"/>
  <c r="E27" i="111"/>
  <c r="H27" i="111" s="1"/>
  <c r="E70" i="111"/>
  <c r="F14" i="111"/>
  <c r="F17" i="111" s="1"/>
  <c r="G72" i="111"/>
  <c r="E69" i="111"/>
  <c r="E24" i="111"/>
  <c r="H24" i="111" s="1"/>
  <c r="E15" i="111"/>
  <c r="H15" i="111" s="1"/>
  <c r="J45" i="111"/>
  <c r="J28" i="111"/>
  <c r="G28" i="111"/>
  <c r="F23" i="111"/>
  <c r="E23" i="111" s="1"/>
  <c r="E18" i="111"/>
  <c r="H18" i="111" s="1"/>
  <c r="E60" i="111"/>
  <c r="F65" i="111"/>
  <c r="E43" i="111"/>
  <c r="H43" i="111" s="1"/>
  <c r="F45" i="111"/>
  <c r="I65" i="111"/>
  <c r="E78" i="111"/>
  <c r="E77" i="111"/>
  <c r="I45" i="111"/>
  <c r="I27" i="111"/>
  <c r="I28" i="111" s="1"/>
  <c r="G46" i="111" l="1"/>
  <c r="G48" i="111" s="1"/>
  <c r="G56" i="111" s="1"/>
  <c r="E72" i="111"/>
  <c r="G73" i="111"/>
  <c r="G76" i="111" s="1"/>
  <c r="G80" i="111" s="1"/>
  <c r="F19" i="111"/>
  <c r="E14" i="111"/>
  <c r="E17" i="111" s="1"/>
  <c r="I46" i="111"/>
  <c r="I48" i="111" s="1"/>
  <c r="I56" i="111" s="1"/>
  <c r="I81" i="111" s="1"/>
  <c r="E45" i="111"/>
  <c r="F28" i="111"/>
  <c r="F72" i="111"/>
  <c r="F73" i="111" s="1"/>
  <c r="F76" i="111" s="1"/>
  <c r="F80" i="111" s="1"/>
  <c r="J46" i="111"/>
  <c r="J48" i="111" s="1"/>
  <c r="J56" i="111" s="1"/>
  <c r="J81" i="111" s="1"/>
  <c r="H45" i="111"/>
  <c r="H23" i="111"/>
  <c r="E28" i="111"/>
  <c r="E65" i="111"/>
  <c r="H60" i="111"/>
  <c r="H14" i="111" l="1"/>
  <c r="H28" i="111"/>
  <c r="H17" i="111"/>
  <c r="E19" i="111"/>
  <c r="H65" i="111"/>
  <c r="E73" i="111"/>
  <c r="E76" i="111" s="1"/>
  <c r="E80" i="111" s="1"/>
  <c r="H80" i="111" s="1"/>
  <c r="H19" i="111" l="1"/>
  <c r="E31" i="3" l="1"/>
  <c r="F32" i="48" s="1"/>
  <c r="G32" i="48" s="1"/>
  <c r="A36" i="3" l="1"/>
  <c r="A33" i="48" l="1"/>
  <c r="AC33" i="1" l="1"/>
  <c r="AE33" i="1" l="1"/>
  <c r="E18" i="52" l="1"/>
  <c r="E20" i="52" s="1"/>
  <c r="L25" i="1"/>
  <c r="C29" i="3" l="1"/>
  <c r="B29" i="3"/>
  <c r="B30" i="48" l="1"/>
  <c r="X72" i="1" l="1"/>
  <c r="X65" i="1"/>
  <c r="X45" i="1"/>
  <c r="X35" i="1"/>
  <c r="X28" i="1"/>
  <c r="X17" i="1"/>
  <c r="X19" i="1" l="1"/>
  <c r="X73" i="1"/>
  <c r="X46" i="1"/>
  <c r="X76" i="1" l="1"/>
  <c r="X48" i="1"/>
  <c r="X51" i="1" l="1"/>
  <c r="X80" i="1"/>
  <c r="X52" i="1" s="1"/>
  <c r="E29" i="3" l="1"/>
  <c r="F30" i="48" s="1"/>
  <c r="G30" i="48" s="1"/>
  <c r="U42" i="1" l="1"/>
  <c r="U34" i="1"/>
  <c r="S42" i="1"/>
  <c r="S37" i="1"/>
  <c r="R42" i="1"/>
  <c r="R37" i="1"/>
  <c r="S34" i="1" l="1"/>
  <c r="C24" i="3" l="1"/>
  <c r="B26" i="48" s="1"/>
  <c r="B24" i="3"/>
  <c r="S72" i="1"/>
  <c r="S65" i="1"/>
  <c r="S45" i="1"/>
  <c r="S35" i="1"/>
  <c r="S28" i="1"/>
  <c r="S17" i="1"/>
  <c r="S19" i="1" l="1"/>
  <c r="S73" i="1"/>
  <c r="S46" i="1"/>
  <c r="S48" i="1" l="1"/>
  <c r="S76" i="1"/>
  <c r="S51" i="1" l="1"/>
  <c r="S80" i="1"/>
  <c r="S52" i="1" s="1"/>
  <c r="J10" i="1" l="1"/>
  <c r="C15" i="3"/>
  <c r="B17" i="48" s="1"/>
  <c r="B15" i="3"/>
  <c r="J72" i="1"/>
  <c r="J65" i="1"/>
  <c r="J45" i="1"/>
  <c r="J35" i="1"/>
  <c r="J28" i="1"/>
  <c r="J17" i="1"/>
  <c r="J19" i="1" l="1"/>
  <c r="J73" i="1"/>
  <c r="K10" i="1"/>
  <c r="A15" i="3"/>
  <c r="A17" i="48" s="1"/>
  <c r="J46" i="1"/>
  <c r="L10" i="1" l="1"/>
  <c r="J48" i="1"/>
  <c r="J76" i="1"/>
  <c r="M10" i="1" l="1"/>
  <c r="J51" i="1"/>
  <c r="J80" i="1"/>
  <c r="J52" i="1" s="1"/>
  <c r="N10" i="1" l="1"/>
  <c r="E15" i="3"/>
  <c r="F17" i="48" s="1"/>
  <c r="G17" i="48" s="1"/>
  <c r="O10" i="1" l="1"/>
  <c r="P10" i="1" l="1"/>
  <c r="Q10" i="1" l="1"/>
  <c r="R10" i="1" l="1"/>
  <c r="S10" i="1" s="1"/>
  <c r="T10" i="1" s="1"/>
  <c r="U10" i="1" s="1"/>
  <c r="V10" i="1" s="1"/>
  <c r="W10" i="1" s="1"/>
  <c r="A28" i="3" l="1"/>
  <c r="X10" i="1"/>
  <c r="Y10" i="1" s="1"/>
  <c r="Z10" i="1" s="1"/>
  <c r="T35" i="1"/>
  <c r="T28" i="1"/>
  <c r="T17" i="1"/>
  <c r="AA72" i="1"/>
  <c r="AA65" i="1"/>
  <c r="AA45" i="1"/>
  <c r="AA35" i="1"/>
  <c r="AA28" i="1"/>
  <c r="AA17" i="1"/>
  <c r="A24" i="3" l="1"/>
  <c r="A26" i="48" s="1"/>
  <c r="AA73" i="1"/>
  <c r="AA19" i="1"/>
  <c r="T19" i="1"/>
  <c r="AA46" i="1"/>
  <c r="AA76" i="1" l="1"/>
  <c r="AA48" i="1"/>
  <c r="AA80" i="1" l="1"/>
  <c r="AA52" i="1" s="1"/>
  <c r="AA51" i="1"/>
  <c r="C10" i="3"/>
  <c r="B10" i="3"/>
  <c r="A10" i="3"/>
  <c r="F10" i="1"/>
  <c r="F17" i="1"/>
  <c r="G17" i="1"/>
  <c r="H17" i="1"/>
  <c r="I17" i="1"/>
  <c r="K17" i="1"/>
  <c r="L17" i="1"/>
  <c r="M17" i="1"/>
  <c r="N17" i="1"/>
  <c r="U17" i="1"/>
  <c r="V17" i="1"/>
  <c r="AB17" i="1"/>
  <c r="O17" i="1"/>
  <c r="P17" i="1"/>
  <c r="Q17" i="1"/>
  <c r="R17" i="1"/>
  <c r="Y17" i="1"/>
  <c r="AE22" i="1"/>
  <c r="F28" i="1"/>
  <c r="G28" i="1"/>
  <c r="H28" i="1"/>
  <c r="I28" i="1"/>
  <c r="K28" i="1"/>
  <c r="L28" i="1"/>
  <c r="M28" i="1"/>
  <c r="N28" i="1"/>
  <c r="U28" i="1"/>
  <c r="V28" i="1"/>
  <c r="AB28" i="1"/>
  <c r="O28" i="1"/>
  <c r="P28" i="1"/>
  <c r="Q28" i="1"/>
  <c r="R28" i="1"/>
  <c r="Y28" i="1"/>
  <c r="AE30" i="1"/>
  <c r="F35" i="1"/>
  <c r="G35" i="1"/>
  <c r="H35" i="1"/>
  <c r="I35" i="1"/>
  <c r="K35" i="1"/>
  <c r="L35" i="1"/>
  <c r="M35" i="1"/>
  <c r="N35" i="1"/>
  <c r="U35" i="1"/>
  <c r="V35" i="1"/>
  <c r="AB35" i="1"/>
  <c r="O35" i="1"/>
  <c r="P35" i="1"/>
  <c r="Q35" i="1"/>
  <c r="R35" i="1"/>
  <c r="Y35" i="1"/>
  <c r="E44" i="1"/>
  <c r="AC44" i="1" s="1"/>
  <c r="F45" i="1"/>
  <c r="G45" i="1"/>
  <c r="H45" i="1"/>
  <c r="I45" i="1"/>
  <c r="K45" i="1"/>
  <c r="L45" i="1"/>
  <c r="M45" i="1"/>
  <c r="N45" i="1"/>
  <c r="U45" i="1"/>
  <c r="V45" i="1"/>
  <c r="AB45" i="1"/>
  <c r="O45" i="1"/>
  <c r="P45" i="1"/>
  <c r="Q45" i="1"/>
  <c r="R45" i="1"/>
  <c r="T45" i="1"/>
  <c r="Y45" i="1"/>
  <c r="E52" i="1"/>
  <c r="F65" i="1"/>
  <c r="G65" i="1"/>
  <c r="H65" i="1"/>
  <c r="I65" i="1"/>
  <c r="K65" i="1"/>
  <c r="L65" i="1"/>
  <c r="M65" i="1"/>
  <c r="N65" i="1"/>
  <c r="U65" i="1"/>
  <c r="V65" i="1"/>
  <c r="AB65" i="1"/>
  <c r="O65" i="1"/>
  <c r="P65" i="1"/>
  <c r="Q65" i="1"/>
  <c r="R65" i="1"/>
  <c r="T65" i="1"/>
  <c r="Y65" i="1"/>
  <c r="F72" i="1"/>
  <c r="G72" i="1"/>
  <c r="H72" i="1"/>
  <c r="I72" i="1"/>
  <c r="K72" i="1"/>
  <c r="L72" i="1"/>
  <c r="M72" i="1"/>
  <c r="N72" i="1"/>
  <c r="U72" i="1"/>
  <c r="V72" i="1"/>
  <c r="AB72" i="1"/>
  <c r="O72" i="1"/>
  <c r="P72" i="1"/>
  <c r="Q72" i="1"/>
  <c r="R72" i="1"/>
  <c r="T72" i="1"/>
  <c r="Y72" i="1"/>
  <c r="B39" i="3"/>
  <c r="B30" i="3"/>
  <c r="B25" i="3"/>
  <c r="B23" i="3"/>
  <c r="B22" i="3"/>
  <c r="B21" i="3"/>
  <c r="B20" i="3"/>
  <c r="B32" i="3"/>
  <c r="B27" i="3"/>
  <c r="B26" i="3"/>
  <c r="B19" i="3"/>
  <c r="B18" i="3"/>
  <c r="B17" i="3"/>
  <c r="B16" i="3"/>
  <c r="B14" i="3"/>
  <c r="B13" i="3"/>
  <c r="B12" i="3"/>
  <c r="B11" i="3"/>
  <c r="P73" i="1" l="1"/>
  <c r="K73" i="1"/>
  <c r="Q73" i="1"/>
  <c r="L73" i="1"/>
  <c r="H73" i="1"/>
  <c r="Y73" i="1"/>
  <c r="T73" i="1"/>
  <c r="O73" i="1"/>
  <c r="N73" i="1"/>
  <c r="G73" i="1"/>
  <c r="U73" i="1"/>
  <c r="V73" i="1"/>
  <c r="R73" i="1"/>
  <c r="AB73" i="1"/>
  <c r="M73" i="1"/>
  <c r="I73" i="1"/>
  <c r="F73" i="1"/>
  <c r="N19" i="1"/>
  <c r="O19" i="1"/>
  <c r="Y19" i="1"/>
  <c r="G10" i="1"/>
  <c r="P19" i="1"/>
  <c r="G19" i="1"/>
  <c r="U46" i="1"/>
  <c r="AB19" i="1"/>
  <c r="U19" i="1"/>
  <c r="R46" i="1"/>
  <c r="AB46" i="1"/>
  <c r="M46" i="1"/>
  <c r="I46" i="1"/>
  <c r="F46" i="1"/>
  <c r="K19" i="1"/>
  <c r="I19" i="1"/>
  <c r="R19" i="1"/>
  <c r="F19" i="1"/>
  <c r="M19" i="1"/>
  <c r="Q46" i="1"/>
  <c r="L46" i="1"/>
  <c r="Q19" i="1"/>
  <c r="V19" i="1"/>
  <c r="L19" i="1"/>
  <c r="H19" i="1"/>
  <c r="V46" i="1"/>
  <c r="H46" i="1"/>
  <c r="P46" i="1"/>
  <c r="K46" i="1"/>
  <c r="AE44" i="1"/>
  <c r="Y46" i="1"/>
  <c r="T46" i="1"/>
  <c r="O46" i="1"/>
  <c r="N46" i="1"/>
  <c r="G46" i="1"/>
  <c r="A11" i="3"/>
  <c r="I10" i="48"/>
  <c r="G42" i="48"/>
  <c r="E24" i="1"/>
  <c r="E27" i="1"/>
  <c r="AC27" i="1" s="1"/>
  <c r="E34" i="1"/>
  <c r="AC34" i="1" s="1"/>
  <c r="E37" i="1"/>
  <c r="AC37" i="1" s="1"/>
  <c r="E38" i="1"/>
  <c r="E39" i="1"/>
  <c r="E42" i="1"/>
  <c r="AC42" i="1" s="1"/>
  <c r="E43" i="1"/>
  <c r="AC43" i="1" s="1"/>
  <c r="E51" i="1"/>
  <c r="E53" i="1"/>
  <c r="E54" i="1"/>
  <c r="AC54" i="1" s="1"/>
  <c r="E64" i="1"/>
  <c r="E75" i="1"/>
  <c r="E18" i="1" l="1"/>
  <c r="E77" i="1"/>
  <c r="E26" i="1"/>
  <c r="E14" i="1"/>
  <c r="H76" i="1"/>
  <c r="N76" i="1"/>
  <c r="V76" i="1"/>
  <c r="Q76" i="1"/>
  <c r="L76" i="1"/>
  <c r="AC39" i="1"/>
  <c r="AC24" i="1"/>
  <c r="AC38" i="1"/>
  <c r="E45" i="1"/>
  <c r="M48" i="1"/>
  <c r="AE54" i="1"/>
  <c r="AE43" i="1"/>
  <c r="AC45" i="1"/>
  <c r="T76" i="1"/>
  <c r="AE37" i="1"/>
  <c r="AE42" i="1"/>
  <c r="I48" i="1"/>
  <c r="AE34" i="1"/>
  <c r="AE27" i="1"/>
  <c r="P48" i="1"/>
  <c r="K76" i="1"/>
  <c r="K48" i="1"/>
  <c r="U76" i="1"/>
  <c r="H10" i="1"/>
  <c r="P76" i="1"/>
  <c r="U48" i="1"/>
  <c r="AB48" i="1"/>
  <c r="F48" i="1"/>
  <c r="F51" i="1" s="1"/>
  <c r="Y76" i="1"/>
  <c r="O76" i="1"/>
  <c r="G76" i="1"/>
  <c r="R48" i="1"/>
  <c r="V48" i="1"/>
  <c r="F76" i="1"/>
  <c r="R76" i="1"/>
  <c r="L48" i="1"/>
  <c r="AB76" i="1"/>
  <c r="H48" i="1"/>
  <c r="M76" i="1"/>
  <c r="Q48" i="1"/>
  <c r="I76" i="1"/>
  <c r="N48" i="1"/>
  <c r="Y48" i="1"/>
  <c r="G48" i="1"/>
  <c r="G51" i="1" s="1"/>
  <c r="T48" i="1"/>
  <c r="O48" i="1"/>
  <c r="A1" i="3"/>
  <c r="A4" i="3"/>
  <c r="A4" i="48" s="1"/>
  <c r="AI43" i="1" l="1"/>
  <c r="AC15" i="1"/>
  <c r="AE15" i="1" s="1"/>
  <c r="Q80" i="1"/>
  <c r="Q52" i="1" s="1"/>
  <c r="AE38" i="1"/>
  <c r="I51" i="1"/>
  <c r="L80" i="1"/>
  <c r="L52" i="1" s="1"/>
  <c r="V80" i="1"/>
  <c r="V52" i="1" s="1"/>
  <c r="N80" i="1"/>
  <c r="N52" i="1" s="1"/>
  <c r="H80" i="1"/>
  <c r="H52" i="1" s="1"/>
  <c r="AE39" i="1"/>
  <c r="P51" i="1"/>
  <c r="M51" i="1"/>
  <c r="AC14" i="1"/>
  <c r="AE24" i="1"/>
  <c r="AC26" i="1"/>
  <c r="AE45" i="1"/>
  <c r="AC18" i="1"/>
  <c r="AC23" i="1"/>
  <c r="E25" i="1"/>
  <c r="E28" i="1" s="1"/>
  <c r="T80" i="1"/>
  <c r="T52" i="1" s="1"/>
  <c r="AB51" i="1"/>
  <c r="G80" i="1"/>
  <c r="G52" i="1" s="1"/>
  <c r="U80" i="1"/>
  <c r="U52" i="1" s="1"/>
  <c r="K51" i="1"/>
  <c r="P80" i="1"/>
  <c r="P52" i="1" s="1"/>
  <c r="K80" i="1"/>
  <c r="K52" i="1" s="1"/>
  <c r="R51" i="1"/>
  <c r="O80" i="1"/>
  <c r="O52" i="1" s="1"/>
  <c r="Y80" i="1"/>
  <c r="Y52" i="1" s="1"/>
  <c r="Q51" i="1"/>
  <c r="M80" i="1"/>
  <c r="M52" i="1" s="1"/>
  <c r="H51" i="1"/>
  <c r="L51" i="1"/>
  <c r="R80" i="1"/>
  <c r="R52" i="1" s="1"/>
  <c r="V51" i="1"/>
  <c r="I80" i="1"/>
  <c r="I52" i="1" s="1"/>
  <c r="AB80" i="1"/>
  <c r="AB52" i="1" s="1"/>
  <c r="F80" i="1"/>
  <c r="F52" i="1" s="1"/>
  <c r="T51" i="1"/>
  <c r="O51" i="1"/>
  <c r="AE14" i="1" l="1"/>
  <c r="AC53" i="1"/>
  <c r="AE53" i="1" s="1"/>
  <c r="E21" i="3"/>
  <c r="F23" i="48" s="1"/>
  <c r="G23" i="48" s="1"/>
  <c r="AA10" i="1"/>
  <c r="AB10" i="1" s="1"/>
  <c r="E24" i="3"/>
  <c r="F26" i="48" s="1"/>
  <c r="G26" i="48" s="1"/>
  <c r="E13" i="3"/>
  <c r="E12" i="3"/>
  <c r="AE23" i="1"/>
  <c r="AC25" i="1"/>
  <c r="AE18" i="1"/>
  <c r="AE26" i="1"/>
  <c r="AE25" i="1" l="1"/>
  <c r="AC28" i="1"/>
  <c r="A31" i="3" l="1"/>
  <c r="E8" i="48"/>
  <c r="E48" i="48" s="1"/>
  <c r="A32" i="48" l="1"/>
  <c r="A29" i="3"/>
  <c r="A30" i="48" l="1"/>
  <c r="C13" i="3"/>
  <c r="A13" i="3"/>
  <c r="A73" i="48"/>
  <c r="C54" i="48"/>
  <c r="E61" i="48" s="1"/>
  <c r="A70" i="48"/>
  <c r="A71" i="48"/>
  <c r="A114" i="48"/>
  <c r="B114" i="48"/>
  <c r="F114" i="48"/>
  <c r="B117" i="48"/>
  <c r="F117" i="48"/>
  <c r="C130" i="48"/>
  <c r="C131" i="48"/>
  <c r="B11" i="48"/>
  <c r="C11" i="3"/>
  <c r="A12" i="3"/>
  <c r="C12" i="3"/>
  <c r="A14" i="3"/>
  <c r="C14" i="3"/>
  <c r="A16" i="3"/>
  <c r="A18" i="48" s="1"/>
  <c r="C16" i="3"/>
  <c r="B18" i="48" s="1"/>
  <c r="A17" i="3"/>
  <c r="A19" i="48" s="1"/>
  <c r="C17" i="3"/>
  <c r="B19" i="48" s="1"/>
  <c r="A18" i="3"/>
  <c r="A20" i="48" s="1"/>
  <c r="C18" i="3"/>
  <c r="B20" i="48" s="1"/>
  <c r="A19" i="3"/>
  <c r="A21" i="48" s="1"/>
  <c r="C19" i="3"/>
  <c r="B21" i="48" s="1"/>
  <c r="A26" i="3"/>
  <c r="A28" i="48" s="1"/>
  <c r="C26" i="3"/>
  <c r="B28" i="48" s="1"/>
  <c r="A27" i="3"/>
  <c r="A29" i="48" s="1"/>
  <c r="C27" i="3"/>
  <c r="B29" i="48" s="1"/>
  <c r="C32" i="3"/>
  <c r="C20" i="3"/>
  <c r="B22" i="48" s="1"/>
  <c r="C21" i="3"/>
  <c r="B23" i="48" s="1"/>
  <c r="C22" i="3"/>
  <c r="B24" i="48" s="1"/>
  <c r="C23" i="3"/>
  <c r="B25" i="48" s="1"/>
  <c r="C25" i="3"/>
  <c r="B27" i="48" s="1"/>
  <c r="C30" i="3"/>
  <c r="B31" i="48" s="1"/>
  <c r="A39" i="3"/>
  <c r="A34" i="48" s="1"/>
  <c r="C39" i="3"/>
  <c r="B34" i="48" s="1"/>
  <c r="A77" i="48"/>
  <c r="B77" i="48"/>
  <c r="A78" i="48"/>
  <c r="B78" i="48"/>
  <c r="A79" i="48"/>
  <c r="B79" i="48"/>
  <c r="A80" i="48"/>
  <c r="B80" i="48"/>
  <c r="A81" i="48"/>
  <c r="B81" i="48"/>
  <c r="A82" i="48"/>
  <c r="B82" i="48"/>
  <c r="A83" i="48"/>
  <c r="B83" i="48"/>
  <c r="A84" i="48"/>
  <c r="B84" i="48"/>
  <c r="A85" i="48"/>
  <c r="B85" i="48"/>
  <c r="A86" i="48"/>
  <c r="B86" i="48"/>
  <c r="A87" i="48"/>
  <c r="B87" i="48"/>
  <c r="A88" i="48"/>
  <c r="B88" i="48"/>
  <c r="A89" i="48"/>
  <c r="B89" i="48"/>
  <c r="A90" i="48"/>
  <c r="B90" i="48"/>
  <c r="A91" i="48"/>
  <c r="B91" i="48"/>
  <c r="A92" i="48"/>
  <c r="B92" i="48"/>
  <c r="A93" i="48"/>
  <c r="B93" i="48"/>
  <c r="A94" i="48"/>
  <c r="B94" i="48"/>
  <c r="A95" i="48"/>
  <c r="B95" i="48"/>
  <c r="A96" i="48"/>
  <c r="B96" i="48"/>
  <c r="A97" i="48"/>
  <c r="B97" i="48"/>
  <c r="A99" i="48"/>
  <c r="B99" i="48"/>
  <c r="A100" i="48"/>
  <c r="B100" i="48"/>
  <c r="A101" i="48"/>
  <c r="B101" i="48"/>
  <c r="A102" i="48"/>
  <c r="B102" i="48"/>
  <c r="A103" i="48"/>
  <c r="B103" i="48"/>
  <c r="A104" i="48"/>
  <c r="B104" i="48"/>
  <c r="A105" i="48"/>
  <c r="B105" i="48"/>
  <c r="A106" i="48"/>
  <c r="B106" i="48"/>
  <c r="A107" i="48"/>
  <c r="B107" i="48"/>
  <c r="A108" i="48"/>
  <c r="B108" i="48"/>
  <c r="A109" i="48"/>
  <c r="B109" i="48"/>
  <c r="A110" i="48"/>
  <c r="B110" i="48"/>
  <c r="A111" i="48"/>
  <c r="B111" i="48"/>
  <c r="A112" i="48"/>
  <c r="B112" i="48"/>
  <c r="A113" i="48"/>
  <c r="B113" i="48"/>
  <c r="E22" i="52"/>
  <c r="F113" i="48"/>
  <c r="F112" i="48"/>
  <c r="C68" i="48"/>
  <c r="C146" i="48" s="1"/>
  <c r="C60" i="48"/>
  <c r="C138" i="48" s="1"/>
  <c r="C64" i="48"/>
  <c r="C142" i="48" s="1"/>
  <c r="C63" i="48"/>
  <c r="C141" i="48" s="1"/>
  <c r="C59" i="48"/>
  <c r="C137" i="48" s="1"/>
  <c r="C67" i="48"/>
  <c r="C145" i="48" s="1"/>
  <c r="C58" i="48"/>
  <c r="C136" i="48" s="1"/>
  <c r="F95" i="48"/>
  <c r="F109" i="48"/>
  <c r="F111" i="48"/>
  <c r="F101" i="48"/>
  <c r="F85" i="48"/>
  <c r="F93" i="48"/>
  <c r="F107" i="48"/>
  <c r="F105" i="48"/>
  <c r="F108" i="48"/>
  <c r="F80" i="48"/>
  <c r="F89" i="48"/>
  <c r="F87" i="48"/>
  <c r="F91" i="48"/>
  <c r="F102" i="48"/>
  <c r="F110" i="48"/>
  <c r="F90" i="48"/>
  <c r="F106" i="48"/>
  <c r="F81" i="48"/>
  <c r="F84" i="48"/>
  <c r="F88" i="48"/>
  <c r="F86" i="48"/>
  <c r="F92" i="48"/>
  <c r="F103" i="48"/>
  <c r="F83" i="48"/>
  <c r="F96" i="48"/>
  <c r="F104" i="48"/>
  <c r="F97" i="48"/>
  <c r="F77" i="48"/>
  <c r="F115" i="48" s="1"/>
  <c r="F78" i="48"/>
  <c r="F82" i="48"/>
  <c r="F99" i="48"/>
  <c r="F79" i="48"/>
  <c r="F94" i="48"/>
  <c r="F100" i="48"/>
  <c r="B16" i="48" l="1"/>
  <c r="A16" i="48"/>
  <c r="A13" i="48"/>
  <c r="A12" i="48"/>
  <c r="B14" i="48"/>
  <c r="B13" i="48"/>
  <c r="B12" i="48"/>
  <c r="A14" i="48"/>
  <c r="C65" i="48"/>
  <c r="D64" i="48" s="1"/>
  <c r="C139" i="48"/>
  <c r="D136" i="48" s="1"/>
  <c r="C69" i="48"/>
  <c r="D67" i="48" s="1"/>
  <c r="D69" i="48" s="1"/>
  <c r="A4" i="52"/>
  <c r="C143" i="48"/>
  <c r="D141" i="48" s="1"/>
  <c r="C132" i="48"/>
  <c r="E139" i="48" s="1"/>
  <c r="C147" i="48"/>
  <c r="D145" i="48" s="1"/>
  <c r="C61" i="48"/>
  <c r="D58" i="48" s="1"/>
  <c r="F119" i="48"/>
  <c r="F123" i="48" s="1"/>
  <c r="F126" i="48" s="1"/>
  <c r="D63" i="48" l="1"/>
  <c r="D65" i="48" s="1"/>
  <c r="D142" i="48"/>
  <c r="D143" i="48" s="1"/>
  <c r="A32" i="3"/>
  <c r="D137" i="48"/>
  <c r="E137" i="48" s="1"/>
  <c r="E147" i="48" s="1"/>
  <c r="E145" i="48" s="1"/>
  <c r="D138" i="48"/>
  <c r="E138" i="48" s="1"/>
  <c r="D68" i="48"/>
  <c r="D147" i="48"/>
  <c r="E58" i="48"/>
  <c r="E65" i="48" s="1"/>
  <c r="D146" i="48"/>
  <c r="D60" i="48"/>
  <c r="E60" i="48" s="1"/>
  <c r="D59" i="48"/>
  <c r="E59" i="48" s="1"/>
  <c r="E69" i="48" s="1"/>
  <c r="E136" i="48"/>
  <c r="E143" i="48" s="1"/>
  <c r="E87" i="1" l="1"/>
  <c r="A20" i="3"/>
  <c r="A22" i="48" s="1"/>
  <c r="D139" i="48"/>
  <c r="E146" i="48"/>
  <c r="E67" i="48"/>
  <c r="E68" i="48"/>
  <c r="E64" i="48"/>
  <c r="E63" i="48"/>
  <c r="D61" i="48"/>
  <c r="E141" i="48"/>
  <c r="E142" i="48"/>
  <c r="E18" i="3" l="1"/>
  <c r="F20" i="48" s="1"/>
  <c r="G20" i="48" s="1"/>
  <c r="A21" i="3"/>
  <c r="A23" i="48" s="1"/>
  <c r="E17" i="3"/>
  <c r="F19" i="48" s="1"/>
  <c r="G19" i="48" s="1"/>
  <c r="E32" i="3"/>
  <c r="E30" i="3"/>
  <c r="F31" i="48" s="1"/>
  <c r="G31" i="48" s="1"/>
  <c r="E14" i="3"/>
  <c r="F16" i="48" s="1"/>
  <c r="E39" i="3" l="1"/>
  <c r="F34" i="48" s="1"/>
  <c r="G34" i="48" s="1"/>
  <c r="E23" i="3"/>
  <c r="F25" i="48" s="1"/>
  <c r="G25" i="48" s="1"/>
  <c r="E16" i="3"/>
  <c r="F18" i="48" s="1"/>
  <c r="G18" i="48" s="1"/>
  <c r="E20" i="3"/>
  <c r="F22" i="48" s="1"/>
  <c r="G22" i="48" s="1"/>
  <c r="F14" i="48"/>
  <c r="E26" i="3"/>
  <c r="F28" i="48" s="1"/>
  <c r="G28" i="48" s="1"/>
  <c r="E19" i="3"/>
  <c r="F21" i="48" s="1"/>
  <c r="G21" i="48" s="1"/>
  <c r="E25" i="3"/>
  <c r="F27" i="48" s="1"/>
  <c r="G27" i="48" s="1"/>
  <c r="E27" i="3"/>
  <c r="F29" i="48" s="1"/>
  <c r="G29" i="48" s="1"/>
  <c r="F13" i="48"/>
  <c r="A22" i="3"/>
  <c r="A24" i="48" s="1"/>
  <c r="E22" i="3"/>
  <c r="E11" i="3"/>
  <c r="F12" i="48" s="1"/>
  <c r="G16" i="48"/>
  <c r="F24" i="48" l="1"/>
  <c r="G24" i="48" s="1"/>
  <c r="G12" i="48"/>
  <c r="G13" i="48"/>
  <c r="A23" i="3"/>
  <c r="A25" i="48" s="1"/>
  <c r="G14" i="48"/>
  <c r="F36" i="48" l="1"/>
  <c r="A25" i="3"/>
  <c r="A27" i="48" s="1"/>
  <c r="A30" i="3" l="1"/>
  <c r="A31" i="48" s="1"/>
  <c r="Z56" i="1" l="1"/>
  <c r="I32" i="48" l="1"/>
  <c r="I34" i="48"/>
  <c r="AD56" i="1"/>
  <c r="I33" i="48"/>
  <c r="N56" i="1"/>
  <c r="W56" i="1"/>
  <c r="I12" i="48"/>
  <c r="I31" i="48"/>
  <c r="I21" i="48"/>
  <c r="I17" i="48"/>
  <c r="I18" i="48"/>
  <c r="I19" i="48"/>
  <c r="I23" i="48"/>
  <c r="I24" i="48"/>
  <c r="I27" i="48"/>
  <c r="I22" i="48"/>
  <c r="I29" i="48"/>
  <c r="I25" i="48"/>
  <c r="I26" i="48"/>
  <c r="I28" i="48"/>
  <c r="I20" i="48"/>
  <c r="I30" i="48"/>
  <c r="X56" i="1"/>
  <c r="S56" i="1"/>
  <c r="I56" i="1"/>
  <c r="R56" i="1"/>
  <c r="K56" i="1"/>
  <c r="O56" i="1"/>
  <c r="AB56" i="1"/>
  <c r="V56" i="1"/>
  <c r="J56" i="1"/>
  <c r="L56" i="1"/>
  <c r="P56" i="1"/>
  <c r="T56" i="1"/>
  <c r="M56" i="1"/>
  <c r="Q56" i="1"/>
  <c r="H56" i="1"/>
  <c r="AC52" i="1"/>
  <c r="F56" i="1"/>
  <c r="G56" i="1"/>
  <c r="AA56" i="1"/>
  <c r="U56" i="1"/>
  <c r="I16" i="48"/>
  <c r="I13" i="48"/>
  <c r="F38" i="48"/>
  <c r="F40" i="48" s="1"/>
  <c r="F44" i="48" s="1"/>
  <c r="F47" i="48" s="1"/>
  <c r="I14" i="48"/>
  <c r="D36" i="3" l="1"/>
  <c r="Z89" i="1"/>
  <c r="Z90" i="1" s="1"/>
  <c r="AD89" i="1"/>
  <c r="AD90" i="1" s="1"/>
  <c r="D19" i="3"/>
  <c r="D28" i="3"/>
  <c r="W89" i="1"/>
  <c r="W90" i="1" s="1"/>
  <c r="D31" i="3"/>
  <c r="D29" i="3"/>
  <c r="X89" i="1"/>
  <c r="X90" i="1" s="1"/>
  <c r="D24" i="3"/>
  <c r="D14" i="3"/>
  <c r="S89" i="1"/>
  <c r="S90" i="1" s="1"/>
  <c r="N89" i="1"/>
  <c r="N90" i="1" s="1"/>
  <c r="I89" i="1"/>
  <c r="I90" i="1" s="1"/>
  <c r="J89" i="1"/>
  <c r="J90" i="1" s="1"/>
  <c r="D16" i="3"/>
  <c r="K89" i="1"/>
  <c r="K90" i="1" s="1"/>
  <c r="D27" i="3"/>
  <c r="O89" i="1"/>
  <c r="O90" i="1" s="1"/>
  <c r="D13" i="3"/>
  <c r="D23" i="3"/>
  <c r="R89" i="1"/>
  <c r="R90" i="1" s="1"/>
  <c r="M89" i="1"/>
  <c r="M90" i="1" s="1"/>
  <c r="H89" i="1"/>
  <c r="H90" i="1" s="1"/>
  <c r="D12" i="3"/>
  <c r="D20" i="3"/>
  <c r="V89" i="1"/>
  <c r="V90" i="1" s="1"/>
  <c r="D18" i="3"/>
  <c r="AB89" i="1"/>
  <c r="AB90" i="1" s="1"/>
  <c r="P89" i="1"/>
  <c r="P90" i="1" s="1"/>
  <c r="D11" i="3"/>
  <c r="Q89" i="1"/>
  <c r="Q90" i="1" s="1"/>
  <c r="T89" i="1"/>
  <c r="T90" i="1" s="1"/>
  <c r="D32" i="3"/>
  <c r="D22" i="3"/>
  <c r="D21" i="3"/>
  <c r="AA89" i="1"/>
  <c r="AA90" i="1" s="1"/>
  <c r="F89" i="1"/>
  <c r="F90" i="1" s="1"/>
  <c r="D15" i="3"/>
  <c r="G89" i="1"/>
  <c r="G90" i="1" s="1"/>
  <c r="U89" i="1"/>
  <c r="U90" i="1" s="1"/>
  <c r="D25" i="3"/>
  <c r="D17" i="3"/>
  <c r="L89" i="1"/>
  <c r="L90" i="1" s="1"/>
  <c r="D39" i="3"/>
  <c r="D26" i="3"/>
  <c r="AE52" i="1"/>
  <c r="AE28" i="1" l="1"/>
  <c r="E62" i="1" l="1"/>
  <c r="E69" i="1"/>
  <c r="E68" i="1"/>
  <c r="E63" i="1"/>
  <c r="E71" i="1"/>
  <c r="E70" i="1"/>
  <c r="AC70" i="1" s="1"/>
  <c r="AE70" i="1" s="1"/>
  <c r="E67" i="1"/>
  <c r="E78" i="1"/>
  <c r="E61" i="1"/>
  <c r="E60" i="1"/>
  <c r="E16" i="1" l="1"/>
  <c r="AC63" i="1"/>
  <c r="AE63" i="1" s="1"/>
  <c r="AC62" i="1"/>
  <c r="AE62" i="1" s="1"/>
  <c r="AC69" i="1"/>
  <c r="AE69" i="1" s="1"/>
  <c r="AC75" i="1"/>
  <c r="AE75" i="1" s="1"/>
  <c r="AC67" i="1"/>
  <c r="AE67" i="1" s="1"/>
  <c r="AC64" i="1"/>
  <c r="AE64" i="1" s="1"/>
  <c r="AC61" i="1"/>
  <c r="AE61" i="1" s="1"/>
  <c r="AC78" i="1"/>
  <c r="AE78" i="1" s="1"/>
  <c r="E65" i="1"/>
  <c r="AC60" i="1"/>
  <c r="AE60" i="1" s="1"/>
  <c r="AC71" i="1"/>
  <c r="AE71" i="1" s="1"/>
  <c r="AC68" i="1"/>
  <c r="AE68" i="1" s="1"/>
  <c r="E72" i="1"/>
  <c r="AC77" i="1"/>
  <c r="AE77" i="1" s="1"/>
  <c r="AC16" i="1" l="1"/>
  <c r="AC17" i="1" s="1"/>
  <c r="E17" i="1"/>
  <c r="E19" i="1" s="1"/>
  <c r="AC72" i="1"/>
  <c r="AE72" i="1" s="1"/>
  <c r="E73" i="1"/>
  <c r="AC65" i="1"/>
  <c r="AE16" i="1" l="1"/>
  <c r="E76" i="1"/>
  <c r="AC73" i="1"/>
  <c r="AC76" i="1" s="1"/>
  <c r="AC80" i="1" s="1"/>
  <c r="AE65" i="1"/>
  <c r="AC19" i="1"/>
  <c r="AE73" i="1" l="1"/>
  <c r="E80" i="1"/>
  <c r="AE76" i="1" l="1"/>
  <c r="E10" i="3"/>
  <c r="AE80" i="1" l="1"/>
  <c r="AH45" i="1"/>
  <c r="AI45" i="1" s="1"/>
  <c r="E11" i="48"/>
  <c r="I11" i="48" s="1"/>
  <c r="E34" i="3"/>
  <c r="I40" i="48" l="1"/>
  <c r="I47" i="48" s="1"/>
  <c r="E36" i="48"/>
  <c r="E40" i="48" s="1"/>
  <c r="E37" i="3"/>
  <c r="E41" i="3" s="1"/>
  <c r="G11" i="48"/>
  <c r="G36" i="48" s="1"/>
  <c r="K36" i="48" l="1"/>
  <c r="E44" i="48"/>
  <c r="G40" i="48"/>
  <c r="E47" i="48" l="1"/>
  <c r="G44" i="48"/>
  <c r="Y51" i="1" l="1"/>
  <c r="K47" i="48" s="1"/>
  <c r="G47" i="48"/>
  <c r="AC51" i="1" l="1"/>
  <c r="Y56" i="1"/>
  <c r="D30" i="3" l="1"/>
  <c r="Y89" i="1"/>
  <c r="Y90" i="1" s="1"/>
  <c r="AE17" i="1" l="1"/>
  <c r="AE19" i="1" l="1"/>
  <c r="AE51" i="1" l="1"/>
  <c r="F256" i="111" l="1"/>
  <c r="F230" i="111"/>
  <c r="F247" i="111"/>
  <c r="F246" i="111"/>
  <c r="F239" i="111"/>
  <c r="F236" i="111"/>
  <c r="F248" i="111"/>
  <c r="F241" i="111"/>
  <c r="F234" i="111"/>
  <c r="F240" i="111"/>
  <c r="F229" i="111"/>
  <c r="F242" i="111"/>
  <c r="F243" i="111"/>
  <c r="F244" i="111"/>
  <c r="F233" i="111"/>
  <c r="F231" i="111"/>
  <c r="F228" i="111"/>
  <c r="F245" i="111"/>
  <c r="F235" i="111"/>
  <c r="F232" i="111"/>
  <c r="F252" i="111"/>
  <c r="F254" i="111"/>
  <c r="F33" i="111" s="1"/>
  <c r="E33" i="111" s="1"/>
  <c r="H33" i="111" s="1"/>
  <c r="F251" i="111"/>
  <c r="F32" i="111" s="1"/>
  <c r="E32" i="1" s="1"/>
  <c r="AC32" i="1" s="1"/>
  <c r="AE32" i="1" s="1"/>
  <c r="AI41" i="1" s="1"/>
  <c r="F227" i="111"/>
  <c r="F249" i="111"/>
  <c r="F31" i="111"/>
  <c r="E31" i="1" s="1"/>
  <c r="AC31" i="1" l="1"/>
  <c r="E32" i="111"/>
  <c r="H32" i="111" s="1"/>
  <c r="E31" i="111"/>
  <c r="F35" i="111"/>
  <c r="F46" i="111" s="1"/>
  <c r="F48" i="111" s="1"/>
  <c r="F56" i="111" s="1"/>
  <c r="F81" i="111" s="1"/>
  <c r="AC35" i="1" l="1"/>
  <c r="AE31" i="1"/>
  <c r="AI42" i="1" s="1"/>
  <c r="E35" i="111"/>
  <c r="H31" i="111"/>
  <c r="E46" i="1"/>
  <c r="AI47" i="1" l="1"/>
  <c r="AL54" i="1" s="1"/>
  <c r="AI67" i="1" s="1"/>
  <c r="E48" i="1"/>
  <c r="H35" i="111"/>
  <c r="E46" i="111"/>
  <c r="AE35" i="1"/>
  <c r="AC46" i="1"/>
  <c r="AJ43" i="1" l="1"/>
  <c r="AI64" i="1" s="1"/>
  <c r="AJ45" i="1"/>
  <c r="AI65" i="1" s="1"/>
  <c r="AJ41" i="1"/>
  <c r="AI62" i="1" s="1"/>
  <c r="AJ42" i="1"/>
  <c r="AI63" i="1" s="1"/>
  <c r="E48" i="111"/>
  <c r="H46" i="111"/>
  <c r="AC48" i="1"/>
  <c r="AE46" i="1"/>
  <c r="E56" i="1"/>
  <c r="AI68" i="1" l="1"/>
  <c r="M201" i="117"/>
  <c r="H21" i="122" s="1"/>
  <c r="H33" i="122" s="1"/>
  <c r="I33" i="122" s="1"/>
  <c r="M199" i="117"/>
  <c r="P199" i="117" s="1"/>
  <c r="G10" i="122"/>
  <c r="Q201" i="117"/>
  <c r="O201" i="117"/>
  <c r="S201" i="117"/>
  <c r="M200" i="117"/>
  <c r="H20" i="122" s="1"/>
  <c r="H32" i="122" s="1"/>
  <c r="I32" i="122" s="1"/>
  <c r="M198" i="117"/>
  <c r="H19" i="122" s="1"/>
  <c r="H31" i="122" s="1"/>
  <c r="I31" i="122" s="1"/>
  <c r="AJ46" i="1"/>
  <c r="G7" i="122"/>
  <c r="G7" i="121"/>
  <c r="N199" i="117"/>
  <c r="S199" i="117"/>
  <c r="T199" i="117"/>
  <c r="O199" i="117"/>
  <c r="R199" i="117"/>
  <c r="D10" i="3"/>
  <c r="E89" i="1"/>
  <c r="E90" i="1" s="1"/>
  <c r="AC56" i="1"/>
  <c r="AE48" i="1"/>
  <c r="E56" i="111"/>
  <c r="H48" i="111"/>
  <c r="Q199" i="117" l="1"/>
  <c r="H18" i="122"/>
  <c r="H30" i="122" s="1"/>
  <c r="V199" i="117"/>
  <c r="V201" i="117"/>
  <c r="R201" i="117"/>
  <c r="T201" i="117"/>
  <c r="I30" i="122"/>
  <c r="I35" i="122" s="1"/>
  <c r="H34" i="122"/>
  <c r="P201" i="117"/>
  <c r="N201" i="117"/>
  <c r="G10" i="121"/>
  <c r="H10" i="121" s="1"/>
  <c r="H7" i="122"/>
  <c r="G9" i="122"/>
  <c r="G9" i="121"/>
  <c r="O200" i="117"/>
  <c r="T200" i="117"/>
  <c r="V200" i="117" s="1"/>
  <c r="P200" i="117"/>
  <c r="N200" i="117"/>
  <c r="S200" i="117"/>
  <c r="S204" i="117" s="1"/>
  <c r="Q200" i="117"/>
  <c r="R200" i="117"/>
  <c r="G8" i="122"/>
  <c r="G8" i="121"/>
  <c r="G11" i="121" s="1"/>
  <c r="O198" i="117"/>
  <c r="Q198" i="117"/>
  <c r="S198" i="117"/>
  <c r="T198" i="117"/>
  <c r="N198" i="117"/>
  <c r="N204" i="117" s="1"/>
  <c r="R198" i="117"/>
  <c r="R204" i="117" s="1"/>
  <c r="P198" i="117"/>
  <c r="H21" i="121"/>
  <c r="I21" i="121" s="1"/>
  <c r="H18" i="121"/>
  <c r="H7" i="121"/>
  <c r="I21" i="122"/>
  <c r="H10" i="122"/>
  <c r="D34" i="3"/>
  <c r="F10" i="3"/>
  <c r="E81" i="111"/>
  <c r="H56" i="111"/>
  <c r="AC89" i="1"/>
  <c r="AC90" i="1" s="1"/>
  <c r="AE56" i="1"/>
  <c r="P204" i="117" l="1"/>
  <c r="O204" i="117"/>
  <c r="I18" i="121"/>
  <c r="V198" i="117"/>
  <c r="V204" i="117" s="1"/>
  <c r="T204" i="117"/>
  <c r="I20" i="122"/>
  <c r="H9" i="122"/>
  <c r="H19" i="121"/>
  <c r="I19" i="121" s="1"/>
  <c r="H8" i="121"/>
  <c r="I19" i="122"/>
  <c r="H8" i="122"/>
  <c r="H12" i="122" s="1"/>
  <c r="G11" i="122"/>
  <c r="Q204" i="117"/>
  <c r="H20" i="121"/>
  <c r="I20" i="121" s="1"/>
  <c r="H9" i="121"/>
  <c r="I18" i="122"/>
  <c r="H22" i="122"/>
  <c r="F34" i="3"/>
  <c r="D37" i="3"/>
  <c r="D41" i="3" s="1"/>
  <c r="AE89" i="1"/>
  <c r="AE90" i="1" s="1"/>
  <c r="H12" i="121" l="1"/>
  <c r="I23" i="121"/>
  <c r="I23" i="122"/>
  <c r="H22" i="121"/>
  <c r="F37" i="3"/>
  <c r="F41" i="3"/>
  <c r="J9" i="52" l="1"/>
  <c r="J14" i="52" l="1"/>
  <c r="J16" i="52"/>
  <c r="J12" i="52"/>
  <c r="K9" i="52" l="1"/>
  <c r="J18" i="52"/>
  <c r="J20" i="52" s="1"/>
  <c r="K12" i="52" l="1"/>
  <c r="K14" i="52"/>
  <c r="K16" i="52"/>
  <c r="J22" i="52"/>
  <c r="J24" i="52" l="1"/>
  <c r="J26" i="52" s="1"/>
  <c r="K18" i="52"/>
  <c r="K20" i="52" s="1"/>
  <c r="K22" i="52" l="1"/>
  <c r="K24" i="52" l="1"/>
  <c r="K26" i="52" s="1"/>
</calcChain>
</file>

<file path=xl/comments1.xml><?xml version="1.0" encoding="utf-8"?>
<comments xmlns="http://schemas.openxmlformats.org/spreadsheetml/2006/main">
  <authors>
    <author>Liz Andrews</author>
  </authors>
  <commentList>
    <comment ref="N51" authorId="0" shapeId="0">
      <text>
        <r>
          <rPr>
            <b/>
            <sz val="8"/>
            <color indexed="81"/>
            <rFont val="Tahoma"/>
            <family val="2"/>
          </rPr>
          <t>Liz Andrews:</t>
        </r>
        <r>
          <rPr>
            <sz val="8"/>
            <color indexed="81"/>
            <rFont val="Tahoma"/>
            <family val="2"/>
          </rPr>
          <t xml:space="preserve">
Per adjustment, adjusting current taxes for expiration of production tax credit, no formula in this column.</t>
        </r>
      </text>
    </comment>
    <comment ref="U51" authorId="0" shapeId="0">
      <text>
        <r>
          <rPr>
            <b/>
            <sz val="9"/>
            <color indexed="81"/>
            <rFont val="Tahoma"/>
            <family val="2"/>
          </rPr>
          <t>Liz Andrews:</t>
        </r>
        <r>
          <rPr>
            <sz val="9"/>
            <color indexed="81"/>
            <rFont val="Tahoma"/>
            <family val="2"/>
          </rPr>
          <t xml:space="preserve">
adjustment to DFIT - no current tax formula in this column. Check annually to adjustment.
</t>
        </r>
        <r>
          <rPr>
            <b/>
            <sz val="9"/>
            <color indexed="81"/>
            <rFont val="Tahoma"/>
            <family val="2"/>
          </rPr>
          <t>Annette Brandon:</t>
        </r>
        <r>
          <rPr>
            <sz val="9"/>
            <color indexed="81"/>
            <rFont val="Tahoma"/>
            <family val="2"/>
          </rPr>
          <t xml:space="preserve">
Use ERM elimination worksheet</t>
        </r>
      </text>
    </comment>
    <comment ref="Y51" authorId="0" shapeId="0">
      <text>
        <r>
          <rPr>
            <b/>
            <sz val="8"/>
            <color indexed="81"/>
            <rFont val="Tahoma"/>
            <family val="2"/>
          </rPr>
          <t>Liz Andrews:</t>
        </r>
        <r>
          <rPr>
            <sz val="8"/>
            <color indexed="81"/>
            <rFont val="Tahoma"/>
            <family val="2"/>
          </rPr>
          <t xml:space="preserve">
per Debt calc.</t>
        </r>
      </text>
    </comment>
    <comment ref="U53" authorId="0" shapeId="0">
      <text>
        <r>
          <rPr>
            <b/>
            <sz val="9"/>
            <color indexed="81"/>
            <rFont val="Tahoma"/>
            <family val="2"/>
          </rPr>
          <t xml:space="preserve">annette brandon:
</t>
        </r>
        <r>
          <rPr>
            <sz val="9"/>
            <color indexed="81"/>
            <rFont val="Tahoma"/>
            <family val="2"/>
          </rPr>
          <t>use ERM worksheet to input</t>
        </r>
      </text>
    </comment>
  </commentList>
</comments>
</file>

<file path=xl/comments2.xml><?xml version="1.0" encoding="utf-8"?>
<comments xmlns="http://schemas.openxmlformats.org/spreadsheetml/2006/main">
  <authors>
    <author>gzhkw6</author>
  </authors>
  <commentList>
    <comment ref="F77" authorId="0" shapeId="0">
      <text>
        <r>
          <rPr>
            <b/>
            <sz val="8"/>
            <color indexed="81"/>
            <rFont val="Tahoma"/>
            <family val="2"/>
          </rPr>
          <t>gzhkw6:</t>
        </r>
        <r>
          <rPr>
            <sz val="8"/>
            <color indexed="81"/>
            <rFont val="Tahoma"/>
            <family val="2"/>
          </rPr>
          <t xml:space="preserve">
Segregated Deferred Taxes and Deferred Debits and Credits as if it had been shown that way prior to 2011</t>
        </r>
      </text>
    </comment>
  </commentList>
</comments>
</file>

<file path=xl/comments3.xml><?xml version="1.0" encoding="utf-8"?>
<comments xmlns="http://schemas.openxmlformats.org/spreadsheetml/2006/main">
  <authors>
    <author>Liz Andrews</author>
  </authors>
  <commentList>
    <comment ref="O32" authorId="0" shapeId="0">
      <text>
        <r>
          <rPr>
            <b/>
            <sz val="9"/>
            <color indexed="81"/>
            <rFont val="Tahoma"/>
            <family val="2"/>
          </rPr>
          <t>Liz Andrews:</t>
        </r>
        <r>
          <rPr>
            <sz val="9"/>
            <color indexed="81"/>
            <rFont val="Tahoma"/>
            <family val="2"/>
          </rPr>
          <t xml:space="preserve">
Excise tax correction identified in UE-160228,
06.15.16 LMA (period 2009-2015</t>
        </r>
      </text>
    </comment>
    <comment ref="P32" authorId="0" shapeId="0">
      <text>
        <r>
          <rPr>
            <b/>
            <sz val="9"/>
            <color indexed="81"/>
            <rFont val="Tahoma"/>
            <family val="2"/>
          </rPr>
          <t>Liz Andrews:</t>
        </r>
        <r>
          <rPr>
            <sz val="9"/>
            <color indexed="81"/>
            <rFont val="Tahoma"/>
            <family val="2"/>
          </rPr>
          <t xml:space="preserve">
Excise tax correction identified in UE-160228,
06.15.16 LMA (period 2009-2015</t>
        </r>
      </text>
    </comment>
    <comment ref="Q32" authorId="0" shapeId="0">
      <text>
        <r>
          <rPr>
            <b/>
            <sz val="9"/>
            <color indexed="81"/>
            <rFont val="Tahoma"/>
            <family val="2"/>
          </rPr>
          <t>Liz Andrews:</t>
        </r>
        <r>
          <rPr>
            <sz val="9"/>
            <color indexed="81"/>
            <rFont val="Tahoma"/>
            <family val="2"/>
          </rPr>
          <t xml:space="preserve">
Excise tax correction identified in UE-160228,
06.15.16 LMA (period 2009-2015</t>
        </r>
      </text>
    </comment>
    <comment ref="R32" authorId="0" shapeId="0">
      <text>
        <r>
          <rPr>
            <b/>
            <sz val="9"/>
            <color indexed="81"/>
            <rFont val="Tahoma"/>
            <family val="2"/>
          </rPr>
          <t>Liz Andrews:</t>
        </r>
        <r>
          <rPr>
            <sz val="9"/>
            <color indexed="81"/>
            <rFont val="Tahoma"/>
            <family val="2"/>
          </rPr>
          <t xml:space="preserve">
Excise tax correction identified in UE-160228,
06.15.16 LMA (period 2009-2015</t>
        </r>
      </text>
    </comment>
    <comment ref="S32" authorId="0" shapeId="0">
      <text>
        <r>
          <rPr>
            <b/>
            <sz val="9"/>
            <color indexed="81"/>
            <rFont val="Tahoma"/>
            <family val="2"/>
          </rPr>
          <t>Liz Andrews:</t>
        </r>
        <r>
          <rPr>
            <sz val="9"/>
            <color indexed="81"/>
            <rFont val="Tahoma"/>
            <family val="2"/>
          </rPr>
          <t xml:space="preserve">
Excise tax correction identified in UE-160228,
06.15.16 LMA (period 2009-2015</t>
        </r>
      </text>
    </comment>
    <comment ref="T32" authorId="0" shapeId="0">
      <text>
        <r>
          <rPr>
            <b/>
            <sz val="9"/>
            <color indexed="81"/>
            <rFont val="Tahoma"/>
            <family val="2"/>
          </rPr>
          <t>Liz Andrews:</t>
        </r>
        <r>
          <rPr>
            <sz val="9"/>
            <color indexed="81"/>
            <rFont val="Tahoma"/>
            <family val="2"/>
          </rPr>
          <t xml:space="preserve">
Excise tax correction identified in UE-160228,
06.15.16 LMA (period 2009-2015</t>
        </r>
      </text>
    </comment>
    <comment ref="U32" authorId="0" shapeId="0">
      <text>
        <r>
          <rPr>
            <b/>
            <sz val="9"/>
            <color indexed="81"/>
            <rFont val="Tahoma"/>
            <family val="2"/>
          </rPr>
          <t>Liz Andrews:</t>
        </r>
        <r>
          <rPr>
            <sz val="9"/>
            <color indexed="81"/>
            <rFont val="Tahoma"/>
            <family val="2"/>
          </rPr>
          <t xml:space="preserve">
Excise tax correction identified in UE-160228,
06.15.16 LMA (period 2009-2015)</t>
        </r>
      </text>
    </comment>
  </commentList>
</comments>
</file>

<file path=xl/comments4.xml><?xml version="1.0" encoding="utf-8"?>
<comments xmlns="http://schemas.openxmlformats.org/spreadsheetml/2006/main">
  <authors>
    <author>gzhkw6</author>
    <author>Liz Andrews</author>
  </authors>
  <commentList>
    <comment ref="I18" authorId="0" shapeId="0">
      <text>
        <r>
          <rPr>
            <b/>
            <sz val="8"/>
            <color indexed="81"/>
            <rFont val="Tahoma"/>
            <family val="2"/>
          </rPr>
          <t>gzhkw6:</t>
        </r>
        <r>
          <rPr>
            <sz val="8"/>
            <color indexed="81"/>
            <rFont val="Tahoma"/>
            <family val="2"/>
          </rPr>
          <t xml:space="preserve">
includes100K for leased transportation vehicles amort that should have been general plant related</t>
        </r>
      </text>
    </comment>
    <comment ref="R28" authorId="1" shapeId="0">
      <text>
        <r>
          <rPr>
            <b/>
            <sz val="8"/>
            <color indexed="81"/>
            <rFont val="Tahoma"/>
            <family val="2"/>
          </rPr>
          <t>Liz Andrews:</t>
        </r>
        <r>
          <rPr>
            <sz val="8"/>
            <color indexed="81"/>
            <rFont val="Tahoma"/>
            <family val="2"/>
          </rPr>
          <t xml:space="preserve">
Removed in 12.2013 Commission Basis Report model</t>
        </r>
      </text>
    </comment>
    <comment ref="S28" authorId="1" shapeId="0">
      <text>
        <r>
          <rPr>
            <b/>
            <sz val="8"/>
            <color indexed="81"/>
            <rFont val="Tahoma"/>
            <family val="2"/>
          </rPr>
          <t>Liz Andrews:</t>
        </r>
        <r>
          <rPr>
            <sz val="8"/>
            <color indexed="81"/>
            <rFont val="Tahoma"/>
            <family val="2"/>
          </rPr>
          <t xml:space="preserve">
Removed in 12.2013 Commission Basis Report model</t>
        </r>
      </text>
    </comment>
    <comment ref="J30" authorId="0" shapeId="0">
      <text>
        <r>
          <rPr>
            <b/>
            <sz val="8"/>
            <color indexed="81"/>
            <rFont val="Tahoma"/>
            <family val="2"/>
          </rPr>
          <t>gzhkw6:</t>
        </r>
        <r>
          <rPr>
            <sz val="8"/>
            <color indexed="81"/>
            <rFont val="Tahoma"/>
            <family val="2"/>
          </rPr>
          <t xml:space="preserve">
Prior to 2006 the amortization of the write off was recorded in account 426, changed to 407 making manual CB adjustment no longer necessary</t>
        </r>
      </text>
    </comment>
    <comment ref="R33" authorId="1" shapeId="0">
      <text>
        <r>
          <rPr>
            <b/>
            <sz val="8"/>
            <color indexed="81"/>
            <rFont val="Tahoma"/>
            <family val="2"/>
          </rPr>
          <t>Liz Andrews:</t>
        </r>
        <r>
          <rPr>
            <sz val="8"/>
            <color indexed="81"/>
            <rFont val="Tahoma"/>
            <family val="2"/>
          </rPr>
          <t xml:space="preserve">
Removed in 12.2013 Commission Basis Report model</t>
        </r>
      </text>
    </comment>
    <comment ref="S33" authorId="1" shapeId="0">
      <text>
        <r>
          <rPr>
            <b/>
            <sz val="8"/>
            <color indexed="81"/>
            <rFont val="Tahoma"/>
            <family val="2"/>
          </rPr>
          <t>Liz Andrews:</t>
        </r>
        <r>
          <rPr>
            <sz val="8"/>
            <color indexed="81"/>
            <rFont val="Tahoma"/>
            <family val="2"/>
          </rPr>
          <t xml:space="preserve">
Removed in 12.2013 Commission Basis Report model</t>
        </r>
      </text>
    </comment>
    <comment ref="T33" authorId="1" shapeId="0">
      <text>
        <r>
          <rPr>
            <b/>
            <sz val="9"/>
            <color indexed="81"/>
            <rFont val="Tahoma"/>
            <family val="2"/>
          </rPr>
          <t>Liz Andrews:</t>
        </r>
        <r>
          <rPr>
            <sz val="9"/>
            <color indexed="81"/>
            <rFont val="Tahoma"/>
            <family val="2"/>
          </rPr>
          <t xml:space="preserve">
Removed in Commission Basis Report adj. 
</t>
        </r>
      </text>
    </comment>
    <comment ref="S38" authorId="0" shapeId="0">
      <text>
        <r>
          <rPr>
            <b/>
            <sz val="9"/>
            <color indexed="81"/>
            <rFont val="Tahoma"/>
            <family val="2"/>
          </rPr>
          <t>tlk:</t>
        </r>
        <r>
          <rPr>
            <sz val="9"/>
            <color indexed="81"/>
            <rFont val="Tahoma"/>
            <family val="2"/>
          </rPr>
          <t xml:space="preserve">
amortization eliminated in EAS</t>
        </r>
      </text>
    </comment>
    <comment ref="S39" authorId="0" shapeId="0">
      <text>
        <r>
          <rPr>
            <b/>
            <sz val="9"/>
            <color indexed="81"/>
            <rFont val="Tahoma"/>
            <family val="2"/>
          </rPr>
          <t>tlk:</t>
        </r>
        <r>
          <rPr>
            <sz val="9"/>
            <color indexed="81"/>
            <rFont val="Tahoma"/>
            <family val="2"/>
          </rPr>
          <t xml:space="preserve">
eliminated in EWPC
</t>
        </r>
      </text>
    </comment>
    <comment ref="G50" authorId="0" shapeId="0">
      <text>
        <r>
          <rPr>
            <b/>
            <sz val="8"/>
            <color indexed="81"/>
            <rFont val="Tahoma"/>
            <family val="2"/>
          </rPr>
          <t>gzhkw6:</t>
        </r>
        <r>
          <rPr>
            <sz val="8"/>
            <color indexed="81"/>
            <rFont val="Tahoma"/>
            <family val="2"/>
          </rPr>
          <t xml:space="preserve">
includes CS2 pro forma plant and small gen</t>
        </r>
      </text>
    </comment>
    <comment ref="H50" authorId="0" shapeId="0">
      <text>
        <r>
          <rPr>
            <b/>
            <sz val="8"/>
            <color indexed="81"/>
            <rFont val="Tahoma"/>
            <family val="2"/>
          </rPr>
          <t>gzhkw6:</t>
        </r>
        <r>
          <rPr>
            <sz val="8"/>
            <color indexed="81"/>
            <rFont val="Tahoma"/>
            <family val="2"/>
          </rPr>
          <t xml:space="preserve">
includes CS2 pro forma plant</t>
        </r>
      </text>
    </comment>
    <comment ref="I50" authorId="0" shapeId="0">
      <text>
        <r>
          <rPr>
            <b/>
            <sz val="8"/>
            <color indexed="81"/>
            <rFont val="Tahoma"/>
            <family val="2"/>
          </rPr>
          <t>gzhkw6:</t>
        </r>
        <r>
          <rPr>
            <sz val="8"/>
            <color indexed="81"/>
            <rFont val="Tahoma"/>
            <family val="2"/>
          </rPr>
          <t xml:space="preserve">
pro formed CS2</t>
        </r>
      </text>
    </comment>
  </commentList>
</comments>
</file>

<file path=xl/comments5.xml><?xml version="1.0" encoding="utf-8"?>
<comments xmlns="http://schemas.openxmlformats.org/spreadsheetml/2006/main">
  <authors>
    <author>rzk7kq</author>
  </authors>
  <commentList>
    <comment ref="B51" authorId="0" shapeId="0">
      <text>
        <r>
          <rPr>
            <b/>
            <sz val="8"/>
            <color indexed="81"/>
            <rFont val="Tahoma"/>
            <family val="2"/>
          </rPr>
          <t xml:space="preserve">rzk7kq: </t>
        </r>
        <r>
          <rPr>
            <sz val="8"/>
            <color indexed="81"/>
            <rFont val="Tahoma"/>
            <family val="2"/>
          </rPr>
          <t xml:space="preserve">
AFUDC Equity - all 419100 accounts
AFUDC Debt - all 432000 accounts</t>
        </r>
      </text>
    </comment>
    <comment ref="F117" authorId="0" shapeId="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comments6.xml><?xml version="1.0" encoding="utf-8"?>
<comments xmlns="http://schemas.openxmlformats.org/spreadsheetml/2006/main">
  <authors>
    <author>Avista Corp Employee</author>
    <author>rzs589</author>
    <author>A satisfied Microsoft Office user</author>
  </authors>
  <commentList>
    <comment ref="B85" authorId="0" shapeId="0">
      <text>
        <r>
          <rPr>
            <b/>
            <sz val="10"/>
            <color indexed="81"/>
            <rFont val="Tahoma"/>
            <family val="2"/>
          </rPr>
          <t>revenue from Montana Noxon customers is included in Idaho.  Is reversed out for Commission Basis reports</t>
        </r>
      </text>
    </comment>
    <comment ref="M85" authorId="0" shapeId="0">
      <text>
        <r>
          <rPr>
            <b/>
            <sz val="10"/>
            <color indexed="81"/>
            <rFont val="Tahoma"/>
            <family val="2"/>
          </rPr>
          <t>revenue from Montana Noxon customers is included in Idaho.  Is reversed out for Commission Basis reports</t>
        </r>
      </text>
    </comment>
    <comment ref="B101" authorId="0" shapeId="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M101" authorId="0" shapeId="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M429" authorId="1" shapeId="0">
      <text>
        <r>
          <rPr>
            <b/>
            <sz val="8"/>
            <color indexed="81"/>
            <rFont val="Tahoma"/>
            <family val="2"/>
          </rPr>
          <t>2/6/04 Account 182.31 is fully offset by 283.17</t>
        </r>
        <r>
          <rPr>
            <sz val="8"/>
            <color indexed="81"/>
            <rFont val="Tahoma"/>
            <family val="2"/>
          </rPr>
          <t xml:space="preserve">
</t>
        </r>
      </text>
    </comment>
    <comment ref="B430" authorId="1" shapeId="0">
      <text>
        <r>
          <rPr>
            <b/>
            <sz val="8"/>
            <color indexed="81"/>
            <rFont val="Tahoma"/>
            <family val="2"/>
          </rPr>
          <t>2/6/04 Account 182.31 is fully offset by 283.17</t>
        </r>
        <r>
          <rPr>
            <sz val="8"/>
            <color indexed="81"/>
            <rFont val="Tahoma"/>
            <family val="2"/>
          </rPr>
          <t xml:space="preserve">
</t>
        </r>
      </text>
    </comment>
    <comment ref="A451" authorId="2" shapeId="0">
      <text>
        <r>
          <rPr>
            <sz val="9"/>
            <color indexed="81"/>
            <rFont val="Tahoma"/>
            <family val="2"/>
          </rPr>
          <t>Acct 0108.02  System amount is from input matrix.  WA and ID amounts are hard coded, and do not change.</t>
        </r>
      </text>
    </comment>
    <comment ref="M452" authorId="1" shapeId="0">
      <text>
        <r>
          <rPr>
            <sz val="8"/>
            <color indexed="81"/>
            <rFont val="Tahoma"/>
            <family val="2"/>
          </rPr>
          <t xml:space="preserve">Write-off recorded 9/04 as the results of the Idaho General Rate Case
</t>
        </r>
      </text>
    </comment>
    <comment ref="B453" authorId="1" shapeId="0">
      <text>
        <r>
          <rPr>
            <sz val="8"/>
            <color indexed="81"/>
            <rFont val="Tahoma"/>
            <family val="2"/>
          </rPr>
          <t xml:space="preserve">Write-off recorded 9/04 as the results of the Idaho General Rate Case
</t>
        </r>
      </text>
    </comment>
    <comment ref="M453" authorId="1" shapeId="0">
      <text>
        <r>
          <rPr>
            <sz val="8"/>
            <color indexed="81"/>
            <rFont val="Tahoma"/>
            <family val="2"/>
          </rPr>
          <t xml:space="preserve">Write-off recorded 9/04 as the results of the Idaho General Rate Case
</t>
        </r>
      </text>
    </comment>
    <comment ref="B454" authorId="1" shapeId="0">
      <text>
        <r>
          <rPr>
            <sz val="8"/>
            <color indexed="81"/>
            <rFont val="Tahoma"/>
            <family val="2"/>
          </rPr>
          <t xml:space="preserve">Write-off recorded 9/04 as the results of the Idaho General Rate Case
</t>
        </r>
      </text>
    </comment>
    <comment ref="M454" authorId="1" shapeId="0">
      <text>
        <r>
          <rPr>
            <sz val="8"/>
            <color indexed="81"/>
            <rFont val="Tahoma"/>
            <family val="2"/>
          </rPr>
          <t xml:space="preserve">Write-off recorded 9/04 as the results of the Idaho General Rate Case
</t>
        </r>
      </text>
    </comment>
    <comment ref="B455" authorId="1" shapeId="0">
      <text>
        <r>
          <rPr>
            <sz val="8"/>
            <color indexed="81"/>
            <rFont val="Tahoma"/>
            <family val="2"/>
          </rPr>
          <t xml:space="preserve">Write-off recorded 9/04 as the results of the Idaho General Rate Case
</t>
        </r>
      </text>
    </comment>
  </commentList>
</comments>
</file>

<file path=xl/sharedStrings.xml><?xml version="1.0" encoding="utf-8"?>
<sst xmlns="http://schemas.openxmlformats.org/spreadsheetml/2006/main" count="1584" uniqueCount="896">
  <si>
    <t>(000'S OF DOLLARS)</t>
  </si>
  <si>
    <t xml:space="preserve">Deferred </t>
  </si>
  <si>
    <t>Settlement</t>
  </si>
  <si>
    <t>Eliminate</t>
  </si>
  <si>
    <t>Injuries</t>
  </si>
  <si>
    <t>Restate</t>
  </si>
  <si>
    <t>Office Space</t>
  </si>
  <si>
    <t>Line</t>
  </si>
  <si>
    <t>FIT</t>
  </si>
  <si>
    <t>Common</t>
  </si>
  <si>
    <t>Power</t>
  </si>
  <si>
    <t>B &amp; O</t>
  </si>
  <si>
    <t>Property</t>
  </si>
  <si>
    <t>Uncollect.</t>
  </si>
  <si>
    <t>Regulatory</t>
  </si>
  <si>
    <t xml:space="preserve">and </t>
  </si>
  <si>
    <t>Debt</t>
  </si>
  <si>
    <t>Charges to</t>
  </si>
  <si>
    <t>Restated</t>
  </si>
  <si>
    <t>No.</t>
  </si>
  <si>
    <t>DESCRIPTION</t>
  </si>
  <si>
    <t>Rate Base</t>
  </si>
  <si>
    <t>Adjustment</t>
  </si>
  <si>
    <t>Supply</t>
  </si>
  <si>
    <t>Taxes</t>
  </si>
  <si>
    <t>Tax</t>
  </si>
  <si>
    <t>Expense</t>
  </si>
  <si>
    <t>Damages</t>
  </si>
  <si>
    <t>Interest</t>
  </si>
  <si>
    <t>Revenues</t>
  </si>
  <si>
    <t>TOTAL</t>
  </si>
  <si>
    <t>REVENUES</t>
  </si>
  <si>
    <t>Total General Business</t>
  </si>
  <si>
    <t>Interdepartmental Sales</t>
  </si>
  <si>
    <t>Sales for Resale</t>
  </si>
  <si>
    <t>Other Revenue</t>
  </si>
  <si>
    <t>EXPENSES</t>
  </si>
  <si>
    <t>Production and Transmission</t>
  </si>
  <si>
    <t>Operating Expenses</t>
  </si>
  <si>
    <t>Purchased Power</t>
  </si>
  <si>
    <t>Distribution</t>
  </si>
  <si>
    <t>Customer Accounting</t>
  </si>
  <si>
    <t>Customer Service &amp; Information</t>
  </si>
  <si>
    <t>Sales Expenses</t>
  </si>
  <si>
    <t>Administrative &amp; General</t>
  </si>
  <si>
    <t>Total Electric Expenses</t>
  </si>
  <si>
    <t>NET OPERATING INCOME</t>
  </si>
  <si>
    <t>RATE BASE</t>
  </si>
  <si>
    <t>PLANT IN SERVICE</t>
  </si>
  <si>
    <t>ACCUMULATED DEPRECIATION</t>
  </si>
  <si>
    <t>TOTAL RATE BASE</t>
  </si>
  <si>
    <t>Idaho</t>
  </si>
  <si>
    <t xml:space="preserve"> </t>
  </si>
  <si>
    <t>Restatement Summary</t>
  </si>
  <si>
    <t>Washington Electric</t>
  </si>
  <si>
    <t>Column</t>
  </si>
  <si>
    <t>Description</t>
  </si>
  <si>
    <t xml:space="preserve">NOI   </t>
  </si>
  <si>
    <t>ROR</t>
  </si>
  <si>
    <t xml:space="preserve">     Restated Total</t>
  </si>
  <si>
    <t>ELECTRIC ADJUSTMENT SUMMARY</t>
  </si>
  <si>
    <t>PER RESULTS OF</t>
  </si>
  <si>
    <t>OPERATIONS REPORTS</t>
  </si>
  <si>
    <t>ELECTRIC</t>
  </si>
  <si>
    <t xml:space="preserve"> No.</t>
  </si>
  <si>
    <t>System</t>
  </si>
  <si>
    <t>Washington</t>
  </si>
  <si>
    <t>Check</t>
  </si>
  <si>
    <t>Sales For Resale</t>
  </si>
  <si>
    <t xml:space="preserve">   Total Sales of Electricity</t>
  </si>
  <si>
    <t xml:space="preserve">   Total Electric Revenue</t>
  </si>
  <si>
    <t xml:space="preserve">   Operating Expenses</t>
  </si>
  <si>
    <t xml:space="preserve">   Purchased Power</t>
  </si>
  <si>
    <t xml:space="preserve">   Taxes</t>
  </si>
  <si>
    <t xml:space="preserve">      Total Production &amp; Transmission</t>
  </si>
  <si>
    <t xml:space="preserve">      Total Distribution</t>
  </si>
  <si>
    <t xml:space="preserve">      Total Admin. &amp; General</t>
  </si>
  <si>
    <t>Operating Income before FIT</t>
  </si>
  <si>
    <t>Federal Income Taxes</t>
  </si>
  <si>
    <t xml:space="preserve">   Current Accrual </t>
  </si>
  <si>
    <t xml:space="preserve">   Deferred Income Taxes</t>
  </si>
  <si>
    <t xml:space="preserve">   Amortized ITC</t>
  </si>
  <si>
    <t xml:space="preserve">   Intangible</t>
  </si>
  <si>
    <t xml:space="preserve">   Production</t>
  </si>
  <si>
    <t xml:space="preserve">   Transmission</t>
  </si>
  <si>
    <t xml:space="preserve">   Distribution</t>
  </si>
  <si>
    <t xml:space="preserve">   General</t>
  </si>
  <si>
    <t xml:space="preserve">      Total Plant in Service</t>
  </si>
  <si>
    <t>INPUTS</t>
  </si>
  <si>
    <t>ACCUMULATED AMORTIZATION</t>
  </si>
  <si>
    <t>AVISTA UTILITIES</t>
  </si>
  <si>
    <t>WA Power</t>
  </si>
  <si>
    <t>Cost Defer</t>
  </si>
  <si>
    <t>Nez Perce</t>
  </si>
  <si>
    <t xml:space="preserve">Line </t>
  </si>
  <si>
    <t>Capital</t>
  </si>
  <si>
    <t>Weighted</t>
  </si>
  <si>
    <t>Component</t>
  </si>
  <si>
    <t>Amount</t>
  </si>
  <si>
    <t>Structure</t>
  </si>
  <si>
    <t>Cost</t>
  </si>
  <si>
    <t>L/T Debt</t>
  </si>
  <si>
    <t>S/T Debt</t>
  </si>
  <si>
    <t>Pref Trust</t>
  </si>
  <si>
    <t>Total</t>
  </si>
  <si>
    <t>Conversion Factor</t>
  </si>
  <si>
    <t>Revenue Requirement</t>
  </si>
  <si>
    <t>AUTHORIZED 1998 TEST YEAR</t>
  </si>
  <si>
    <t>RESULTS OF OPERATIONS</t>
  </si>
  <si>
    <t>Description of Adjustment</t>
  </si>
  <si>
    <t>ProForma</t>
  </si>
  <si>
    <t>Theoretical</t>
  </si>
  <si>
    <t>(000's)</t>
  </si>
  <si>
    <t>Adjustment Description</t>
  </si>
  <si>
    <t>Adjustments</t>
  </si>
  <si>
    <t>Restated Debt Interest</t>
  </si>
  <si>
    <t>Capitalized Interest</t>
  </si>
  <si>
    <t>Increase (Decrease) in Interest Expense</t>
  </si>
  <si>
    <t>FIT Rate</t>
  </si>
  <si>
    <t>Increase (Decrease) in FIT</t>
  </si>
  <si>
    <t>Equity AFUDC</t>
  </si>
  <si>
    <t>Borrowed AFUDC</t>
  </si>
  <si>
    <t xml:space="preserve">   Capitalized Interest</t>
  </si>
  <si>
    <t>Allocated</t>
  </si>
  <si>
    <t>Percentage</t>
  </si>
  <si>
    <t>Electric CWIP</t>
  </si>
  <si>
    <t>Gas CWIP</t>
  </si>
  <si>
    <t>WPNG CWIP</t>
  </si>
  <si>
    <t xml:space="preserve">   Total</t>
  </si>
  <si>
    <t>WA Electric CWIP</t>
  </si>
  <si>
    <t>ID Electric CWIP</t>
  </si>
  <si>
    <t>WA Gas CWIP</t>
  </si>
  <si>
    <t>ID Gas CWIP</t>
  </si>
  <si>
    <t>Washington - Electric</t>
  </si>
  <si>
    <t>Weighted Average Cost of Debt</t>
  </si>
  <si>
    <t>Idaho - Electric</t>
  </si>
  <si>
    <t>Related Exp</t>
  </si>
  <si>
    <t>Revenue Conversion Factor</t>
  </si>
  <si>
    <t>Factor</t>
  </si>
  <si>
    <t>Expense:</t>
  </si>
  <si>
    <t xml:space="preserve">  Uncollectibles</t>
  </si>
  <si>
    <t xml:space="preserve">  Commission Fees</t>
  </si>
  <si>
    <t xml:space="preserve">  Washington Excise Tax</t>
  </si>
  <si>
    <t xml:space="preserve">    Total Expense</t>
  </si>
  <si>
    <t>Net Operating Income Before FIT</t>
  </si>
  <si>
    <t xml:space="preserve">  Federal Income Tax @ 35%</t>
  </si>
  <si>
    <t>REVENUE CONVERSION FACTOR</t>
  </si>
  <si>
    <t>Rev and</t>
  </si>
  <si>
    <t>Normalization</t>
  </si>
  <si>
    <t>Restated Rate Base</t>
  </si>
  <si>
    <t xml:space="preserve">AVISTA UTILITIES  </t>
  </si>
  <si>
    <t xml:space="preserve">(000'S OF DOLLARS)  </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</si>
  <si>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</si>
  <si>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</si>
  <si>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</si>
  <si>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</si>
  <si>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</si>
  <si>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</si>
  <si>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</si>
  <si>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</si>
  <si>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</si>
  <si>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</si>
  <si>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</si>
  <si>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Taxes  </t>
  </si>
  <si>
    <t xml:space="preserve">Total Production &amp; Transmission  </t>
  </si>
  <si>
    <t xml:space="preserve">Distribution  </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</si>
  <si>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</si>
  <si>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</si>
  <si>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</si>
  <si>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</si>
  <si>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</si>
  <si>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</si>
  <si>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</si>
  <si>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</si>
  <si>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</si>
  <si>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Deferred Income Taxes  </t>
  </si>
  <si>
    <t xml:space="preserve">NET OPERATING INCOME  </t>
  </si>
  <si>
    <t xml:space="preserve">RATE BASE  </t>
  </si>
  <si>
    <t xml:space="preserve">PLANT IN SERVICE  </t>
  </si>
  <si>
    <t xml:space="preserve">Intangible  </t>
  </si>
  <si>
    <t xml:space="preserve">Production  </t>
  </si>
  <si>
    <t xml:space="preserve">Transmission  </t>
  </si>
  <si>
    <t xml:space="preserve">General  </t>
  </si>
  <si>
    <t xml:space="preserve">Total Plant in Service  </t>
  </si>
  <si>
    <t xml:space="preserve">DEFERRED TAXES  </t>
  </si>
  <si>
    <t xml:space="preserve">TOTAL RATE BASE  </t>
  </si>
  <si>
    <t>Net</t>
  </si>
  <si>
    <t>Excise</t>
  </si>
  <si>
    <t>updated for 2006</t>
  </si>
  <si>
    <t>NOI Requirement</t>
  </si>
  <si>
    <t>WA wtd debt</t>
  </si>
  <si>
    <t>ID wtd debt</t>
  </si>
  <si>
    <t>ID excludes STD</t>
  </si>
  <si>
    <t>Not Necessary - this calcuation should not be removed from above to determine adj. - LMA</t>
  </si>
  <si>
    <t>Below</t>
  </si>
  <si>
    <t xml:space="preserve"> Interest Per Results (E-FIT-12A)</t>
  </si>
  <si>
    <t xml:space="preserve">(Breakdown </t>
  </si>
  <si>
    <t>b/w LTD &amp; STD)</t>
  </si>
  <si>
    <t>updated for 2007 LMA</t>
  </si>
  <si>
    <t>WASHINGTON ELECTRIC</t>
  </si>
  <si>
    <t>Theresa</t>
  </si>
  <si>
    <t>Done</t>
  </si>
  <si>
    <t>Not Done</t>
  </si>
  <si>
    <t>Ron</t>
  </si>
  <si>
    <t>Jeanne</t>
  </si>
  <si>
    <t>Tara/Joe</t>
  </si>
  <si>
    <t>Liz</t>
  </si>
  <si>
    <t>Jen</t>
  </si>
  <si>
    <t xml:space="preserve">Karen </t>
  </si>
  <si>
    <t>(No deferrals in 2009 except Lehman Bros)</t>
  </si>
  <si>
    <t>Amortized ITC - Noxon</t>
  </si>
  <si>
    <t>Jen/Karen</t>
  </si>
  <si>
    <t xml:space="preserve">WORKING CAPITAL </t>
  </si>
  <si>
    <t>Working</t>
  </si>
  <si>
    <t xml:space="preserve">Tara </t>
  </si>
  <si>
    <t xml:space="preserve">Gains / </t>
  </si>
  <si>
    <t>Losses</t>
  </si>
  <si>
    <t xml:space="preserve">Debits and </t>
  </si>
  <si>
    <t>Credits</t>
  </si>
  <si>
    <t xml:space="preserve">Results of </t>
  </si>
  <si>
    <t xml:space="preserve">Operations </t>
  </si>
  <si>
    <t>Debt Interest</t>
  </si>
  <si>
    <t>ROO</t>
  </si>
  <si>
    <t xml:space="preserve">Jen </t>
  </si>
  <si>
    <t>Annette</t>
  </si>
  <si>
    <t>Total Accumulated Depreciation</t>
  </si>
  <si>
    <t xml:space="preserve">NET PLANT </t>
  </si>
  <si>
    <t xml:space="preserve">DEFERRED DEBITS AND CREDITS </t>
  </si>
  <si>
    <t>DEFERRED DEBITS AND CREDITS</t>
  </si>
  <si>
    <t xml:space="preserve">      Total Accumulated Depreciation</t>
  </si>
  <si>
    <t>Pro Forma Adjustments</t>
  </si>
  <si>
    <t>REVENUE</t>
  </si>
  <si>
    <t>SALES OF ELECTRICITY:</t>
  </si>
  <si>
    <t>Residential</t>
  </si>
  <si>
    <t>Commercial - Firm &amp; Int.</t>
  </si>
  <si>
    <t>Industrial</t>
  </si>
  <si>
    <t>Public Street &amp; Highway Lighting</t>
  </si>
  <si>
    <t>499XXX</t>
  </si>
  <si>
    <t>Unbilled Revenue</t>
  </si>
  <si>
    <t>Interdepartmental Revenue</t>
  </si>
  <si>
    <t>TOTAL SALES TO ULTIMATE CUSTOMERS</t>
  </si>
  <si>
    <t>447XXX</t>
  </si>
  <si>
    <t>TOTAL SALES OF ELECTRICITY</t>
  </si>
  <si>
    <t>OTHER OPERATING REVENUE:</t>
  </si>
  <si>
    <t>Miscellaneous Service Revenue</t>
  </si>
  <si>
    <t>Sales of Water &amp; Water Power</t>
  </si>
  <si>
    <t>Rent from Electric Property</t>
  </si>
  <si>
    <t>456XXX</t>
  </si>
  <si>
    <t>Other Electric Revenues</t>
  </si>
  <si>
    <t>TOTAL OTHER OPERATING REVENUE</t>
  </si>
  <si>
    <t>TOTAL ELECTRIC REVENUE</t>
  </si>
  <si>
    <t>EXPENSE</t>
  </si>
  <si>
    <t>STEAM POWER GENERATION EXPENSE:</t>
  </si>
  <si>
    <t xml:space="preserve">  OPERATION</t>
  </si>
  <si>
    <t>Supervision &amp; Engineering</t>
  </si>
  <si>
    <t>Fuel</t>
  </si>
  <si>
    <t>Steam Expense</t>
  </si>
  <si>
    <t>Electric Expense</t>
  </si>
  <si>
    <t>Miscellaneous Steam Power Generation Expense</t>
  </si>
  <si>
    <t>Rent</t>
  </si>
  <si>
    <t xml:space="preserve">  MAINTENANCE</t>
  </si>
  <si>
    <t>Structures</t>
  </si>
  <si>
    <t>Boiler Plant</t>
  </si>
  <si>
    <t>Electric Plant</t>
  </si>
  <si>
    <t>Miscellaneous Steam Plant</t>
  </si>
  <si>
    <t>TOTAL STEAM POWER GENERATION EXP</t>
  </si>
  <si>
    <t>HYDRAULIC POWER GENERATION EXP:</t>
  </si>
  <si>
    <t>Water for Power</t>
  </si>
  <si>
    <t>Hydraulic Expense</t>
  </si>
  <si>
    <t>Miscellaneous Hydraulic Power Generation Exp</t>
  </si>
  <si>
    <t>MT Trust Funds Land Settlement Rents</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</si>
  <si>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</si>
  <si>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</si>
  <si>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</si>
  <si>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</si>
  <si>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</si>
  <si>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</si>
  <si>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</si>
  <si>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</si>
  <si>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</si>
  <si>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</si>
  <si>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555XXX</t>
  </si>
  <si>
    <t>System Control &amp; Load Dispatching</t>
  </si>
  <si>
    <t>557XXX</t>
  </si>
  <si>
    <t>Other Expense</t>
  </si>
  <si>
    <t>TOTAL OTHER POWER SUPPLY EXPENSE</t>
  </si>
  <si>
    <t>TOTAL PRODUCTION OPERATING EXP</t>
  </si>
  <si>
    <t>TRANSMISSION OPERATING EXPENSE:</t>
  </si>
  <si>
    <t>Load Dispatching</t>
  </si>
  <si>
    <t>Station Expense</t>
  </si>
  <si>
    <t>Overhead Line Expense</t>
  </si>
  <si>
    <t>Transmission of Electricity by Others</t>
  </si>
  <si>
    <t>Miscellaneous Transmission Expense</t>
  </si>
  <si>
    <t>Station Equipment</t>
  </si>
  <si>
    <t>Overhead Lines</t>
  </si>
  <si>
    <t>Underground Lines</t>
  </si>
  <si>
    <t>Service Miscellaneous</t>
  </si>
  <si>
    <t>TOTAL TRANSMISSION OPERATING EXP</t>
  </si>
  <si>
    <t>Depreciation Expense-Production</t>
  </si>
  <si>
    <t>Depreciation Expense-Transmission</t>
  </si>
  <si>
    <t>Amortization Expense-Franchises/Misc Intangibles</t>
  </si>
  <si>
    <t>Amortization of Investment in WNP3 Exch Power</t>
  </si>
  <si>
    <t>Amort of Acq Adj--Colstrip Common AFUDC</t>
  </si>
  <si>
    <t>Amortization of Lancaster Generation</t>
  </si>
  <si>
    <t>Amortization of Spokane River Relicense</t>
  </si>
  <si>
    <t>Amortization of CDA CDR Fund</t>
  </si>
  <si>
    <t>Amortization of ID DSIT</t>
  </si>
  <si>
    <t>Amortization of CNC Transmission</t>
  </si>
  <si>
    <t>Amortization of Wartsila Generators</t>
  </si>
  <si>
    <t>Amortization of CDA Settlement - Allocated</t>
  </si>
  <si>
    <t>Amortization of CDA Settlement - Direct</t>
  </si>
  <si>
    <t>Optional Renewable Power Revenue Offset</t>
  </si>
  <si>
    <t>Amortization of Dissallowed K.F. Plant</t>
  </si>
  <si>
    <t>Amortization of Boulder Park Write Off - Idaho</t>
  </si>
  <si>
    <t>Amortization of CS2 Levelized Return</t>
  </si>
  <si>
    <t>407450/407499</t>
  </si>
  <si>
    <t>Amortization of BPA Residential Exchange Credit</t>
  </si>
  <si>
    <t>Amortization of Deferred CS2 &amp; COLSTRIP O&amp;M</t>
  </si>
  <si>
    <t>Taxes Other Than FIT--Prod &amp; Trans</t>
  </si>
  <si>
    <t>TOTAL P/T DEPR/AMRT/NON-FIT TAXES</t>
  </si>
  <si>
    <t>TOTAL PRODUCTION &amp; TRANSMISSION EXPENSE</t>
  </si>
  <si>
    <t>DISTRIBUTION EXPENSES:</t>
  </si>
  <si>
    <t>OPERATION:</t>
  </si>
  <si>
    <t>Underground Line Expense</t>
  </si>
  <si>
    <t>Street Light &amp; Signal System Operation Expense</t>
  </si>
  <si>
    <t>Meter Expense</t>
  </si>
  <si>
    <t>Customer Installations Expense</t>
  </si>
  <si>
    <t>Miscellaneous Distribution Expense</t>
  </si>
  <si>
    <t>MAINTENANCE:</t>
  </si>
  <si>
    <t>Line Transformers</t>
  </si>
  <si>
    <t>Street Light &amp; Signal System Maintenance Exp</t>
  </si>
  <si>
    <t>Meters</t>
  </si>
  <si>
    <t>TOTAL DISTRIBUTION OPERATING EXP</t>
  </si>
  <si>
    <t>Depreciation Expense-Distribution</t>
  </si>
  <si>
    <t>Taxes Other Than FIT--Distribution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</si>
  <si>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</si>
  <si>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</si>
  <si>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</si>
  <si>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</si>
  <si>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</si>
  <si>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</si>
  <si>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</si>
  <si>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</si>
  <si>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</si>
  <si>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</si>
  <si>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</si>
  <si>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</si>
  <si>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</si>
  <si>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</si>
  <si>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</si>
  <si>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</si>
  <si>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</si>
  <si>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</si>
  <si>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</si>
  <si>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</si>
  <si>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</si>
  <si>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</si>
  <si>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</si>
  <si>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</si>
  <si>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</si>
  <si>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</si>
  <si>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925XXX</t>
  </si>
  <si>
    <t>Injuries and Damages</t>
  </si>
  <si>
    <t>926XXX</t>
  </si>
  <si>
    <t>Employee Pensions and Benefits</t>
  </si>
  <si>
    <t>Franchise Requirements</t>
  </si>
  <si>
    <t>Regulatory Commission Expenses</t>
  </si>
  <si>
    <t>Miscellaneous General Expenses</t>
  </si>
  <si>
    <t>Rents</t>
  </si>
  <si>
    <t>Maintenance of General Plant</t>
  </si>
  <si>
    <t>TOTAL ADMIN &amp; GEN OPERATING EXP</t>
  </si>
  <si>
    <t>Depreciation Expense-General</t>
  </si>
  <si>
    <t>Amortization Expense-General Plant - 303000</t>
  </si>
  <si>
    <t>Amortization Expense-Miscellaneous IT Intangible</t>
  </si>
  <si>
    <t>Amortization Expense-General Plant - 390200, 396200</t>
  </si>
  <si>
    <t>TOTAL A&amp;G DEPR/AMRT/NON-FIT TAXES</t>
  </si>
  <si>
    <t>TOTAL ADMIN &amp; GENERAL EXPENSES</t>
  </si>
  <si>
    <t>TOTAL EXPENSES BEFORE FIT</t>
  </si>
  <si>
    <t>NET OPERATING INCOME BEFORE FIT</t>
  </si>
  <si>
    <t>FEDERAL INCOME TAX--Normal Accrual</t>
  </si>
  <si>
    <t>DEFERRED FEDERAL INCOME TAX</t>
  </si>
  <si>
    <t>AMORTIZED ITC - NOXON</t>
  </si>
  <si>
    <t>ELECTRIC NET OPERATING INCOME</t>
  </si>
  <si>
    <t>INTANGIBLE PLANT:</t>
  </si>
  <si>
    <t>Franchises &amp; Consents</t>
  </si>
  <si>
    <t>Misc Intangible Plt- (303000)</t>
  </si>
  <si>
    <t>Misc Intangible Plt-Mainframe Software (303100)</t>
  </si>
  <si>
    <t>Misc Intangible Plant-PC Software (303110)</t>
  </si>
  <si>
    <t xml:space="preserve">  TOTAL INTANGIBLE PLANT</t>
  </si>
  <si>
    <t>STEAM PRODUCTION PLANT:</t>
  </si>
  <si>
    <t>310XXX</t>
  </si>
  <si>
    <t>Land &amp; Land Rights</t>
  </si>
  <si>
    <t>311XXX</t>
  </si>
  <si>
    <t>Structures &amp; Improvements</t>
  </si>
  <si>
    <t>Generators</t>
  </si>
  <si>
    <t>Turbogenerator Units</t>
  </si>
  <si>
    <t>Accessory Electric Equipment</t>
  </si>
  <si>
    <t>Miscellaneous Power Plant Equipment</t>
  </si>
  <si>
    <t>TOTAL STEAM PRODUCTION PLANT</t>
  </si>
  <si>
    <t>HYDRAULIC PRODUCTION PLANT:</t>
  </si>
  <si>
    <t>330XXX</t>
  </si>
  <si>
    <t>331XXX</t>
  </si>
  <si>
    <t>332XXX</t>
  </si>
  <si>
    <t>Waterwheels, Turbines, &amp; Generators</t>
  </si>
  <si>
    <t>335XXX</t>
  </si>
  <si>
    <t>Roads, Railroads, &amp; Bridges</t>
  </si>
  <si>
    <t>TOTAL HYDRAULIC PRODUCTION PLANT</t>
  </si>
  <si>
    <t>OTHER PRODUCTION PLANT:</t>
  </si>
  <si>
    <t>Fuel Holders, Producers, &amp; Accessories</t>
  </si>
  <si>
    <t>Prime Movers</t>
  </si>
  <si>
    <t>TOTAL OTHER PRODUCTION PLANT</t>
  </si>
  <si>
    <t>TOTAL PRODUCTION PLANT</t>
  </si>
  <si>
    <t>TRANSMISSION PLANT:</t>
  </si>
  <si>
    <t>350XXX</t>
  </si>
  <si>
    <t>352XXX</t>
  </si>
  <si>
    <t>Towers &amp; Fixtures</t>
  </si>
  <si>
    <t>Poles &amp; Fixtures</t>
  </si>
  <si>
    <t>Overhead Conductors &amp; Devices</t>
  </si>
  <si>
    <t>Underground Conduit</t>
  </si>
  <si>
    <t>Underground Conductors &amp; Devices</t>
  </si>
  <si>
    <t>Roads &amp; Trails</t>
  </si>
  <si>
    <t>TOTAL TRANSMISSION PLANT</t>
  </si>
  <si>
    <t>DISTRIBUTION PLANT:</t>
  </si>
  <si>
    <t>Land Easements</t>
  </si>
  <si>
    <t>Poles, Towers, &amp; Fixtures</t>
  </si>
  <si>
    <t>369XXX</t>
  </si>
  <si>
    <t>Services</t>
  </si>
  <si>
    <t>373XXX</t>
  </si>
  <si>
    <t>Street Light &amp; Signal Systems</t>
  </si>
  <si>
    <t>TOTAL DISTRIBUTION PLANT</t>
  </si>
  <si>
    <t>GENERAL PLANT: (From Report C-GPL)</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</si>
  <si>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</si>
  <si>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</si>
  <si>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</si>
  <si>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</si>
  <si>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</si>
  <si>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</si>
  <si>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</si>
  <si>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</si>
  <si>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</si>
  <si>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</si>
  <si>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</si>
  <si>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</si>
  <si>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</si>
  <si>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</si>
  <si>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</si>
  <si>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TOTAL PLANT IN SERVICE</t>
  </si>
  <si>
    <t>Steam Production Plant</t>
  </si>
  <si>
    <t>Hydro Production Plant</t>
  </si>
  <si>
    <t>Other Production Plant</t>
  </si>
  <si>
    <t>Transmission Plant</t>
  </si>
  <si>
    <t>Distribution Plant</t>
  </si>
  <si>
    <t>General Plant</t>
  </si>
  <si>
    <t xml:space="preserve">  TOTAL ACCUMULATED DEPRECIATION</t>
  </si>
  <si>
    <t>Production/Transmission-Franchises/Misc Intangibles</t>
  </si>
  <si>
    <t>Distribution-Franchises/Misc Intangibles</t>
  </si>
  <si>
    <t>General Plant - 303000</t>
  </si>
  <si>
    <t>Miscellaneous IT Intangible Plant -3031XX</t>
  </si>
  <si>
    <t>General Plant - 390200, 396200</t>
  </si>
  <si>
    <t xml:space="preserve">  TOTAL ACCUMULATED AMORTIZATION</t>
  </si>
  <si>
    <t>TOTAL ACCUMULATED DEPR/AMORT</t>
  </si>
  <si>
    <t>NET ELECTRIC UTILITY PLANT before DFIT</t>
  </si>
  <si>
    <t>ACCUMULATED DFIT</t>
  </si>
  <si>
    <t>ADFIT - FAS 109 Electric Plant (182310, 283170)</t>
  </si>
  <si>
    <t>ADFIT - Colstrip PCB  (283200)</t>
  </si>
  <si>
    <t>ADFIT - Electric Plant In Service  (282900)</t>
  </si>
  <si>
    <t>ADFIT - Common Plant (282900 from C-DTX)</t>
  </si>
  <si>
    <t>ADFIT - Lake CDA CDR Fund - Allocated (283324)</t>
  </si>
  <si>
    <t>ADFIT - CDA IPA Fund Deposit (283325)</t>
  </si>
  <si>
    <t>ADFIT - CDA Lake Settlement - Allocated (283382)</t>
  </si>
  <si>
    <t>ADFIT - Electric portion of Bond Redemptions (283850)</t>
  </si>
  <si>
    <t xml:space="preserve">  TOTAL ACCUMULATED DFIT</t>
  </si>
  <si>
    <t>NET ELECTRIC UTILITY PLANT</t>
  </si>
  <si>
    <t>OTHER ADJUSTMENTS</t>
  </si>
  <si>
    <t>Gain on Sale of General Office Bldg  (253850)</t>
  </si>
  <si>
    <t>ADFIT - Gain on Sale of General Office Bldg  (190850)</t>
  </si>
  <si>
    <t>Colstrip 3 AFUDC Reallocation</t>
  </si>
  <si>
    <t>Colstrip Common AFUDC  (186100)</t>
  </si>
  <si>
    <t>Colstrip Disallowed AFUDC  (111100)</t>
  </si>
  <si>
    <t>Kettle Falls Disallowed Accumulated Depr  (108030)</t>
  </si>
  <si>
    <t>ADFIT - Kettle Falls Disallowed (190420)</t>
  </si>
  <si>
    <t>Boulder Park Disallowed Plant (101050)</t>
  </si>
  <si>
    <t>Boulder Park Disallowed Accumulated Depr (108050)</t>
  </si>
  <si>
    <t>ADFIT - Boulder Park Disallowed (190040)</t>
  </si>
  <si>
    <t>Investment in WNP3 Exchange Power  (124900, 124930)</t>
  </si>
  <si>
    <t>ADFIT - WNP3 Exchange Power (283120)</t>
  </si>
  <si>
    <t>CDA Lake Settlement - WA (182382)</t>
  </si>
  <si>
    <t>CDA Lake Settlement - ID (186382)</t>
  </si>
  <si>
    <t>ADFIT - CDA Lake Settlement - Direct (283382)</t>
  </si>
  <si>
    <t>ADFIT - CDA CDR Fund - Direct (283324)</t>
  </si>
  <si>
    <t>Spokane River Relicensing (182322)</t>
  </si>
  <si>
    <t>ADFIT - Spokane River Relicensing (283322)</t>
  </si>
  <si>
    <t>Spokane River PM&amp;Es (182323)</t>
  </si>
  <si>
    <t>ADFIT - Spokane River PM&amp;Es (283323)</t>
  </si>
  <si>
    <t>Montana Riverbed Settlement (186360)</t>
  </si>
  <si>
    <t>ADFIT - Montana Riverbed Settlement (283365)</t>
  </si>
  <si>
    <t>Lancaster Generation (182312)</t>
  </si>
  <si>
    <t>ADFIT - Lancaster Generation (283312)</t>
  </si>
  <si>
    <t>Weatherization Loans - Sandpoint (124350)</t>
  </si>
  <si>
    <t>Customer Advances (252000)</t>
  </si>
  <si>
    <t>Customer Deposits (235199)</t>
  </si>
  <si>
    <t>Working Capital</t>
  </si>
  <si>
    <t>DSM Programs (186710)</t>
  </si>
  <si>
    <t>TOTAL OTHER ADJUSTMENTS</t>
  </si>
  <si>
    <t>NET RATE BASE</t>
  </si>
  <si>
    <t>Regulatory Amortization</t>
  </si>
  <si>
    <t xml:space="preserve">   Regulatory Amortization</t>
  </si>
  <si>
    <t xml:space="preserve">   Depreciation/Amortization</t>
  </si>
  <si>
    <t>Depreciation/Amortization</t>
  </si>
  <si>
    <t xml:space="preserve">Depreciation/Amortization  </t>
  </si>
  <si>
    <t>ACCUMULATED DEPRECIATION/AMORTIZATION</t>
  </si>
  <si>
    <t>DFIT</t>
  </si>
  <si>
    <t>NET PLANT AFTER DFIT</t>
  </si>
  <si>
    <t>NET PLANT BEFORE DFIT</t>
  </si>
  <si>
    <t>ACCUMULATED DEPRECIATION/AMORT</t>
  </si>
  <si>
    <t>Net Plant After DFIT</t>
  </si>
  <si>
    <t xml:space="preserve">    Debt Interest</t>
  </si>
  <si>
    <t>Interest Per Results (E-FIT-12A)</t>
  </si>
  <si>
    <t>Restate Debt Interest</t>
  </si>
  <si>
    <t>Reconciliation</t>
  </si>
  <si>
    <t>FIT Expense</t>
  </si>
  <si>
    <t>Line No. 27</t>
  </si>
  <si>
    <t>WP Ref</t>
  </si>
  <si>
    <t xml:space="preserve">Adjustment Number </t>
  </si>
  <si>
    <t>Workpaper Reference</t>
  </si>
  <si>
    <t>E-ROO</t>
  </si>
  <si>
    <t>E-DFIT</t>
  </si>
  <si>
    <t>E-DDC</t>
  </si>
  <si>
    <t xml:space="preserve">E-WC </t>
  </si>
  <si>
    <t>E-EBO</t>
  </si>
  <si>
    <t>E-UE</t>
  </si>
  <si>
    <t>E-RE</t>
  </si>
  <si>
    <t>E-ID</t>
  </si>
  <si>
    <t xml:space="preserve">E-FIT </t>
  </si>
  <si>
    <t>E-EWPC</t>
  </si>
  <si>
    <t>E-NPS</t>
  </si>
  <si>
    <t>E-RET</t>
  </si>
  <si>
    <t>E-NGL</t>
  </si>
  <si>
    <t>E-MR</t>
  </si>
  <si>
    <t>E-RI</t>
  </si>
  <si>
    <t>E-RDI</t>
  </si>
  <si>
    <t xml:space="preserve">Current Accrual </t>
  </si>
  <si>
    <t>Reviewed</t>
  </si>
  <si>
    <t>error?</t>
  </si>
  <si>
    <t>Other</t>
  </si>
  <si>
    <t>CF WA Elec</t>
  </si>
  <si>
    <t xml:space="preserve">All other </t>
  </si>
  <si>
    <t>(Pro Forma Restate Debt)</t>
  </si>
  <si>
    <t>R-Ttl</t>
  </si>
  <si>
    <t>Total Debt</t>
  </si>
  <si>
    <t>FIT/DFIT/</t>
  </si>
  <si>
    <t>`</t>
  </si>
  <si>
    <t>Totals</t>
  </si>
  <si>
    <t>OPEN</t>
  </si>
  <si>
    <t>E-OSC</t>
  </si>
  <si>
    <t>E-RPT</t>
  </si>
  <si>
    <t>Colstrip 3 AFUDC Reallocation Adj</t>
  </si>
  <si>
    <t>Amortization of BPA Parallel Capacity Support</t>
  </si>
  <si>
    <t>Amortization of CDA Settlement Costs</t>
  </si>
  <si>
    <t>Amortization of WA Renewable Energy Credits</t>
  </si>
  <si>
    <t>Amortization of CS2 &amp; COLSTRIP O&amp;M</t>
  </si>
  <si>
    <t>Amortization of LiDAR O&amp;M</t>
  </si>
  <si>
    <t>Amortization of Wind Generation</t>
  </si>
  <si>
    <t>Amortization of Deferred LiDAR O&amp;M</t>
  </si>
  <si>
    <t>Optional Renew Solar Project Offset</t>
  </si>
  <si>
    <t>Def Palouse Wind &amp; Thornton Sw St</t>
  </si>
  <si>
    <t>CDA Lake CDR Fund - Allocated</t>
  </si>
  <si>
    <t>CDA Lake IPA Fund</t>
  </si>
  <si>
    <t>CDA Settlement Costs</t>
  </si>
  <si>
    <t>CDA Settlement Past Storage</t>
  </si>
  <si>
    <t>Generators - Solar</t>
  </si>
  <si>
    <t>Accessory Electric Equipment - Solar</t>
  </si>
  <si>
    <t>ADFIT - Common Plant (283750 from C-DTX)</t>
  </si>
  <si>
    <t>ADFIT - CDA Settlement Costs (283333)</t>
  </si>
  <si>
    <t>Kettle Falls Disallowed Plant  (101030)</t>
  </si>
  <si>
    <t>CDA CDR Fund - Direct (182324)</t>
  </si>
  <si>
    <t>Tara</t>
  </si>
  <si>
    <t>(1)</t>
  </si>
  <si>
    <t>(3)</t>
  </si>
  <si>
    <t>DEFERRED DEBITS AND CREDITS &amp; OTHER</t>
  </si>
  <si>
    <t xml:space="preserve">RATE OF RETURN  </t>
  </si>
  <si>
    <t xml:space="preserve">Weather </t>
  </si>
  <si>
    <t>E-WN</t>
  </si>
  <si>
    <t>Adder</t>
  </si>
  <si>
    <t>Schedules</t>
  </si>
  <si>
    <t>E-EAS</t>
  </si>
  <si>
    <t>Provision for Rate Refund</t>
  </si>
  <si>
    <t>Energy Storage Equipment</t>
  </si>
  <si>
    <t>Amortization of BPA Settlement</t>
  </si>
  <si>
    <t>Idaho Earnings Test Amortization</t>
  </si>
  <si>
    <t>Amortization of Colstrip Outage Return</t>
  </si>
  <si>
    <t>351XXX</t>
  </si>
  <si>
    <t>Energy Storage Eq/Computer Software</t>
  </si>
  <si>
    <t>E-PMM</t>
  </si>
  <si>
    <t>Amortization of Spokane River TDG</t>
  </si>
  <si>
    <t>Amortization of Schedule 98 REC Rev</t>
  </si>
  <si>
    <t>Project Compass Deferral - ID</t>
  </si>
  <si>
    <t>Misc Intangible Plant-PC Software (C-IPL)</t>
  </si>
  <si>
    <t>RESTATEMENT ADJUSTMENTS</t>
  </si>
  <si>
    <t>Restating Adjustments</t>
  </si>
  <si>
    <t>Non-Utility</t>
  </si>
  <si>
    <t>2018</t>
  </si>
  <si>
    <t>Misc. Restating</t>
  </si>
  <si>
    <t>Normalize</t>
  </si>
  <si>
    <t>CS2/Colstrip</t>
  </si>
  <si>
    <t>x</t>
  </si>
  <si>
    <t>Added</t>
  </si>
  <si>
    <t>6Mos 2018</t>
  </si>
  <si>
    <t>TWELVE MONTHS ENDED DECEMBER 31, 2016</t>
  </si>
  <si>
    <t>2019</t>
  </si>
  <si>
    <t>Major Maint</t>
  </si>
  <si>
    <t xml:space="preserve">Authorized </t>
  </si>
  <si>
    <t>E-APS</t>
  </si>
  <si>
    <t>Joel</t>
  </si>
  <si>
    <t>Need W/ps</t>
  </si>
  <si>
    <t>Amortization of Project Compass</t>
  </si>
  <si>
    <t>Amortization of Colstrip Refund</t>
  </si>
  <si>
    <t>Land Ease Perpetual</t>
  </si>
  <si>
    <t>371XXX</t>
  </si>
  <si>
    <t>Installations on Customers' Premises</t>
  </si>
  <si>
    <t>Electric Charging Stations</t>
  </si>
  <si>
    <t>ITC</t>
  </si>
  <si>
    <t xml:space="preserve">Non-Energy </t>
  </si>
  <si>
    <t>Power Supply</t>
  </si>
  <si>
    <t>Incentives</t>
  </si>
  <si>
    <t>(Authorized P.S. @ Authorized P/T ratio)</t>
  </si>
  <si>
    <t xml:space="preserve">     Pro Forma Study (Step 1 increase excluding ERM net change)</t>
  </si>
  <si>
    <t>Total Pro Forma Study: Step 1 increases &amp; Change above current P.S.:</t>
  </si>
  <si>
    <t>Non-Util / Non-</t>
  </si>
  <si>
    <t>Recurring Expenses</t>
  </si>
  <si>
    <t xml:space="preserve">Restating </t>
  </si>
  <si>
    <t>ACTUAL</t>
  </si>
  <si>
    <t>RESULTS</t>
  </si>
  <si>
    <t>Remove</t>
  </si>
  <si>
    <t>Authorized</t>
  </si>
  <si>
    <t>K-Factor</t>
  </si>
  <si>
    <t>Depreciation</t>
  </si>
  <si>
    <t>O&amp;M</t>
  </si>
  <si>
    <t>Taxes OTI</t>
  </si>
  <si>
    <t>Authorized ROR</t>
  </si>
  <si>
    <t>*includes revenue related expenses</t>
  </si>
  <si>
    <t>Revenue on CB Less PS*</t>
  </si>
  <si>
    <t>Net Plant After ADFIT</t>
  </si>
  <si>
    <t>Tax on equity return</t>
  </si>
  <si>
    <t>(RB*9.77%)</t>
  </si>
  <si>
    <t>Non PS Revenue</t>
  </si>
  <si>
    <t>Portion</t>
  </si>
  <si>
    <t>of Total</t>
  </si>
  <si>
    <t>2013-2016</t>
  </si>
  <si>
    <t>Growth Rate</t>
  </si>
  <si>
    <t>2018-2020</t>
  </si>
  <si>
    <t>2019-2020</t>
  </si>
  <si>
    <t xml:space="preserve">Revenues Growth: (Per Adj. 18.06 w/ps - 2.333 years from 2016 to 04.30.2019) </t>
  </si>
  <si>
    <t>Annual</t>
  </si>
  <si>
    <t>NE-Total</t>
  </si>
  <si>
    <t>ELECTRIC COST AND REVENUE TREND CALCULATIONS 2013-2016</t>
  </si>
  <si>
    <t>Commission Basis Results of Operations</t>
  </si>
  <si>
    <t xml:space="preserve">Taxes </t>
  </si>
  <si>
    <t>Levelized Settlement Exchange Power</t>
  </si>
  <si>
    <t>(1) Corrected excise tax error in 2013-2015.</t>
  </si>
  <si>
    <t>na</t>
  </si>
  <si>
    <t>Net Plant After Deferred Income Taxes</t>
  </si>
  <si>
    <t xml:space="preserve">WASHINGTON ELECTRIC RESULTS  </t>
  </si>
  <si>
    <t>Electric Data for Escalators</t>
  </si>
  <si>
    <t>Line No.</t>
  </si>
  <si>
    <t>Exclude Power Supply and Adder Schedule Expenses (DSM Tariff Rider and Residential Exchange Credit) from O&amp;M</t>
  </si>
  <si>
    <t>Production/Transmission</t>
  </si>
  <si>
    <t>CBR Ln 7</t>
  </si>
  <si>
    <t>CBR Ln 8</t>
  </si>
  <si>
    <t>CBR Ln 13</t>
  </si>
  <si>
    <t>CBR Ln 17</t>
  </si>
  <si>
    <t>Customer Service and Information</t>
  </si>
  <si>
    <t>CBR Ln 18</t>
  </si>
  <si>
    <t>Sales</t>
  </si>
  <si>
    <t>CBR Ln 19</t>
  </si>
  <si>
    <t>Adminisrtative and General</t>
  </si>
  <si>
    <t>CBR Ln 20</t>
  </si>
  <si>
    <t>Total Operating &amp; Maintenance Expenses</t>
  </si>
  <si>
    <t>Deduct Power Supply Expenses</t>
  </si>
  <si>
    <t>Deduct DSM Tariff Rider Expenses</t>
  </si>
  <si>
    <t>Deduct Res X Credit Expenses</t>
  </si>
  <si>
    <t>CS2/Colstrip 2012 Deferral/Amort</t>
  </si>
  <si>
    <t>Remove Wind Storm</t>
  </si>
  <si>
    <t>Adjusted Operating Expenses</t>
  </si>
  <si>
    <t>CBR Ln 9</t>
  </si>
  <si>
    <t>CBR Ln 14</t>
  </si>
  <si>
    <t>CBR Ln 21</t>
  </si>
  <si>
    <t>2020</t>
  </si>
  <si>
    <t>Total Depreciation/Amortization</t>
  </si>
  <si>
    <t>Exclude Adder Schedule amortizations (Residential Exchange Credit) from Regulatory Amortizations</t>
  </si>
  <si>
    <t>Regulatory Amortizations</t>
  </si>
  <si>
    <t>CBR Ln 10</t>
  </si>
  <si>
    <t>Deduct Res X Credit amortization</t>
  </si>
  <si>
    <t>Adjusted Regulatory Amortizations</t>
  </si>
  <si>
    <t>Exclude Adder Schedule excise taxes (DSM Tariff Rider and Residential Exchange Credit) from Taxes Other Than Income Tax</t>
  </si>
  <si>
    <t>CBR Ln 11</t>
  </si>
  <si>
    <t>CBR Ln 15</t>
  </si>
  <si>
    <t>CBR Ln 22</t>
  </si>
  <si>
    <t>Total Taxes Other Than Income Tax</t>
  </si>
  <si>
    <t>Deduct DSM Tariff Rider Excise Tax</t>
  </si>
  <si>
    <t>Deduct Res X Credit Excise Tax</t>
  </si>
  <si>
    <t>Adjusted Taxes Other Than Income Tax</t>
  </si>
  <si>
    <t>(1) Planned (Per Rate Period Study)</t>
  </si>
  <si>
    <t>Net Plant After Deferred Income Tax</t>
  </si>
  <si>
    <t>CBR Ln 46</t>
  </si>
  <si>
    <t>Total Rate Base</t>
  </si>
  <si>
    <t>CBR Ln 49</t>
  </si>
  <si>
    <t>Exclude Power Supply and Transmission Wheeling from Other Operating Revenue</t>
  </si>
  <si>
    <t>Other Operating Revenue</t>
  </si>
  <si>
    <t>CBR Ln 5</t>
  </si>
  <si>
    <t>Deduct Decoupling Deferred Revenue and Provision for Rate Refund</t>
  </si>
  <si>
    <t>Deduct Power Supply Other Revenue</t>
  </si>
  <si>
    <t>Deduct Transmission Other Revenue</t>
  </si>
  <si>
    <t>Adjusted Other Revenue</t>
  </si>
  <si>
    <t>ADJUSTED OTHER REVENUES NOT USED</t>
  </si>
  <si>
    <t xml:space="preserve">WASHINGTON ELECTRIC RESULTS </t>
  </si>
  <si>
    <t>ANNUAL GROWTH RATES</t>
  </si>
  <si>
    <t xml:space="preserve">Electric K-Factor Growth  Rate Analysis </t>
  </si>
  <si>
    <t>Annual Growth Rates</t>
  </si>
  <si>
    <t>2001-2002</t>
  </si>
  <si>
    <t>2002-2003</t>
  </si>
  <si>
    <t>2003-2004</t>
  </si>
  <si>
    <t>2004-2005</t>
  </si>
  <si>
    <t>2005-2006</t>
  </si>
  <si>
    <t>2006-2007</t>
  </si>
  <si>
    <t>2007-2008</t>
  </si>
  <si>
    <t>2008-2009</t>
  </si>
  <si>
    <t>2009-2010</t>
  </si>
  <si>
    <t>2010-2011</t>
  </si>
  <si>
    <t>2011-2012</t>
  </si>
  <si>
    <t>2012-2013</t>
  </si>
  <si>
    <t>2013-2014</t>
  </si>
  <si>
    <t>2018-2019</t>
  </si>
  <si>
    <t>Adjusted Taxes Other than Income</t>
  </si>
  <si>
    <t>2001-2014</t>
  </si>
  <si>
    <t>2002-2014</t>
  </si>
  <si>
    <t>2003-2014</t>
  </si>
  <si>
    <t>2004-2014</t>
  </si>
  <si>
    <t>2005-2014</t>
  </si>
  <si>
    <t>2007-2016</t>
  </si>
  <si>
    <t>2008-2016</t>
  </si>
  <si>
    <t>2009-2016</t>
  </si>
  <si>
    <t>2010-2016</t>
  </si>
  <si>
    <t>2011-2016</t>
  </si>
  <si>
    <t>2012-2016</t>
  </si>
  <si>
    <t>2014-2016</t>
  </si>
  <si>
    <t>7A</t>
  </si>
  <si>
    <t>Rate base</t>
  </si>
  <si>
    <t>2.333-year Growth Rate (12.2016 AMA to 04.2019 AMA)</t>
  </si>
  <si>
    <t>2 years</t>
  </si>
  <si>
    <t>13A</t>
  </si>
  <si>
    <t>Adjusted Operating Expenses (Avista)</t>
  </si>
  <si>
    <t>Adjusted Depreciation/Amortization</t>
  </si>
  <si>
    <t>Total K Factor %</t>
  </si>
  <si>
    <t>TWELVE MONTHS ENDED DECEMBER RESTATED TOTALS</t>
  </si>
  <si>
    <t>2000</t>
  </si>
  <si>
    <t>2001</t>
  </si>
  <si>
    <t>2002</t>
  </si>
  <si>
    <t>2003</t>
  </si>
  <si>
    <t>2004</t>
  </si>
  <si>
    <t>2005</t>
  </si>
  <si>
    <t>2006</t>
  </si>
  <si>
    <t>2007</t>
  </si>
  <si>
    <t>2008</t>
  </si>
  <si>
    <t>2009</t>
  </si>
  <si>
    <t>2010</t>
  </si>
  <si>
    <t>2011</t>
  </si>
  <si>
    <t>2012</t>
  </si>
  <si>
    <t>2013</t>
  </si>
  <si>
    <t>2014</t>
  </si>
  <si>
    <t>2015</t>
  </si>
  <si>
    <t>2016</t>
  </si>
  <si>
    <t>Taxes  (1)</t>
  </si>
  <si>
    <t xml:space="preserve">Excise tax correction identified in UE-160228, 06.15.16 LMA </t>
  </si>
  <si>
    <t>(1) Excise tax correction identifed in UE-160228 for the periods 2009-2015.</t>
  </si>
  <si>
    <t>2001-2016</t>
  </si>
  <si>
    <t>TWELVE MONTHS ENDED DECEMBER 31, 2013 - 2016</t>
  </si>
  <si>
    <t>P/T Depreciation/Amort as filed</t>
  </si>
  <si>
    <t>Regulatory Amortizations as filed</t>
  </si>
  <si>
    <t>403 Production Depreciation</t>
  </si>
  <si>
    <t>403 Transmission Depreciation</t>
  </si>
  <si>
    <t>404 Intangible Amortization</t>
  </si>
  <si>
    <t>Included in Depreciation prior to 2012, should continue in depreciation</t>
  </si>
  <si>
    <t>P/T Depreciation</t>
  </si>
  <si>
    <t>405 Exchange Power Amortization</t>
  </si>
  <si>
    <t>406 Colstrip Common AFUDC</t>
  </si>
  <si>
    <t>407 Amort of CO2 credits</t>
  </si>
  <si>
    <t>407 Amort of Centralia Gain</t>
  </si>
  <si>
    <t>Rev</t>
  </si>
  <si>
    <t>407 Amort of Rate Base Reduction</t>
  </si>
  <si>
    <t>407 Amort of MOPS Reg Asset</t>
  </si>
  <si>
    <t>407 Amort of Residential Exchange</t>
  </si>
  <si>
    <t>407 Small Gen Amortization</t>
  </si>
  <si>
    <t>407 Kettle Falls Disallowed Depreciation</t>
  </si>
  <si>
    <t>407 SRR &amp; CDA Settlement Deferrals &amp; Amorts</t>
  </si>
  <si>
    <t>407 Lancaster Generation</t>
  </si>
  <si>
    <t>407 Optional Renewable Power Revenue Offset</t>
  </si>
  <si>
    <t>407 Deferred O&amp;M Deferral &amp; Amort</t>
  </si>
  <si>
    <t>407 LiDAR Deferral &amp; Amortization</t>
  </si>
  <si>
    <t>407 WA Renewable Energy Credits Amortization</t>
  </si>
  <si>
    <t>407 CNC Transmission Amortization</t>
  </si>
  <si>
    <t>407 BPA Parallel Capacity Support</t>
  </si>
  <si>
    <t>407 Colstrip Outage Return</t>
  </si>
  <si>
    <t>407 Optional Renewable Solar Project Offset</t>
  </si>
  <si>
    <t>407 Amort of Spokane River TDG</t>
  </si>
  <si>
    <t>407 Palouse Wind Deferral</t>
  </si>
  <si>
    <t>Regulatory Deferrals and Amortizations</t>
  </si>
  <si>
    <t>Check Total</t>
  </si>
  <si>
    <t>Regulatory Deferrals &amp; Amorts Excluding Revenue</t>
  </si>
  <si>
    <t>Deferred Debits and Credits</t>
  </si>
  <si>
    <t>Gain on Sale of Office Building</t>
  </si>
  <si>
    <t>ADFIT on Gain on Sale of Office Bldg</t>
  </si>
  <si>
    <t>ADFIT</t>
  </si>
  <si>
    <t>Colstrip 3 Reallocation</t>
  </si>
  <si>
    <t>Prod Plant</t>
  </si>
  <si>
    <t>Accum Depr</t>
  </si>
  <si>
    <t>Colstrip Common AFUDC</t>
  </si>
  <si>
    <t>Kettle Falls Disallowance</t>
  </si>
  <si>
    <t>Settlement Exchange Power</t>
  </si>
  <si>
    <t>PGE Monetization</t>
  </si>
  <si>
    <t>Hydro Relicensing</t>
  </si>
  <si>
    <t>Montana Riverbed Settlement</t>
  </si>
  <si>
    <t>Lancaster Generation</t>
  </si>
  <si>
    <t>MOPS</t>
  </si>
  <si>
    <t>Customer Advances</t>
  </si>
  <si>
    <t>Dist Plant</t>
  </si>
  <si>
    <t>Customer Deposits</t>
  </si>
  <si>
    <t>Production Plant</t>
  </si>
  <si>
    <t>Correction to CB Deferred Debits &amp; Credits</t>
  </si>
  <si>
    <t>Correction to CB Working Capital</t>
  </si>
  <si>
    <t>annual (x/2.333)</t>
  </si>
  <si>
    <t>Tax on Equity Return</t>
  </si>
  <si>
    <t xml:space="preserve">Total % to apply to RB </t>
  </si>
  <si>
    <t xml:space="preserve">Revenue Growth to remove: </t>
  </si>
  <si>
    <t>(a)</t>
  </si>
  <si>
    <t>(b)</t>
  </si>
  <si>
    <t>(c)</t>
  </si>
  <si>
    <t>(d)</t>
  </si>
  <si>
    <t>Capital Structure</t>
  </si>
  <si>
    <t>Compound Growth Rates to 2016</t>
  </si>
  <si>
    <t>Growth Rate 2013-2016</t>
  </si>
  <si>
    <t>Revenue Portion of Category</t>
  </si>
  <si>
    <t>Taxes Other than Income</t>
  </si>
  <si>
    <t>Net plant After ADFIT</t>
  </si>
  <si>
    <t>K-Factor %              (a) x (b)</t>
  </si>
  <si>
    <t>K-Factor Calculation - Rate Year 1:</t>
  </si>
  <si>
    <t>Category</t>
  </si>
  <si>
    <t>See Exh. EMA- 4, page 9 for growth rates and page 7 for revenue proportion and annual growth in sales revenue.</t>
  </si>
  <si>
    <t xml:space="preserve">Annual Growth In Sales Revenue </t>
  </si>
  <si>
    <t xml:space="preserve"> Total K-Factor % </t>
  </si>
  <si>
    <t>K-Factor Calculation - Rate Year 2 &amp; 3:</t>
  </si>
  <si>
    <t>Operating Expenses*</t>
  </si>
  <si>
    <t>Annual Growth In Sales Revenue*</t>
  </si>
  <si>
    <t>Rate Year 1</t>
  </si>
  <si>
    <t>Rate Years 2 &amp; 3</t>
  </si>
  <si>
    <t>Non-ERM revenues (1)</t>
  </si>
  <si>
    <t>Rate Yrs 2 &amp; 3</t>
  </si>
  <si>
    <t xml:space="preserve">(1) Non-ERM Revenues, covering investment-related costs and operating expenses. </t>
  </si>
  <si>
    <t>Growth Rate                   2018-2020</t>
  </si>
  <si>
    <t>Reflects a 10% efficiency adjustment in O&amp;M expenses and decreases in the growth in net plant after ADFIT in 2019 and 2020.</t>
  </si>
  <si>
    <r>
      <t>Depreciation/Amortization</t>
    </r>
    <r>
      <rPr>
        <b/>
        <vertAlign val="superscript"/>
        <sz val="12"/>
        <color theme="1"/>
        <rFont val="Times New Roman"/>
        <family val="1"/>
      </rPr>
      <t>(1)</t>
    </r>
  </si>
  <si>
    <r>
      <rPr>
        <b/>
        <vertAlign val="superscript"/>
        <sz val="10"/>
        <rFont val="Times New Roman"/>
        <family val="1"/>
      </rPr>
      <t xml:space="preserve">(1) </t>
    </r>
    <r>
      <rPr>
        <b/>
        <sz val="10"/>
        <rFont val="Times New Roman"/>
        <family val="1"/>
      </rPr>
      <t>The growth rate in depreciation/amortization expense is primarily driven by shorter-lived assets representing a higher proportion of investment in recent years.</t>
    </r>
  </si>
  <si>
    <t>PROPOSED COST OF CAPITAL</t>
  </si>
  <si>
    <t>Agree to Staff</t>
  </si>
  <si>
    <t>Avista Proposed</t>
  </si>
  <si>
    <t>Staff agrees</t>
  </si>
  <si>
    <t>Avista Revised Revenue Growth Factor (K-Factor) for Rate Years 2 and 3 (May 1, 2019 and May 1, 2020)</t>
  </si>
  <si>
    <t>YEAR 2 and 3 GROWTH FACTOR CALCULATION DATA</t>
  </si>
  <si>
    <t>Operating Expenses (1)</t>
  </si>
  <si>
    <t>See Exh. CSH-4, page 1.</t>
  </si>
  <si>
    <t>Net Plant After ADFIT (2)</t>
  </si>
  <si>
    <t>Growth Rate   2013-2016</t>
  </si>
  <si>
    <t>Growth Rate     2007-2016</t>
  </si>
  <si>
    <t>used Staff's proposed %</t>
  </si>
  <si>
    <t>See page 1</t>
  </si>
  <si>
    <r>
      <t>(</t>
    </r>
    <r>
      <rPr>
        <b/>
        <strike/>
        <sz val="9"/>
        <rFont val="Times New Roman"/>
        <family val="1"/>
      </rPr>
      <t>1) This efficiency adjustment is on top of the already reduced O&amp;M growth in 2017 and beyond compared to past planned growth in O&amp;M. As noted in the Company's prior 2016 case (Docket UE-160226, Exhibit No. (EMA-1T), page 35, line 2, the previous growth t</t>
    </r>
    <r>
      <rPr>
        <sz val="9"/>
        <rFont val="Times New Roman"/>
        <family val="1"/>
      </rPr>
      <t>rend in O&amp;M per the Company's forecast from 2015 to 2017 had expected to be 4.24% annually for electric operations. The Company has recently reduced its expected O&amp;M annual increases for the period 2017-2020 to 2.71% anually, a significant reduction, and one more in-line with recent years 2013-2016 average growth of 2.84% for electric operations.</t>
    </r>
  </si>
  <si>
    <t>See Exh. EMA- 13, page 4 for growth rates and page 2 for revenue proportion and annual growth in sales revenue.</t>
  </si>
  <si>
    <t>Agreed-to Growth Rate</t>
  </si>
  <si>
    <t>Weighted Avg Escalation              (a) or (b) x (c)</t>
  </si>
  <si>
    <t>(1) On rebuttal Avista agrees with Staff's operating expenses growth component.</t>
  </si>
  <si>
    <t>(2) Staff witness Mr. Hancock supports Avista's Net Plant after ADFIT and Annual Growth in Sales Revenue components.</t>
  </si>
  <si>
    <t>Annual Growth In Sales Revenue (2)</t>
  </si>
  <si>
    <t xml:space="preserve">Staff Composite Revenue Escalator Calculation </t>
  </si>
  <si>
    <t>Avista Revised Revenue Growth Factor (K-Factor) Calculation</t>
  </si>
  <si>
    <t xml:space="preserve">REVENUE GROWTH FACTOR (K-FACTOR) CALCULATION </t>
  </si>
  <si>
    <t>Reduction to Growth in Net Plant 2019-2020 Staff Agrees</t>
  </si>
  <si>
    <t>Agreed to Staff, See page 1</t>
  </si>
  <si>
    <t>(1) Reduction in net plant compared to previous years trend warrants a growth rate reduction for the 2-Year period 2019-2020.  This is based on planned transfers to plant and impacts of A/D &amp; ADFIT for those years. Reductions in net plant in 2019 and 2020 results from: 1) timing of transfers to plant (less in 2019-2020); 2) the continuing impact of repairs and bonus depreciation on ADFIT through 2020; and 3) carrying forward A/D on all plant from December 31, 2016 on an AMA basis to each rate year, increases A/D, reducing the net plant adjustment amount in each year.</t>
  </si>
  <si>
    <t xml:space="preserve">used Staff's proposed  = </t>
  </si>
  <si>
    <t>Operating Expenses - UTC Indices (1)</t>
  </si>
  <si>
    <t>Rate Base Reduction (1) Staff Agreed</t>
  </si>
  <si>
    <t>Staff Agreed</t>
  </si>
  <si>
    <t>(Shaded rows or %'s represent agreement between Company and Staff)</t>
  </si>
  <si>
    <t>(Shaded rows or percentages represent agreement between Company and Staff)</t>
  </si>
  <si>
    <t xml:space="preserve"> Total Escalator % Company</t>
  </si>
  <si>
    <t xml:space="preserve"> Total Escalator % Staff</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</si>
</sst>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numFmt numFmtId="167" formatCode="0.000000"/>
    <numFmt numFmtId="168" formatCode="0.000%"/>
    <numFmt numFmtId="169" formatCode="_(* #,##0_);_(* \(#,##0\);_(* &quot;-&quot;??_);_(@_)"/>
    <numFmt numFmtId="170" formatCode="&quot;x &quot;0.00"/>
    <numFmt numFmtId="171" formatCode="&quot;x &quot;0.000"/>
    <numFmt numFmtId="172" formatCode="0.00000"/>
    <numFmt numFmtId="173" formatCode="#,###.0_);\(#,###.0\)"/>
    <numFmt numFmtId="174" formatCode="0000.00"/>
    <numFmt numFmtId="175" formatCode="0000"/>
    <numFmt numFmtId="176" formatCode="_(&quot;$&quot;* #,##0_);_(&quot;$&quot;* \(#,##0\);_(&quot;$&quot;* &quot;-&quot;??_);_(@_)"/>
    <numFmt numFmtId="177" formatCode="_(&quot;$&quot;#,###_);_(&quot;$&quot;\ \(#,###\);_(* _);_(@_)"/>
  </numFmts>
  <fonts count="74">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Geneva"/>
      <family val="2"/>
    </font>
    <font>
      <sz val="9"/>
      <name val="Times New Roman"/>
      <family val="1"/>
    </font>
    <font>
      <b/>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b/>
      <sz val="9"/>
      <color indexed="20"/>
      <name val="Times New Roman"/>
      <family val="1"/>
    </font>
    <font>
      <sz val="9"/>
      <color indexed="20"/>
      <name val="Times New Roman"/>
      <family val="1"/>
    </font>
    <font>
      <i/>
      <sz val="10"/>
      <name val="Times New Roman"/>
      <family val="1"/>
    </font>
    <font>
      <b/>
      <sz val="10"/>
      <color indexed="12"/>
      <name val="Times New Roman"/>
      <family val="1"/>
    </font>
    <font>
      <sz val="10"/>
      <color indexed="57"/>
      <name val="Times New Roman"/>
      <family val="1"/>
    </font>
    <font>
      <sz val="10"/>
      <color indexed="12"/>
      <name val="Times New Roman"/>
      <family val="1"/>
    </font>
    <font>
      <sz val="10"/>
      <color indexed="21"/>
      <name val="Times New Roman"/>
      <family val="1"/>
    </font>
    <font>
      <sz val="10"/>
      <color indexed="10"/>
      <name val="Times New Roman"/>
      <family val="1"/>
    </font>
    <font>
      <b/>
      <u/>
      <sz val="10"/>
      <name val="Times New Roman"/>
      <family val="1"/>
    </font>
    <font>
      <b/>
      <i/>
      <sz val="10"/>
      <name val="Times New Roman"/>
      <family val="1"/>
    </font>
    <font>
      <sz val="10"/>
      <color indexed="48"/>
      <name val="Times New Roman"/>
      <family val="1"/>
    </font>
    <font>
      <sz val="10"/>
      <color indexed="17"/>
      <name val="Times New Roman"/>
      <family val="1"/>
    </font>
    <font>
      <sz val="8"/>
      <color indexed="81"/>
      <name val="Tahoma"/>
      <family val="2"/>
    </font>
    <font>
      <b/>
      <sz val="8"/>
      <color indexed="81"/>
      <name val="Tahoma"/>
      <family val="2"/>
    </font>
    <font>
      <b/>
      <sz val="8"/>
      <color indexed="10"/>
      <name val="Times New Roman"/>
      <family val="1"/>
    </font>
    <font>
      <b/>
      <sz val="10"/>
      <color indexed="10"/>
      <name val="Times New Roman"/>
      <family val="1"/>
    </font>
    <font>
      <u/>
      <sz val="10"/>
      <color indexed="12"/>
      <name val="Times New Roman"/>
      <family val="1"/>
    </font>
    <font>
      <sz val="12"/>
      <name val="Times New Roman"/>
      <family val="1"/>
    </font>
    <font>
      <b/>
      <sz val="10"/>
      <color indexed="81"/>
      <name val="Tahoma"/>
      <family val="2"/>
    </font>
    <font>
      <u/>
      <sz val="10"/>
      <color indexed="10"/>
      <name val="Times New Roman"/>
      <family val="1"/>
    </font>
    <font>
      <sz val="10"/>
      <color indexed="10"/>
      <name val="Times New Roman"/>
      <family val="1"/>
    </font>
    <font>
      <i/>
      <sz val="10"/>
      <color indexed="10"/>
      <name val="Times New Roman"/>
      <family val="1"/>
    </font>
    <font>
      <u/>
      <sz val="7.5"/>
      <color theme="0"/>
      <name val="Arial"/>
      <family val="2"/>
    </font>
    <font>
      <sz val="10"/>
      <color rgb="FFFF0000"/>
      <name val="Times New Roman"/>
      <family val="1"/>
    </font>
    <font>
      <sz val="10"/>
      <color rgb="FF002060"/>
      <name val="Times New Roman"/>
      <family val="1"/>
    </font>
    <font>
      <sz val="12"/>
      <color indexed="10"/>
      <name val="Times New Roman"/>
      <family val="1"/>
    </font>
    <font>
      <sz val="11"/>
      <name val="Tms Rmn"/>
    </font>
    <font>
      <sz val="9"/>
      <color indexed="81"/>
      <name val="Tahoma"/>
      <family val="2"/>
    </font>
    <font>
      <i/>
      <sz val="10"/>
      <color rgb="FFFF0000"/>
      <name val="Times New Roman"/>
      <family val="1"/>
    </font>
    <font>
      <sz val="10"/>
      <color rgb="FFC00000"/>
      <name val="Times New Roman"/>
      <family val="1"/>
    </font>
    <font>
      <i/>
      <sz val="8"/>
      <name val="Times New Roman"/>
      <family val="1"/>
    </font>
    <font>
      <b/>
      <sz val="14"/>
      <name val="Times New Roman"/>
      <family val="1"/>
    </font>
    <font>
      <b/>
      <sz val="11"/>
      <name val="Times New Roman"/>
      <family val="1"/>
    </font>
    <font>
      <sz val="8"/>
      <name val="Times New Roman"/>
      <family val="1"/>
    </font>
    <font>
      <sz val="9"/>
      <color rgb="FFC00000"/>
      <name val="Times New Roman"/>
      <family val="1"/>
    </font>
    <font>
      <u/>
      <sz val="10"/>
      <color rgb="FFC00000"/>
      <name val="Times New Roman"/>
      <family val="1"/>
    </font>
    <font>
      <sz val="10"/>
      <name val="Tahoma"/>
      <family val="2"/>
    </font>
    <font>
      <b/>
      <sz val="9"/>
      <color indexed="81"/>
      <name val="Tahoma"/>
      <family val="2"/>
    </font>
    <font>
      <sz val="12"/>
      <name val="Tms Rmn"/>
    </font>
    <font>
      <b/>
      <u/>
      <sz val="9"/>
      <name val="Times New Roman"/>
      <family val="1"/>
    </font>
    <font>
      <b/>
      <sz val="10"/>
      <color rgb="FFFF0000"/>
      <name val="Times New Roman"/>
      <family val="1"/>
    </font>
    <font>
      <b/>
      <sz val="12"/>
      <name val="Times New Roman"/>
      <family val="1"/>
    </font>
    <font>
      <sz val="12"/>
      <color indexed="12"/>
      <name val="Times New Roman"/>
      <family val="1"/>
    </font>
    <font>
      <b/>
      <sz val="9"/>
      <color rgb="FFFF0000"/>
      <name val="Times New Roman"/>
      <family val="1"/>
    </font>
    <font>
      <b/>
      <sz val="8"/>
      <name val="Times New Roman"/>
      <family val="1"/>
    </font>
    <font>
      <sz val="9"/>
      <color theme="1"/>
      <name val="Times New Roman"/>
      <family val="1"/>
    </font>
    <font>
      <b/>
      <sz val="11"/>
      <color theme="1"/>
      <name val="Calibri"/>
      <family val="2"/>
      <scheme val="minor"/>
    </font>
    <font>
      <sz val="10"/>
      <color theme="1"/>
      <name val="Arial"/>
      <family val="2"/>
    </font>
    <font>
      <b/>
      <sz val="16"/>
      <name val="Times New Roman"/>
      <family val="1"/>
    </font>
    <font>
      <sz val="10"/>
      <name val="Geneva"/>
    </font>
    <font>
      <b/>
      <sz val="9"/>
      <color theme="1"/>
      <name val="Times New Roman"/>
      <family val="1"/>
    </font>
    <font>
      <u/>
      <sz val="9"/>
      <color theme="1"/>
      <name val="Times New Roman"/>
      <family val="1"/>
    </font>
    <font>
      <sz val="9"/>
      <name val="Arial"/>
      <family val="2"/>
    </font>
    <font>
      <b/>
      <sz val="9"/>
      <name val="Arial"/>
      <family val="2"/>
    </font>
    <font>
      <b/>
      <sz val="10"/>
      <name val="Arial"/>
      <family val="2"/>
    </font>
    <font>
      <b/>
      <sz val="12"/>
      <color theme="1"/>
      <name val="Times New Roman"/>
      <family val="1"/>
    </font>
    <font>
      <sz val="12"/>
      <color theme="1"/>
      <name val="Times New Roman"/>
      <family val="1"/>
    </font>
    <font>
      <b/>
      <vertAlign val="superscript"/>
      <sz val="12"/>
      <color theme="1"/>
      <name val="Times New Roman"/>
      <family val="1"/>
    </font>
    <font>
      <b/>
      <vertAlign val="superscript"/>
      <sz val="10"/>
      <name val="Times New Roman"/>
      <family val="1"/>
    </font>
    <font>
      <strike/>
      <sz val="9"/>
      <name val="Times New Roman"/>
      <family val="1"/>
    </font>
    <font>
      <b/>
      <strike/>
      <sz val="9"/>
      <name val="Times New Roman"/>
      <family val="1"/>
    </font>
    <font>
      <b/>
      <u/>
      <sz val="12"/>
      <name val="Times New Roman"/>
      <family val="1"/>
    </font>
  </fonts>
  <fills count="10">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indexed="46"/>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style="medium">
        <color indexed="64"/>
      </bottom>
      <diagonal/>
    </border>
  </borders>
  <cellStyleXfs count="27">
    <xf numFmtId="0" fontId="0"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9" fontId="4" fillId="0" borderId="0" applyFont="0" applyFill="0" applyBorder="0" applyAlignment="0" applyProtection="0"/>
    <xf numFmtId="9" fontId="4" fillId="0" borderId="0" applyFont="0" applyFill="0" applyBorder="0" applyAlignment="0" applyProtection="0"/>
    <xf numFmtId="0" fontId="29" fillId="0" borderId="0"/>
    <xf numFmtId="0" fontId="37" fillId="4" borderId="0"/>
    <xf numFmtId="43" fontId="48"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59" fillId="0" borderId="0"/>
    <xf numFmtId="0" fontId="61" fillId="0" borderId="0"/>
    <xf numFmtId="0" fontId="1" fillId="0" borderId="0"/>
    <xf numFmtId="9" fontId="1" fillId="0" borderId="0" applyFont="0" applyFill="0" applyBorder="0" applyAlignment="0" applyProtection="0"/>
  </cellStyleXfs>
  <cellXfs count="895">
    <xf numFmtId="0" fontId="0" fillId="0" borderId="0" xfId="0"/>
    <xf numFmtId="0" fontId="9" fillId="0" borderId="0" xfId="0" applyFont="1"/>
    <xf numFmtId="0" fontId="10" fillId="0" borderId="0" xfId="0" applyFont="1" applyAlignment="1">
      <alignment horizontal="center"/>
    </xf>
    <xf numFmtId="0" fontId="9" fillId="0" borderId="0" xfId="0" applyFont="1" applyBorder="1"/>
    <xf numFmtId="0" fontId="10" fillId="0" borderId="0" xfId="0" applyFont="1" applyBorder="1" applyAlignment="1">
      <alignment horizontal="center"/>
    </xf>
    <xf numFmtId="0" fontId="9" fillId="0" borderId="0" xfId="0" applyFont="1" applyAlignment="1">
      <alignment horizontal="center"/>
    </xf>
    <xf numFmtId="0" fontId="9" fillId="0" borderId="10" xfId="0" applyFont="1" applyBorder="1" applyAlignment="1">
      <alignment horizontal="center"/>
    </xf>
    <xf numFmtId="5" fontId="9" fillId="0" borderId="0" xfId="0" applyNumberFormat="1" applyFont="1" applyBorder="1"/>
    <xf numFmtId="3" fontId="9" fillId="0" borderId="0" xfId="0" applyNumberFormat="1" applyFont="1"/>
    <xf numFmtId="0" fontId="9" fillId="0" borderId="0" xfId="0" applyFont="1" applyFill="1" applyAlignment="1">
      <alignment horizontal="center"/>
    </xf>
    <xf numFmtId="0" fontId="11" fillId="0" borderId="0" xfId="0" applyFont="1" applyAlignment="1">
      <alignment horizontal="center"/>
    </xf>
    <xf numFmtId="0" fontId="16" fillId="0" borderId="0" xfId="0" applyFont="1"/>
    <xf numFmtId="0" fontId="17" fillId="0" borderId="0" xfId="0" applyFont="1"/>
    <xf numFmtId="0" fontId="9" fillId="0" borderId="0" xfId="0" applyFont="1" applyAlignment="1">
      <alignment horizontal="left"/>
    </xf>
    <xf numFmtId="0" fontId="9" fillId="0" borderId="10" xfId="0" applyFont="1" applyBorder="1" applyAlignment="1">
      <alignment horizontal="left"/>
    </xf>
    <xf numFmtId="9" fontId="9" fillId="0" borderId="0" xfId="0" applyNumberFormat="1" applyFont="1" applyAlignment="1">
      <alignment horizontal="left"/>
    </xf>
    <xf numFmtId="0" fontId="9" fillId="0" borderId="0" xfId="0" applyFont="1" applyBorder="1" applyAlignment="1">
      <alignment horizontal="left"/>
    </xf>
    <xf numFmtId="3" fontId="9" fillId="0" borderId="0" xfId="11" applyNumberFormat="1" applyFont="1" applyAlignment="1">
      <alignment horizontal="centerContinuous"/>
    </xf>
    <xf numFmtId="0" fontId="9" fillId="0" borderId="0" xfId="11" applyFont="1" applyAlignment="1">
      <alignment horizontal="centerContinuous"/>
    </xf>
    <xf numFmtId="3" fontId="9" fillId="0" borderId="0" xfId="11" applyNumberFormat="1" applyFont="1"/>
    <xf numFmtId="3" fontId="9" fillId="0" borderId="0" xfId="11" applyNumberFormat="1" applyFont="1" applyBorder="1" applyAlignment="1">
      <alignment horizontal="centerContinuous"/>
    </xf>
    <xf numFmtId="0" fontId="9" fillId="0" borderId="0" xfId="11" applyFont="1" applyBorder="1" applyAlignment="1">
      <alignment horizontal="centerContinuous"/>
    </xf>
    <xf numFmtId="0" fontId="9" fillId="0" borderId="0" xfId="11" applyFont="1"/>
    <xf numFmtId="3" fontId="9" fillId="0" borderId="0" xfId="11" applyNumberFormat="1" applyFont="1" applyAlignment="1">
      <alignment horizontal="center"/>
    </xf>
    <xf numFmtId="0" fontId="9" fillId="0" borderId="0" xfId="11" applyFont="1" applyAlignment="1">
      <alignment horizontal="center"/>
    </xf>
    <xf numFmtId="3" fontId="9" fillId="0" borderId="10" xfId="11" applyNumberFormat="1" applyFont="1" applyBorder="1" applyAlignment="1">
      <alignment horizontal="center"/>
    </xf>
    <xf numFmtId="164" fontId="9" fillId="0" borderId="0" xfId="11" applyNumberFormat="1" applyFont="1"/>
    <xf numFmtId="164" fontId="9" fillId="0" borderId="3" xfId="11" applyNumberFormat="1" applyFont="1" applyBorder="1"/>
    <xf numFmtId="10" fontId="9" fillId="0" borderId="0" xfId="11" applyNumberFormat="1" applyFont="1"/>
    <xf numFmtId="170" fontId="9" fillId="0" borderId="0" xfId="11" applyNumberFormat="1" applyFont="1"/>
    <xf numFmtId="171" fontId="9" fillId="0" borderId="10" xfId="11" applyNumberFormat="1" applyFont="1" applyBorder="1"/>
    <xf numFmtId="164" fontId="9" fillId="0" borderId="0" xfId="11" applyNumberFormat="1" applyFont="1" applyAlignment="1">
      <alignment horizontal="center"/>
    </xf>
    <xf numFmtId="3" fontId="9" fillId="0" borderId="0" xfId="11" applyNumberFormat="1" applyFont="1" applyBorder="1"/>
    <xf numFmtId="10" fontId="9" fillId="0" borderId="3" xfId="11" applyNumberFormat="1" applyFont="1" applyBorder="1"/>
    <xf numFmtId="168" fontId="9" fillId="0" borderId="0" xfId="14" applyNumberFormat="1" applyFont="1"/>
    <xf numFmtId="168" fontId="9" fillId="0" borderId="0" xfId="11" applyNumberFormat="1" applyFont="1"/>
    <xf numFmtId="168" fontId="9" fillId="0" borderId="3" xfId="11" applyNumberFormat="1" applyFont="1" applyBorder="1"/>
    <xf numFmtId="10" fontId="9" fillId="0" borderId="0" xfId="11" applyNumberFormat="1" applyFont="1" applyBorder="1"/>
    <xf numFmtId="0" fontId="14" fillId="0" borderId="0" xfId="11" applyFont="1"/>
    <xf numFmtId="10" fontId="14" fillId="0" borderId="0" xfId="11" applyNumberFormat="1" applyFont="1"/>
    <xf numFmtId="164" fontId="9" fillId="0" borderId="17" xfId="11" applyNumberFormat="1" applyFont="1" applyBorder="1"/>
    <xf numFmtId="3" fontId="9" fillId="0" borderId="0" xfId="11" applyNumberFormat="1" applyFont="1" applyAlignment="1">
      <alignment horizontal="left"/>
    </xf>
    <xf numFmtId="164" fontId="9" fillId="0" borderId="0" xfId="11" applyNumberFormat="1" applyFont="1" applyFill="1"/>
    <xf numFmtId="10" fontId="9" fillId="0" borderId="0" xfId="11" applyNumberFormat="1" applyFont="1" applyFill="1"/>
    <xf numFmtId="3" fontId="9" fillId="0" borderId="0" xfId="11" applyNumberFormat="1" applyFont="1" applyFill="1" applyBorder="1"/>
    <xf numFmtId="164" fontId="9" fillId="0" borderId="3" xfId="11" applyNumberFormat="1" applyFont="1" applyFill="1" applyBorder="1"/>
    <xf numFmtId="10" fontId="9" fillId="0" borderId="3" xfId="11" applyNumberFormat="1" applyFont="1" applyFill="1" applyBorder="1"/>
    <xf numFmtId="3" fontId="9" fillId="0" borderId="0" xfId="11" applyNumberFormat="1" applyFont="1" applyFill="1"/>
    <xf numFmtId="168" fontId="9" fillId="0" borderId="0" xfId="14" applyNumberFormat="1" applyFont="1" applyFill="1"/>
    <xf numFmtId="168" fontId="9" fillId="0" borderId="0" xfId="11" applyNumberFormat="1" applyFont="1" applyFill="1"/>
    <xf numFmtId="168" fontId="9" fillId="0" borderId="3" xfId="11" applyNumberFormat="1" applyFont="1" applyFill="1" applyBorder="1"/>
    <xf numFmtId="0" fontId="14" fillId="0" borderId="0" xfId="0" applyFont="1"/>
    <xf numFmtId="167" fontId="10" fillId="0" borderId="0" xfId="0" applyNumberFormat="1" applyFont="1"/>
    <xf numFmtId="167" fontId="9" fillId="0" borderId="0" xfId="0" applyNumberFormat="1" applyFont="1"/>
    <xf numFmtId="10" fontId="22" fillId="0" borderId="0" xfId="0" applyNumberFormat="1" applyFont="1"/>
    <xf numFmtId="0" fontId="10" fillId="0" borderId="0" xfId="0" applyFont="1" applyAlignment="1">
      <alignment horizontal="centerContinuous"/>
    </xf>
    <xf numFmtId="169" fontId="9" fillId="0" borderId="0" xfId="1" applyNumberFormat="1" applyFont="1"/>
    <xf numFmtId="169" fontId="10" fillId="0" borderId="0" xfId="1" applyNumberFormat="1" applyFont="1" applyAlignment="1">
      <alignment horizontal="center"/>
    </xf>
    <xf numFmtId="0" fontId="10" fillId="0" borderId="10" xfId="0" applyFont="1" applyBorder="1" applyAlignment="1">
      <alignment horizontal="center"/>
    </xf>
    <xf numFmtId="0" fontId="10" fillId="0" borderId="0" xfId="0" applyFont="1"/>
    <xf numFmtId="5" fontId="9" fillId="0" borderId="0" xfId="1" applyNumberFormat="1" applyFont="1"/>
    <xf numFmtId="169" fontId="9" fillId="0" borderId="12" xfId="1" applyNumberFormat="1" applyFont="1" applyBorder="1"/>
    <xf numFmtId="169" fontId="9" fillId="0" borderId="0" xfId="1" applyNumberFormat="1" applyFont="1" applyBorder="1"/>
    <xf numFmtId="169" fontId="9" fillId="0" borderId="10" xfId="1" applyNumberFormat="1" applyFont="1" applyBorder="1"/>
    <xf numFmtId="0" fontId="10" fillId="0" borderId="1" xfId="0" applyFont="1" applyBorder="1" applyAlignment="1">
      <alignment horizontal="center"/>
    </xf>
    <xf numFmtId="0" fontId="10" fillId="0" borderId="8" xfId="0" applyFont="1" applyBorder="1" applyAlignment="1">
      <alignment horizontal="center"/>
    </xf>
    <xf numFmtId="0" fontId="23" fillId="0" borderId="0" xfId="0" applyFont="1"/>
    <xf numFmtId="0" fontId="21" fillId="0" borderId="0" xfId="0" applyFont="1" applyAlignment="1">
      <alignment horizontal="centerContinuous"/>
    </xf>
    <xf numFmtId="0" fontId="21" fillId="0" borderId="0" xfId="0" applyFont="1" applyBorder="1" applyAlignment="1">
      <alignment horizontal="center"/>
    </xf>
    <xf numFmtId="0" fontId="21" fillId="0" borderId="10" xfId="0" applyFont="1" applyBorder="1" applyAlignment="1">
      <alignment horizontal="center"/>
    </xf>
    <xf numFmtId="167" fontId="14" fillId="0" borderId="0" xfId="0" applyNumberFormat="1" applyFont="1"/>
    <xf numFmtId="167" fontId="14" fillId="0" borderId="0" xfId="0" applyNumberFormat="1" applyFont="1" applyBorder="1"/>
    <xf numFmtId="167" fontId="14" fillId="0" borderId="12" xfId="0" applyNumberFormat="1" applyFont="1" applyBorder="1"/>
    <xf numFmtId="167" fontId="14" fillId="0" borderId="10" xfId="0" applyNumberFormat="1" applyFont="1" applyBorder="1"/>
    <xf numFmtId="3" fontId="17" fillId="0" borderId="0" xfId="11" applyNumberFormat="1" applyFont="1"/>
    <xf numFmtId="164" fontId="17" fillId="0" borderId="0" xfId="11" applyNumberFormat="1" applyFont="1"/>
    <xf numFmtId="10" fontId="10" fillId="0" borderId="0" xfId="0" applyNumberFormat="1" applyFont="1" applyBorder="1" applyAlignment="1">
      <alignment horizontal="left"/>
    </xf>
    <xf numFmtId="37" fontId="9" fillId="0" borderId="0" xfId="11" applyNumberFormat="1" applyFont="1" applyAlignment="1">
      <alignment horizontal="right"/>
    </xf>
    <xf numFmtId="0" fontId="27" fillId="0" borderId="0" xfId="11" applyFont="1"/>
    <xf numFmtId="0" fontId="19" fillId="0" borderId="0" xfId="0" applyFont="1"/>
    <xf numFmtId="0" fontId="19" fillId="0" borderId="0" xfId="0" applyFont="1" applyAlignment="1">
      <alignment horizontal="left"/>
    </xf>
    <xf numFmtId="0" fontId="17" fillId="0" borderId="0" xfId="0" applyFont="1" applyAlignment="1">
      <alignment horizontal="left"/>
    </xf>
    <xf numFmtId="0" fontId="17" fillId="0" borderId="0" xfId="0" applyFont="1" applyBorder="1"/>
    <xf numFmtId="0" fontId="15" fillId="0" borderId="0" xfId="0" applyFont="1" applyAlignment="1">
      <alignment horizontal="center"/>
    </xf>
    <xf numFmtId="169" fontId="9" fillId="0" borderId="13" xfId="1" applyNumberFormat="1" applyFont="1" applyBorder="1"/>
    <xf numFmtId="3" fontId="26" fillId="0" borderId="0" xfId="11" applyNumberFormat="1" applyFont="1"/>
    <xf numFmtId="0" fontId="9" fillId="0" borderId="0" xfId="0" applyFont="1" applyFill="1" applyBorder="1"/>
    <xf numFmtId="169" fontId="9" fillId="0" borderId="0" xfId="0" applyNumberFormat="1" applyFont="1"/>
    <xf numFmtId="3" fontId="17" fillId="0" borderId="10" xfId="11" applyNumberFormat="1" applyFont="1" applyBorder="1"/>
    <xf numFmtId="0" fontId="10" fillId="0" borderId="0" xfId="0" applyFont="1" applyFill="1"/>
    <xf numFmtId="10" fontId="19" fillId="0" borderId="0" xfId="0" applyNumberFormat="1" applyFont="1" applyFill="1"/>
    <xf numFmtId="10" fontId="9" fillId="0" borderId="0" xfId="0" applyNumberFormat="1" applyFont="1"/>
    <xf numFmtId="3" fontId="10" fillId="0" borderId="0" xfId="11" applyNumberFormat="1" applyFont="1"/>
    <xf numFmtId="0" fontId="9" fillId="0" borderId="0" xfId="0" applyFont="1" applyFill="1"/>
    <xf numFmtId="10" fontId="9" fillId="0" borderId="0" xfId="14" applyNumberFormat="1" applyFont="1"/>
    <xf numFmtId="3" fontId="17" fillId="0" borderId="0" xfId="0" applyNumberFormat="1" applyFont="1" applyFill="1"/>
    <xf numFmtId="0" fontId="19" fillId="0" borderId="0" xfId="0" applyFont="1" applyFill="1"/>
    <xf numFmtId="0" fontId="19" fillId="0" borderId="0" xfId="0" applyFont="1" applyFill="1" applyAlignment="1">
      <alignment horizontal="left"/>
    </xf>
    <xf numFmtId="0" fontId="9" fillId="0" borderId="0" xfId="0" applyFont="1" applyFill="1" applyAlignment="1">
      <alignment horizontal="left"/>
    </xf>
    <xf numFmtId="10" fontId="27" fillId="0" borderId="10" xfId="11" applyNumberFormat="1" applyFont="1" applyFill="1" applyBorder="1"/>
    <xf numFmtId="3" fontId="26" fillId="0" borderId="0" xfId="11" applyNumberFormat="1" applyFont="1" applyFill="1"/>
    <xf numFmtId="0" fontId="16" fillId="0" borderId="0" xfId="0" applyFont="1" applyFill="1"/>
    <xf numFmtId="169" fontId="9" fillId="0" borderId="0" xfId="1" applyNumberFormat="1" applyFont="1" applyFill="1" applyBorder="1"/>
    <xf numFmtId="0" fontId="14" fillId="0" borderId="0" xfId="0" applyFont="1" applyBorder="1"/>
    <xf numFmtId="5" fontId="9" fillId="0" borderId="0" xfId="1" applyNumberFormat="1" applyFont="1" applyBorder="1"/>
    <xf numFmtId="167" fontId="9" fillId="0" borderId="0" xfId="0" applyNumberFormat="1" applyFont="1" applyBorder="1"/>
    <xf numFmtId="1" fontId="9" fillId="0" borderId="0" xfId="0" applyNumberFormat="1" applyFont="1" applyBorder="1"/>
    <xf numFmtId="0" fontId="17" fillId="0" borderId="0" xfId="0" applyFont="1" applyBorder="1" applyAlignment="1">
      <alignment horizontal="center"/>
    </xf>
    <xf numFmtId="0" fontId="17" fillId="0" borderId="0" xfId="0" applyFont="1" applyFill="1" applyBorder="1"/>
    <xf numFmtId="10" fontId="10" fillId="0" borderId="16" xfId="0" applyNumberFormat="1" applyFont="1" applyBorder="1" applyAlignment="1">
      <alignment horizontal="left"/>
    </xf>
    <xf numFmtId="9" fontId="9" fillId="0" borderId="0" xfId="0" applyNumberFormat="1" applyFont="1" applyFill="1" applyBorder="1" applyAlignment="1">
      <alignment horizontal="left"/>
    </xf>
    <xf numFmtId="0" fontId="17" fillId="0" borderId="0" xfId="0" applyFont="1" applyAlignment="1">
      <alignment horizontal="center"/>
    </xf>
    <xf numFmtId="0" fontId="31" fillId="0" borderId="0" xfId="0" applyFont="1" applyAlignment="1">
      <alignment horizontal="center"/>
    </xf>
    <xf numFmtId="0" fontId="10" fillId="0" borderId="0" xfId="0" applyFont="1" applyBorder="1" applyAlignment="1">
      <alignment horizontal="left"/>
    </xf>
    <xf numFmtId="0" fontId="10" fillId="0" borderId="0" xfId="0" applyFont="1" applyFill="1" applyAlignment="1">
      <alignment horizontal="left"/>
    </xf>
    <xf numFmtId="0" fontId="32" fillId="0" borderId="0" xfId="0" applyFont="1" applyAlignment="1">
      <alignment horizontal="center"/>
    </xf>
    <xf numFmtId="0" fontId="32" fillId="0" borderId="0" xfId="0" applyFont="1" applyFill="1" applyAlignment="1">
      <alignment horizontal="center"/>
    </xf>
    <xf numFmtId="0" fontId="33" fillId="0" borderId="0" xfId="0" applyFont="1" applyAlignment="1">
      <alignment horizontal="left"/>
    </xf>
    <xf numFmtId="0" fontId="35" fillId="0" borderId="0" xfId="0" applyFont="1" applyAlignment="1">
      <alignment horizontal="center"/>
    </xf>
    <xf numFmtId="3" fontId="9" fillId="0" borderId="0" xfId="0" applyNumberFormat="1" applyFont="1" applyFill="1"/>
    <xf numFmtId="0" fontId="36" fillId="0" borderId="0" xfId="0" applyFont="1" applyFill="1" applyAlignment="1">
      <alignment horizontal="center"/>
    </xf>
    <xf numFmtId="3" fontId="18" fillId="0" borderId="0" xfId="0" applyNumberFormat="1" applyFont="1" applyFill="1" applyAlignment="1">
      <alignment horizontal="center"/>
    </xf>
    <xf numFmtId="5" fontId="9" fillId="0" borderId="0" xfId="0" applyNumberFormat="1" applyFont="1" applyFill="1" applyBorder="1"/>
    <xf numFmtId="10" fontId="9" fillId="0" borderId="0" xfId="0" applyNumberFormat="1" applyFont="1" applyFill="1" applyBorder="1" applyAlignment="1">
      <alignment horizontal="left"/>
    </xf>
    <xf numFmtId="173" fontId="9" fillId="0" borderId="0" xfId="0" applyNumberFormat="1" applyFont="1"/>
    <xf numFmtId="166" fontId="9" fillId="0" borderId="0" xfId="0" applyNumberFormat="1" applyFont="1"/>
    <xf numFmtId="166" fontId="9" fillId="0" borderId="0" xfId="0" applyNumberFormat="1" applyFont="1" applyBorder="1"/>
    <xf numFmtId="169" fontId="9" fillId="0" borderId="0" xfId="1" applyNumberFormat="1" applyFont="1" applyFill="1"/>
    <xf numFmtId="169" fontId="9" fillId="0" borderId="0" xfId="0" applyNumberFormat="1" applyFont="1" applyFill="1" applyBorder="1"/>
    <xf numFmtId="0" fontId="16" fillId="0" borderId="0" xfId="0" applyFont="1" applyFill="1" applyBorder="1"/>
    <xf numFmtId="10" fontId="9" fillId="0" borderId="0" xfId="0" applyNumberFormat="1" applyFont="1" applyFill="1" applyBorder="1"/>
    <xf numFmtId="41" fontId="7" fillId="0" borderId="1" xfId="12" applyNumberFormat="1" applyFont="1" applyFill="1" applyBorder="1" applyAlignment="1">
      <alignment horizontal="center"/>
    </xf>
    <xf numFmtId="41" fontId="7" fillId="0" borderId="1" xfId="12" applyNumberFormat="1" applyFont="1" applyBorder="1" applyAlignment="1">
      <alignment horizontal="center"/>
    </xf>
    <xf numFmtId="41" fontId="7" fillId="0" borderId="5" xfId="12" applyNumberFormat="1" applyFont="1" applyBorder="1" applyAlignment="1">
      <alignment horizontal="center"/>
    </xf>
    <xf numFmtId="41" fontId="7" fillId="0" borderId="8" xfId="12" applyNumberFormat="1" applyFont="1" applyBorder="1" applyAlignment="1">
      <alignment horizontal="center"/>
    </xf>
    <xf numFmtId="41" fontId="7" fillId="0" borderId="10" xfId="12" applyNumberFormat="1" applyFont="1" applyFill="1" applyBorder="1"/>
    <xf numFmtId="4" fontId="9" fillId="0" borderId="0" xfId="0" applyNumberFormat="1" applyFont="1" applyAlignment="1">
      <alignment horizontal="center"/>
    </xf>
    <xf numFmtId="4" fontId="9" fillId="0" borderId="0" xfId="0" applyNumberFormat="1" applyFont="1" applyFill="1" applyAlignment="1">
      <alignment horizontal="center"/>
    </xf>
    <xf numFmtId="41" fontId="9" fillId="0" borderId="0" xfId="0" applyNumberFormat="1" applyFont="1"/>
    <xf numFmtId="41" fontId="9" fillId="0" borderId="10" xfId="0" applyNumberFormat="1" applyFont="1" applyBorder="1"/>
    <xf numFmtId="41" fontId="9" fillId="0" borderId="10" xfId="0" applyNumberFormat="1" applyFont="1" applyBorder="1" applyAlignment="1">
      <alignment horizontal="center"/>
    </xf>
    <xf numFmtId="41" fontId="9" fillId="0" borderId="0" xfId="0" applyNumberFormat="1" applyFont="1" applyBorder="1" applyAlignment="1">
      <alignment horizontal="center"/>
    </xf>
    <xf numFmtId="41" fontId="9" fillId="0" borderId="0" xfId="2" applyNumberFormat="1" applyFont="1" applyFill="1" applyBorder="1"/>
    <xf numFmtId="41" fontId="9" fillId="0" borderId="0" xfId="0" applyNumberFormat="1" applyFont="1" applyFill="1" applyBorder="1"/>
    <xf numFmtId="41" fontId="9" fillId="0" borderId="0" xfId="2" applyNumberFormat="1" applyFont="1" applyBorder="1"/>
    <xf numFmtId="37" fontId="27" fillId="0" borderId="0" xfId="12" applyNumberFormat="1" applyFont="1" applyAlignment="1">
      <alignment horizontal="left"/>
    </xf>
    <xf numFmtId="37" fontId="9" fillId="0" borderId="0" xfId="12" applyNumberFormat="1" applyFont="1" applyBorder="1"/>
    <xf numFmtId="37" fontId="10" fillId="0" borderId="0" xfId="12" applyNumberFormat="1" applyFont="1"/>
    <xf numFmtId="37" fontId="9" fillId="0" borderId="0" xfId="12" applyNumberFormat="1" applyFont="1"/>
    <xf numFmtId="10" fontId="9" fillId="0" borderId="10" xfId="14" applyNumberFormat="1" applyFont="1" applyBorder="1"/>
    <xf numFmtId="37" fontId="10" fillId="2" borderId="0" xfId="12" applyNumberFormat="1" applyFont="1" applyFill="1"/>
    <xf numFmtId="10" fontId="27" fillId="2" borderId="0" xfId="14" applyNumberFormat="1" applyFont="1" applyFill="1"/>
    <xf numFmtId="0" fontId="27" fillId="0" borderId="0" xfId="0" applyFont="1" applyAlignment="1">
      <alignment horizontal="left"/>
    </xf>
    <xf numFmtId="0" fontId="27" fillId="0" borderId="0" xfId="0" applyFont="1"/>
    <xf numFmtId="169" fontId="27" fillId="0" borderId="0" xfId="1" applyNumberFormat="1" applyFont="1" applyBorder="1"/>
    <xf numFmtId="10" fontId="27" fillId="0" borderId="0" xfId="14" applyNumberFormat="1" applyFont="1"/>
    <xf numFmtId="10" fontId="6" fillId="0" borderId="0" xfId="14" applyNumberFormat="1" applyFont="1"/>
    <xf numFmtId="41" fontId="9" fillId="0" borderId="0" xfId="0" applyNumberFormat="1" applyFont="1" applyFill="1"/>
    <xf numFmtId="3" fontId="6" fillId="0" borderId="0" xfId="6" applyNumberFormat="1" applyFont="1"/>
    <xf numFmtId="3" fontId="6" fillId="0" borderId="0" xfId="6" applyNumberFormat="1" applyFont="1" applyAlignment="1">
      <alignment horizontal="center"/>
    </xf>
    <xf numFmtId="0" fontId="6" fillId="0" borderId="0" xfId="6" applyFont="1"/>
    <xf numFmtId="3" fontId="6" fillId="0" borderId="0" xfId="6" applyNumberFormat="1" applyFont="1" applyAlignment="1">
      <alignment horizontal="left"/>
    </xf>
    <xf numFmtId="3" fontId="13" fillId="0" borderId="15" xfId="6" applyNumberFormat="1" applyFont="1" applyBorder="1" applyAlignment="1">
      <alignment horizontal="centerContinuous"/>
    </xf>
    <xf numFmtId="3" fontId="13" fillId="0" borderId="12" xfId="6" applyNumberFormat="1" applyFont="1" applyBorder="1" applyAlignment="1">
      <alignment horizontal="centerContinuous"/>
    </xf>
    <xf numFmtId="3" fontId="12" fillId="0" borderId="14" xfId="6" applyNumberFormat="1" applyFont="1" applyBorder="1" applyAlignment="1">
      <alignment horizontal="centerContinuous"/>
    </xf>
    <xf numFmtId="164" fontId="6" fillId="0" borderId="0" xfId="6" applyNumberFormat="1" applyFont="1"/>
    <xf numFmtId="5" fontId="6" fillId="0" borderId="13" xfId="6" applyNumberFormat="1" applyFont="1" applyBorder="1"/>
    <xf numFmtId="164" fontId="6" fillId="0" borderId="0" xfId="6" applyNumberFormat="1" applyFont="1" applyAlignment="1">
      <alignment horizontal="left"/>
    </xf>
    <xf numFmtId="1" fontId="6" fillId="0" borderId="0" xfId="6" applyNumberFormat="1" applyFont="1" applyAlignment="1">
      <alignment horizontal="center"/>
    </xf>
    <xf numFmtId="37" fontId="6" fillId="0" borderId="10" xfId="6" applyNumberFormat="1" applyFont="1" applyBorder="1" applyProtection="1">
      <protection locked="0"/>
    </xf>
    <xf numFmtId="37" fontId="6" fillId="0" borderId="0" xfId="6" applyNumberFormat="1" applyFont="1" applyProtection="1">
      <protection locked="0"/>
    </xf>
    <xf numFmtId="37" fontId="6" fillId="0" borderId="0" xfId="6" applyNumberFormat="1" applyFont="1" applyBorder="1" applyProtection="1">
      <protection locked="0"/>
    </xf>
    <xf numFmtId="37" fontId="6" fillId="0" borderId="0" xfId="6" applyNumberFormat="1" applyFont="1"/>
    <xf numFmtId="5" fontId="6" fillId="0" borderId="10" xfId="6" applyNumberFormat="1" applyFont="1" applyBorder="1" applyProtection="1">
      <protection locked="0"/>
    </xf>
    <xf numFmtId="5" fontId="6" fillId="0" borderId="0" xfId="6" applyNumberFormat="1" applyFont="1" applyProtection="1">
      <protection locked="0"/>
    </xf>
    <xf numFmtId="165" fontId="6" fillId="0" borderId="0" xfId="6" applyNumberFormat="1" applyFont="1"/>
    <xf numFmtId="37" fontId="6" fillId="0" borderId="10" xfId="6" applyNumberFormat="1" applyFont="1" applyBorder="1"/>
    <xf numFmtId="37" fontId="6" fillId="0" borderId="12" xfId="6" applyNumberFormat="1" applyFont="1" applyBorder="1"/>
    <xf numFmtId="37" fontId="6" fillId="0" borderId="3" xfId="6" applyNumberFormat="1" applyFont="1" applyBorder="1"/>
    <xf numFmtId="37" fontId="6" fillId="0" borderId="0" xfId="6" applyNumberFormat="1" applyFont="1" applyBorder="1"/>
    <xf numFmtId="3" fontId="8" fillId="0" borderId="0" xfId="6" applyNumberFormat="1" applyFont="1" applyAlignment="1">
      <alignment horizontal="center"/>
    </xf>
    <xf numFmtId="3" fontId="6" fillId="0" borderId="10" xfId="6" applyNumberFormat="1" applyFont="1" applyBorder="1" applyAlignment="1">
      <alignment horizontal="center"/>
    </xf>
    <xf numFmtId="3" fontId="6" fillId="0" borderId="0" xfId="6" applyNumberFormat="1" applyFont="1" applyBorder="1" applyAlignment="1">
      <alignment horizontal="centerContinuous"/>
    </xf>
    <xf numFmtId="3" fontId="7" fillId="0" borderId="0" xfId="6" applyNumberFormat="1" applyFont="1" applyBorder="1" applyAlignment="1">
      <alignment horizontal="centerContinuous"/>
    </xf>
    <xf numFmtId="3" fontId="6" fillId="0" borderId="10" xfId="6" applyNumberFormat="1" applyFont="1" applyBorder="1" applyAlignment="1">
      <alignment horizontal="centerContinuous"/>
    </xf>
    <xf numFmtId="3" fontId="7" fillId="0" borderId="10" xfId="6" applyNumberFormat="1" applyFont="1" applyBorder="1" applyAlignment="1">
      <alignment horizontal="centerContinuous"/>
    </xf>
    <xf numFmtId="3" fontId="6" fillId="0" borderId="0" xfId="6" applyNumberFormat="1" applyFont="1" applyAlignment="1">
      <alignment horizontal="centerContinuous"/>
    </xf>
    <xf numFmtId="0" fontId="6" fillId="0" borderId="0" xfId="6" applyFont="1" applyAlignment="1">
      <alignment horizontal="centerContinuous"/>
    </xf>
    <xf numFmtId="5" fontId="7" fillId="0" borderId="0" xfId="12" applyNumberFormat="1" applyFont="1" applyFill="1"/>
    <xf numFmtId="174" fontId="38" fillId="0" borderId="0" xfId="0" applyNumberFormat="1" applyFont="1" applyAlignment="1">
      <alignment horizontal="left"/>
    </xf>
    <xf numFmtId="0" fontId="38" fillId="0" borderId="0" xfId="0" applyFont="1"/>
    <xf numFmtId="3" fontId="38" fillId="0" borderId="0" xfId="0" applyNumberFormat="1" applyFont="1"/>
    <xf numFmtId="175" fontId="38" fillId="0" borderId="0" xfId="0" applyNumberFormat="1" applyFont="1" applyAlignment="1">
      <alignment horizontal="left"/>
    </xf>
    <xf numFmtId="175" fontId="38" fillId="0" borderId="0" xfId="0" applyNumberFormat="1" applyFont="1" applyFill="1" applyAlignment="1">
      <alignment horizontal="left"/>
    </xf>
    <xf numFmtId="3" fontId="38" fillId="0" borderId="0" xfId="0" applyNumberFormat="1" applyFont="1" applyFill="1"/>
    <xf numFmtId="0" fontId="38" fillId="0" borderId="0" xfId="0" applyFont="1" applyFill="1"/>
    <xf numFmtId="174" fontId="38" fillId="0" borderId="0" xfId="0" applyNumberFormat="1" applyFont="1" applyFill="1" applyAlignment="1">
      <alignment horizontal="left"/>
    </xf>
    <xf numFmtId="3" fontId="38" fillId="0" borderId="0" xfId="0" applyNumberFormat="1" applyFont="1" applyAlignment="1">
      <alignment horizontal="left"/>
    </xf>
    <xf numFmtId="174" fontId="38" fillId="0" borderId="0" xfId="0" applyNumberFormat="1" applyFont="1"/>
    <xf numFmtId="175" fontId="38" fillId="0" borderId="0" xfId="0" applyNumberFormat="1" applyFont="1" applyFill="1" applyAlignment="1">
      <alignment horizontal="center"/>
    </xf>
    <xf numFmtId="175" fontId="38" fillId="0" borderId="0" xfId="0" applyNumberFormat="1" applyFont="1" applyAlignment="1">
      <alignment horizontal="center"/>
    </xf>
    <xf numFmtId="0" fontId="38" fillId="0" borderId="0" xfId="0" applyNumberFormat="1" applyFont="1"/>
    <xf numFmtId="0" fontId="38" fillId="0" borderId="0" xfId="0" applyNumberFormat="1" applyFont="1" applyAlignment="1">
      <alignment horizontal="center"/>
    </xf>
    <xf numFmtId="174" fontId="38" fillId="0" borderId="0" xfId="0" applyNumberFormat="1" applyFont="1" applyAlignment="1">
      <alignment horizontal="center"/>
    </xf>
    <xf numFmtId="175" fontId="38" fillId="0" borderId="0" xfId="0" applyNumberFormat="1" applyFont="1"/>
    <xf numFmtId="174" fontId="38" fillId="5" borderId="0" xfId="0" applyNumberFormat="1" applyFont="1" applyFill="1"/>
    <xf numFmtId="3" fontId="38" fillId="5" borderId="0" xfId="0" applyNumberFormat="1" applyFont="1" applyFill="1"/>
    <xf numFmtId="0" fontId="38" fillId="5" borderId="0" xfId="0" applyFont="1" applyFill="1"/>
    <xf numFmtId="3" fontId="38" fillId="0" borderId="0" xfId="0" applyNumberFormat="1" applyFont="1" applyAlignment="1">
      <alignment horizontal="center"/>
    </xf>
    <xf numFmtId="3" fontId="38" fillId="0" borderId="0" xfId="0" applyNumberFormat="1" applyFont="1" applyFill="1" applyAlignment="1">
      <alignment horizontal="center"/>
    </xf>
    <xf numFmtId="3" fontId="38" fillId="5" borderId="0" xfId="0" applyNumberFormat="1" applyFont="1" applyFill="1" applyAlignment="1">
      <alignment horizontal="center"/>
    </xf>
    <xf numFmtId="174" fontId="38" fillId="0" borderId="0" xfId="0" applyNumberFormat="1" applyFont="1" applyFill="1"/>
    <xf numFmtId="3" fontId="6" fillId="0" borderId="0" xfId="6" applyNumberFormat="1" applyFont="1" applyFill="1" applyAlignment="1">
      <alignment horizontal="center"/>
    </xf>
    <xf numFmtId="3" fontId="6" fillId="0" borderId="3" xfId="6" applyNumberFormat="1" applyFont="1" applyBorder="1"/>
    <xf numFmtId="37" fontId="7" fillId="0" borderId="0" xfId="12" applyNumberFormat="1" applyFont="1" applyFill="1"/>
    <xf numFmtId="37" fontId="7" fillId="0" borderId="10" xfId="12" applyNumberFormat="1" applyFont="1" applyFill="1" applyBorder="1"/>
    <xf numFmtId="37" fontId="7" fillId="0" borderId="3" xfId="12" applyNumberFormat="1" applyFont="1" applyBorder="1"/>
    <xf numFmtId="37" fontId="7" fillId="0" borderId="3" xfId="12" applyNumberFormat="1" applyFont="1" applyFill="1" applyBorder="1"/>
    <xf numFmtId="10" fontId="6" fillId="0" borderId="0" xfId="14" applyNumberFormat="1" applyFont="1" applyBorder="1"/>
    <xf numFmtId="5" fontId="7" fillId="0" borderId="13" xfId="12" applyNumberFormat="1" applyFont="1" applyFill="1" applyBorder="1"/>
    <xf numFmtId="2" fontId="7" fillId="0" borderId="0" xfId="4" applyNumberFormat="1" applyFont="1" applyFill="1" applyBorder="1" applyAlignment="1" applyProtection="1">
      <alignment horizontal="center"/>
    </xf>
    <xf numFmtId="5" fontId="9" fillId="0" borderId="0" xfId="11" applyNumberFormat="1" applyFont="1" applyAlignment="1">
      <alignment horizontal="right"/>
    </xf>
    <xf numFmtId="37" fontId="7" fillId="0" borderId="0" xfId="12" applyNumberFormat="1" applyFont="1" applyFill="1" applyBorder="1"/>
    <xf numFmtId="4" fontId="9" fillId="0" borderId="0" xfId="11" applyNumberFormat="1" applyFont="1" applyBorder="1" applyAlignment="1">
      <alignment horizontal="centerContinuous"/>
    </xf>
    <xf numFmtId="4" fontId="9" fillId="0" borderId="0" xfId="11" applyNumberFormat="1" applyFont="1" applyAlignment="1">
      <alignment horizontal="center"/>
    </xf>
    <xf numFmtId="4" fontId="27" fillId="0" borderId="0" xfId="11" applyNumberFormat="1" applyFont="1" applyAlignment="1">
      <alignment horizontal="center"/>
    </xf>
    <xf numFmtId="4" fontId="10" fillId="0" borderId="0" xfId="11" applyNumberFormat="1" applyFont="1" applyAlignment="1">
      <alignment horizontal="centerContinuous"/>
    </xf>
    <xf numFmtId="4" fontId="20" fillId="0" borderId="0" xfId="11" applyNumberFormat="1" applyFont="1" applyBorder="1" applyAlignment="1">
      <alignment horizontal="centerContinuous"/>
    </xf>
    <xf numFmtId="4" fontId="9" fillId="0" borderId="0" xfId="11" applyNumberFormat="1" applyFont="1" applyAlignment="1">
      <alignment horizontal="centerContinuous"/>
    </xf>
    <xf numFmtId="4" fontId="9" fillId="0" borderId="0" xfId="11" applyNumberFormat="1" applyFont="1"/>
    <xf numFmtId="3" fontId="9" fillId="0" borderId="0" xfId="11" applyNumberFormat="1" applyFont="1" applyBorder="1" applyAlignment="1">
      <alignment horizontal="left"/>
    </xf>
    <xf numFmtId="3" fontId="9" fillId="0" borderId="10" xfId="11" applyNumberFormat="1" applyFont="1" applyBorder="1" applyAlignment="1">
      <alignment horizontal="left"/>
    </xf>
    <xf numFmtId="4" fontId="9" fillId="0" borderId="0" xfId="11" applyNumberFormat="1" applyFont="1" applyAlignment="1">
      <alignment horizontal="left"/>
    </xf>
    <xf numFmtId="3" fontId="27" fillId="0" borderId="0" xfId="11" applyNumberFormat="1" applyFont="1" applyAlignment="1">
      <alignment horizontal="left"/>
    </xf>
    <xf numFmtId="41" fontId="9" fillId="0" borderId="0" xfId="11" applyNumberFormat="1" applyFont="1" applyAlignment="1">
      <alignment horizontal="right"/>
    </xf>
    <xf numFmtId="0" fontId="9" fillId="0" borderId="10" xfId="11" applyFont="1" applyBorder="1" applyAlignment="1">
      <alignment horizontal="center"/>
    </xf>
    <xf numFmtId="169" fontId="17" fillId="0" borderId="10" xfId="1" applyNumberFormat="1" applyFont="1" applyFill="1" applyBorder="1"/>
    <xf numFmtId="0" fontId="9" fillId="0" borderId="0" xfId="11" applyFont="1" applyBorder="1"/>
    <xf numFmtId="43" fontId="9" fillId="0" borderId="10" xfId="1" applyNumberFormat="1" applyFont="1" applyBorder="1"/>
    <xf numFmtId="0" fontId="9" fillId="0" borderId="10" xfId="0" applyFont="1" applyBorder="1" applyAlignment="1">
      <alignment horizontal="center"/>
    </xf>
    <xf numFmtId="3" fontId="6" fillId="0" borderId="0" xfId="6" applyNumberFormat="1" applyFont="1" applyBorder="1" applyAlignment="1">
      <alignment horizontal="center"/>
    </xf>
    <xf numFmtId="4" fontId="9" fillId="0" borderId="0" xfId="0" applyNumberFormat="1" applyFont="1" applyAlignment="1">
      <alignment horizontal="left"/>
    </xf>
    <xf numFmtId="0" fontId="9" fillId="0" borderId="0" xfId="0" applyFont="1" applyAlignment="1">
      <alignment horizontal="center"/>
    </xf>
    <xf numFmtId="0" fontId="11" fillId="0" borderId="0" xfId="0" applyFont="1" applyAlignment="1">
      <alignment horizontal="center"/>
    </xf>
    <xf numFmtId="3" fontId="40" fillId="6" borderId="0" xfId="11" applyNumberFormat="1" applyFont="1" applyFill="1"/>
    <xf numFmtId="41" fontId="7" fillId="0" borderId="13" xfId="12" applyNumberFormat="1" applyFont="1" applyFill="1" applyBorder="1"/>
    <xf numFmtId="0" fontId="9" fillId="0" borderId="0" xfId="11" applyFont="1" applyBorder="1" applyAlignment="1">
      <alignment horizontal="center"/>
    </xf>
    <xf numFmtId="41" fontId="41" fillId="0" borderId="0" xfId="11" applyNumberFormat="1" applyFont="1" applyAlignment="1">
      <alignment horizontal="right"/>
    </xf>
    <xf numFmtId="3" fontId="42" fillId="0" borderId="0" xfId="11" applyNumberFormat="1" applyFont="1"/>
    <xf numFmtId="169" fontId="9" fillId="3" borderId="29" xfId="1" applyNumberFormat="1" applyFont="1" applyFill="1" applyBorder="1"/>
    <xf numFmtId="4" fontId="9" fillId="3" borderId="30" xfId="11" applyNumberFormat="1" applyFont="1" applyFill="1" applyBorder="1" applyAlignment="1">
      <alignment horizontal="center"/>
    </xf>
    <xf numFmtId="0" fontId="9" fillId="3" borderId="31" xfId="11" applyFont="1" applyFill="1" applyBorder="1" applyAlignment="1">
      <alignment horizontal="center"/>
    </xf>
    <xf numFmtId="0" fontId="9" fillId="0" borderId="0" xfId="0" applyFont="1" applyAlignment="1">
      <alignment horizontal="center"/>
    </xf>
    <xf numFmtId="168" fontId="9" fillId="0" borderId="0" xfId="14" applyNumberFormat="1" applyFont="1" applyFill="1" applyBorder="1"/>
    <xf numFmtId="10" fontId="9" fillId="0" borderId="0" xfId="14" applyNumberFormat="1" applyFont="1" applyFill="1" applyBorder="1"/>
    <xf numFmtId="37" fontId="9" fillId="0" borderId="0" xfId="12" applyNumberFormat="1" applyFont="1" applyFill="1" applyBorder="1"/>
    <xf numFmtId="10" fontId="17" fillId="0" borderId="0" xfId="14" applyNumberFormat="1" applyFont="1" applyFill="1" applyBorder="1"/>
    <xf numFmtId="37" fontId="10" fillId="0" borderId="0" xfId="12" applyNumberFormat="1" applyFont="1" applyFill="1" applyBorder="1"/>
    <xf numFmtId="10" fontId="10" fillId="0" borderId="0" xfId="14" applyNumberFormat="1" applyFont="1" applyFill="1" applyBorder="1" applyAlignment="1">
      <alignment horizontal="center"/>
    </xf>
    <xf numFmtId="168" fontId="17" fillId="0" borderId="0" xfId="14" applyNumberFormat="1" applyFont="1" applyFill="1" applyBorder="1"/>
    <xf numFmtId="0" fontId="9" fillId="0" borderId="0" xfId="0" applyFont="1" applyFill="1" applyBorder="1" applyAlignment="1">
      <alignment horizontal="right"/>
    </xf>
    <xf numFmtId="176" fontId="9" fillId="0" borderId="0" xfId="2" applyNumberFormat="1" applyFont="1" applyFill="1" applyBorder="1"/>
    <xf numFmtId="172" fontId="9" fillId="0" borderId="0" xfId="0" applyNumberFormat="1" applyFont="1" applyFill="1" applyBorder="1"/>
    <xf numFmtId="176" fontId="9" fillId="0" borderId="0" xfId="0" applyNumberFormat="1" applyFont="1" applyFill="1" applyBorder="1"/>
    <xf numFmtId="3" fontId="9" fillId="0" borderId="0" xfId="11" applyNumberFormat="1" applyFont="1" applyFill="1" applyBorder="1" applyAlignment="1">
      <alignment horizontal="left"/>
    </xf>
    <xf numFmtId="1" fontId="9" fillId="0" borderId="0" xfId="0" applyNumberFormat="1" applyFont="1" applyFill="1" applyBorder="1"/>
    <xf numFmtId="0" fontId="14" fillId="0" borderId="0" xfId="0" applyFont="1" applyFill="1"/>
    <xf numFmtId="4" fontId="9" fillId="0" borderId="0" xfId="0" applyNumberFormat="1" applyFont="1" applyFill="1" applyBorder="1" applyAlignment="1">
      <alignment horizontal="left"/>
    </xf>
    <xf numFmtId="3" fontId="9" fillId="0" borderId="0" xfId="0" applyNumberFormat="1" applyFont="1" applyFill="1" applyBorder="1"/>
    <xf numFmtId="3" fontId="46" fillId="0" borderId="0" xfId="6" applyNumberFormat="1" applyFont="1" applyFill="1"/>
    <xf numFmtId="0" fontId="41" fillId="0" borderId="0" xfId="0" applyFont="1" applyAlignment="1">
      <alignment horizontal="center"/>
    </xf>
    <xf numFmtId="0" fontId="47" fillId="0" borderId="0" xfId="0" applyFont="1" applyAlignment="1">
      <alignment horizontal="center"/>
    </xf>
    <xf numFmtId="0" fontId="9" fillId="0" borderId="0" xfId="0" applyFont="1" applyAlignment="1">
      <alignment horizontal="center"/>
    </xf>
    <xf numFmtId="167" fontId="9" fillId="0" borderId="0" xfId="0" applyNumberFormat="1" applyFont="1"/>
    <xf numFmtId="169" fontId="6" fillId="0" borderId="0" xfId="1" applyNumberFormat="1" applyFont="1"/>
    <xf numFmtId="41" fontId="17" fillId="0" borderId="0" xfId="0" applyNumberFormat="1" applyFont="1" applyFill="1" applyBorder="1"/>
    <xf numFmtId="41" fontId="9" fillId="0" borderId="12" xfId="2" applyNumberFormat="1" applyFont="1" applyFill="1" applyBorder="1"/>
    <xf numFmtId="41" fontId="7" fillId="0" borderId="0" xfId="12" quotePrefix="1" applyNumberFormat="1" applyFont="1" applyFill="1" applyAlignment="1">
      <alignment horizontal="center"/>
    </xf>
    <xf numFmtId="0" fontId="7" fillId="0" borderId="0" xfId="12" applyFont="1"/>
    <xf numFmtId="0" fontId="10" fillId="0" borderId="0" xfId="0" applyFont="1" applyAlignment="1"/>
    <xf numFmtId="0" fontId="9" fillId="0" borderId="0" xfId="0" applyFont="1" applyAlignment="1">
      <alignment horizontal="center"/>
    </xf>
    <xf numFmtId="0" fontId="9" fillId="7" borderId="0" xfId="0" quotePrefix="1" applyFont="1" applyFill="1" applyAlignment="1">
      <alignment horizontal="center"/>
    </xf>
    <xf numFmtId="3" fontId="50" fillId="0" borderId="0" xfId="0" applyNumberFormat="1" applyFont="1"/>
    <xf numFmtId="175" fontId="50" fillId="0" borderId="0" xfId="0" applyNumberFormat="1" applyFont="1" applyAlignment="1">
      <alignment horizontal="left"/>
    </xf>
    <xf numFmtId="175" fontId="50" fillId="0" borderId="0" xfId="0" applyNumberFormat="1" applyFont="1" applyFill="1" applyAlignment="1">
      <alignment horizontal="left"/>
    </xf>
    <xf numFmtId="3" fontId="50" fillId="0" borderId="0" xfId="0" applyNumberFormat="1" applyFont="1" applyFill="1"/>
    <xf numFmtId="0" fontId="50" fillId="0" borderId="0" xfId="0" applyFont="1"/>
    <xf numFmtId="175" fontId="50" fillId="0" borderId="0" xfId="0" applyNumberFormat="1" applyFont="1" applyAlignment="1">
      <alignment horizontal="center"/>
    </xf>
    <xf numFmtId="0" fontId="9" fillId="0" borderId="0" xfId="0" applyFont="1" applyFill="1" applyBorder="1" applyAlignment="1">
      <alignment horizontal="center"/>
    </xf>
    <xf numFmtId="41" fontId="19" fillId="0" borderId="0" xfId="0" applyNumberFormat="1" applyFont="1"/>
    <xf numFmtId="0" fontId="50" fillId="0" borderId="0" xfId="0" applyFont="1" applyFill="1"/>
    <xf numFmtId="3" fontId="50" fillId="5" borderId="0" xfId="0" applyNumberFormat="1" applyFont="1" applyFill="1"/>
    <xf numFmtId="174" fontId="50" fillId="5" borderId="0" xfId="0" applyNumberFormat="1" applyFont="1" applyFill="1"/>
    <xf numFmtId="174" fontId="50" fillId="0" borderId="0" xfId="0" applyNumberFormat="1" applyFont="1"/>
    <xf numFmtId="174" fontId="50" fillId="0" borderId="0" xfId="0" applyNumberFormat="1" applyFont="1" applyFill="1"/>
    <xf numFmtId="3" fontId="51" fillId="0" borderId="0" xfId="13" applyNumberFormat="1" applyFont="1"/>
    <xf numFmtId="4" fontId="9" fillId="0" borderId="0" xfId="0" applyNumberFormat="1" applyFont="1" applyBorder="1" applyAlignment="1">
      <alignment horizontal="left"/>
    </xf>
    <xf numFmtId="0" fontId="32" fillId="0" borderId="0" xfId="0" applyFont="1" applyFill="1" applyBorder="1" applyAlignment="1">
      <alignment horizontal="center"/>
    </xf>
    <xf numFmtId="4" fontId="9" fillId="0" borderId="0" xfId="0" applyNumberFormat="1" applyFont="1" applyFill="1" applyBorder="1" applyAlignment="1">
      <alignment horizontal="center"/>
    </xf>
    <xf numFmtId="0" fontId="9" fillId="0" borderId="0" xfId="0" applyFont="1" applyFill="1" applyBorder="1" applyAlignment="1">
      <alignment horizontal="left"/>
    </xf>
    <xf numFmtId="0" fontId="36" fillId="0" borderId="0" xfId="0" applyFont="1" applyFill="1" applyBorder="1" applyAlignment="1">
      <alignment horizontal="center"/>
    </xf>
    <xf numFmtId="0" fontId="19" fillId="0" borderId="0" xfId="0" applyFont="1" applyFill="1" applyBorder="1"/>
    <xf numFmtId="0" fontId="15" fillId="0" borderId="0" xfId="0" applyFont="1" applyFill="1" applyBorder="1"/>
    <xf numFmtId="0" fontId="6" fillId="0" borderId="0" xfId="12" applyFont="1"/>
    <xf numFmtId="0" fontId="6" fillId="0" borderId="0" xfId="12" applyNumberFormat="1" applyFont="1" applyAlignment="1">
      <alignment horizontal="center"/>
    </xf>
    <xf numFmtId="0" fontId="7" fillId="0" borderId="0" xfId="12" applyNumberFormat="1" applyFont="1" applyAlignment="1">
      <alignment horizontal="center"/>
    </xf>
    <xf numFmtId="0" fontId="7" fillId="0" borderId="0" xfId="12" applyFont="1" applyAlignment="1">
      <alignment horizontal="center"/>
    </xf>
    <xf numFmtId="0" fontId="7" fillId="0" borderId="1" xfId="12" applyNumberFormat="1" applyFont="1" applyBorder="1" applyAlignment="1">
      <alignment horizontal="center"/>
    </xf>
    <xf numFmtId="0" fontId="7" fillId="0" borderId="2" xfId="12" applyFont="1" applyBorder="1" applyAlignment="1">
      <alignment horizontal="center"/>
    </xf>
    <xf numFmtId="0" fontId="7" fillId="0" borderId="3" xfId="12" applyFont="1" applyBorder="1" applyAlignment="1">
      <alignment horizontal="center"/>
    </xf>
    <xf numFmtId="0" fontId="7" fillId="0" borderId="5" xfId="12" applyNumberFormat="1" applyFont="1" applyBorder="1" applyAlignment="1">
      <alignment horizontal="center"/>
    </xf>
    <xf numFmtId="0" fontId="7" fillId="0" borderId="6" xfId="12" applyFont="1" applyBorder="1" applyAlignment="1">
      <alignment horizontal="center"/>
    </xf>
    <xf numFmtId="0" fontId="7" fillId="0" borderId="0" xfId="12" applyFont="1" applyBorder="1" applyAlignment="1">
      <alignment horizontal="center"/>
    </xf>
    <xf numFmtId="0" fontId="7" fillId="0" borderId="8" xfId="12" applyNumberFormat="1" applyFont="1" applyBorder="1" applyAlignment="1">
      <alignment horizontal="center"/>
    </xf>
    <xf numFmtId="0" fontId="7" fillId="0" borderId="9" xfId="12" applyFont="1" applyBorder="1" applyAlignment="1">
      <alignment horizontal="center"/>
    </xf>
    <xf numFmtId="0" fontId="7" fillId="0" borderId="10" xfId="12" applyFont="1" applyBorder="1" applyAlignment="1">
      <alignment horizontal="center"/>
    </xf>
    <xf numFmtId="37" fontId="6" fillId="0" borderId="0" xfId="12" applyNumberFormat="1" applyFont="1" applyAlignment="1">
      <alignment horizontal="center"/>
    </xf>
    <xf numFmtId="5" fontId="6" fillId="0" borderId="0" xfId="12" applyNumberFormat="1" applyFont="1"/>
    <xf numFmtId="37" fontId="6" fillId="0" borderId="0" xfId="12" applyNumberFormat="1" applyFont="1"/>
    <xf numFmtId="3" fontId="6" fillId="0" borderId="0" xfId="9" applyNumberFormat="1" applyFont="1" applyAlignment="1">
      <alignment horizontal="center"/>
    </xf>
    <xf numFmtId="1" fontId="6" fillId="0" borderId="0" xfId="9" applyNumberFormat="1" applyFont="1" applyAlignment="1">
      <alignment horizontal="center"/>
    </xf>
    <xf numFmtId="37" fontId="6" fillId="0" borderId="0" xfId="12" applyNumberFormat="1" applyFont="1" applyFill="1"/>
    <xf numFmtId="10" fontId="6" fillId="0" borderId="0" xfId="14" applyNumberFormat="1" applyFont="1" applyFill="1"/>
    <xf numFmtId="169" fontId="9" fillId="0" borderId="0" xfId="1" applyNumberFormat="1" applyFont="1" applyFill="1" applyBorder="1"/>
    <xf numFmtId="0" fontId="6" fillId="0" borderId="0" xfId="12" applyFont="1" applyBorder="1"/>
    <xf numFmtId="37" fontId="6" fillId="0" borderId="0" xfId="12" applyNumberFormat="1" applyFont="1" applyFill="1" applyBorder="1"/>
    <xf numFmtId="5" fontId="6" fillId="0" borderId="0" xfId="12" applyNumberFormat="1" applyFont="1" applyFill="1" applyBorder="1"/>
    <xf numFmtId="0" fontId="6" fillId="0" borderId="0" xfId="12" applyNumberFormat="1" applyFont="1" applyBorder="1" applyAlignment="1">
      <alignment horizontal="center"/>
    </xf>
    <xf numFmtId="41" fontId="7" fillId="0" borderId="0" xfId="12" applyNumberFormat="1" applyFont="1" applyFill="1"/>
    <xf numFmtId="41" fontId="6" fillId="0" borderId="0" xfId="12" applyNumberFormat="1" applyFont="1"/>
    <xf numFmtId="41" fontId="6" fillId="0" borderId="0" xfId="12" applyNumberFormat="1" applyFont="1" applyFill="1"/>
    <xf numFmtId="41" fontId="7" fillId="0" borderId="0" xfId="12" applyNumberFormat="1" applyFont="1"/>
    <xf numFmtId="41" fontId="7" fillId="0" borderId="0" xfId="12" applyNumberFormat="1" applyFont="1" applyFill="1" applyAlignment="1">
      <alignment horizontal="center"/>
    </xf>
    <xf numFmtId="41" fontId="6" fillId="0" borderId="0" xfId="13" applyNumberFormat="1" applyFont="1" applyAlignment="1">
      <alignment horizontal="center"/>
    </xf>
    <xf numFmtId="41" fontId="7" fillId="0" borderId="1" xfId="13" applyNumberFormat="1" applyFont="1" applyFill="1" applyBorder="1" applyAlignment="1">
      <alignment horizontal="center"/>
    </xf>
    <xf numFmtId="41" fontId="7" fillId="0" borderId="5" xfId="12" applyNumberFormat="1" applyFont="1" applyFill="1" applyBorder="1" applyAlignment="1">
      <alignment horizontal="center"/>
    </xf>
    <xf numFmtId="41" fontId="7" fillId="0" borderId="5" xfId="13" applyNumberFormat="1" applyFont="1" applyFill="1" applyBorder="1" applyAlignment="1">
      <alignment horizontal="center"/>
    </xf>
    <xf numFmtId="41" fontId="7" fillId="0" borderId="8" xfId="12" applyNumberFormat="1" applyFont="1" applyFill="1" applyBorder="1" applyAlignment="1">
      <alignment horizontal="center"/>
    </xf>
    <xf numFmtId="41" fontId="7" fillId="0" borderId="8" xfId="13" applyNumberFormat="1" applyFont="1" applyFill="1" applyBorder="1" applyAlignment="1">
      <alignment horizontal="center"/>
    </xf>
    <xf numFmtId="41" fontId="6" fillId="0" borderId="0" xfId="12" applyNumberFormat="1" applyFont="1" applyFill="1" applyBorder="1"/>
    <xf numFmtId="41" fontId="6" fillId="0" borderId="10" xfId="12" applyNumberFormat="1" applyFont="1" applyFill="1" applyBorder="1"/>
    <xf numFmtId="41" fontId="6" fillId="0" borderId="10" xfId="12" applyNumberFormat="1" applyFont="1" applyBorder="1"/>
    <xf numFmtId="41" fontId="6" fillId="0" borderId="0" xfId="14" applyNumberFormat="1" applyFont="1" applyFill="1"/>
    <xf numFmtId="41" fontId="6" fillId="0" borderId="0" xfId="12" applyNumberFormat="1" applyFont="1" applyBorder="1"/>
    <xf numFmtId="41" fontId="7" fillId="0" borderId="0" xfId="12" applyNumberFormat="1" applyFont="1" applyBorder="1"/>
    <xf numFmtId="37" fontId="6" fillId="0" borderId="0" xfId="12" applyNumberFormat="1" applyFont="1" applyFill="1" applyAlignment="1">
      <alignment horizontal="center"/>
    </xf>
    <xf numFmtId="5" fontId="6" fillId="0" borderId="0" xfId="12" applyNumberFormat="1" applyFont="1" applyFill="1"/>
    <xf numFmtId="41" fontId="6" fillId="0" borderId="12" xfId="12" applyNumberFormat="1" applyFont="1" applyFill="1" applyBorder="1"/>
    <xf numFmtId="41" fontId="7" fillId="0" borderId="12" xfId="12" applyNumberFormat="1" applyFont="1" applyFill="1" applyBorder="1"/>
    <xf numFmtId="3" fontId="6" fillId="0" borderId="0" xfId="9" applyNumberFormat="1" applyFont="1" applyFill="1" applyAlignment="1">
      <alignment horizontal="center"/>
    </xf>
    <xf numFmtId="41" fontId="6" fillId="0" borderId="3" xfId="12" applyNumberFormat="1" applyFont="1" applyFill="1" applyBorder="1"/>
    <xf numFmtId="37" fontId="6" fillId="0" borderId="10" xfId="12" applyNumberFormat="1" applyFont="1" applyFill="1" applyBorder="1"/>
    <xf numFmtId="5" fontId="6" fillId="0" borderId="13" xfId="12" applyNumberFormat="1" applyFont="1" applyFill="1" applyBorder="1"/>
    <xf numFmtId="5" fontId="6" fillId="0" borderId="13" xfId="12" applyNumberFormat="1" applyFont="1" applyBorder="1"/>
    <xf numFmtId="5" fontId="6" fillId="0" borderId="0" xfId="10" applyNumberFormat="1" applyFont="1" applyFill="1" applyBorder="1"/>
    <xf numFmtId="2" fontId="7" fillId="0" borderId="0" xfId="12" applyNumberFormat="1" applyFont="1" applyAlignment="1">
      <alignment horizontal="center"/>
    </xf>
    <xf numFmtId="2" fontId="7" fillId="0" borderId="0" xfId="4" applyNumberFormat="1" applyFont="1" applyAlignment="1" applyProtection="1">
      <alignment horizontal="center"/>
    </xf>
    <xf numFmtId="2" fontId="7" fillId="0" borderId="0" xfId="4" applyNumberFormat="1" applyFont="1" applyFill="1" applyAlignment="1" applyProtection="1">
      <alignment horizontal="center"/>
    </xf>
    <xf numFmtId="2" fontId="6" fillId="0" borderId="0" xfId="12" applyNumberFormat="1" applyFont="1" applyAlignment="1">
      <alignment horizontal="left"/>
    </xf>
    <xf numFmtId="9" fontId="6" fillId="0" borderId="0" xfId="14" applyFont="1"/>
    <xf numFmtId="0" fontId="6" fillId="3" borderId="0" xfId="12" applyFont="1" applyFill="1"/>
    <xf numFmtId="41" fontId="6" fillId="3" borderId="10" xfId="12" applyNumberFormat="1" applyFont="1" applyFill="1" applyBorder="1"/>
    <xf numFmtId="41" fontId="7" fillId="3" borderId="10" xfId="12" applyNumberFormat="1" applyFont="1" applyFill="1" applyBorder="1"/>
    <xf numFmtId="0" fontId="6" fillId="0" borderId="0" xfId="12" applyFont="1" applyAlignment="1">
      <alignment vertical="top"/>
    </xf>
    <xf numFmtId="3" fontId="7" fillId="0" borderId="0" xfId="13" applyNumberFormat="1" applyFont="1" applyAlignment="1">
      <alignment horizontal="center"/>
    </xf>
    <xf numFmtId="41" fontId="45" fillId="0" borderId="0" xfId="12" applyNumberFormat="1" applyFont="1" applyFill="1" applyBorder="1" applyAlignment="1">
      <alignment vertical="top" wrapText="1"/>
    </xf>
    <xf numFmtId="0" fontId="7" fillId="0" borderId="1" xfId="12" applyFont="1" applyBorder="1" applyAlignment="1">
      <alignment horizontal="center"/>
    </xf>
    <xf numFmtId="41" fontId="7" fillId="0" borderId="4" xfId="12" applyNumberFormat="1" applyFont="1" applyBorder="1" applyAlignment="1">
      <alignment horizontal="center"/>
    </xf>
    <xf numFmtId="41" fontId="7" fillId="0" borderId="7" xfId="12" applyNumberFormat="1" applyFont="1" applyBorder="1" applyAlignment="1">
      <alignment horizontal="center"/>
    </xf>
    <xf numFmtId="41" fontId="7" fillId="0" borderId="11" xfId="12" applyNumberFormat="1" applyFont="1" applyBorder="1" applyAlignment="1">
      <alignment horizontal="center"/>
    </xf>
    <xf numFmtId="41" fontId="6" fillId="0" borderId="13" xfId="12" applyNumberFormat="1" applyFont="1" applyFill="1" applyBorder="1"/>
    <xf numFmtId="41" fontId="6" fillId="0" borderId="0" xfId="14" applyNumberFormat="1" applyFont="1"/>
    <xf numFmtId="168" fontId="6" fillId="0" borderId="0" xfId="14" applyNumberFormat="1" applyFont="1" applyFill="1"/>
    <xf numFmtId="10" fontId="6" fillId="0" borderId="0" xfId="14" applyNumberFormat="1" applyFont="1" applyFill="1" applyBorder="1"/>
    <xf numFmtId="167" fontId="14" fillId="0" borderId="13" xfId="0" applyNumberFormat="1" applyFont="1" applyBorder="1"/>
    <xf numFmtId="0" fontId="9" fillId="0" borderId="0" xfId="0" applyFont="1" applyAlignment="1">
      <alignment horizontal="center"/>
    </xf>
    <xf numFmtId="41" fontId="6" fillId="0" borderId="0" xfId="13" applyNumberFormat="1" applyFont="1" applyFill="1" applyAlignment="1">
      <alignment horizontal="center"/>
    </xf>
    <xf numFmtId="41" fontId="7" fillId="0" borderId="1" xfId="10" applyNumberFormat="1" applyFont="1" applyFill="1" applyBorder="1" applyAlignment="1">
      <alignment horizontal="center"/>
    </xf>
    <xf numFmtId="41" fontId="43" fillId="0" borderId="0" xfId="12" applyNumberFormat="1" applyFont="1" applyFill="1" applyAlignment="1"/>
    <xf numFmtId="41" fontId="7" fillId="0" borderId="0" xfId="12" applyNumberFormat="1" applyFont="1" applyFill="1" applyBorder="1" applyAlignment="1">
      <alignment horizontal="right"/>
    </xf>
    <xf numFmtId="41" fontId="7" fillId="0" borderId="7" xfId="12" applyNumberFormat="1" applyFont="1" applyFill="1" applyBorder="1" applyAlignment="1">
      <alignment horizontal="center"/>
    </xf>
    <xf numFmtId="41" fontId="7" fillId="0" borderId="11" xfId="12" applyNumberFormat="1" applyFont="1" applyFill="1" applyBorder="1" applyAlignment="1">
      <alignment horizontal="center"/>
    </xf>
    <xf numFmtId="3" fontId="7" fillId="0" borderId="0" xfId="13" applyNumberFormat="1" applyFont="1" applyFill="1" applyAlignment="1">
      <alignment horizontal="center"/>
    </xf>
    <xf numFmtId="0" fontId="6" fillId="0" borderId="0" xfId="12" applyFont="1" applyFill="1"/>
    <xf numFmtId="41" fontId="6" fillId="0" borderId="0" xfId="12" applyNumberFormat="1" applyFont="1" applyFill="1" applyAlignment="1">
      <alignment horizontal="center"/>
    </xf>
    <xf numFmtId="41" fontId="7" fillId="0" borderId="4" xfId="12" applyNumberFormat="1" applyFont="1" applyFill="1" applyBorder="1" applyAlignment="1">
      <alignment horizontal="center"/>
    </xf>
    <xf numFmtId="41" fontId="7" fillId="0" borderId="0" xfId="12" applyNumberFormat="1" applyFont="1" applyFill="1" applyBorder="1"/>
    <xf numFmtId="2" fontId="7" fillId="0" borderId="0" xfId="12" applyNumberFormat="1" applyFont="1" applyFill="1" applyBorder="1" applyAlignment="1">
      <alignment horizontal="center"/>
    </xf>
    <xf numFmtId="0" fontId="17" fillId="0" borderId="0" xfId="0" applyFont="1" applyFill="1" applyAlignment="1">
      <alignment horizontal="center"/>
    </xf>
    <xf numFmtId="41" fontId="7" fillId="0" borderId="0" xfId="12" applyNumberFormat="1" applyFont="1" applyFill="1" applyBorder="1" applyAlignment="1">
      <alignment vertical="center" wrapText="1"/>
    </xf>
    <xf numFmtId="0" fontId="52" fillId="3" borderId="0" xfId="0" applyFont="1" applyFill="1"/>
    <xf numFmtId="3" fontId="38" fillId="3" borderId="0" xfId="0" applyNumberFormat="1" applyFont="1" applyFill="1"/>
    <xf numFmtId="0" fontId="9" fillId="0" borderId="10" xfId="11" applyFont="1" applyBorder="1"/>
    <xf numFmtId="164" fontId="9" fillId="0" borderId="10" xfId="11" applyNumberFormat="1" applyFont="1" applyBorder="1"/>
    <xf numFmtId="5" fontId="9" fillId="0" borderId="10" xfId="11" applyNumberFormat="1" applyFont="1" applyBorder="1" applyAlignment="1">
      <alignment horizontal="right"/>
    </xf>
    <xf numFmtId="3" fontId="19" fillId="0" borderId="10" xfId="11" applyNumberFormat="1" applyFont="1" applyBorder="1"/>
    <xf numFmtId="3" fontId="9" fillId="0" borderId="10" xfId="11" applyNumberFormat="1" applyFont="1" applyBorder="1"/>
    <xf numFmtId="169" fontId="40" fillId="6" borderId="0" xfId="1" applyNumberFormat="1" applyFont="1" applyFill="1"/>
    <xf numFmtId="0" fontId="10" fillId="0" borderId="0" xfId="0" applyFont="1" applyAlignment="1">
      <alignment horizontal="center"/>
    </xf>
    <xf numFmtId="0" fontId="10" fillId="0" borderId="0" xfId="0" applyFont="1" applyFill="1" applyBorder="1" applyAlignment="1">
      <alignment horizontal="center"/>
    </xf>
    <xf numFmtId="0" fontId="10" fillId="0" borderId="0" xfId="0" applyFont="1" applyBorder="1" applyAlignment="1">
      <alignment horizontal="center"/>
    </xf>
    <xf numFmtId="0" fontId="9" fillId="0" borderId="0" xfId="0" applyFont="1" applyAlignment="1">
      <alignment horizontal="center"/>
    </xf>
    <xf numFmtId="0" fontId="53" fillId="5" borderId="18" xfId="0" applyFont="1" applyFill="1" applyBorder="1" applyAlignment="1">
      <alignment horizontal="left"/>
    </xf>
    <xf numFmtId="0" fontId="53" fillId="5" borderId="19" xfId="0" applyFont="1" applyFill="1" applyBorder="1" applyAlignment="1">
      <alignment horizontal="center"/>
    </xf>
    <xf numFmtId="0" fontId="53" fillId="5" borderId="20" xfId="0" applyFont="1" applyFill="1" applyBorder="1" applyAlignment="1">
      <alignment horizontal="center"/>
    </xf>
    <xf numFmtId="37" fontId="29" fillId="5" borderId="21" xfId="12" applyNumberFormat="1" applyFont="1" applyFill="1" applyBorder="1"/>
    <xf numFmtId="37" fontId="29" fillId="5" borderId="0" xfId="12" applyNumberFormat="1" applyFont="1" applyFill="1" applyBorder="1"/>
    <xf numFmtId="37" fontId="54" fillId="5" borderId="0" xfId="12" applyNumberFormat="1" applyFont="1" applyFill="1" applyBorder="1"/>
    <xf numFmtId="0" fontId="29" fillId="5" borderId="0" xfId="0" applyFont="1" applyFill="1" applyBorder="1"/>
    <xf numFmtId="0" fontId="53" fillId="5" borderId="10" xfId="0" applyFont="1" applyFill="1" applyBorder="1" applyAlignment="1">
      <alignment horizontal="center"/>
    </xf>
    <xf numFmtId="0" fontId="53" fillId="5" borderId="35" xfId="0" applyFont="1" applyFill="1" applyBorder="1" applyAlignment="1">
      <alignment horizontal="center"/>
    </xf>
    <xf numFmtId="37" fontId="29" fillId="5" borderId="22" xfId="12" applyNumberFormat="1" applyFont="1" applyFill="1" applyBorder="1"/>
    <xf numFmtId="5" fontId="29" fillId="5" borderId="0" xfId="0" applyNumberFormat="1" applyFont="1" applyFill="1" applyBorder="1"/>
    <xf numFmtId="165" fontId="29" fillId="5" borderId="0" xfId="14" applyNumberFormat="1" applyFont="1" applyFill="1" applyBorder="1"/>
    <xf numFmtId="10" fontId="29" fillId="5" borderId="0" xfId="14" applyNumberFormat="1" applyFont="1" applyFill="1" applyBorder="1"/>
    <xf numFmtId="10" fontId="29" fillId="5" borderId="22" xfId="14" applyNumberFormat="1" applyFont="1" applyFill="1" applyBorder="1"/>
    <xf numFmtId="169" fontId="29" fillId="5" borderId="0" xfId="1" applyNumberFormat="1" applyFont="1" applyFill="1" applyBorder="1"/>
    <xf numFmtId="168" fontId="29" fillId="5" borderId="0" xfId="14" applyNumberFormat="1" applyFont="1" applyFill="1" applyBorder="1"/>
    <xf numFmtId="168" fontId="54" fillId="5" borderId="0" xfId="14" applyNumberFormat="1" applyFont="1" applyFill="1" applyBorder="1"/>
    <xf numFmtId="10" fontId="29" fillId="5" borderId="16" xfId="14" applyNumberFormat="1" applyFont="1" applyFill="1" applyBorder="1"/>
    <xf numFmtId="10" fontId="29" fillId="5" borderId="36" xfId="14" applyNumberFormat="1" applyFont="1" applyFill="1" applyBorder="1"/>
    <xf numFmtId="37" fontId="29" fillId="5" borderId="23" xfId="12" applyNumberFormat="1" applyFont="1" applyFill="1" applyBorder="1"/>
    <xf numFmtId="0" fontId="29" fillId="5" borderId="24" xfId="0" applyFont="1" applyFill="1" applyBorder="1"/>
    <xf numFmtId="169" fontId="29" fillId="5" borderId="24" xfId="1" applyNumberFormat="1" applyFont="1" applyFill="1" applyBorder="1"/>
    <xf numFmtId="10" fontId="29" fillId="5" borderId="24" xfId="14" applyNumberFormat="1" applyFont="1" applyFill="1" applyBorder="1"/>
    <xf numFmtId="10" fontId="54" fillId="5" borderId="24" xfId="14" applyNumberFormat="1" applyFont="1" applyFill="1" applyBorder="1"/>
    <xf numFmtId="10" fontId="29" fillId="5" borderId="25" xfId="14" applyNumberFormat="1" applyFont="1" applyFill="1" applyBorder="1"/>
    <xf numFmtId="0" fontId="9" fillId="0" borderId="0" xfId="0" applyFont="1" applyAlignment="1">
      <alignment vertical="top" wrapText="1"/>
    </xf>
    <xf numFmtId="0" fontId="6" fillId="0" borderId="0" xfId="12" applyNumberFormat="1" applyFont="1" applyAlignment="1">
      <alignment horizontal="left"/>
    </xf>
    <xf numFmtId="0" fontId="10" fillId="0" borderId="0" xfId="0" applyFont="1" applyBorder="1" applyAlignment="1">
      <alignment horizontal="center"/>
    </xf>
    <xf numFmtId="0" fontId="9" fillId="7" borderId="0" xfId="0" quotePrefix="1" applyFont="1" applyFill="1" applyBorder="1" applyAlignment="1">
      <alignment horizontal="center"/>
    </xf>
    <xf numFmtId="41" fontId="7" fillId="0" borderId="0" xfId="13" applyNumberFormat="1" applyFont="1" applyFill="1" applyAlignment="1">
      <alignment horizontal="center"/>
    </xf>
    <xf numFmtId="41" fontId="7" fillId="7" borderId="6" xfId="12" applyNumberFormat="1" applyFont="1" applyFill="1" applyBorder="1"/>
    <xf numFmtId="41" fontId="7" fillId="7" borderId="9" xfId="12" applyNumberFormat="1" applyFont="1" applyFill="1" applyBorder="1"/>
    <xf numFmtId="41" fontId="7" fillId="7" borderId="2" xfId="12" applyNumberFormat="1" applyFont="1" applyFill="1" applyBorder="1"/>
    <xf numFmtId="3" fontId="7" fillId="0" borderId="0" xfId="13" applyNumberFormat="1" applyFont="1" applyFill="1" applyBorder="1" applyAlignment="1">
      <alignment horizontal="center"/>
    </xf>
    <xf numFmtId="41" fontId="7" fillId="0" borderId="0" xfId="12" applyNumberFormat="1" applyFont="1" applyFill="1" applyBorder="1" applyAlignment="1">
      <alignment wrapText="1"/>
    </xf>
    <xf numFmtId="3" fontId="7" fillId="0" borderId="10" xfId="13" applyNumberFormat="1" applyFont="1" applyFill="1" applyBorder="1" applyAlignment="1">
      <alignment horizontal="center"/>
    </xf>
    <xf numFmtId="41" fontId="7" fillId="0" borderId="0" xfId="12" applyNumberFormat="1" applyFont="1" applyFill="1" applyBorder="1" applyAlignment="1">
      <alignment horizontal="center" wrapText="1"/>
    </xf>
    <xf numFmtId="0" fontId="9" fillId="0" borderId="0" xfId="0" applyFont="1" applyAlignment="1">
      <alignment horizontal="center"/>
    </xf>
    <xf numFmtId="4" fontId="9" fillId="0" borderId="10" xfId="0" applyNumberFormat="1" applyFont="1" applyFill="1" applyBorder="1" applyAlignment="1">
      <alignment horizontal="center"/>
    </xf>
    <xf numFmtId="3" fontId="9" fillId="0" borderId="10" xfId="0" applyNumberFormat="1" applyFont="1" applyFill="1" applyBorder="1"/>
    <xf numFmtId="41" fontId="9" fillId="0" borderId="10" xfId="0" applyNumberFormat="1" applyFont="1" applyFill="1" applyBorder="1"/>
    <xf numFmtId="0" fontId="9" fillId="0" borderId="10" xfId="0" applyFont="1" applyFill="1" applyBorder="1" applyAlignment="1">
      <alignment horizontal="left"/>
    </xf>
    <xf numFmtId="0" fontId="10" fillId="0" borderId="0" xfId="0" applyFont="1" applyFill="1" applyBorder="1"/>
    <xf numFmtId="10" fontId="10" fillId="0" borderId="0" xfId="0" applyNumberFormat="1" applyFont="1" applyFill="1" applyBorder="1" applyAlignment="1">
      <alignment horizontal="left"/>
    </xf>
    <xf numFmtId="175" fontId="50" fillId="0" borderId="0" xfId="0" applyNumberFormat="1" applyFont="1" applyFill="1" applyAlignment="1">
      <alignment horizontal="center"/>
    </xf>
    <xf numFmtId="41" fontId="55" fillId="0" borderId="0" xfId="12" applyNumberFormat="1" applyFont="1" applyFill="1" applyBorder="1" applyAlignment="1">
      <alignment horizontal="center" wrapText="1"/>
    </xf>
    <xf numFmtId="0" fontId="0" fillId="0" borderId="0" xfId="0" applyAlignment="1">
      <alignment shrinkToFit="1"/>
    </xf>
    <xf numFmtId="0" fontId="9" fillId="0" borderId="0" xfId="0" applyFont="1" applyAlignment="1">
      <alignment horizontal="center"/>
    </xf>
    <xf numFmtId="0" fontId="9" fillId="0" borderId="0" xfId="0" applyFont="1" applyFill="1" applyAlignment="1">
      <alignment horizontal="center"/>
    </xf>
    <xf numFmtId="4" fontId="9" fillId="0" borderId="10" xfId="0" applyNumberFormat="1" applyFont="1" applyFill="1" applyBorder="1" applyAlignment="1">
      <alignment horizontal="left"/>
    </xf>
    <xf numFmtId="0" fontId="17" fillId="0" borderId="0" xfId="0" applyFont="1" applyFill="1" applyBorder="1" applyAlignment="1">
      <alignment horizontal="center"/>
    </xf>
    <xf numFmtId="41" fontId="9" fillId="0" borderId="16" xfId="0" applyNumberFormat="1" applyFont="1" applyFill="1" applyBorder="1"/>
    <xf numFmtId="10" fontId="10" fillId="0" borderId="16" xfId="0" applyNumberFormat="1" applyFont="1" applyFill="1" applyBorder="1" applyAlignment="1">
      <alignment horizontal="left"/>
    </xf>
    <xf numFmtId="0" fontId="9" fillId="0" borderId="0" xfId="0" applyFont="1" applyBorder="1" applyAlignment="1">
      <alignment horizontal="right"/>
    </xf>
    <xf numFmtId="41" fontId="7" fillId="0" borderId="5" xfId="10" applyNumberFormat="1" applyFont="1" applyFill="1" applyBorder="1" applyAlignment="1">
      <alignment horizontal="center"/>
    </xf>
    <xf numFmtId="41" fontId="7" fillId="0" borderId="0" xfId="12" applyNumberFormat="1" applyFont="1" applyFill="1" applyBorder="1" applyAlignment="1"/>
    <xf numFmtId="41" fontId="7" fillId="0" borderId="0" xfId="12" applyNumberFormat="1" applyFont="1" applyFill="1" applyBorder="1" applyAlignment="1">
      <alignment vertical="center"/>
    </xf>
    <xf numFmtId="41" fontId="7" fillId="0" borderId="10" xfId="12" quotePrefix="1" applyNumberFormat="1" applyFont="1" applyFill="1" applyBorder="1" applyAlignment="1">
      <alignment horizontal="center"/>
    </xf>
    <xf numFmtId="5" fontId="7" fillId="7" borderId="6" xfId="12" applyNumberFormat="1" applyFont="1" applyFill="1" applyBorder="1"/>
    <xf numFmtId="41" fontId="7" fillId="7" borderId="37" xfId="12" applyNumberFormat="1" applyFont="1" applyFill="1" applyBorder="1"/>
    <xf numFmtId="41" fontId="6" fillId="3" borderId="0" xfId="12" applyNumberFormat="1" applyFont="1" applyFill="1" applyBorder="1"/>
    <xf numFmtId="41" fontId="7" fillId="7" borderId="9" xfId="12" applyNumberFormat="1" applyFont="1" applyFill="1" applyBorder="1" applyAlignment="1">
      <alignment horizontal="center"/>
    </xf>
    <xf numFmtId="2" fontId="7" fillId="7" borderId="6" xfId="12" applyNumberFormat="1" applyFont="1" applyFill="1" applyBorder="1" applyAlignment="1">
      <alignment horizontal="center"/>
    </xf>
    <xf numFmtId="10" fontId="45" fillId="0" borderId="0" xfId="14" applyNumberFormat="1" applyFont="1" applyFill="1" applyBorder="1" applyAlignment="1">
      <alignment horizontal="center" vertical="top" wrapText="1"/>
    </xf>
    <xf numFmtId="3" fontId="7" fillId="0" borderId="5" xfId="13" applyNumberFormat="1" applyFont="1" applyBorder="1" applyAlignment="1">
      <alignment horizontal="center"/>
    </xf>
    <xf numFmtId="41" fontId="55" fillId="0" borderId="5" xfId="12" applyNumberFormat="1" applyFont="1" applyFill="1" applyBorder="1" applyAlignment="1">
      <alignment horizontal="center" wrapText="1"/>
    </xf>
    <xf numFmtId="0" fontId="6" fillId="0" borderId="0" xfId="12" applyNumberFormat="1" applyFont="1" applyFill="1" applyBorder="1" applyAlignment="1">
      <alignment horizontal="center"/>
    </xf>
    <xf numFmtId="0" fontId="6" fillId="0" borderId="0" xfId="12" applyFont="1" applyFill="1" applyBorder="1"/>
    <xf numFmtId="41" fontId="9" fillId="0" borderId="13" xfId="2" applyNumberFormat="1" applyFont="1" applyBorder="1"/>
    <xf numFmtId="10" fontId="10" fillId="0" borderId="13" xfId="0" applyNumberFormat="1" applyFont="1" applyBorder="1" applyAlignment="1">
      <alignment horizontal="left"/>
    </xf>
    <xf numFmtId="3" fontId="10" fillId="0" borderId="0" xfId="6" applyNumberFormat="1" applyFont="1" applyFill="1"/>
    <xf numFmtId="3" fontId="9" fillId="0" borderId="0" xfId="6" applyNumberFormat="1" applyFont="1" applyFill="1"/>
    <xf numFmtId="3" fontId="6" fillId="0" borderId="0" xfId="6" applyNumberFormat="1" applyFont="1" applyFill="1"/>
    <xf numFmtId="10" fontId="29" fillId="0" borderId="0" xfId="14" applyNumberFormat="1" applyFont="1" applyFill="1" applyBorder="1"/>
    <xf numFmtId="3" fontId="51" fillId="0" borderId="5" xfId="13" applyNumberFormat="1" applyFont="1" applyBorder="1" applyAlignment="1">
      <alignment horizontal="center" vertical="center"/>
    </xf>
    <xf numFmtId="0" fontId="9" fillId="0" borderId="0" xfId="0" applyFont="1" applyFill="1" applyAlignment="1">
      <alignment horizontal="right"/>
    </xf>
    <xf numFmtId="41" fontId="7" fillId="0" borderId="0" xfId="12" applyNumberFormat="1" applyFont="1" applyFill="1" applyBorder="1" applyAlignment="1">
      <alignment horizontal="center" vertical="center" wrapText="1"/>
    </xf>
    <xf numFmtId="0" fontId="6" fillId="0" borderId="0" xfId="12" applyNumberFormat="1" applyFont="1" applyAlignment="1">
      <alignment horizontal="left"/>
    </xf>
    <xf numFmtId="41" fontId="7" fillId="7" borderId="0" xfId="12" applyNumberFormat="1" applyFont="1" applyFill="1" applyBorder="1"/>
    <xf numFmtId="41" fontId="7" fillId="7" borderId="2" xfId="12" applyNumberFormat="1" applyFont="1" applyFill="1" applyBorder="1" applyAlignment="1">
      <alignment horizontal="center"/>
    </xf>
    <xf numFmtId="41" fontId="7" fillId="7" borderId="6" xfId="10" applyNumberFormat="1" applyFont="1" applyFill="1" applyBorder="1" applyAlignment="1">
      <alignment horizontal="center"/>
    </xf>
    <xf numFmtId="3" fontId="7" fillId="0" borderId="0" xfId="13" applyNumberFormat="1" applyFont="1" applyFill="1" applyAlignment="1">
      <alignment horizontal="center" vertical="center"/>
    </xf>
    <xf numFmtId="3" fontId="7" fillId="0" borderId="8" xfId="13" applyNumberFormat="1" applyFont="1" applyFill="1" applyBorder="1" applyAlignment="1">
      <alignment horizontal="center" vertical="center"/>
    </xf>
    <xf numFmtId="0" fontId="6" fillId="0" borderId="10" xfId="12" applyFont="1" applyBorder="1"/>
    <xf numFmtId="0" fontId="6" fillId="0" borderId="10" xfId="12" applyFont="1" applyBorder="1" applyAlignment="1">
      <alignment horizontal="center"/>
    </xf>
    <xf numFmtId="2" fontId="7" fillId="0" borderId="0" xfId="12" applyNumberFormat="1" applyFont="1" applyBorder="1" applyAlignment="1">
      <alignment horizontal="center"/>
    </xf>
    <xf numFmtId="0" fontId="9" fillId="5" borderId="10" xfId="0" applyFont="1" applyFill="1" applyBorder="1" applyAlignment="1">
      <alignment horizontal="center"/>
    </xf>
    <xf numFmtId="165" fontId="9" fillId="5" borderId="0" xfId="14" applyNumberFormat="1" applyFont="1" applyFill="1" applyBorder="1"/>
    <xf numFmtId="10" fontId="9" fillId="5" borderId="0" xfId="14" applyNumberFormat="1" applyFont="1" applyFill="1" applyBorder="1"/>
    <xf numFmtId="0" fontId="9" fillId="5" borderId="2" xfId="0" applyFont="1" applyFill="1" applyBorder="1"/>
    <xf numFmtId="0" fontId="9" fillId="5" borderId="3" xfId="0" applyFont="1" applyFill="1" applyBorder="1" applyAlignment="1">
      <alignment horizontal="center"/>
    </xf>
    <xf numFmtId="0" fontId="9" fillId="5" borderId="4" xfId="0" applyFont="1" applyFill="1" applyBorder="1" applyAlignment="1">
      <alignment horizontal="center"/>
    </xf>
    <xf numFmtId="0" fontId="9" fillId="5" borderId="9" xfId="0" applyFont="1" applyFill="1" applyBorder="1" applyAlignment="1">
      <alignment horizontal="center"/>
    </xf>
    <xf numFmtId="0" fontId="9" fillId="5" borderId="11" xfId="0" applyFont="1" applyFill="1" applyBorder="1" applyAlignment="1">
      <alignment horizontal="center"/>
    </xf>
    <xf numFmtId="0" fontId="9" fillId="5" borderId="6" xfId="0" applyFont="1" applyFill="1" applyBorder="1"/>
    <xf numFmtId="10" fontId="9" fillId="5" borderId="7" xfId="14" applyNumberFormat="1" applyFont="1" applyFill="1" applyBorder="1"/>
    <xf numFmtId="0" fontId="9" fillId="5" borderId="9" xfId="0" applyFont="1" applyFill="1" applyBorder="1"/>
    <xf numFmtId="10" fontId="9" fillId="5" borderId="12" xfId="14" applyNumberFormat="1" applyFont="1" applyFill="1" applyBorder="1"/>
    <xf numFmtId="168" fontId="17" fillId="5" borderId="10" xfId="14" applyNumberFormat="1" applyFont="1" applyFill="1" applyBorder="1"/>
    <xf numFmtId="10" fontId="10" fillId="5" borderId="15" xfId="14" applyNumberFormat="1" applyFont="1" applyFill="1" applyBorder="1"/>
    <xf numFmtId="10" fontId="7" fillId="0" borderId="0" xfId="14" applyNumberFormat="1" applyFont="1" applyAlignment="1">
      <alignment horizontal="center"/>
    </xf>
    <xf numFmtId="10" fontId="7" fillId="0" borderId="12" xfId="12" applyNumberFormat="1" applyFont="1" applyBorder="1" applyAlignment="1">
      <alignment horizontal="right"/>
    </xf>
    <xf numFmtId="5" fontId="6" fillId="0" borderId="10" xfId="12" applyNumberFormat="1" applyFont="1" applyFill="1" applyBorder="1"/>
    <xf numFmtId="10" fontId="7" fillId="0" borderId="0" xfId="14" applyNumberFormat="1" applyFont="1" applyFill="1"/>
    <xf numFmtId="37" fontId="7" fillId="0" borderId="10" xfId="12" applyNumberFormat="1" applyFont="1" applyBorder="1" applyAlignment="1">
      <alignment horizontal="center"/>
    </xf>
    <xf numFmtId="37" fontId="7" fillId="0" borderId="0" xfId="12" applyNumberFormat="1" applyFont="1" applyBorder="1"/>
    <xf numFmtId="10" fontId="6" fillId="0" borderId="10" xfId="14" applyNumberFormat="1" applyFont="1" applyBorder="1"/>
    <xf numFmtId="176" fontId="7" fillId="0" borderId="13" xfId="2" applyNumberFormat="1" applyFont="1" applyBorder="1"/>
    <xf numFmtId="0" fontId="1" fillId="0" borderId="0" xfId="22" applyFont="1" applyFill="1"/>
    <xf numFmtId="5" fontId="8" fillId="0" borderId="0" xfId="12" applyNumberFormat="1" applyFont="1" applyAlignment="1">
      <alignment vertical="top"/>
    </xf>
    <xf numFmtId="14" fontId="58" fillId="0" borderId="0" xfId="22" applyNumberFormat="1" applyFont="1" applyFill="1" applyBorder="1" applyAlignment="1">
      <alignment horizontal="center"/>
    </xf>
    <xf numFmtId="5" fontId="6" fillId="0" borderId="0" xfId="12" applyNumberFormat="1" applyFont="1" applyBorder="1"/>
    <xf numFmtId="3" fontId="6" fillId="0" borderId="0" xfId="6" applyNumberFormat="1" applyFont="1" applyFill="1" applyBorder="1"/>
    <xf numFmtId="3" fontId="53" fillId="0" borderId="0" xfId="6" applyNumberFormat="1" applyFont="1" applyFill="1" applyBorder="1" applyAlignment="1"/>
    <xf numFmtId="3" fontId="43" fillId="0" borderId="0" xfId="6" applyNumberFormat="1" applyFont="1" applyFill="1" applyBorder="1" applyAlignment="1"/>
    <xf numFmtId="3" fontId="29" fillId="0" borderId="0" xfId="6" applyNumberFormat="1" applyFont="1" applyFill="1" applyBorder="1" applyAlignment="1"/>
    <xf numFmtId="3" fontId="60" fillId="0" borderId="0" xfId="6" applyNumberFormat="1" applyFont="1" applyFill="1" applyBorder="1" applyAlignment="1">
      <alignment horizontal="center"/>
    </xf>
    <xf numFmtId="3" fontId="7" fillId="0" borderId="0" xfId="6" applyNumberFormat="1" applyFont="1" applyFill="1"/>
    <xf numFmtId="3" fontId="6" fillId="0" borderId="0" xfId="6" applyNumberFormat="1" applyFont="1" applyFill="1" applyBorder="1" applyAlignment="1"/>
    <xf numFmtId="3" fontId="55" fillId="0" borderId="0" xfId="6" applyNumberFormat="1" applyFont="1" applyFill="1" applyBorder="1"/>
    <xf numFmtId="3" fontId="6" fillId="0" borderId="0" xfId="6" applyNumberFormat="1" applyFont="1" applyFill="1" applyBorder="1" applyAlignment="1">
      <alignment horizontal="center"/>
    </xf>
    <xf numFmtId="0" fontId="4" fillId="0" borderId="0" xfId="23" applyFont="1" applyFill="1" applyAlignment="1">
      <alignment horizontal="center"/>
    </xf>
    <xf numFmtId="169" fontId="6" fillId="0" borderId="0" xfId="1" applyNumberFormat="1" applyFont="1" applyFill="1" applyBorder="1" applyAlignment="1">
      <alignment horizontal="center"/>
    </xf>
    <xf numFmtId="0" fontId="7" fillId="0" borderId="0" xfId="1" applyNumberFormat="1" applyFont="1" applyFill="1" applyBorder="1" applyAlignment="1">
      <alignment horizontal="center"/>
    </xf>
    <xf numFmtId="5" fontId="6" fillId="0" borderId="0" xfId="6" applyNumberFormat="1" applyFont="1" applyFill="1" applyBorder="1" applyProtection="1">
      <protection locked="0"/>
    </xf>
    <xf numFmtId="10" fontId="6" fillId="0" borderId="0" xfId="6" applyNumberFormat="1" applyFont="1" applyFill="1" applyBorder="1" applyProtection="1">
      <protection locked="0"/>
    </xf>
    <xf numFmtId="37" fontId="6" fillId="0" borderId="0" xfId="6" applyNumberFormat="1" applyFont="1" applyFill="1" applyBorder="1" applyProtection="1">
      <protection locked="0"/>
    </xf>
    <xf numFmtId="37" fontId="6" fillId="0" borderId="3" xfId="6" applyNumberFormat="1" applyFont="1" applyFill="1" applyBorder="1" applyProtection="1">
      <protection locked="0"/>
    </xf>
    <xf numFmtId="37" fontId="6" fillId="0" borderId="0" xfId="6" applyNumberFormat="1" applyFont="1" applyFill="1" applyBorder="1"/>
    <xf numFmtId="37" fontId="6" fillId="0" borderId="3" xfId="6" applyNumberFormat="1" applyFont="1" applyFill="1" applyBorder="1"/>
    <xf numFmtId="37" fontId="7" fillId="0" borderId="0" xfId="6" applyNumberFormat="1" applyFont="1" applyFill="1" applyBorder="1"/>
    <xf numFmtId="169" fontId="7" fillId="0" borderId="0" xfId="1" applyNumberFormat="1" applyFont="1" applyFill="1" applyBorder="1" applyAlignment="1">
      <alignment horizontal="center"/>
    </xf>
    <xf numFmtId="164" fontId="6" fillId="0" borderId="0" xfId="6" applyNumberFormat="1" applyFont="1" applyFill="1"/>
    <xf numFmtId="5" fontId="6" fillId="0" borderId="16" xfId="6" applyNumberFormat="1" applyFont="1" applyFill="1" applyBorder="1"/>
    <xf numFmtId="3" fontId="6" fillId="0" borderId="0" xfId="6" applyNumberFormat="1" applyFont="1" applyFill="1" applyAlignment="1">
      <alignment vertical="top"/>
    </xf>
    <xf numFmtId="5" fontId="6" fillId="0" borderId="0" xfId="6" applyNumberFormat="1" applyFont="1" applyFill="1" applyBorder="1"/>
    <xf numFmtId="3" fontId="7" fillId="0" borderId="0" xfId="6" applyNumberFormat="1" applyFont="1" applyFill="1" applyAlignment="1">
      <alignment horizontal="left"/>
    </xf>
    <xf numFmtId="37" fontId="6" fillId="0" borderId="0" xfId="6" applyNumberFormat="1" applyFont="1" applyFill="1" applyBorder="1" applyAlignment="1" applyProtection="1">
      <alignment horizontal="center"/>
      <protection locked="0"/>
    </xf>
    <xf numFmtId="3" fontId="6" fillId="0" borderId="0" xfId="6" applyNumberFormat="1" applyFont="1" applyFill="1" applyAlignment="1">
      <alignment vertical="center"/>
    </xf>
    <xf numFmtId="37" fontId="6" fillId="0" borderId="10" xfId="6" applyNumberFormat="1" applyFont="1" applyFill="1" applyBorder="1" applyProtection="1">
      <protection locked="0"/>
    </xf>
    <xf numFmtId="37" fontId="7" fillId="0" borderId="3" xfId="6" applyNumberFormat="1" applyFont="1" applyFill="1" applyBorder="1" applyProtection="1">
      <protection locked="0"/>
    </xf>
    <xf numFmtId="3" fontId="7" fillId="0" borderId="0" xfId="6" applyNumberFormat="1" applyFont="1" applyFill="1" applyAlignment="1">
      <alignment vertical="top"/>
    </xf>
    <xf numFmtId="3" fontId="7" fillId="0" borderId="0" xfId="6" applyNumberFormat="1" applyFont="1" applyFill="1" applyAlignment="1"/>
    <xf numFmtId="10" fontId="53" fillId="0" borderId="0" xfId="14" applyNumberFormat="1" applyFont="1" applyFill="1" applyBorder="1" applyAlignment="1"/>
    <xf numFmtId="10" fontId="53" fillId="0" borderId="0" xfId="14" applyNumberFormat="1" applyFont="1" applyFill="1" applyBorder="1" applyAlignment="1">
      <alignment horizontal="center"/>
    </xf>
    <xf numFmtId="3" fontId="6" fillId="0" borderId="0" xfId="6" applyNumberFormat="1" applyFont="1" applyFill="1" applyAlignment="1">
      <alignment horizontal="center" wrapText="1"/>
    </xf>
    <xf numFmtId="3" fontId="6" fillId="0" borderId="0" xfId="6" applyNumberFormat="1" applyFont="1" applyFill="1" applyAlignment="1">
      <alignment horizontal="right"/>
    </xf>
    <xf numFmtId="3" fontId="6" fillId="0" borderId="0" xfId="6" applyNumberFormat="1" applyFont="1" applyFill="1" applyAlignment="1">
      <alignment horizontal="left"/>
    </xf>
    <xf numFmtId="37" fontId="7" fillId="0" borderId="16" xfId="6" applyNumberFormat="1" applyFont="1" applyFill="1" applyBorder="1" applyProtection="1">
      <protection locked="0"/>
    </xf>
    <xf numFmtId="3" fontId="6" fillId="0" borderId="0" xfId="6" quotePrefix="1" applyNumberFormat="1" applyFont="1" applyFill="1" applyBorder="1" applyAlignment="1">
      <alignment horizontal="center"/>
    </xf>
    <xf numFmtId="10" fontId="6" fillId="0" borderId="0" xfId="14" applyNumberFormat="1" applyFont="1" applyFill="1" applyBorder="1" applyProtection="1">
      <protection locked="0"/>
    </xf>
    <xf numFmtId="3" fontId="6" fillId="0" borderId="0" xfId="6" quotePrefix="1" applyNumberFormat="1" applyFont="1" applyFill="1"/>
    <xf numFmtId="10" fontId="6" fillId="0" borderId="0" xfId="14" applyNumberFormat="1" applyFont="1" applyFill="1" applyBorder="1" applyAlignment="1">
      <alignment horizontal="center"/>
    </xf>
    <xf numFmtId="169" fontId="6" fillId="3" borderId="0" xfId="1" applyNumberFormat="1" applyFont="1" applyFill="1" applyBorder="1" applyAlignment="1">
      <alignment horizontal="center"/>
    </xf>
    <xf numFmtId="169" fontId="6" fillId="3" borderId="0" xfId="1" applyNumberFormat="1" applyFont="1" applyFill="1" applyBorder="1" applyAlignment="1">
      <alignment horizontal="center" vertical="center"/>
    </xf>
    <xf numFmtId="0" fontId="62" fillId="0" borderId="0" xfId="24" applyNumberFormat="1" applyFont="1" applyAlignment="1">
      <alignment horizontal="left"/>
    </xf>
    <xf numFmtId="0" fontId="57" fillId="0" borderId="0" xfId="24" applyNumberFormat="1" applyFont="1" applyFill="1" applyAlignment="1">
      <alignment horizontal="center"/>
    </xf>
    <xf numFmtId="0" fontId="63" fillId="0" borderId="0" xfId="24" applyNumberFormat="1" applyFont="1" applyAlignment="1">
      <alignment horizontal="center"/>
    </xf>
    <xf numFmtId="0" fontId="10" fillId="0" borderId="10" xfId="6" applyFont="1" applyBorder="1"/>
    <xf numFmtId="0" fontId="57" fillId="0" borderId="10" xfId="24" applyFont="1" applyBorder="1"/>
    <xf numFmtId="3" fontId="62" fillId="0" borderId="10" xfId="24" applyNumberFormat="1" applyFont="1" applyBorder="1"/>
    <xf numFmtId="0" fontId="7" fillId="0" borderId="10" xfId="6" applyFont="1" applyBorder="1" applyAlignment="1">
      <alignment horizontal="center"/>
    </xf>
    <xf numFmtId="0" fontId="7" fillId="0" borderId="10" xfId="6" applyFont="1" applyFill="1" applyBorder="1" applyAlignment="1">
      <alignment horizontal="center"/>
    </xf>
    <xf numFmtId="0" fontId="57" fillId="0" borderId="0" xfId="24" applyNumberFormat="1" applyFont="1" applyAlignment="1">
      <alignment horizontal="center"/>
    </xf>
    <xf numFmtId="0" fontId="4" fillId="0" borderId="0" xfId="6"/>
    <xf numFmtId="3" fontId="62" fillId="0" borderId="0" xfId="24" applyNumberFormat="1" applyFont="1"/>
    <xf numFmtId="3" fontId="62" fillId="0" borderId="0" xfId="24" applyNumberFormat="1" applyFont="1" applyFill="1"/>
    <xf numFmtId="0" fontId="57" fillId="0" borderId="0" xfId="24" applyFont="1" applyFill="1"/>
    <xf numFmtId="10" fontId="6" fillId="0" borderId="0" xfId="6" applyNumberFormat="1" applyFont="1"/>
    <xf numFmtId="10" fontId="6" fillId="0" borderId="0" xfId="6" applyNumberFormat="1" applyFont="1" applyFill="1"/>
    <xf numFmtId="0" fontId="4" fillId="0" borderId="0" xfId="6" applyFont="1"/>
    <xf numFmtId="0" fontId="6" fillId="0" borderId="0" xfId="6" applyFont="1" applyFill="1" applyBorder="1"/>
    <xf numFmtId="0" fontId="6" fillId="0" borderId="0" xfId="6" applyFont="1" applyFill="1" applyBorder="1" applyAlignment="1">
      <alignment horizontal="right"/>
    </xf>
    <xf numFmtId="0" fontId="57" fillId="0" borderId="0" xfId="24" applyFont="1"/>
    <xf numFmtId="3" fontId="62" fillId="0" borderId="0" xfId="24" applyNumberFormat="1" applyFont="1" applyAlignment="1">
      <alignment horizontal="center"/>
    </xf>
    <xf numFmtId="0" fontId="7" fillId="7" borderId="10" xfId="6" applyFont="1" applyFill="1" applyBorder="1" applyAlignment="1">
      <alignment horizontal="center"/>
    </xf>
    <xf numFmtId="0" fontId="64" fillId="0" borderId="0" xfId="6" applyFont="1"/>
    <xf numFmtId="0" fontId="64" fillId="0" borderId="0" xfId="6" applyFont="1" applyFill="1"/>
    <xf numFmtId="0" fontId="64" fillId="0" borderId="0" xfId="6" applyFont="1" applyFill="1" applyAlignment="1">
      <alignment horizontal="center" wrapText="1"/>
    </xf>
    <xf numFmtId="3" fontId="6" fillId="7" borderId="0" xfId="6" applyNumberFormat="1" applyFont="1" applyFill="1" applyAlignment="1">
      <alignment horizontal="center"/>
    </xf>
    <xf numFmtId="10" fontId="64" fillId="0" borderId="0" xfId="6" applyNumberFormat="1" applyFont="1" applyBorder="1"/>
    <xf numFmtId="10" fontId="64" fillId="0" borderId="0" xfId="6" applyNumberFormat="1" applyFont="1" applyFill="1" applyBorder="1"/>
    <xf numFmtId="10" fontId="65" fillId="0" borderId="0" xfId="6" applyNumberFormat="1" applyFont="1" applyFill="1" applyBorder="1"/>
    <xf numFmtId="10" fontId="57" fillId="0" borderId="0" xfId="24" applyNumberFormat="1" applyFont="1"/>
    <xf numFmtId="10" fontId="57" fillId="0" borderId="0" xfId="24" applyNumberFormat="1" applyFont="1" applyFill="1"/>
    <xf numFmtId="10" fontId="57" fillId="7" borderId="0" xfId="24" applyNumberFormat="1" applyFont="1" applyFill="1"/>
    <xf numFmtId="0" fontId="4" fillId="0" borderId="0" xfId="6" applyFill="1"/>
    <xf numFmtId="10" fontId="64" fillId="0" borderId="0" xfId="6" applyNumberFormat="1" applyFont="1"/>
    <xf numFmtId="10" fontId="64" fillId="0" borderId="0" xfId="6" applyNumberFormat="1" applyFont="1" applyFill="1"/>
    <xf numFmtId="10" fontId="64" fillId="7" borderId="0" xfId="6" applyNumberFormat="1" applyFont="1" applyFill="1"/>
    <xf numFmtId="3" fontId="6" fillId="7" borderId="0" xfId="6" applyNumberFormat="1" applyFont="1" applyFill="1"/>
    <xf numFmtId="3" fontId="62" fillId="0" borderId="0" xfId="24" applyNumberFormat="1" applyFont="1" applyBorder="1"/>
    <xf numFmtId="3" fontId="62" fillId="0" borderId="0" xfId="24" applyNumberFormat="1" applyFont="1" applyFill="1" applyBorder="1" applyAlignment="1">
      <alignment horizontal="center"/>
    </xf>
    <xf numFmtId="0" fontId="7" fillId="0" borderId="0" xfId="6" applyFont="1" applyFill="1" applyBorder="1" applyAlignment="1">
      <alignment horizontal="center"/>
    </xf>
    <xf numFmtId="3" fontId="57" fillId="0" borderId="0" xfId="24" applyNumberFormat="1" applyFont="1"/>
    <xf numFmtId="3" fontId="57" fillId="0" borderId="0" xfId="24" applyNumberFormat="1" applyFont="1" applyFill="1"/>
    <xf numFmtId="3" fontId="57" fillId="0" borderId="0" xfId="24" applyNumberFormat="1" applyFont="1" applyFill="1" applyBorder="1"/>
    <xf numFmtId="10" fontId="57" fillId="0" borderId="0" xfId="14" applyNumberFormat="1" applyFont="1"/>
    <xf numFmtId="10" fontId="57" fillId="0" borderId="0" xfId="14" applyNumberFormat="1" applyFont="1" applyFill="1"/>
    <xf numFmtId="10" fontId="62" fillId="0" borderId="0" xfId="14" applyNumberFormat="1" applyFont="1" applyFill="1" applyBorder="1"/>
    <xf numFmtId="10" fontId="57" fillId="7" borderId="0" xfId="14" applyNumberFormat="1" applyFont="1" applyFill="1"/>
    <xf numFmtId="10" fontId="57" fillId="0" borderId="0" xfId="14" applyNumberFormat="1" applyFont="1" applyFill="1" applyBorder="1"/>
    <xf numFmtId="0" fontId="62" fillId="0" borderId="0" xfId="24" applyFont="1" applyFill="1"/>
    <xf numFmtId="10" fontId="6" fillId="7" borderId="0" xfId="14" applyNumberFormat="1" applyFont="1" applyFill="1"/>
    <xf numFmtId="3" fontId="62" fillId="0" borderId="0" xfId="24" applyNumberFormat="1" applyFont="1" applyFill="1" applyBorder="1"/>
    <xf numFmtId="10" fontId="57" fillId="0" borderId="0" xfId="24" applyNumberFormat="1" applyFont="1" applyFill="1" applyBorder="1"/>
    <xf numFmtId="3" fontId="57" fillId="7" borderId="0" xfId="24" applyNumberFormat="1" applyFont="1" applyFill="1"/>
    <xf numFmtId="10" fontId="57" fillId="0" borderId="0" xfId="14" applyNumberFormat="1" applyFont="1" applyBorder="1"/>
    <xf numFmtId="0" fontId="7" fillId="0" borderId="0" xfId="6" applyFont="1"/>
    <xf numFmtId="10" fontId="64" fillId="0" borderId="30" xfId="6" applyNumberFormat="1" applyFont="1" applyBorder="1"/>
    <xf numFmtId="10" fontId="57" fillId="0" borderId="30" xfId="14" applyNumberFormat="1" applyFont="1" applyBorder="1"/>
    <xf numFmtId="10" fontId="57" fillId="8" borderId="0" xfId="14" applyNumberFormat="1" applyFont="1" applyFill="1"/>
    <xf numFmtId="10" fontId="57" fillId="0" borderId="30" xfId="24" applyNumberFormat="1" applyFont="1" applyBorder="1"/>
    <xf numFmtId="3" fontId="6" fillId="8" borderId="0" xfId="6" applyNumberFormat="1" applyFont="1" applyFill="1"/>
    <xf numFmtId="10" fontId="57" fillId="0" borderId="39" xfId="14" applyNumberFormat="1" applyFont="1" applyBorder="1"/>
    <xf numFmtId="3" fontId="6" fillId="0" borderId="32" xfId="6" applyNumberFormat="1" applyFont="1" applyFill="1" applyBorder="1"/>
    <xf numFmtId="3" fontId="6" fillId="0" borderId="33" xfId="6" applyNumberFormat="1" applyFont="1" applyFill="1" applyBorder="1"/>
    <xf numFmtId="10" fontId="6" fillId="0" borderId="10" xfId="14" applyNumberFormat="1" applyFont="1" applyFill="1" applyBorder="1"/>
    <xf numFmtId="3" fontId="6" fillId="0" borderId="23" xfId="6" applyNumberFormat="1" applyFont="1" applyFill="1" applyBorder="1"/>
    <xf numFmtId="3" fontId="6" fillId="0" borderId="24" xfId="6" applyNumberFormat="1" applyFont="1" applyFill="1" applyBorder="1"/>
    <xf numFmtId="3" fontId="6" fillId="9" borderId="0" xfId="6" applyNumberFormat="1" applyFont="1" applyFill="1" applyBorder="1"/>
    <xf numFmtId="0" fontId="4" fillId="0" borderId="0" xfId="7"/>
    <xf numFmtId="3" fontId="6" fillId="0" borderId="0" xfId="12" applyNumberFormat="1" applyFont="1" applyFill="1" applyBorder="1"/>
    <xf numFmtId="3" fontId="7" fillId="0" borderId="0" xfId="12" applyNumberFormat="1" applyFont="1" applyFill="1" applyBorder="1" applyAlignment="1">
      <alignment horizontal="center"/>
    </xf>
    <xf numFmtId="0" fontId="55" fillId="0" borderId="0" xfId="12" applyFont="1" applyFill="1" applyAlignment="1">
      <alignment horizontal="center"/>
    </xf>
    <xf numFmtId="177" fontId="7" fillId="0" borderId="0" xfId="10" applyNumberFormat="1" applyFont="1" applyFill="1" applyBorder="1" applyAlignment="1">
      <alignment horizontal="center"/>
    </xf>
    <xf numFmtId="14" fontId="7" fillId="0" borderId="0" xfId="12" applyNumberFormat="1" applyFont="1" applyFill="1" applyAlignment="1">
      <alignment horizontal="center"/>
    </xf>
    <xf numFmtId="3" fontId="7" fillId="0" borderId="0" xfId="12" quotePrefix="1" applyNumberFormat="1" applyFont="1" applyFill="1" applyBorder="1" applyAlignment="1">
      <alignment horizontal="center"/>
    </xf>
    <xf numFmtId="2" fontId="7" fillId="0" borderId="0" xfId="12" applyNumberFormat="1" applyFont="1" applyFill="1" applyAlignment="1">
      <alignment horizontal="center"/>
    </xf>
    <xf numFmtId="5" fontId="6" fillId="0" borderId="0" xfId="7" applyNumberFormat="1" applyFont="1" applyBorder="1" applyProtection="1">
      <protection locked="0"/>
    </xf>
    <xf numFmtId="5" fontId="6" fillId="0" borderId="0" xfId="7" applyNumberFormat="1" applyFont="1" applyFill="1" applyBorder="1" applyProtection="1">
      <protection locked="0"/>
    </xf>
    <xf numFmtId="37" fontId="6" fillId="0" borderId="0" xfId="7" applyNumberFormat="1" applyFont="1" applyBorder="1" applyProtection="1">
      <protection locked="0"/>
    </xf>
    <xf numFmtId="37" fontId="6" fillId="0" borderId="0" xfId="7" applyNumberFormat="1" applyFont="1" applyFill="1" applyBorder="1" applyProtection="1">
      <protection locked="0"/>
    </xf>
    <xf numFmtId="37" fontId="6" fillId="0" borderId="10" xfId="7" applyNumberFormat="1" applyFont="1" applyBorder="1" applyProtection="1">
      <protection locked="0"/>
    </xf>
    <xf numFmtId="37" fontId="6" fillId="0" borderId="10" xfId="7" applyNumberFormat="1" applyFont="1" applyFill="1" applyBorder="1" applyProtection="1">
      <protection locked="0"/>
    </xf>
    <xf numFmtId="37" fontId="6" fillId="0" borderId="0" xfId="7" applyNumberFormat="1" applyFont="1" applyBorder="1"/>
    <xf numFmtId="37" fontId="6" fillId="0" borderId="0" xfId="7" applyNumberFormat="1" applyFont="1" applyFill="1" applyBorder="1"/>
    <xf numFmtId="37" fontId="6" fillId="7" borderId="0" xfId="7" applyNumberFormat="1" applyFont="1" applyFill="1" applyBorder="1" applyProtection="1">
      <protection locked="0"/>
    </xf>
    <xf numFmtId="37" fontId="6" fillId="7" borderId="10" xfId="7" applyNumberFormat="1" applyFont="1" applyFill="1" applyBorder="1" applyProtection="1">
      <protection locked="0"/>
    </xf>
    <xf numFmtId="37" fontId="6" fillId="0" borderId="10" xfId="7" applyNumberFormat="1" applyFont="1" applyBorder="1"/>
    <xf numFmtId="37" fontId="6" fillId="0" borderId="10" xfId="7" applyNumberFormat="1" applyFont="1" applyFill="1" applyBorder="1"/>
    <xf numFmtId="164" fontId="6" fillId="0" borderId="0" xfId="7" applyNumberFormat="1" applyFont="1" applyFill="1"/>
    <xf numFmtId="5" fontId="6" fillId="0" borderId="16" xfId="7" applyNumberFormat="1" applyFont="1" applyBorder="1" applyProtection="1">
      <protection locked="0"/>
    </xf>
    <xf numFmtId="5" fontId="6" fillId="0" borderId="16" xfId="7" applyNumberFormat="1" applyFont="1" applyFill="1" applyBorder="1" applyProtection="1">
      <protection locked="0"/>
    </xf>
    <xf numFmtId="37" fontId="6" fillId="0" borderId="3" xfId="7" applyNumberFormat="1" applyFont="1" applyFill="1" applyBorder="1" applyProtection="1">
      <protection locked="0"/>
    </xf>
    <xf numFmtId="3" fontId="6" fillId="0" borderId="0" xfId="7" applyNumberFormat="1" applyFont="1" applyFill="1" applyBorder="1"/>
    <xf numFmtId="37" fontId="6" fillId="0" borderId="0" xfId="7" applyNumberFormat="1" applyFont="1" applyFill="1" applyBorder="1" applyAlignment="1" applyProtection="1">
      <alignment horizontal="center"/>
      <protection locked="0"/>
    </xf>
    <xf numFmtId="37" fontId="6" fillId="7" borderId="0" xfId="7" applyNumberFormat="1" applyFont="1" applyFill="1" applyBorder="1" applyAlignment="1" applyProtection="1">
      <alignment horizontal="center"/>
      <protection locked="0"/>
    </xf>
    <xf numFmtId="37" fontId="6" fillId="0" borderId="0" xfId="7" applyNumberFormat="1" applyFont="1" applyFill="1" applyBorder="1" applyAlignment="1" applyProtection="1">
      <alignment horizontal="right"/>
      <protection locked="0"/>
    </xf>
    <xf numFmtId="37" fontId="6" fillId="0" borderId="10" xfId="7" applyNumberFormat="1" applyFont="1" applyFill="1" applyBorder="1" applyAlignment="1" applyProtection="1">
      <alignment horizontal="right"/>
      <protection locked="0"/>
    </xf>
    <xf numFmtId="5" fontId="6" fillId="0" borderId="16" xfId="7" applyNumberFormat="1" applyFont="1" applyFill="1" applyBorder="1"/>
    <xf numFmtId="10" fontId="6" fillId="0" borderId="0" xfId="12" applyNumberFormat="1" applyFont="1" applyFill="1"/>
    <xf numFmtId="0" fontId="4" fillId="0" borderId="0" xfId="7" applyBorder="1"/>
    <xf numFmtId="10" fontId="6" fillId="0" borderId="0" xfId="12" applyNumberFormat="1" applyFont="1" applyFill="1" applyBorder="1"/>
    <xf numFmtId="10" fontId="6" fillId="3" borderId="0" xfId="12" applyNumberFormat="1" applyFont="1" applyFill="1"/>
    <xf numFmtId="0" fontId="59" fillId="0" borderId="0" xfId="23"/>
    <xf numFmtId="0" fontId="4" fillId="0" borderId="0" xfId="6" applyFont="1" applyFill="1"/>
    <xf numFmtId="0" fontId="59" fillId="0" borderId="10" xfId="23" applyBorder="1" applyAlignment="1">
      <alignment horizontal="center"/>
    </xf>
    <xf numFmtId="0" fontId="59" fillId="0" borderId="10" xfId="23" applyFill="1" applyBorder="1" applyAlignment="1">
      <alignment horizontal="center"/>
    </xf>
    <xf numFmtId="37" fontId="4" fillId="0" borderId="0" xfId="6" applyNumberFormat="1"/>
    <xf numFmtId="37" fontId="4" fillId="0" borderId="0" xfId="6" applyNumberFormat="1" applyFill="1"/>
    <xf numFmtId="169" fontId="4" fillId="0" borderId="0" xfId="6" applyNumberFormat="1"/>
    <xf numFmtId="169" fontId="0" fillId="0" borderId="0" xfId="1" applyNumberFormat="1" applyFont="1"/>
    <xf numFmtId="169" fontId="0" fillId="0" borderId="0" xfId="1" applyNumberFormat="1" applyFont="1" applyFill="1"/>
    <xf numFmtId="169" fontId="4" fillId="0" borderId="0" xfId="1" applyNumberFormat="1" applyFont="1"/>
    <xf numFmtId="169" fontId="4" fillId="0" borderId="3" xfId="1" applyNumberFormat="1" applyFont="1" applyBorder="1"/>
    <xf numFmtId="169" fontId="4" fillId="0" borderId="3" xfId="1" applyNumberFormat="1" applyFont="1" applyFill="1" applyBorder="1"/>
    <xf numFmtId="169" fontId="4" fillId="0" borderId="0" xfId="1" applyNumberFormat="1" applyFont="1" applyFill="1" applyBorder="1"/>
    <xf numFmtId="0" fontId="4" fillId="0" borderId="0" xfId="6" applyFill="1" applyAlignment="1">
      <alignment horizontal="right"/>
    </xf>
    <xf numFmtId="0" fontId="4" fillId="0" borderId="0" xfId="6" applyFont="1" applyAlignment="1">
      <alignment horizontal="left"/>
    </xf>
    <xf numFmtId="169" fontId="4" fillId="0" borderId="3" xfId="6" applyNumberFormat="1" applyFill="1" applyBorder="1"/>
    <xf numFmtId="169" fontId="4" fillId="0" borderId="0" xfId="6" applyNumberFormat="1" applyFill="1"/>
    <xf numFmtId="37" fontId="6" fillId="0" borderId="12" xfId="6" applyNumberFormat="1" applyFont="1" applyFill="1" applyBorder="1" applyProtection="1">
      <protection locked="0"/>
    </xf>
    <xf numFmtId="0" fontId="4" fillId="0" borderId="10" xfId="6" applyFill="1" applyBorder="1"/>
    <xf numFmtId="0" fontId="66" fillId="0" borderId="0" xfId="6" applyFont="1"/>
    <xf numFmtId="0" fontId="4" fillId="0" borderId="0" xfId="6" applyFont="1" applyFill="1" applyAlignment="1">
      <alignment horizontal="right"/>
    </xf>
    <xf numFmtId="0" fontId="4" fillId="0" borderId="0" xfId="6" applyFont="1" applyAlignment="1">
      <alignment horizontal="right"/>
    </xf>
    <xf numFmtId="3" fontId="6" fillId="0" borderId="21" xfId="25" applyNumberFormat="1" applyFont="1" applyFill="1" applyBorder="1"/>
    <xf numFmtId="10" fontId="6" fillId="0" borderId="0" xfId="26" applyNumberFormat="1" applyFont="1" applyFill="1" applyBorder="1"/>
    <xf numFmtId="3" fontId="6" fillId="0" borderId="21" xfId="6" applyNumberFormat="1" applyFont="1" applyFill="1" applyBorder="1"/>
    <xf numFmtId="3" fontId="6" fillId="0" borderId="0" xfId="6" applyNumberFormat="1" applyFont="1" applyFill="1" applyAlignment="1">
      <alignment horizontal="center"/>
    </xf>
    <xf numFmtId="37" fontId="6" fillId="0" borderId="0" xfId="12" applyNumberFormat="1" applyFont="1" applyBorder="1"/>
    <xf numFmtId="0" fontId="57" fillId="0" borderId="0" xfId="24" applyFont="1" applyBorder="1" applyAlignment="1">
      <alignment horizontal="center"/>
    </xf>
    <xf numFmtId="3" fontId="7" fillId="0" borderId="0" xfId="6" quotePrefix="1" applyNumberFormat="1" applyFont="1" applyFill="1" applyBorder="1" applyAlignment="1">
      <alignment horizontal="center"/>
    </xf>
    <xf numFmtId="37" fontId="7" fillId="0" borderId="0" xfId="6" applyNumberFormat="1" applyFont="1" applyFill="1" applyBorder="1" applyProtection="1">
      <protection locked="0"/>
    </xf>
    <xf numFmtId="3" fontId="7" fillId="0" borderId="22" xfId="6" quotePrefix="1" applyNumberFormat="1" applyFont="1" applyFill="1" applyBorder="1" applyAlignment="1">
      <alignment horizontal="center"/>
    </xf>
    <xf numFmtId="37" fontId="7" fillId="0" borderId="40" xfId="6" applyNumberFormat="1" applyFont="1" applyFill="1" applyBorder="1" applyProtection="1">
      <protection locked="0"/>
    </xf>
    <xf numFmtId="37" fontId="7" fillId="0" borderId="41" xfId="6" applyNumberFormat="1" applyFont="1" applyFill="1" applyBorder="1" applyProtection="1">
      <protection locked="0"/>
    </xf>
    <xf numFmtId="10" fontId="6" fillId="0" borderId="22" xfId="14" applyNumberFormat="1" applyFont="1" applyFill="1" applyBorder="1"/>
    <xf numFmtId="10" fontId="6" fillId="0" borderId="0" xfId="6" applyNumberFormat="1" applyFont="1" applyFill="1" applyBorder="1"/>
    <xf numFmtId="10" fontId="6" fillId="0" borderId="0" xfId="14" applyNumberFormat="1" applyFont="1" applyFill="1" applyAlignment="1"/>
    <xf numFmtId="10" fontId="65" fillId="0" borderId="0" xfId="6" quotePrefix="1" applyNumberFormat="1" applyFont="1" applyFill="1" applyAlignment="1">
      <alignment horizontal="center"/>
    </xf>
    <xf numFmtId="0" fontId="57" fillId="0" borderId="0" xfId="24" applyFont="1" applyFill="1" applyBorder="1" applyAlignment="1">
      <alignment horizontal="center"/>
    </xf>
    <xf numFmtId="10" fontId="6" fillId="0" borderId="35" xfId="14" applyNumberFormat="1" applyFont="1" applyFill="1" applyBorder="1"/>
    <xf numFmtId="10" fontId="8" fillId="0" borderId="0" xfId="14" applyNumberFormat="1" applyFont="1" applyBorder="1" applyAlignment="1">
      <alignment vertical="top"/>
    </xf>
    <xf numFmtId="37" fontId="51" fillId="0" borderId="32" xfId="12" applyNumberFormat="1" applyFont="1" applyBorder="1"/>
    <xf numFmtId="37" fontId="6" fillId="0" borderId="33" xfId="12" applyNumberFormat="1" applyFont="1" applyBorder="1"/>
    <xf numFmtId="37" fontId="6" fillId="0" borderId="34" xfId="12" applyNumberFormat="1" applyFont="1" applyBorder="1"/>
    <xf numFmtId="37" fontId="6" fillId="0" borderId="21" xfId="12" applyNumberFormat="1" applyFont="1" applyBorder="1"/>
    <xf numFmtId="37" fontId="6" fillId="0" borderId="22" xfId="12" applyNumberFormat="1" applyFont="1" applyBorder="1"/>
    <xf numFmtId="176" fontId="6" fillId="0" borderId="0" xfId="2" applyNumberFormat="1" applyFont="1" applyBorder="1"/>
    <xf numFmtId="37" fontId="6" fillId="0" borderId="23" xfId="12" applyNumberFormat="1" applyFont="1" applyBorder="1"/>
    <xf numFmtId="37" fontId="6" fillId="0" borderId="24" xfId="12" applyNumberFormat="1" applyFont="1" applyBorder="1"/>
    <xf numFmtId="37" fontId="6" fillId="0" borderId="24" xfId="12" applyNumberFormat="1" applyFont="1" applyBorder="1" applyAlignment="1">
      <alignment horizontal="right"/>
    </xf>
    <xf numFmtId="10" fontId="6" fillId="0" borderId="24" xfId="14" applyNumberFormat="1" applyFont="1" applyBorder="1"/>
    <xf numFmtId="37" fontId="6" fillId="0" borderId="25" xfId="12" applyNumberFormat="1" applyFont="1" applyBorder="1"/>
    <xf numFmtId="2" fontId="7" fillId="0" borderId="32" xfId="12" applyNumberFormat="1" applyFont="1" applyBorder="1" applyAlignment="1">
      <alignment horizontal="center"/>
    </xf>
    <xf numFmtId="2" fontId="7" fillId="0" borderId="33" xfId="12" applyNumberFormat="1" applyFont="1" applyBorder="1" applyAlignment="1">
      <alignment horizontal="center"/>
    </xf>
    <xf numFmtId="2" fontId="7" fillId="0" borderId="34" xfId="12" applyNumberFormat="1" applyFont="1" applyBorder="1" applyAlignment="1">
      <alignment horizontal="center"/>
    </xf>
    <xf numFmtId="0" fontId="6" fillId="0" borderId="21" xfId="12" applyFont="1" applyBorder="1"/>
    <xf numFmtId="0" fontId="6" fillId="0" borderId="22" xfId="12" applyFont="1" applyBorder="1"/>
    <xf numFmtId="5" fontId="7" fillId="0" borderId="0" xfId="12" applyNumberFormat="1" applyFont="1" applyBorder="1" applyAlignment="1">
      <alignment horizontal="right"/>
    </xf>
    <xf numFmtId="10" fontId="6" fillId="0" borderId="0" xfId="12" applyNumberFormat="1" applyFont="1" applyBorder="1"/>
    <xf numFmtId="37" fontId="7" fillId="0" borderId="0" xfId="12" applyNumberFormat="1" applyFont="1" applyBorder="1" applyAlignment="1">
      <alignment horizontal="right"/>
    </xf>
    <xf numFmtId="37" fontId="7" fillId="7" borderId="0" xfId="12" applyNumberFormat="1" applyFont="1" applyFill="1" applyBorder="1" applyAlignment="1">
      <alignment horizontal="right"/>
    </xf>
    <xf numFmtId="0" fontId="6" fillId="0" borderId="32" xfId="12" applyFont="1" applyBorder="1"/>
    <xf numFmtId="0" fontId="7" fillId="0" borderId="33" xfId="12" applyFont="1" applyBorder="1" applyAlignment="1">
      <alignment horizontal="left"/>
    </xf>
    <xf numFmtId="0" fontId="6" fillId="0" borderId="33" xfId="12" applyFont="1" applyBorder="1"/>
    <xf numFmtId="0" fontId="6" fillId="0" borderId="34" xfId="12" applyFont="1" applyBorder="1"/>
    <xf numFmtId="0" fontId="6" fillId="0" borderId="0" xfId="12" applyFont="1" applyBorder="1" applyAlignment="1">
      <alignment horizontal="center"/>
    </xf>
    <xf numFmtId="10" fontId="7" fillId="0" borderId="0" xfId="12" applyNumberFormat="1" applyFont="1" applyBorder="1" applyAlignment="1">
      <alignment horizontal="center"/>
    </xf>
    <xf numFmtId="10" fontId="7" fillId="0" borderId="22" xfId="14" applyNumberFormat="1" applyFont="1" applyBorder="1" applyAlignment="1">
      <alignment horizontal="center"/>
    </xf>
    <xf numFmtId="0" fontId="7" fillId="0" borderId="21" xfId="12" applyFont="1" applyBorder="1" applyAlignment="1">
      <alignment horizontal="center"/>
    </xf>
    <xf numFmtId="0" fontId="7" fillId="0" borderId="22" xfId="12" applyFont="1" applyBorder="1" applyAlignment="1">
      <alignment horizontal="center"/>
    </xf>
    <xf numFmtId="0" fontId="7" fillId="0" borderId="0" xfId="12" applyFont="1" applyBorder="1" applyAlignment="1">
      <alignment horizontal="right"/>
    </xf>
    <xf numFmtId="168" fontId="29" fillId="5" borderId="22" xfId="14" applyNumberFormat="1" applyFont="1" applyFill="1" applyBorder="1"/>
    <xf numFmtId="0" fontId="7" fillId="0" borderId="23" xfId="12" applyFont="1" applyBorder="1" applyAlignment="1">
      <alignment horizontal="center"/>
    </xf>
    <xf numFmtId="0" fontId="7" fillId="0" borderId="24" xfId="12" applyFont="1" applyBorder="1" applyAlignment="1">
      <alignment horizontal="center"/>
    </xf>
    <xf numFmtId="0" fontId="7" fillId="7" borderId="24" xfId="12" applyFont="1" applyFill="1" applyBorder="1" applyAlignment="1">
      <alignment horizontal="center"/>
    </xf>
    <xf numFmtId="0" fontId="7" fillId="7" borderId="24" xfId="12" applyFont="1" applyFill="1" applyBorder="1" applyAlignment="1">
      <alignment horizontal="right"/>
    </xf>
    <xf numFmtId="0" fontId="7" fillId="0" borderId="25" xfId="12" applyFont="1" applyBorder="1" applyAlignment="1">
      <alignment horizontal="center"/>
    </xf>
    <xf numFmtId="37" fontId="6" fillId="0" borderId="32" xfId="12" applyNumberFormat="1" applyFont="1" applyBorder="1"/>
    <xf numFmtId="5" fontId="6" fillId="0" borderId="0" xfId="12" applyNumberFormat="1" applyFont="1" applyBorder="1" applyAlignment="1">
      <alignment horizontal="right"/>
    </xf>
    <xf numFmtId="37" fontId="6" fillId="0" borderId="0" xfId="12" applyNumberFormat="1" applyFont="1" applyBorder="1" applyAlignment="1">
      <alignment horizontal="right"/>
    </xf>
    <xf numFmtId="37" fontId="56" fillId="0" borderId="42" xfId="12" applyNumberFormat="1" applyFont="1" applyBorder="1" applyAlignment="1">
      <alignment vertical="center" wrapText="1"/>
    </xf>
    <xf numFmtId="3" fontId="6" fillId="0" borderId="22" xfId="6" applyNumberFormat="1" applyFont="1" applyFill="1" applyBorder="1"/>
    <xf numFmtId="3" fontId="6" fillId="0" borderId="25" xfId="6" applyNumberFormat="1" applyFont="1" applyFill="1" applyBorder="1"/>
    <xf numFmtId="3" fontId="6" fillId="0" borderId="0" xfId="6" quotePrefix="1" applyNumberFormat="1" applyFont="1" applyFill="1" applyBorder="1" applyAlignment="1">
      <alignment vertical="top"/>
    </xf>
    <xf numFmtId="0" fontId="4" fillId="0" borderId="0" xfId="0" applyFont="1" applyAlignment="1">
      <alignment horizontal="center" vertical="center"/>
    </xf>
    <xf numFmtId="0" fontId="0" fillId="0" borderId="0" xfId="0" applyAlignment="1">
      <alignment horizontal="center" vertical="center"/>
    </xf>
    <xf numFmtId="0" fontId="53" fillId="5" borderId="44" xfId="6" applyFont="1" applyFill="1" applyBorder="1" applyAlignment="1">
      <alignment wrapText="1"/>
    </xf>
    <xf numFmtId="0" fontId="53" fillId="5" borderId="10" xfId="6" applyFont="1" applyFill="1" applyBorder="1" applyAlignment="1">
      <alignment horizontal="center" wrapText="1"/>
    </xf>
    <xf numFmtId="0" fontId="53" fillId="5" borderId="35" xfId="6" applyFont="1" applyFill="1" applyBorder="1" applyAlignment="1">
      <alignment horizontal="center" wrapText="1"/>
    </xf>
    <xf numFmtId="0" fontId="9" fillId="5" borderId="0" xfId="0" applyFont="1" applyFill="1" applyBorder="1"/>
    <xf numFmtId="0" fontId="67" fillId="5" borderId="21" xfId="24" applyFont="1" applyFill="1" applyBorder="1"/>
    <xf numFmtId="10" fontId="68" fillId="5" borderId="0" xfId="14" applyNumberFormat="1" applyFont="1" applyFill="1" applyBorder="1"/>
    <xf numFmtId="10" fontId="68" fillId="5" borderId="22" xfId="14" applyNumberFormat="1" applyFont="1" applyFill="1" applyBorder="1"/>
    <xf numFmtId="0" fontId="53" fillId="5" borderId="21" xfId="6" applyFont="1" applyFill="1" applyBorder="1"/>
    <xf numFmtId="10" fontId="68" fillId="5" borderId="35" xfId="14" applyNumberFormat="1" applyFont="1" applyFill="1" applyBorder="1"/>
    <xf numFmtId="0" fontId="53" fillId="5" borderId="23" xfId="6" applyFont="1" applyFill="1" applyBorder="1" applyAlignment="1">
      <alignment horizontal="right"/>
    </xf>
    <xf numFmtId="0" fontId="9" fillId="5" borderId="24" xfId="0" applyFont="1" applyFill="1" applyBorder="1"/>
    <xf numFmtId="0" fontId="44" fillId="5" borderId="32" xfId="0" applyFont="1" applyFill="1" applyBorder="1"/>
    <xf numFmtId="0" fontId="10" fillId="5" borderId="33" xfId="0" applyFont="1" applyFill="1" applyBorder="1" applyAlignment="1">
      <alignment horizontal="center" vertical="center"/>
    </xf>
    <xf numFmtId="0" fontId="10" fillId="5" borderId="34" xfId="0" applyFont="1" applyFill="1" applyBorder="1" applyAlignment="1">
      <alignment horizontal="center" vertical="center"/>
    </xf>
    <xf numFmtId="10" fontId="67" fillId="7" borderId="41" xfId="14" applyNumberFormat="1" applyFont="1" applyFill="1" applyBorder="1"/>
    <xf numFmtId="10" fontId="7" fillId="7" borderId="0" xfId="12" applyNumberFormat="1" applyFont="1" applyFill="1" applyBorder="1" applyAlignment="1">
      <alignment horizontal="right"/>
    </xf>
    <xf numFmtId="2" fontId="7" fillId="0" borderId="46" xfId="12" applyNumberFormat="1" applyFont="1" applyBorder="1" applyAlignment="1">
      <alignment horizontal="center"/>
    </xf>
    <xf numFmtId="0" fontId="6" fillId="0" borderId="8" xfId="12" applyFont="1" applyBorder="1"/>
    <xf numFmtId="10" fontId="6" fillId="0" borderId="5" xfId="12" applyNumberFormat="1" applyFont="1" applyBorder="1"/>
    <xf numFmtId="37" fontId="10" fillId="0" borderId="27" xfId="12" applyNumberFormat="1" applyFont="1" applyFill="1" applyBorder="1"/>
    <xf numFmtId="37" fontId="10" fillId="0" borderId="28" xfId="12" applyNumberFormat="1" applyFont="1" applyFill="1" applyBorder="1"/>
    <xf numFmtId="37" fontId="6" fillId="0" borderId="10" xfId="6" applyNumberFormat="1" applyFont="1" applyFill="1" applyBorder="1" applyAlignment="1" applyProtection="1">
      <alignment horizontal="center"/>
      <protection locked="0"/>
    </xf>
    <xf numFmtId="0" fontId="51" fillId="0" borderId="43" xfId="12" applyFont="1" applyBorder="1"/>
    <xf numFmtId="10" fontId="9" fillId="5" borderId="0" xfId="0" applyNumberFormat="1" applyFont="1" applyFill="1" applyBorder="1"/>
    <xf numFmtId="10" fontId="68" fillId="5" borderId="10" xfId="14" applyNumberFormat="1" applyFont="1" applyFill="1" applyBorder="1"/>
    <xf numFmtId="3" fontId="51" fillId="0" borderId="10" xfId="6" applyNumberFormat="1" applyFont="1" applyFill="1" applyBorder="1" applyAlignment="1">
      <alignment horizontal="center"/>
    </xf>
    <xf numFmtId="0" fontId="10" fillId="0" borderId="0" xfId="0" applyFont="1" applyAlignment="1">
      <alignment horizontal="center"/>
    </xf>
    <xf numFmtId="0" fontId="53" fillId="5" borderId="0" xfId="0" applyFont="1" applyFill="1" applyBorder="1" applyAlignment="1">
      <alignment horizontal="center"/>
    </xf>
    <xf numFmtId="0" fontId="53" fillId="5" borderId="22" xfId="0" applyFont="1" applyFill="1" applyBorder="1" applyAlignment="1">
      <alignment horizontal="center"/>
    </xf>
    <xf numFmtId="0" fontId="10" fillId="0" borderId="10" xfId="0" applyFont="1" applyBorder="1" applyAlignment="1">
      <alignment horizontal="center"/>
    </xf>
    <xf numFmtId="0" fontId="10" fillId="0" borderId="0" xfId="0" applyFont="1" applyBorder="1" applyAlignment="1">
      <alignment horizontal="center"/>
    </xf>
    <xf numFmtId="10" fontId="0" fillId="0" borderId="0" xfId="0" applyNumberFormat="1"/>
    <xf numFmtId="37" fontId="56" fillId="0" borderId="0" xfId="12" applyNumberFormat="1" applyFont="1" applyFill="1" applyBorder="1" applyAlignment="1">
      <alignment vertical="center" wrapText="1"/>
    </xf>
    <xf numFmtId="37" fontId="6" fillId="0" borderId="22" xfId="12" applyNumberFormat="1" applyFont="1" applyFill="1" applyBorder="1"/>
    <xf numFmtId="10" fontId="6" fillId="0" borderId="25" xfId="14" applyNumberFormat="1" applyFont="1" applyFill="1" applyBorder="1"/>
    <xf numFmtId="0" fontId="7" fillId="0" borderId="0" xfId="12" applyNumberFormat="1" applyFont="1" applyAlignment="1">
      <alignment horizontal="left"/>
    </xf>
    <xf numFmtId="41" fontId="6" fillId="6" borderId="0" xfId="12" applyNumberFormat="1" applyFont="1" applyFill="1"/>
    <xf numFmtId="0" fontId="0" fillId="0" borderId="0" xfId="0" applyFill="1"/>
    <xf numFmtId="0" fontId="7" fillId="0" borderId="20" xfId="6" applyFont="1" applyFill="1" applyBorder="1" applyAlignment="1">
      <alignment horizontal="center"/>
    </xf>
    <xf numFmtId="10" fontId="71" fillId="0" borderId="0" xfId="14" applyNumberFormat="1" applyFont="1" applyFill="1" applyBorder="1"/>
    <xf numFmtId="41" fontId="71" fillId="0" borderId="0" xfId="12" applyNumberFormat="1" applyFont="1" applyFill="1"/>
    <xf numFmtId="0" fontId="71" fillId="0" borderId="0" xfId="0" applyFont="1"/>
    <xf numFmtId="10" fontId="71" fillId="0" borderId="0" xfId="14" applyNumberFormat="1" applyFont="1" applyFill="1"/>
    <xf numFmtId="0" fontId="71" fillId="0" borderId="0" xfId="0" applyFont="1" applyFill="1"/>
    <xf numFmtId="41" fontId="71" fillId="5" borderId="0" xfId="12" applyNumberFormat="1" applyFont="1" applyFill="1"/>
    <xf numFmtId="0" fontId="7" fillId="0" borderId="0" xfId="0" applyFont="1"/>
    <xf numFmtId="0" fontId="73" fillId="5" borderId="32" xfId="0" applyFont="1" applyFill="1" applyBorder="1"/>
    <xf numFmtId="0" fontId="53" fillId="5" borderId="18" xfId="0" applyFont="1" applyFill="1" applyBorder="1"/>
    <xf numFmtId="0" fontId="67" fillId="7" borderId="21" xfId="24" applyFont="1" applyFill="1" applyBorder="1"/>
    <xf numFmtId="10" fontId="68" fillId="7" borderId="0" xfId="14" applyNumberFormat="1" applyFont="1" applyFill="1" applyBorder="1"/>
    <xf numFmtId="10" fontId="68" fillId="7" borderId="22" xfId="14" applyNumberFormat="1" applyFont="1" applyFill="1" applyBorder="1"/>
    <xf numFmtId="0" fontId="53" fillId="7" borderId="21" xfId="6" applyFont="1" applyFill="1" applyBorder="1"/>
    <xf numFmtId="10" fontId="68" fillId="7" borderId="10" xfId="14" applyNumberFormat="1" applyFont="1" applyFill="1" applyBorder="1"/>
    <xf numFmtId="0" fontId="29" fillId="7" borderId="0" xfId="0" applyFont="1" applyFill="1" applyBorder="1"/>
    <xf numFmtId="0" fontId="9" fillId="7" borderId="0" xfId="0" applyFont="1" applyFill="1" applyBorder="1"/>
    <xf numFmtId="10" fontId="14" fillId="7" borderId="0" xfId="0" applyNumberFormat="1" applyFont="1" applyFill="1" applyBorder="1"/>
    <xf numFmtId="176" fontId="10" fillId="7" borderId="26" xfId="2" applyNumberFormat="1" applyFont="1" applyFill="1" applyBorder="1"/>
    <xf numFmtId="37" fontId="10" fillId="7" borderId="27" xfId="12" applyNumberFormat="1" applyFont="1" applyFill="1" applyBorder="1"/>
    <xf numFmtId="10" fontId="10" fillId="7" borderId="28" xfId="12" applyNumberFormat="1" applyFont="1" applyFill="1" applyBorder="1"/>
    <xf numFmtId="37" fontId="7" fillId="7" borderId="30" xfId="12" applyNumberFormat="1" applyFont="1" applyFill="1" applyBorder="1" applyAlignment="1">
      <alignment horizontal="center"/>
    </xf>
    <xf numFmtId="37" fontId="7" fillId="7" borderId="39" xfId="12" applyNumberFormat="1" applyFont="1" applyFill="1" applyBorder="1" applyAlignment="1">
      <alignment horizontal="center"/>
    </xf>
    <xf numFmtId="10" fontId="6" fillId="7" borderId="5" xfId="12" applyNumberFormat="1" applyFont="1" applyFill="1" applyBorder="1"/>
    <xf numFmtId="10" fontId="51" fillId="7" borderId="0" xfId="14" applyNumberFormat="1" applyFont="1" applyFill="1" applyBorder="1"/>
    <xf numFmtId="0" fontId="58" fillId="0" borderId="0" xfId="22" applyFont="1" applyFill="1" applyBorder="1" applyAlignment="1">
      <alignment horizontal="center"/>
    </xf>
    <xf numFmtId="0" fontId="58" fillId="0" borderId="0" xfId="22" applyFont="1" applyFill="1" applyBorder="1" applyAlignment="1">
      <alignment horizontal="left"/>
    </xf>
    <xf numFmtId="0" fontId="1" fillId="0" borderId="0" xfId="22" applyFont="1" applyFill="1" applyBorder="1"/>
    <xf numFmtId="0" fontId="1" fillId="0" borderId="0" xfId="22" quotePrefix="1" applyFont="1" applyFill="1" applyBorder="1" applyAlignment="1">
      <alignment horizontal="center"/>
    </xf>
    <xf numFmtId="0" fontId="1" fillId="0" borderId="0" xfId="22" applyFont="1" applyFill="1" applyBorder="1" applyAlignment="1">
      <alignment horizontal="center"/>
    </xf>
    <xf numFmtId="5" fontId="8" fillId="0" borderId="0" xfId="12" applyNumberFormat="1" applyFont="1" applyBorder="1" applyAlignment="1">
      <alignment vertical="top"/>
    </xf>
    <xf numFmtId="10" fontId="7" fillId="0" borderId="0" xfId="14" applyNumberFormat="1" applyFont="1" applyFill="1" applyBorder="1"/>
    <xf numFmtId="41" fontId="7" fillId="0" borderId="0" xfId="14" applyNumberFormat="1" applyFont="1" applyFill="1" applyBorder="1"/>
    <xf numFmtId="10" fontId="6" fillId="7" borderId="0" xfId="14" applyNumberFormat="1" applyFont="1" applyFill="1" applyAlignment="1"/>
    <xf numFmtId="10" fontId="6" fillId="7" borderId="0" xfId="14" applyNumberFormat="1" applyFont="1" applyFill="1" applyAlignment="1">
      <alignment horizontal="left"/>
    </xf>
    <xf numFmtId="0" fontId="7" fillId="7" borderId="38" xfId="6" applyFont="1" applyFill="1" applyBorder="1" applyAlignment="1">
      <alignment horizontal="center"/>
    </xf>
    <xf numFmtId="10" fontId="6" fillId="7" borderId="30" xfId="14" applyNumberFormat="1" applyFont="1" applyFill="1" applyBorder="1"/>
    <xf numFmtId="10" fontId="6" fillId="7" borderId="39" xfId="14" applyNumberFormat="1" applyFont="1" applyFill="1" applyBorder="1"/>
    <xf numFmtId="10" fontId="6" fillId="7" borderId="47" xfId="14" applyNumberFormat="1" applyFont="1" applyFill="1" applyBorder="1"/>
    <xf numFmtId="10" fontId="6" fillId="7" borderId="31" xfId="14" applyNumberFormat="1" applyFont="1" applyFill="1" applyBorder="1"/>
    <xf numFmtId="10" fontId="67" fillId="0" borderId="48" xfId="14" applyNumberFormat="1" applyFont="1" applyFill="1" applyBorder="1"/>
    <xf numFmtId="0" fontId="21" fillId="7" borderId="0" xfId="0" applyFont="1" applyFill="1"/>
    <xf numFmtId="37" fontId="6" fillId="7" borderId="0" xfId="6" applyNumberFormat="1" applyFont="1" applyFill="1" applyBorder="1" applyProtection="1">
      <protection locked="0"/>
    </xf>
    <xf numFmtId="41" fontId="6" fillId="7" borderId="0" xfId="12" applyNumberFormat="1" applyFont="1" applyFill="1"/>
    <xf numFmtId="37" fontId="6" fillId="7" borderId="0" xfId="6" applyNumberFormat="1" applyFont="1" applyFill="1" applyBorder="1"/>
    <xf numFmtId="0" fontId="53" fillId="0" borderId="0" xfId="0" applyFont="1" applyAlignment="1">
      <alignment horizontal="center"/>
    </xf>
    <xf numFmtId="0" fontId="10" fillId="0" borderId="26"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28" xfId="0" applyFont="1" applyFill="1" applyBorder="1" applyAlignment="1">
      <alignment horizontal="left" vertical="top" wrapText="1"/>
    </xf>
    <xf numFmtId="0" fontId="10" fillId="5" borderId="26" xfId="0" applyFont="1" applyFill="1" applyBorder="1" applyAlignment="1">
      <alignment horizontal="left" vertical="top" wrapText="1"/>
    </xf>
    <xf numFmtId="0" fontId="10" fillId="5" borderId="27" xfId="0" applyFont="1" applyFill="1" applyBorder="1" applyAlignment="1">
      <alignment horizontal="left" vertical="top" wrapText="1"/>
    </xf>
    <xf numFmtId="0" fontId="10" fillId="5" borderId="28" xfId="0" applyFont="1" applyFill="1" applyBorder="1" applyAlignment="1">
      <alignment horizontal="left" vertical="top" wrapText="1"/>
    </xf>
    <xf numFmtId="0" fontId="10" fillId="5" borderId="26" xfId="6" applyFont="1" applyFill="1" applyBorder="1" applyAlignment="1">
      <alignment horizontal="left" vertical="top"/>
    </xf>
    <xf numFmtId="0" fontId="10" fillId="5" borderId="27" xfId="6" applyFont="1" applyFill="1" applyBorder="1" applyAlignment="1">
      <alignment horizontal="left" vertical="top"/>
    </xf>
    <xf numFmtId="0" fontId="10" fillId="5" borderId="28" xfId="6" applyFont="1" applyFill="1" applyBorder="1" applyAlignment="1">
      <alignment horizontal="left" vertical="top"/>
    </xf>
    <xf numFmtId="0" fontId="10" fillId="5" borderId="26" xfId="0" quotePrefix="1" applyFont="1" applyFill="1" applyBorder="1" applyAlignment="1">
      <alignment horizontal="left" vertical="top" wrapText="1"/>
    </xf>
    <xf numFmtId="0" fontId="10" fillId="5" borderId="27" xfId="0" quotePrefix="1" applyFont="1" applyFill="1" applyBorder="1" applyAlignment="1">
      <alignment horizontal="left" vertical="top" wrapText="1"/>
    </xf>
    <xf numFmtId="0" fontId="10" fillId="5" borderId="28" xfId="0" quotePrefix="1" applyFont="1" applyFill="1" applyBorder="1" applyAlignment="1">
      <alignment horizontal="left" vertical="top" wrapText="1"/>
    </xf>
    <xf numFmtId="37" fontId="7" fillId="0" borderId="0" xfId="12" applyNumberFormat="1" applyFont="1" applyBorder="1" applyAlignment="1">
      <alignment horizontal="center"/>
    </xf>
    <xf numFmtId="37" fontId="6" fillId="0" borderId="0" xfId="12" applyNumberFormat="1" applyFont="1" applyBorder="1" applyAlignment="1">
      <alignment horizontal="center"/>
    </xf>
    <xf numFmtId="37" fontId="51" fillId="0" borderId="0" xfId="12" applyNumberFormat="1" applyFont="1" applyFill="1" applyBorder="1" applyAlignment="1">
      <alignment horizontal="left" vertical="top" wrapText="1"/>
    </xf>
    <xf numFmtId="37" fontId="56" fillId="0" borderId="6" xfId="12" applyNumberFormat="1" applyFont="1" applyBorder="1" applyAlignment="1">
      <alignment horizontal="center" vertical="center" wrapText="1"/>
    </xf>
    <xf numFmtId="37" fontId="56" fillId="0" borderId="0" xfId="12" applyNumberFormat="1" applyFont="1" applyBorder="1" applyAlignment="1">
      <alignment horizontal="center" vertical="center" wrapText="1"/>
    </xf>
    <xf numFmtId="37" fontId="56" fillId="0" borderId="42" xfId="12" applyNumberFormat="1" applyFont="1" applyBorder="1" applyAlignment="1">
      <alignment horizontal="center" vertical="center" wrapText="1"/>
    </xf>
    <xf numFmtId="37" fontId="51" fillId="0" borderId="0" xfId="12" applyNumberFormat="1" applyFont="1" applyFill="1" applyBorder="1" applyAlignment="1">
      <alignment horizontal="left" vertical="top"/>
    </xf>
    <xf numFmtId="3" fontId="10" fillId="0" borderId="0" xfId="0" applyNumberFormat="1" applyFont="1" applyFill="1" applyAlignment="1">
      <alignment horizontal="center"/>
    </xf>
    <xf numFmtId="3" fontId="7" fillId="7" borderId="0" xfId="13" applyNumberFormat="1" applyFont="1" applyFill="1" applyBorder="1" applyAlignment="1">
      <alignment horizontal="center" vertical="center" wrapText="1"/>
    </xf>
    <xf numFmtId="3" fontId="7" fillId="7" borderId="10" xfId="13" applyNumberFormat="1" applyFont="1" applyFill="1" applyBorder="1" applyAlignment="1">
      <alignment horizontal="center" vertical="center" wrapText="1"/>
    </xf>
    <xf numFmtId="0" fontId="6" fillId="0" borderId="33" xfId="12" applyFont="1" applyBorder="1" applyAlignment="1">
      <alignment horizontal="center" wrapText="1"/>
    </xf>
    <xf numFmtId="0" fontId="6" fillId="0" borderId="10" xfId="12" applyFont="1" applyBorder="1" applyAlignment="1">
      <alignment horizontal="center" wrapText="1"/>
    </xf>
    <xf numFmtId="0" fontId="6" fillId="0" borderId="22" xfId="12" applyFont="1" applyBorder="1" applyAlignment="1">
      <alignment horizontal="center" wrapText="1"/>
    </xf>
    <xf numFmtId="0" fontId="10" fillId="7" borderId="26" xfId="12" applyFont="1" applyFill="1" applyBorder="1" applyAlignment="1">
      <alignment horizontal="center"/>
    </xf>
    <xf numFmtId="0" fontId="10" fillId="7" borderId="27" xfId="12" applyFont="1" applyFill="1" applyBorder="1" applyAlignment="1">
      <alignment horizontal="center"/>
    </xf>
    <xf numFmtId="0" fontId="10" fillId="7" borderId="28" xfId="12" applyFont="1" applyFill="1" applyBorder="1" applyAlignment="1">
      <alignment horizontal="center"/>
    </xf>
    <xf numFmtId="2" fontId="7" fillId="0" borderId="1" xfId="12" applyNumberFormat="1" applyFont="1" applyFill="1" applyBorder="1" applyAlignment="1">
      <alignment horizontal="center" vertical="center" wrapText="1"/>
    </xf>
    <xf numFmtId="2" fontId="7" fillId="0" borderId="45" xfId="12" applyNumberFormat="1" applyFont="1" applyFill="1" applyBorder="1" applyAlignment="1">
      <alignment horizontal="center" vertical="center" wrapText="1"/>
    </xf>
    <xf numFmtId="2" fontId="7" fillId="0" borderId="33" xfId="12" applyNumberFormat="1" applyFont="1" applyBorder="1" applyAlignment="1">
      <alignment horizontal="center" vertical="center" wrapText="1"/>
    </xf>
    <xf numFmtId="2" fontId="7" fillId="0" borderId="24" xfId="12" applyNumberFormat="1" applyFont="1" applyBorder="1" applyAlignment="1">
      <alignment horizontal="center" vertical="center" wrapText="1"/>
    </xf>
    <xf numFmtId="3" fontId="6" fillId="0" borderId="19" xfId="6" applyNumberFormat="1" applyFont="1" applyFill="1" applyBorder="1" applyAlignment="1">
      <alignment horizontal="center"/>
    </xf>
    <xf numFmtId="3" fontId="6" fillId="0" borderId="20" xfId="6" applyNumberFormat="1" applyFont="1" applyFill="1" applyBorder="1" applyAlignment="1">
      <alignment horizontal="center"/>
    </xf>
    <xf numFmtId="3" fontId="7" fillId="0" borderId="0" xfId="6" quotePrefix="1" applyNumberFormat="1" applyFont="1" applyFill="1" applyAlignment="1">
      <alignment horizontal="left" vertical="top" wrapText="1"/>
    </xf>
    <xf numFmtId="3" fontId="7" fillId="0" borderId="0" xfId="6" applyNumberFormat="1" applyFont="1" applyFill="1" applyAlignment="1">
      <alignment horizontal="left" vertical="top" wrapText="1"/>
    </xf>
    <xf numFmtId="3" fontId="60" fillId="0" borderId="0" xfId="7" applyNumberFormat="1" applyFont="1" applyFill="1" applyBorder="1" applyAlignment="1">
      <alignment horizontal="center"/>
    </xf>
    <xf numFmtId="3" fontId="6" fillId="0" borderId="0" xfId="6" applyNumberFormat="1" applyFont="1" applyFill="1" applyBorder="1" applyAlignment="1">
      <alignment horizontal="center"/>
    </xf>
    <xf numFmtId="3" fontId="60" fillId="0" borderId="0" xfId="6" applyNumberFormat="1" applyFont="1" applyFill="1" applyBorder="1" applyAlignment="1">
      <alignment horizontal="center"/>
    </xf>
    <xf numFmtId="0" fontId="7" fillId="7" borderId="0" xfId="6" applyFont="1" applyFill="1" applyBorder="1" applyAlignment="1">
      <alignment horizontal="center" wrapText="1"/>
    </xf>
    <xf numFmtId="0" fontId="7" fillId="7" borderId="10" xfId="6" applyFont="1" applyFill="1" applyBorder="1" applyAlignment="1">
      <alignment horizontal="center" wrapText="1"/>
    </xf>
    <xf numFmtId="37" fontId="6" fillId="0" borderId="0" xfId="12" applyNumberFormat="1" applyFont="1" applyAlignment="1">
      <alignment horizontal="left" vertical="top" wrapText="1"/>
    </xf>
    <xf numFmtId="0" fontId="9" fillId="0" borderId="0" xfId="0" applyFont="1" applyFill="1" applyBorder="1" applyAlignment="1">
      <alignment horizontal="left" wrapText="1"/>
    </xf>
    <xf numFmtId="0" fontId="53" fillId="5" borderId="32" xfId="0" applyFont="1" applyFill="1" applyBorder="1" applyAlignment="1">
      <alignment horizontal="center"/>
    </xf>
    <xf numFmtId="0" fontId="53" fillId="5" borderId="33" xfId="0" applyFont="1" applyFill="1" applyBorder="1" applyAlignment="1">
      <alignment horizontal="center"/>
    </xf>
    <xf numFmtId="0" fontId="53" fillId="5" borderId="34" xfId="0" applyFont="1" applyFill="1" applyBorder="1" applyAlignment="1">
      <alignment horizontal="center"/>
    </xf>
    <xf numFmtId="0" fontId="53" fillId="5" borderId="21" xfId="0" applyFont="1" applyFill="1" applyBorder="1" applyAlignment="1">
      <alignment horizontal="center"/>
    </xf>
    <xf numFmtId="0" fontId="53" fillId="5" borderId="0" xfId="0" applyFont="1" applyFill="1" applyBorder="1" applyAlignment="1">
      <alignment horizontal="center"/>
    </xf>
    <xf numFmtId="0" fontId="53" fillId="5" borderId="22" xfId="0" applyFont="1" applyFill="1" applyBorder="1" applyAlignment="1">
      <alignment horizontal="center"/>
    </xf>
    <xf numFmtId="0" fontId="53" fillId="0" borderId="21" xfId="0" applyFont="1" applyFill="1" applyBorder="1" applyAlignment="1">
      <alignment horizontal="center"/>
    </xf>
    <xf numFmtId="0" fontId="53" fillId="0" borderId="0" xfId="0" applyFont="1" applyFill="1" applyBorder="1" applyAlignment="1">
      <alignment horizontal="center"/>
    </xf>
    <xf numFmtId="0" fontId="53" fillId="0" borderId="22" xfId="0" applyFont="1" applyFill="1" applyBorder="1" applyAlignment="1">
      <alignment horizontal="center"/>
    </xf>
    <xf numFmtId="0" fontId="9" fillId="0" borderId="26" xfId="11" applyFont="1" applyBorder="1" applyAlignment="1">
      <alignment horizontal="center"/>
    </xf>
    <xf numFmtId="0" fontId="9" fillId="0" borderId="27" xfId="11" applyFont="1" applyBorder="1" applyAlignment="1">
      <alignment horizontal="center"/>
    </xf>
    <xf numFmtId="0" fontId="9" fillId="0" borderId="28" xfId="11" applyFont="1" applyBorder="1" applyAlignment="1">
      <alignment horizontal="center"/>
    </xf>
    <xf numFmtId="4" fontId="15" fillId="0" borderId="0" xfId="11" applyNumberFormat="1" applyFont="1" applyBorder="1" applyAlignment="1">
      <alignment horizontal="center"/>
    </xf>
    <xf numFmtId="4" fontId="10" fillId="0" borderId="0" xfId="11" applyNumberFormat="1" applyFont="1" applyBorder="1" applyAlignment="1">
      <alignment horizontal="center"/>
    </xf>
    <xf numFmtId="4" fontId="28" fillId="0" borderId="0" xfId="11" applyNumberFormat="1" applyFont="1" applyBorder="1" applyAlignment="1">
      <alignment horizontal="center"/>
    </xf>
    <xf numFmtId="4" fontId="9" fillId="0" borderId="0" xfId="11" applyNumberFormat="1" applyFont="1" applyBorder="1" applyAlignment="1">
      <alignment horizontal="center"/>
    </xf>
    <xf numFmtId="0" fontId="10" fillId="0" borderId="0" xfId="0" applyFont="1" applyAlignment="1">
      <alignment horizontal="center"/>
    </xf>
    <xf numFmtId="0" fontId="9" fillId="0" borderId="0" xfId="0" applyFont="1" applyAlignment="1">
      <alignment horizontal="center"/>
    </xf>
    <xf numFmtId="0" fontId="11" fillId="0" borderId="0" xfId="0" applyFont="1" applyAlignment="1">
      <alignment horizontal="center"/>
    </xf>
    <xf numFmtId="0" fontId="10" fillId="0" borderId="0" xfId="0" applyFont="1" applyBorder="1" applyAlignment="1">
      <alignment horizontal="center"/>
    </xf>
    <xf numFmtId="167" fontId="10" fillId="0" borderId="0" xfId="0" applyNumberFormat="1" applyFont="1" applyAlignment="1">
      <alignment horizontal="center"/>
    </xf>
    <xf numFmtId="0" fontId="14" fillId="0" borderId="0" xfId="0" applyFont="1" applyAlignment="1">
      <alignment horizontal="left" vertical="top" wrapText="1"/>
    </xf>
    <xf numFmtId="0" fontId="10" fillId="5" borderId="23" xfId="0" applyFont="1" applyFill="1" applyBorder="1" applyAlignment="1">
      <alignment horizontal="left" vertical="top" wrapText="1"/>
    </xf>
    <xf numFmtId="0" fontId="10" fillId="5" borderId="24" xfId="0" applyFont="1" applyFill="1" applyBorder="1" applyAlignment="1">
      <alignment horizontal="left" vertical="top" wrapText="1"/>
    </xf>
    <xf numFmtId="0" fontId="10" fillId="5" borderId="25" xfId="0" applyFont="1" applyFill="1" applyBorder="1" applyAlignment="1">
      <alignment horizontal="left" vertical="top" wrapText="1"/>
    </xf>
    <xf numFmtId="0" fontId="10" fillId="5" borderId="23" xfId="0" quotePrefix="1" applyFont="1" applyFill="1" applyBorder="1" applyAlignment="1">
      <alignment horizontal="left" vertical="top" wrapText="1"/>
    </xf>
  </cellXfs>
  <cellStyles count="27">
    <cellStyle name="Comma" xfId="1" builtinId="3"/>
    <cellStyle name="Comma 2" xfId="18"/>
    <cellStyle name="Comma 3" xfId="20"/>
    <cellStyle name="Currency" xfId="2" builtinId="4"/>
    <cellStyle name="Currency 2" xfId="3"/>
    <cellStyle name="Followed Hyperlink" xfId="4" builtinId="9" customBuiltin="1"/>
    <cellStyle name="Hyperlink" xfId="5" builtinId="8" customBuiltin="1"/>
    <cellStyle name="Manual-Input" xfId="17"/>
    <cellStyle name="Normal" xfId="0" builtinId="0"/>
    <cellStyle name="Normal 2" xfId="16"/>
    <cellStyle name="Normal 2 10 3 8 2" xfId="22"/>
    <cellStyle name="Normal 2 10 3 8 2 2" xfId="25"/>
    <cellStyle name="Normal 2 2" xfId="6"/>
    <cellStyle name="Normal 2 3" xfId="7"/>
    <cellStyle name="Normal 3" xfId="19"/>
    <cellStyle name="Normal 6" xfId="8"/>
    <cellStyle name="Normal 8" xfId="23"/>
    <cellStyle name="Normal_DFIT-WaEle_SUM" xfId="9"/>
    <cellStyle name="Normal_IDGas6_97" xfId="10"/>
    <cellStyle name="Normal_RestateDebtInt1200case" xfId="11"/>
    <cellStyle name="Normal_WAElec6_97" xfId="12"/>
    <cellStyle name="Normal_WAGas6_97" xfId="13"/>
    <cellStyle name="Normal_WAGas6_97 2" xfId="24"/>
    <cellStyle name="Percent" xfId="14" builtinId="5"/>
    <cellStyle name="Percent 2" xfId="15"/>
    <cellStyle name="Percent 2 2" xfId="26"/>
    <cellStyle name="Percent 3" xf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FFFF99"/>
      <color rgb="FF0033CC"/>
      <color rgb="FFFDF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01m107\TARA\2013%20Misc\2014%20WA%20GRC%20prelim\EREV%20v1%2007%2003%20July%20Load%20Update%20(unadjust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2016\2016_WA_Elec_and_Gas_GRC\Data%20Requests\Drafts\Karen\Staff%20DR%2012-Settlement%20Update\Do%20Not%20Send\TTP%20Model%20-%202016%20-%206.29.2016%20(Q2%20TTP%20Upd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home.utc.wa.gov/Documents%20and%20Settings/Diana%20Crapp/Local%20Settings/Temporary%20Internet%20Files/OLK47/From%20Avista/v16%20Electric%20Revenue%202012-2016%20-%20Res%20Exchange.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home.utc.wa.gov/Documents%20and%20Settings/Diana%20Crapp/Local%20Settings/Temporary%20Internet%20Files/OLK47/From%20Avista/WA%20Elec%20Revenue%20-%20wo%20schedule%20shift.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home.utc.wa.gov/Documents%20and%20Settings/Diana%20Crapp/Local%20Settings/Temporary%20Internet%20Files/OLK47/From%20Avista/2012%20WA%20Electric%20CBR%20Model%20%20(revised%20FI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17/2017_%20WA%20Elec%20and%20Gas%20GRC/Adjustments/Exh%20EMA-4%20K-Factor%20WA%20Electric%20Mode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2012\2012%20WA%20GRC\Adjustment%20Information\Draft-Avista%20Electric%202012%20GRC-WA%20ELECsumm2011PF.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home.utc.wa.gov/sites/ue-150204/Staff%20Work%20Papers/Attrition%20Adj%20Workpapers/Transmission%20Wheeling%20Revenue%2012ME%2009.2014.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Liz/2017%20GRC%20INFO/K%20Factor/2013-2016%20K%20Factor-WA%202018%20Electr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Tables"/>
      <sheetName val="Cust Load"/>
      <sheetName val="Unbilled"/>
      <sheetName val="Cal Load"/>
      <sheetName val="Rate Entry"/>
      <sheetName val="Rate Tables"/>
      <sheetName val="Manual Rev"/>
      <sheetName val="GRC"/>
      <sheetName val="Rev"/>
      <sheetName val="V2V"/>
      <sheetName val="EREV v1 07 03 July Load Update "/>
    </sheetNames>
    <sheetDataSet>
      <sheetData sheetId="0" refreshError="1"/>
      <sheetData sheetId="1">
        <row r="13">
          <cell r="B13">
            <v>41426</v>
          </cell>
        </row>
        <row r="16">
          <cell r="B16">
            <v>43435</v>
          </cell>
        </row>
        <row r="19">
          <cell r="B19">
            <v>41395</v>
          </cell>
        </row>
      </sheetData>
      <sheetData sheetId="2">
        <row r="3">
          <cell r="D3">
            <v>41426</v>
          </cell>
        </row>
      </sheetData>
      <sheetData sheetId="3"/>
      <sheetData sheetId="4" refreshError="1"/>
      <sheetData sheetId="5" refreshError="1"/>
      <sheetData sheetId="6"/>
      <sheetData sheetId="7"/>
      <sheetData sheetId="8" refreshError="1"/>
      <sheetData sheetId="9">
        <row r="2">
          <cell r="C2">
            <v>41426</v>
          </cell>
        </row>
        <row r="5">
          <cell r="B5">
            <v>1</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Washington"/>
      <sheetName val="WA PF Major Smry"/>
      <sheetName val="WA PF Major(E)"/>
      <sheetName val="WA PF Major(G)"/>
      <sheetName val="Idaho"/>
      <sheetName val="Oregon"/>
      <sheetName val="2016 Inputs"/>
      <sheetName val="Actl Forcst - WA E"/>
      <sheetName val="Actl Forcst - WA G"/>
      <sheetName val="Actl Forcst - ID E"/>
      <sheetName val="Actl Forcst - ID G"/>
      <sheetName val="Actl Forcst - OR"/>
      <sheetName val="Actl Forcst - TotalCo"/>
      <sheetName val="Actual"/>
      <sheetName val="Actual_Transfers"/>
      <sheetName val="Budget"/>
      <sheetName val="CAP16.3"/>
      <sheetName val="Sheet3"/>
      <sheetName val="Sheet2"/>
      <sheetName val="Allocation Factors"/>
      <sheetName val="Specific Allocation"/>
      <sheetName val="AllocationFactors_Actuals"/>
      <sheetName val="Sheet1"/>
      <sheetName val="WA 5000s General to Software"/>
      <sheetName val="ID 5000s General to Software"/>
      <sheetName val="OR 5000s General to Software"/>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
          <cell r="B5" t="str">
            <v>Actual</v>
          </cell>
        </row>
      </sheetData>
      <sheetData sheetId="8"/>
      <sheetData sheetId="9"/>
      <sheetData sheetId="10" refreshError="1"/>
      <sheetData sheetId="11" refreshError="1"/>
      <sheetData sheetId="12" refreshError="1"/>
      <sheetData sheetId="13" refreshError="1"/>
      <sheetData sheetId="14" refreshError="1"/>
      <sheetData sheetId="15"/>
      <sheetData sheetId="16" refreshError="1"/>
      <sheetData sheetId="17"/>
      <sheetData sheetId="18" refreshError="1"/>
      <sheetData sheetId="19" refreshError="1"/>
      <sheetData sheetId="20">
        <row r="1">
          <cell r="A1" t="str">
            <v>Allocation Factors</v>
          </cell>
        </row>
        <row r="3">
          <cell r="A3" t="str">
            <v>Allocation Categories</v>
          </cell>
        </row>
        <row r="4">
          <cell r="A4" t="str">
            <v>Elec Distribution 360-373 CD AN</v>
          </cell>
        </row>
        <row r="5">
          <cell r="A5" t="str">
            <v>Elec Distribution 360-373 CD AA</v>
          </cell>
        </row>
        <row r="6">
          <cell r="A6" t="str">
            <v>Elec Distribution 360-373 ED AN</v>
          </cell>
        </row>
        <row r="7">
          <cell r="A7" t="str">
            <v>Elec Distribution 360-373 ED ID</v>
          </cell>
        </row>
        <row r="8">
          <cell r="A8" t="str">
            <v>Elec Distribution 360-373 ED WA</v>
          </cell>
        </row>
        <row r="9">
          <cell r="A9" t="str">
            <v>Elec Distribution 360-373 ED MT</v>
          </cell>
        </row>
        <row r="10">
          <cell r="A10" t="str">
            <v>Elec Transmission 350-359 ED AN</v>
          </cell>
        </row>
        <row r="11">
          <cell r="A11" t="str">
            <v>Elec Transmission 350-359 ED ID</v>
          </cell>
        </row>
        <row r="12">
          <cell r="A12" t="str">
            <v>Elec Transmission 350-359 ED WA</v>
          </cell>
        </row>
        <row r="13">
          <cell r="A13" t="str">
            <v>Gas Distribution 374-387 GD AA</v>
          </cell>
        </row>
        <row r="14">
          <cell r="A14" t="str">
            <v>Gas Distribution 374-387 GD AN</v>
          </cell>
        </row>
        <row r="15">
          <cell r="A15" t="str">
            <v>Gas Distribution 374-387 GD ID</v>
          </cell>
        </row>
        <row r="16">
          <cell r="A16" t="str">
            <v>Gas Distribution 374-387 GD OR</v>
          </cell>
        </row>
        <row r="17">
          <cell r="A17" t="str">
            <v>Gas Distribution 374-387 GD WA</v>
          </cell>
        </row>
        <row r="18">
          <cell r="A18" t="str">
            <v>Gas Underground Storage 350-357 GD AA</v>
          </cell>
        </row>
        <row r="19">
          <cell r="A19" t="str">
            <v>Gas Underground Storage 350-357 GD AN</v>
          </cell>
        </row>
        <row r="20">
          <cell r="A20" t="str">
            <v>Gas Underground Storage 350-357 GD OR</v>
          </cell>
        </row>
        <row r="21">
          <cell r="A21" t="str">
            <v>General 389-391 / 393-395 / 397-398 CD AA</v>
          </cell>
        </row>
        <row r="22">
          <cell r="A22" t="str">
            <v>General 389-391 / 393-395 / 397-398 CD AN</v>
          </cell>
        </row>
        <row r="23">
          <cell r="A23" t="str">
            <v>General 389-391 / 393-395 / 397-398 CD ID</v>
          </cell>
        </row>
        <row r="24">
          <cell r="A24" t="str">
            <v>General 389-391 / 393-395 / 397-398 CD WA</v>
          </cell>
        </row>
        <row r="25">
          <cell r="A25" t="str">
            <v>General 389-391 / 393-395 / 397-398 ED AN</v>
          </cell>
        </row>
        <row r="26">
          <cell r="A26" t="str">
            <v>General 389-391 / 393-395 / 397-398 GD AA</v>
          </cell>
        </row>
        <row r="27">
          <cell r="A27" t="str">
            <v>General 389-391 / 393-395 / 397-398 ED WA</v>
          </cell>
        </row>
        <row r="28">
          <cell r="A28" t="str">
            <v>General 389-391 / 393-395 / 397-398 ED ID</v>
          </cell>
        </row>
        <row r="29">
          <cell r="A29" t="str">
            <v>General 389-391 / 393-395 / 397-398 ED AA</v>
          </cell>
        </row>
        <row r="30">
          <cell r="A30" t="str">
            <v>General 389-391 / 393-395 / 397-398 GD WA</v>
          </cell>
        </row>
        <row r="31">
          <cell r="A31" t="str">
            <v>General 389-391 / 393-395 / 397-398 GD OR</v>
          </cell>
        </row>
        <row r="32">
          <cell r="A32" t="str">
            <v>General 389-391 / 393-395 / 397-398 GD AN</v>
          </cell>
        </row>
        <row r="33">
          <cell r="A33" t="str">
            <v>Hydro 331-336 ED AN</v>
          </cell>
        </row>
        <row r="34">
          <cell r="A34" t="str">
            <v>Other Elec Production / Turbines 340-346 ED AN</v>
          </cell>
        </row>
        <row r="35">
          <cell r="A35" t="str">
            <v>Other Elec Production / Turbines 340-346 CD WA</v>
          </cell>
        </row>
        <row r="36">
          <cell r="A36" t="str">
            <v>Software 303 CD AA</v>
          </cell>
        </row>
        <row r="37">
          <cell r="A37" t="str">
            <v>Software 303 CD ID</v>
          </cell>
        </row>
        <row r="38">
          <cell r="A38" t="str">
            <v>Software 303 CD WA</v>
          </cell>
        </row>
        <row r="39">
          <cell r="A39" t="str">
            <v>Software 303 ED AN</v>
          </cell>
        </row>
        <row r="40">
          <cell r="A40" t="str">
            <v>Software 303 ED MT</v>
          </cell>
        </row>
        <row r="41">
          <cell r="A41" t="str">
            <v>Software 303 ED WA</v>
          </cell>
        </row>
        <row r="42">
          <cell r="A42" t="str">
            <v>Software 303 CD AN</v>
          </cell>
        </row>
        <row r="43">
          <cell r="A43" t="str">
            <v>Software 303 GD AA</v>
          </cell>
        </row>
        <row r="44">
          <cell r="A44" t="str">
            <v>Thermal 311-316 ED AN</v>
          </cell>
        </row>
        <row r="45">
          <cell r="A45" t="str">
            <v>Transportation and Tools 392 / 396 CD AA</v>
          </cell>
        </row>
        <row r="46">
          <cell r="A46" t="str">
            <v>Transportation and Tools 392 / 396 CD AN</v>
          </cell>
        </row>
        <row r="47">
          <cell r="A47" t="str">
            <v>Transportation and Tools 392 / 396 CD WA</v>
          </cell>
        </row>
        <row r="48">
          <cell r="A48" t="str">
            <v>Transportation and Tools 392 / 396 CD ID</v>
          </cell>
        </row>
        <row r="49">
          <cell r="A49" t="str">
            <v>Transportation and Tools 392 / 396 ED AN</v>
          </cell>
        </row>
        <row r="50">
          <cell r="A50" t="str">
            <v>Transportation and Tools 392 / 396 ED WA</v>
          </cell>
        </row>
        <row r="51">
          <cell r="A51" t="str">
            <v>Transportation and Tools 392 / 396 ED ID</v>
          </cell>
        </row>
        <row r="52">
          <cell r="A52" t="str">
            <v>Transportation and Tools 392 / 396 GD AN</v>
          </cell>
        </row>
        <row r="53">
          <cell r="A53" t="str">
            <v>Transportation and Tools 392 / 396 GD ID</v>
          </cell>
        </row>
        <row r="54">
          <cell r="A54" t="str">
            <v>Transportation and Tools 392 / 396 GD WA</v>
          </cell>
        </row>
        <row r="55">
          <cell r="A55" t="str">
            <v>Transportation and Tools 392 / 396 GD OR</v>
          </cell>
        </row>
        <row r="56">
          <cell r="A56" t="str">
            <v>Gas Distribution 374-387 GD AA 1001</v>
          </cell>
        </row>
        <row r="57">
          <cell r="A57" t="str">
            <v>Gas Distribution 374-387 GD AA 1050</v>
          </cell>
        </row>
        <row r="58">
          <cell r="A58" t="str">
            <v>Gas Distribution 374-387 GD AA 1051</v>
          </cell>
        </row>
        <row r="59">
          <cell r="A59" t="str">
            <v>Gas Distribution 374-387 GD AA 1053</v>
          </cell>
        </row>
        <row r="60">
          <cell r="A60" t="str">
            <v>Gas Distribution 374-387 GD AA 3000</v>
          </cell>
        </row>
        <row r="61">
          <cell r="A61" t="str">
            <v>Gas Distribution 374-387 GD AA 3001</v>
          </cell>
        </row>
        <row r="62">
          <cell r="A62" t="str">
            <v>Gas Distribution 374-387 GD AA 3002</v>
          </cell>
        </row>
        <row r="63">
          <cell r="A63" t="str">
            <v>Gas Distribution 374-387 GD AA 3003</v>
          </cell>
        </row>
        <row r="64">
          <cell r="A64" t="str">
            <v>Gas Distribution 374-387 GD AA 3004</v>
          </cell>
        </row>
        <row r="65">
          <cell r="A65" t="str">
            <v>Gas Distribution 374-387 GD AA 3005</v>
          </cell>
        </row>
        <row r="66">
          <cell r="A66" t="str">
            <v>Gas Distribution 374-387 GD AA 3006</v>
          </cell>
        </row>
        <row r="67">
          <cell r="A67" t="str">
            <v>Gas Distribution 374-387 GD AA 3007</v>
          </cell>
        </row>
        <row r="68">
          <cell r="A68" t="str">
            <v>Gas Distribution 374-387 GD AA 3008</v>
          </cell>
        </row>
        <row r="69">
          <cell r="A69" t="str">
            <v>Gas Distribution 374-387 GD AA 3054</v>
          </cell>
        </row>
        <row r="70">
          <cell r="A70" t="str">
            <v>Gas Distribution 374-387 GD AA 3055</v>
          </cell>
        </row>
        <row r="71">
          <cell r="A71" t="str">
            <v>Gas Distribution 374-387 GD AA 3057</v>
          </cell>
        </row>
        <row r="72">
          <cell r="A72" t="str">
            <v>Gas Distribution 374-387 GD AA 3117</v>
          </cell>
        </row>
        <row r="73">
          <cell r="A73" t="str">
            <v>Gas Distribution 374-387 ED ID</v>
          </cell>
        </row>
        <row r="74">
          <cell r="A74" t="str">
            <v>Elec Distribution 360-373 ED AN 1000</v>
          </cell>
        </row>
        <row r="75">
          <cell r="A75" t="str">
            <v>Elec Distribution 360-373 ED AN 1002</v>
          </cell>
        </row>
        <row r="76">
          <cell r="A76" t="str">
            <v>Elec Distribution 360-373 ED AN 1003</v>
          </cell>
        </row>
        <row r="77">
          <cell r="A77" t="str">
            <v>Elec Distribution 360-373 ED AN 1004</v>
          </cell>
        </row>
        <row r="78">
          <cell r="A78" t="str">
            <v>Elec Distribution 360-373 ED AN 1005</v>
          </cell>
        </row>
        <row r="79">
          <cell r="A79" t="str">
            <v>Elec Distribution 360-373 ED AN 1006</v>
          </cell>
        </row>
        <row r="80">
          <cell r="A80" t="str">
            <v>Elec Distribution 360-373 ED AN 2054</v>
          </cell>
        </row>
        <row r="81">
          <cell r="A81" t="str">
            <v>Elec Distribution 360-373 ED AN 2055</v>
          </cell>
        </row>
        <row r="82">
          <cell r="A82" t="str">
            <v>Elec Distribution 360-373 ED AN 2056</v>
          </cell>
        </row>
        <row r="83">
          <cell r="A83" t="str">
            <v>Elec Distribution 360-373 ED AN 2059</v>
          </cell>
        </row>
        <row r="84">
          <cell r="A84" t="str">
            <v>Elec Distribution 360-373 ED AN 2060</v>
          </cell>
        </row>
        <row r="85">
          <cell r="A85" t="str">
            <v>Elec Distribution 360-373 ED AN 2204</v>
          </cell>
        </row>
        <row r="86">
          <cell r="A86" t="str">
            <v>Elec Distribution 360-373 ED AN 2414</v>
          </cell>
        </row>
        <row r="87">
          <cell r="A87" t="str">
            <v>Elec Distribution 360-373 ED AN 2423</v>
          </cell>
        </row>
        <row r="88">
          <cell r="A88" t="str">
            <v>Elec Distribution 360-373 ED AN 2470</v>
          </cell>
        </row>
        <row r="89">
          <cell r="A89" t="str">
            <v>Elec Distribution 360-373 ED AN 2516</v>
          </cell>
        </row>
        <row r="90">
          <cell r="A90" t="str">
            <v>Elec Distribution 360-373 ED AN 2535</v>
          </cell>
        </row>
        <row r="91">
          <cell r="A91" t="str">
            <v>Elec Distribution 360-373 ED AN 2584</v>
          </cell>
        </row>
        <row r="92">
          <cell r="A92" t="str">
            <v>Elec Distribution 360-373 ED AN 2599</v>
          </cell>
        </row>
        <row r="93">
          <cell r="A93" t="str">
            <v>Elec Distribution 360-373 ED AN 6000</v>
          </cell>
        </row>
        <row r="94">
          <cell r="A94" t="str">
            <v>Elec Distribution 360-373 CD WA 2586</v>
          </cell>
        </row>
      </sheetData>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Setup"/>
      <sheetName val="Load Forecast"/>
      <sheetName val="Unbilled"/>
      <sheetName val="2013 Calendar Loads"/>
      <sheetName val="Manual Rev"/>
      <sheetName val="Rates"/>
      <sheetName val="Rev Summary"/>
      <sheetName val="GRC"/>
      <sheetName val="Exp Summary"/>
      <sheetName val="Version compare"/>
    </sheetNames>
    <sheetDataSet>
      <sheetData sheetId="0"/>
      <sheetData sheetId="1">
        <row r="1">
          <cell r="B1" t="str">
            <v>ELECTRIC</v>
          </cell>
        </row>
        <row r="2">
          <cell r="B2">
            <v>2012</v>
          </cell>
        </row>
        <row r="3">
          <cell r="B3">
            <v>1</v>
          </cell>
        </row>
      </sheetData>
      <sheetData sheetId="2"/>
      <sheetData sheetId="3"/>
      <sheetData sheetId="4"/>
      <sheetData sheetId="5"/>
      <sheetData sheetId="6">
        <row r="121">
          <cell r="D121">
            <v>40664</v>
          </cell>
          <cell r="E121">
            <v>40848</v>
          </cell>
          <cell r="F121">
            <v>40909</v>
          </cell>
          <cell r="O121">
            <v>40664</v>
          </cell>
          <cell r="P121">
            <v>40817</v>
          </cell>
          <cell r="Q121">
            <v>41183</v>
          </cell>
        </row>
        <row r="122">
          <cell r="D122">
            <v>0</v>
          </cell>
          <cell r="E122">
            <v>0</v>
          </cell>
          <cell r="F122">
            <v>0</v>
          </cell>
          <cell r="O122">
            <v>0.53200000000000003</v>
          </cell>
          <cell r="P122">
            <v>7.1999999999999995E-2</v>
          </cell>
          <cell r="Q122">
            <v>7.1999999999999995E-2</v>
          </cell>
        </row>
        <row r="124">
          <cell r="D124">
            <v>5.4800000000000001E-2</v>
          </cell>
          <cell r="E124">
            <v>5.4800000000000001E-2</v>
          </cell>
          <cell r="F124">
            <v>5.4800000000000001E-2</v>
          </cell>
          <cell r="O124">
            <v>3.6400000000000002E-2</v>
          </cell>
          <cell r="P124">
            <v>3.6400000000000002E-2</v>
          </cell>
          <cell r="Q124">
            <v>3.6400000000000002E-2</v>
          </cell>
        </row>
        <row r="125">
          <cell r="D125">
            <v>-0.29799999999999999</v>
          </cell>
          <cell r="E125">
            <v>-0.29799999999999999</v>
          </cell>
          <cell r="F125">
            <v>-0.158</v>
          </cell>
          <cell r="O125">
            <v>-0.14699999999999999</v>
          </cell>
          <cell r="P125">
            <v>-0.33200000000000002</v>
          </cell>
          <cell r="Q125">
            <v>-0.33200000000000002</v>
          </cell>
        </row>
      </sheetData>
      <sheetData sheetId="7">
        <row r="2">
          <cell r="D2" t="str">
            <v>WARes001</v>
          </cell>
          <cell r="E2" t="str">
            <v>WA_001</v>
          </cell>
        </row>
        <row r="3">
          <cell r="D3">
            <v>1</v>
          </cell>
        </row>
        <row r="36">
          <cell r="B36">
            <v>0</v>
          </cell>
        </row>
        <row r="71">
          <cell r="F71" t="str">
            <v>WARes001</v>
          </cell>
        </row>
        <row r="172">
          <cell r="F172" t="str">
            <v>WARes001</v>
          </cell>
        </row>
        <row r="173">
          <cell r="F173" t="str">
            <v>WARes012</v>
          </cell>
        </row>
        <row r="174">
          <cell r="F174" t="str">
            <v>WARes022</v>
          </cell>
        </row>
        <row r="175">
          <cell r="F175" t="str">
            <v>WARes032</v>
          </cell>
        </row>
        <row r="176">
          <cell r="F176" t="str">
            <v>WARes04X</v>
          </cell>
        </row>
        <row r="177">
          <cell r="F177" t="str">
            <v>WARes095</v>
          </cell>
        </row>
        <row r="178">
          <cell r="F178" t="str">
            <v>WACom011</v>
          </cell>
        </row>
        <row r="179">
          <cell r="F179" t="str">
            <v>WACom021</v>
          </cell>
        </row>
        <row r="180">
          <cell r="F180" t="str">
            <v>WACom025</v>
          </cell>
        </row>
        <row r="181">
          <cell r="F181" t="str">
            <v>WACom031</v>
          </cell>
        </row>
        <row r="182">
          <cell r="F182" t="str">
            <v>WACom04X</v>
          </cell>
        </row>
        <row r="183">
          <cell r="F183" t="str">
            <v>WACom095</v>
          </cell>
        </row>
        <row r="184">
          <cell r="F184" t="str">
            <v>WAInd011</v>
          </cell>
        </row>
        <row r="185">
          <cell r="F185" t="str">
            <v>WAInd021</v>
          </cell>
        </row>
        <row r="186">
          <cell r="F186" t="str">
            <v>WAInd025</v>
          </cell>
        </row>
        <row r="187">
          <cell r="F187" t="str">
            <v>WAInd028</v>
          </cell>
        </row>
        <row r="188">
          <cell r="F188" t="str">
            <v>WAInd031</v>
          </cell>
        </row>
        <row r="189">
          <cell r="F189" t="str">
            <v>WAInd032</v>
          </cell>
        </row>
        <row r="190">
          <cell r="F190" t="str">
            <v>WAInd04X</v>
          </cell>
        </row>
        <row r="191">
          <cell r="F191" t="str">
            <v>WASL04X</v>
          </cell>
        </row>
        <row r="192">
          <cell r="F192" t="str">
            <v>WAIntdpt011</v>
          </cell>
        </row>
        <row r="193">
          <cell r="F193" t="str">
            <v>WAIntdpt021</v>
          </cell>
        </row>
        <row r="194">
          <cell r="F194" t="str">
            <v>IDRes001</v>
          </cell>
        </row>
        <row r="195">
          <cell r="F195" t="str">
            <v>IDRes012</v>
          </cell>
        </row>
        <row r="196">
          <cell r="F196" t="str">
            <v>IDRes022</v>
          </cell>
        </row>
        <row r="197">
          <cell r="F197" t="str">
            <v>IDRes032</v>
          </cell>
        </row>
        <row r="198">
          <cell r="F198" t="str">
            <v>IDRes04X</v>
          </cell>
        </row>
        <row r="199">
          <cell r="F199" t="str">
            <v>IDRes095</v>
          </cell>
        </row>
        <row r="200">
          <cell r="F200" t="str">
            <v>IDCom011</v>
          </cell>
        </row>
        <row r="201">
          <cell r="F201" t="str">
            <v>IDCom021</v>
          </cell>
        </row>
        <row r="202">
          <cell r="F202" t="str">
            <v>IDCom025</v>
          </cell>
        </row>
        <row r="203">
          <cell r="F203" t="str">
            <v>IDCom031</v>
          </cell>
        </row>
        <row r="204">
          <cell r="F204" t="str">
            <v>IDCom04X</v>
          </cell>
        </row>
        <row r="205">
          <cell r="F205" t="str">
            <v>IDCom095</v>
          </cell>
        </row>
        <row r="206">
          <cell r="F206" t="str">
            <v>IDInd011</v>
          </cell>
        </row>
        <row r="207">
          <cell r="F207" t="str">
            <v>IDInd021</v>
          </cell>
        </row>
        <row r="208">
          <cell r="F208" t="str">
            <v>IDInd025</v>
          </cell>
        </row>
        <row r="209">
          <cell r="F209" t="str">
            <v>IDInd025P</v>
          </cell>
        </row>
        <row r="210">
          <cell r="F210" t="str">
            <v>IDInd031</v>
          </cell>
        </row>
        <row r="211">
          <cell r="F211" t="str">
            <v>IDInd032</v>
          </cell>
        </row>
        <row r="212">
          <cell r="F212" t="str">
            <v>IDInd04X</v>
          </cell>
        </row>
        <row r="213">
          <cell r="F213" t="str">
            <v>IDSL04X</v>
          </cell>
        </row>
        <row r="214">
          <cell r="F214" t="str">
            <v>IDIntdpt011</v>
          </cell>
        </row>
        <row r="215">
          <cell r="F215" t="str">
            <v>IDIntdpt021</v>
          </cell>
        </row>
        <row r="273">
          <cell r="F273" t="str">
            <v>WARes001</v>
          </cell>
        </row>
        <row r="374">
          <cell r="F374" t="str">
            <v>WARes001</v>
          </cell>
        </row>
        <row r="475">
          <cell r="F475" t="str">
            <v>WARes001</v>
          </cell>
        </row>
        <row r="573">
          <cell r="F573" t="str">
            <v>WARes001</v>
          </cell>
        </row>
        <row r="574">
          <cell r="F574" t="str">
            <v>WARes012</v>
          </cell>
        </row>
        <row r="575">
          <cell r="F575" t="str">
            <v>WARes022</v>
          </cell>
        </row>
        <row r="576">
          <cell r="F576" t="str">
            <v>WARes032</v>
          </cell>
        </row>
        <row r="577">
          <cell r="F577" t="str">
            <v>WARes04X</v>
          </cell>
        </row>
        <row r="578">
          <cell r="F578" t="str">
            <v>WARes095</v>
          </cell>
        </row>
        <row r="579">
          <cell r="F579" t="str">
            <v>WACom011</v>
          </cell>
        </row>
        <row r="580">
          <cell r="F580" t="str">
            <v>WACom021</v>
          </cell>
        </row>
        <row r="581">
          <cell r="F581" t="str">
            <v>WACom025</v>
          </cell>
        </row>
        <row r="582">
          <cell r="F582" t="str">
            <v>WACom031</v>
          </cell>
        </row>
        <row r="583">
          <cell r="F583" t="str">
            <v>WACom04X</v>
          </cell>
        </row>
        <row r="584">
          <cell r="F584" t="str">
            <v>WACom095</v>
          </cell>
        </row>
        <row r="585">
          <cell r="F585" t="str">
            <v>WAInd011</v>
          </cell>
        </row>
        <row r="586">
          <cell r="F586" t="str">
            <v>WAInd021</v>
          </cell>
        </row>
        <row r="587">
          <cell r="F587" t="str">
            <v>WAInd025</v>
          </cell>
        </row>
        <row r="588">
          <cell r="F588" t="str">
            <v>WAInd028</v>
          </cell>
        </row>
        <row r="589">
          <cell r="F589" t="str">
            <v>WAInd031</v>
          </cell>
        </row>
        <row r="590">
          <cell r="F590" t="str">
            <v>WAInd032</v>
          </cell>
        </row>
        <row r="591">
          <cell r="F591" t="str">
            <v>WAInd04X</v>
          </cell>
        </row>
        <row r="592">
          <cell r="F592" t="str">
            <v>WASL04X</v>
          </cell>
        </row>
        <row r="593">
          <cell r="F593" t="str">
            <v>WAIntdpt011</v>
          </cell>
        </row>
        <row r="594">
          <cell r="F594" t="str">
            <v>WAIntdpt021</v>
          </cell>
        </row>
        <row r="595">
          <cell r="F595" t="str">
            <v>IDRes001</v>
          </cell>
        </row>
        <row r="596">
          <cell r="F596" t="str">
            <v>IDRes012</v>
          </cell>
        </row>
        <row r="597">
          <cell r="F597" t="str">
            <v>IDRes022</v>
          </cell>
        </row>
        <row r="598">
          <cell r="F598" t="str">
            <v>IDRes032</v>
          </cell>
        </row>
        <row r="599">
          <cell r="F599" t="str">
            <v>IDRes04X</v>
          </cell>
        </row>
        <row r="600">
          <cell r="F600" t="str">
            <v>IDRes095</v>
          </cell>
        </row>
        <row r="601">
          <cell r="F601" t="str">
            <v>IDCom011</v>
          </cell>
        </row>
        <row r="602">
          <cell r="F602" t="str">
            <v>IDCom021</v>
          </cell>
        </row>
        <row r="603">
          <cell r="F603" t="str">
            <v>IDCom025</v>
          </cell>
        </row>
        <row r="604">
          <cell r="F604" t="str">
            <v>IDCom031</v>
          </cell>
        </row>
        <row r="605">
          <cell r="F605" t="str">
            <v>IDCom04X</v>
          </cell>
        </row>
        <row r="606">
          <cell r="F606" t="str">
            <v>IDCom095</v>
          </cell>
        </row>
        <row r="607">
          <cell r="F607" t="str">
            <v>IDInd011</v>
          </cell>
        </row>
        <row r="608">
          <cell r="F608" t="str">
            <v>IDInd021</v>
          </cell>
        </row>
        <row r="609">
          <cell r="F609" t="str">
            <v>IDInd025</v>
          </cell>
        </row>
        <row r="610">
          <cell r="F610" t="str">
            <v>IDInd025P</v>
          </cell>
        </row>
        <row r="611">
          <cell r="F611" t="str">
            <v>IDInd031</v>
          </cell>
        </row>
        <row r="612">
          <cell r="F612" t="str">
            <v>IDInd032</v>
          </cell>
        </row>
        <row r="613">
          <cell r="F613" t="str">
            <v>IDInd04X</v>
          </cell>
        </row>
        <row r="614">
          <cell r="F614" t="str">
            <v>IDSL04X</v>
          </cell>
        </row>
        <row r="615">
          <cell r="F615" t="str">
            <v>IDIntdpt011</v>
          </cell>
        </row>
        <row r="616">
          <cell r="F616" t="str">
            <v>IDIntdpt021</v>
          </cell>
        </row>
        <row r="672">
          <cell r="F672" t="str">
            <v>WARes001</v>
          </cell>
        </row>
        <row r="773">
          <cell r="F773" t="str">
            <v>WARes001</v>
          </cell>
        </row>
        <row r="874">
          <cell r="F874" t="str">
            <v>WARes001</v>
          </cell>
        </row>
        <row r="975">
          <cell r="F975" t="str">
            <v>WARes001</v>
          </cell>
        </row>
        <row r="1076">
          <cell r="F1076" t="str">
            <v>WARes001</v>
          </cell>
        </row>
        <row r="1177">
          <cell r="F1177" t="str">
            <v>WARes001</v>
          </cell>
        </row>
        <row r="1279">
          <cell r="F1279" t="str">
            <v>WARes001</v>
          </cell>
          <cell r="I1279" t="str">
            <v>x</v>
          </cell>
        </row>
        <row r="1280">
          <cell r="F1280" t="str">
            <v>WARes012</v>
          </cell>
          <cell r="I1280" t="str">
            <v>x</v>
          </cell>
        </row>
        <row r="1281">
          <cell r="F1281" t="str">
            <v>WARes022</v>
          </cell>
          <cell r="I1281" t="str">
            <v>x</v>
          </cell>
        </row>
        <row r="1282">
          <cell r="F1282" t="str">
            <v>WARes032</v>
          </cell>
          <cell r="I1282" t="str">
            <v>x</v>
          </cell>
        </row>
        <row r="1283">
          <cell r="F1283" t="str">
            <v>WARes04X</v>
          </cell>
        </row>
        <row r="1284">
          <cell r="F1284" t="str">
            <v>WARes095</v>
          </cell>
        </row>
        <row r="1285">
          <cell r="F1285" t="str">
            <v>WACom011</v>
          </cell>
          <cell r="I1285" t="str">
            <v>x</v>
          </cell>
        </row>
        <row r="1286">
          <cell r="F1286" t="str">
            <v>WACom021</v>
          </cell>
          <cell r="I1286" t="str">
            <v>x</v>
          </cell>
        </row>
        <row r="1287">
          <cell r="F1287" t="str">
            <v>WACom025</v>
          </cell>
        </row>
        <row r="1288">
          <cell r="F1288" t="str">
            <v>WACom031</v>
          </cell>
          <cell r="I1288" t="str">
            <v>x</v>
          </cell>
        </row>
        <row r="1289">
          <cell r="F1289" t="str">
            <v>WACom04X</v>
          </cell>
        </row>
        <row r="1290">
          <cell r="F1290" t="str">
            <v>WACom095</v>
          </cell>
        </row>
        <row r="1291">
          <cell r="F1291" t="str">
            <v>WAInd011</v>
          </cell>
          <cell r="I1291" t="str">
            <v>x</v>
          </cell>
        </row>
        <row r="1292">
          <cell r="F1292" t="str">
            <v>WAInd021</v>
          </cell>
          <cell r="I1292" t="str">
            <v>x</v>
          </cell>
        </row>
        <row r="1293">
          <cell r="F1293" t="str">
            <v>WAInd025</v>
          </cell>
        </row>
        <row r="1294">
          <cell r="F1294" t="str">
            <v>WAInd028</v>
          </cell>
        </row>
        <row r="1295">
          <cell r="F1295" t="str">
            <v>WAInd031</v>
          </cell>
          <cell r="I1295" t="str">
            <v>x</v>
          </cell>
        </row>
        <row r="1296">
          <cell r="F1296" t="str">
            <v>WAInd032</v>
          </cell>
          <cell r="I1296" t="str">
            <v>x</v>
          </cell>
        </row>
        <row r="1297">
          <cell r="F1297" t="str">
            <v>WAInd04X</v>
          </cell>
        </row>
        <row r="1298">
          <cell r="F1298" t="str">
            <v>WASL04X</v>
          </cell>
        </row>
        <row r="1299">
          <cell r="F1299" t="str">
            <v>WAIntdpt011</v>
          </cell>
          <cell r="I1299" t="str">
            <v>x</v>
          </cell>
        </row>
        <row r="1300">
          <cell r="F1300" t="str">
            <v>WAIntdpt021</v>
          </cell>
          <cell r="I1300" t="str">
            <v>x</v>
          </cell>
        </row>
        <row r="1301">
          <cell r="F1301" t="str">
            <v>IDRes001</v>
          </cell>
          <cell r="I1301" t="str">
            <v>x</v>
          </cell>
        </row>
        <row r="1302">
          <cell r="F1302" t="str">
            <v>IDRes012</v>
          </cell>
          <cell r="I1302" t="str">
            <v>x</v>
          </cell>
        </row>
        <row r="1303">
          <cell r="F1303" t="str">
            <v>IDRes022</v>
          </cell>
          <cell r="I1303" t="str">
            <v>x</v>
          </cell>
        </row>
        <row r="1304">
          <cell r="F1304" t="str">
            <v>IDRes032</v>
          </cell>
          <cell r="I1304" t="str">
            <v>x</v>
          </cell>
        </row>
        <row r="1305">
          <cell r="F1305" t="str">
            <v>IDRes04X</v>
          </cell>
        </row>
        <row r="1306">
          <cell r="F1306" t="str">
            <v>IDRes095</v>
          </cell>
        </row>
        <row r="1307">
          <cell r="F1307" t="str">
            <v>IDCom011</v>
          </cell>
          <cell r="I1307" t="str">
            <v>x</v>
          </cell>
        </row>
        <row r="1308">
          <cell r="F1308" t="str">
            <v>IDCom021</v>
          </cell>
          <cell r="I1308" t="str">
            <v>x</v>
          </cell>
        </row>
        <row r="1309">
          <cell r="F1309" t="str">
            <v>IDCom025</v>
          </cell>
        </row>
        <row r="1310">
          <cell r="F1310" t="str">
            <v>IDCom031</v>
          </cell>
          <cell r="I1310" t="str">
            <v>x</v>
          </cell>
        </row>
        <row r="1311">
          <cell r="F1311" t="str">
            <v>IDCom04X</v>
          </cell>
        </row>
        <row r="1312">
          <cell r="F1312" t="str">
            <v>IDCom095</v>
          </cell>
        </row>
        <row r="1313">
          <cell r="F1313" t="str">
            <v>IDInd011</v>
          </cell>
          <cell r="I1313" t="str">
            <v>x</v>
          </cell>
        </row>
        <row r="1314">
          <cell r="F1314" t="str">
            <v>IDInd021</v>
          </cell>
          <cell r="I1314" t="str">
            <v>x</v>
          </cell>
        </row>
        <row r="1315">
          <cell r="F1315" t="str">
            <v>IDInd025</v>
          </cell>
        </row>
        <row r="1316">
          <cell r="F1316" t="str">
            <v>IDInd025P</v>
          </cell>
        </row>
        <row r="1317">
          <cell r="F1317" t="str">
            <v>IDInd031</v>
          </cell>
          <cell r="I1317" t="str">
            <v>x</v>
          </cell>
        </row>
        <row r="1318">
          <cell r="F1318" t="str">
            <v>IDInd032</v>
          </cell>
          <cell r="I1318" t="str">
            <v>x</v>
          </cell>
        </row>
        <row r="1319">
          <cell r="F1319" t="str">
            <v>IDInd04X</v>
          </cell>
        </row>
        <row r="1320">
          <cell r="F1320" t="str">
            <v>IDSL04X</v>
          </cell>
        </row>
        <row r="1321">
          <cell r="F1321" t="str">
            <v>IDIntdpt011</v>
          </cell>
          <cell r="I1321" t="str">
            <v>x</v>
          </cell>
        </row>
        <row r="1322">
          <cell r="F1322" t="str">
            <v>IDIntdpt021</v>
          </cell>
          <cell r="I1322" t="str">
            <v>x</v>
          </cell>
        </row>
      </sheetData>
      <sheetData sheetId="8"/>
      <sheetData sheetId="9">
        <row r="30">
          <cell r="E30">
            <v>1</v>
          </cell>
        </row>
      </sheetData>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Design"/>
      <sheetName val="Exh 1"/>
      <sheetName val="Exh 2"/>
      <sheetName val="Exh 3"/>
      <sheetName val="ROR"/>
      <sheetName val="Bill Determ"/>
      <sheetName val="WA Sch 25"/>
      <sheetName val="Lighting summary"/>
      <sheetName val="St Lts"/>
      <sheetName val="Area Lts"/>
      <sheetName val="Rev Runs CY"/>
      <sheetName val="Rev Runs LY"/>
    </sheetNames>
    <sheetDataSet>
      <sheetData sheetId="0">
        <row r="45">
          <cell r="D45">
            <v>0</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 SUMMARY"/>
      <sheetName val="2011 CBR FIT fix"/>
      <sheetName val="LEAD SHEETS-DO NOT ENTER"/>
      <sheetName val="CF "/>
      <sheetName val="ROO INPUT"/>
      <sheetName val="DEBT CALC"/>
      <sheetName val="not used PROPOSED RATES"/>
      <sheetName val="not used RR SUMMARY"/>
      <sheetName val="not used RETAIL REVENUE CREDIT"/>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 SUMMARY"/>
      <sheetName val="CF "/>
      <sheetName val="Acerno_Cache_XXXXX"/>
      <sheetName val="ADJ DETAIL-INPUT-Restate"/>
      <sheetName val="2007-2016 Data"/>
      <sheetName val="ADJ DETAIL-INPUT-PF"/>
      <sheetName val="CBR Hist"/>
      <sheetName val="Reg Amorts"/>
      <sheetName val="ROO INPUT"/>
      <sheetName val="DEBT CALC"/>
      <sheetName val="ADJ SUMMARY"/>
      <sheetName val="PROPOSED RATES-2018-NOT USED"/>
      <sheetName val="Table"/>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WA"/>
      <sheetName val="RevReq_Exh_WA"/>
      <sheetName val="ConverFac_Exh-WA"/>
      <sheetName val="Retail Revenue Credit"/>
      <sheetName val="PFRstmtSheet"/>
      <sheetName val="WAElec_Summary"/>
      <sheetName val="1.01-DFIT"/>
      <sheetName val="1.02-Deferred Dr. and CR."/>
      <sheetName val="1.03-Res_Capital"/>
      <sheetName val="1.04-WrkgCap"/>
      <sheetName val="2.01-BandO"/>
      <sheetName val="2.02-PropTax"/>
      <sheetName val="2.03-UncollExp"/>
      <sheetName val="2.04-RegExp"/>
      <sheetName val="2.05-InjDam"/>
      <sheetName val="2.06-FIT"/>
      <sheetName val="2.07-ElimPowerCost"/>
      <sheetName val="2.08-NezPerce"/>
      <sheetName val="2.09-ElimAR"/>
      <sheetName val="2.10-SubSpace"/>
      <sheetName val="2.11-ExciseTax"/>
      <sheetName val="2.12-GainsLoss"/>
      <sheetName val="2.13-RevNormalztn"/>
      <sheetName val="2.14-MiscRestate"/>
      <sheetName val="2.15-Res_Incen"/>
      <sheetName val="2.16-BCKaBlck"/>
      <sheetName val="2.17-Depr. Study"/>
      <sheetName val="2.18-CS2 Colstrip"/>
      <sheetName val="2.19-Attrition"/>
      <sheetName val="2.20-DebtInt"/>
      <sheetName val="2.20a-DebtCalc"/>
      <sheetName val="PF1-PSWA"/>
      <sheetName val="PF2-Trans"/>
      <sheetName val="PF3-Labor"/>
      <sheetName val="PF4-Exec"/>
      <sheetName val="PF5-EmpBen"/>
      <sheetName val="PF6-Insur"/>
      <sheetName val="PF7-Capx2012"/>
      <sheetName val="PF8-Smart Grid"/>
      <sheetName val="PF9-Aldyl A"/>
      <sheetName val="PF10-First Wind"/>
      <sheetName val="PF11-Noxon Gen"/>
      <sheetName val="PF12-VegMgmt"/>
      <sheetName val="PF13-Perf.Exel."/>
      <sheetName val="PF14-IT Expenses"/>
      <sheetName val="PF15-Compass "/>
      <sheetName val="Revised Comparison-For sttlmnt"/>
      <sheetName val="Inputs"/>
      <sheetName val="PFProdFctr-WA-not used-formula"/>
      <sheetName val="PFProdFctr-WA calc"/>
      <sheetName val="Sheet"/>
    </sheetNames>
    <sheetDataSet>
      <sheetData sheetId="0" refreshError="1"/>
      <sheetData sheetId="1" refreshError="1"/>
      <sheetData sheetId="2" refreshError="1"/>
      <sheetData sheetId="3" refreshError="1"/>
      <sheetData sheetId="4">
        <row r="1">
          <cell r="A1" t="str">
            <v xml:space="preserve"> </v>
          </cell>
        </row>
      </sheetData>
      <sheetData sheetId="5">
        <row r="4">
          <cell r="A4" t="str">
            <v>TWELVE MONTHS ENDED DECEMBER 31, 2011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6">
          <cell r="D6" t="str">
            <v>AVISTA UTILITIES</v>
          </cell>
        </row>
      </sheetData>
      <sheetData sheetId="48" refreshError="1"/>
      <sheetData sheetId="49" refreshError="1"/>
      <sheetData sheetId="5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6 Revenue"/>
      <sheetName val="Macro1"/>
    </sheetNames>
    <sheetDataSet>
      <sheetData sheetId="0" refreshError="1"/>
      <sheetData sheetId="1">
        <row r="92">
          <cell r="A92" t="str">
            <v>Recover</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 factor-2013-2016 (2)"/>
      <sheetName val="2007-2016 Data"/>
      <sheetName val="Cost Trends"/>
      <sheetName val="CBR Hist"/>
      <sheetName val="Reg Amorts"/>
      <sheetName val="Summary"/>
      <sheetName val="Attrition 12.2016 to 04.2019"/>
      <sheetName val="ROR"/>
      <sheetName val="Weighted Revenue Growth"/>
      <sheetName val="12.2016 Rev Model"/>
      <sheetName val="2017-18 Forecast Billing Determ"/>
      <sheetName val="PS Consolidated"/>
      <sheetName val="12.2016 CB Power Supply"/>
      <sheetName val="Other Revenue"/>
      <sheetName val="Other Rev"/>
      <sheetName val="ResX"/>
      <sheetName val="DSM"/>
    </sheetNames>
    <sheetDataSet>
      <sheetData sheetId="0"/>
      <sheetData sheetId="1"/>
      <sheetData sheetId="2"/>
      <sheetData sheetId="3"/>
      <sheetData sheetId="4"/>
      <sheetData sheetId="5"/>
      <sheetData sheetId="6"/>
      <sheetData sheetId="7"/>
      <sheetData sheetId="8"/>
      <sheetData sheetId="9"/>
      <sheetData sheetId="10"/>
      <sheetData sheetId="11">
        <row r="29">
          <cell r="E29">
            <v>234785.2591</v>
          </cell>
          <cell r="F29">
            <v>156185</v>
          </cell>
          <cell r="G29">
            <v>124379</v>
          </cell>
          <cell r="H29">
            <v>154282</v>
          </cell>
          <cell r="I29">
            <v>122799</v>
          </cell>
          <cell r="J29">
            <v>133120.12169999999</v>
          </cell>
          <cell r="K29">
            <v>152124</v>
          </cell>
          <cell r="L29">
            <v>135719</v>
          </cell>
          <cell r="M29">
            <v>152984</v>
          </cell>
          <cell r="N29">
            <v>146538.0865</v>
          </cell>
          <cell r="O29">
            <v>249368.62319999994</v>
          </cell>
          <cell r="P29">
            <v>188583.39639999997</v>
          </cell>
          <cell r="Q29">
            <v>180833.76630000002</v>
          </cell>
          <cell r="R29">
            <v>201471</v>
          </cell>
          <cell r="S29">
            <v>186117</v>
          </cell>
          <cell r="T29">
            <v>175095</v>
          </cell>
          <cell r="U29">
            <v>160262</v>
          </cell>
        </row>
      </sheetData>
      <sheetData sheetId="12"/>
      <sheetData sheetId="13"/>
      <sheetData sheetId="14">
        <row r="16">
          <cell r="E16">
            <v>7824</v>
          </cell>
          <cell r="F16">
            <v>9892</v>
          </cell>
          <cell r="G16">
            <v>7115</v>
          </cell>
          <cell r="H16">
            <v>7569</v>
          </cell>
          <cell r="I16">
            <v>5523</v>
          </cell>
          <cell r="J16">
            <v>6637</v>
          </cell>
          <cell r="K16">
            <v>7024</v>
          </cell>
          <cell r="L16">
            <v>6876</v>
          </cell>
          <cell r="M16">
            <v>6213</v>
          </cell>
          <cell r="N16">
            <v>6133</v>
          </cell>
          <cell r="O16">
            <v>8333</v>
          </cell>
          <cell r="P16">
            <v>9102</v>
          </cell>
          <cell r="Q16">
            <v>8285</v>
          </cell>
          <cell r="R16">
            <v>9662</v>
          </cell>
          <cell r="S16">
            <v>10622</v>
          </cell>
          <cell r="T16">
            <v>10512</v>
          </cell>
          <cell r="U16">
            <v>10386.6546</v>
          </cell>
        </row>
        <row r="18">
          <cell r="T18">
            <v>3691</v>
          </cell>
          <cell r="U18">
            <v>3887</v>
          </cell>
        </row>
        <row r="19">
          <cell r="E19">
            <v>3487.7256000000007</v>
          </cell>
          <cell r="F19">
            <v>2251</v>
          </cell>
          <cell r="G19">
            <v>25293</v>
          </cell>
          <cell r="H19">
            <v>47139</v>
          </cell>
          <cell r="I19">
            <v>285</v>
          </cell>
          <cell r="J19">
            <v>179.11379999999997</v>
          </cell>
          <cell r="K19">
            <v>198</v>
          </cell>
          <cell r="L19">
            <v>221</v>
          </cell>
          <cell r="M19">
            <v>1839</v>
          </cell>
          <cell r="N19">
            <v>448.37979999999999</v>
          </cell>
          <cell r="O19">
            <v>639.87119999999993</v>
          </cell>
          <cell r="P19">
            <v>1751.694</v>
          </cell>
          <cell r="Q19">
            <v>1489.3194000000001</v>
          </cell>
          <cell r="R19">
            <v>282</v>
          </cell>
          <cell r="S19">
            <v>3062.3724999999999</v>
          </cell>
          <cell r="T19">
            <v>267.11410000000001</v>
          </cell>
          <cell r="U19">
            <v>234.65610000000001</v>
          </cell>
        </row>
      </sheetData>
      <sheetData sheetId="15">
        <row r="24">
          <cell r="I24">
            <v>16644</v>
          </cell>
          <cell r="J24">
            <v>1416</v>
          </cell>
          <cell r="K24">
            <v>7512</v>
          </cell>
          <cell r="L24">
            <v>6339</v>
          </cell>
          <cell r="N24">
            <v>9388</v>
          </cell>
          <cell r="P24">
            <v>5582</v>
          </cell>
          <cell r="Q24">
            <v>3576</v>
          </cell>
          <cell r="R24">
            <v>4005</v>
          </cell>
          <cell r="S24">
            <v>6244</v>
          </cell>
          <cell r="T24">
            <v>4610</v>
          </cell>
          <cell r="U24">
            <v>8327</v>
          </cell>
        </row>
        <row r="31">
          <cell r="I31">
            <v>672.0700776436787</v>
          </cell>
          <cell r="J31">
            <v>57.176834291243019</v>
          </cell>
          <cell r="K31">
            <v>303.3279514094757</v>
          </cell>
          <cell r="L31">
            <v>255.96324334194176</v>
          </cell>
          <cell r="N31">
            <v>379.03890273269815</v>
          </cell>
          <cell r="P31">
            <v>225.37230028269292</v>
          </cell>
          <cell r="Q31">
            <v>144.3803915820333</v>
          </cell>
          <cell r="R31">
            <v>161.701193592294</v>
          </cell>
          <cell r="S31">
            <v>252.10043765050779</v>
          </cell>
          <cell r="T31">
            <v>186.12796565804626</v>
          </cell>
          <cell r="U31">
            <v>336.20120825044501</v>
          </cell>
        </row>
        <row r="34">
          <cell r="I34">
            <v>114.89064088827979</v>
          </cell>
          <cell r="J34">
            <v>9.7744020366380777</v>
          </cell>
          <cell r="K34">
            <v>51.85403114352065</v>
          </cell>
          <cell r="L34">
            <v>43.757015897068349</v>
          </cell>
          <cell r="N34">
            <v>42.639664956549055</v>
          </cell>
          <cell r="P34">
            <v>25.353068788608525</v>
          </cell>
          <cell r="Q34">
            <v>16.24195162810177</v>
          </cell>
          <cell r="R34">
            <v>18.190440791540155</v>
          </cell>
          <cell r="S34">
            <v>28.359828290231388</v>
          </cell>
          <cell r="T34">
            <v>20.938310124594281</v>
          </cell>
          <cell r="U34">
            <v>37.820674274945034</v>
          </cell>
        </row>
        <row r="39">
          <cell r="I39">
            <v>34.931785007078076</v>
          </cell>
          <cell r="J39">
            <v>2.9718461649857337</v>
          </cell>
          <cell r="K39">
            <v>15.765895756619232</v>
          </cell>
          <cell r="L39">
            <v>13.304048615709441</v>
          </cell>
          <cell r="N39">
            <v>19.658674484347191</v>
          </cell>
          <cell r="P39">
            <v>11.688828394932468</v>
          </cell>
          <cell r="Q39">
            <v>7.4882211286776261</v>
          </cell>
          <cell r="R39">
            <v>8.3865563815307311</v>
          </cell>
          <cell r="S39">
            <v>13.075070673227934</v>
          </cell>
          <cell r="T39">
            <v>9.6534394304261326</v>
          </cell>
          <cell r="U39">
            <v>17.436917600251284</v>
          </cell>
        </row>
      </sheetData>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ColWidth="9.140625" defaultRowHeight="12.75"/>
  <cols>
    <col min="1" max="16384" width="9.140625" style="448"/>
  </cols>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XFD479"/>
  <sheetViews>
    <sheetView zoomScaleNormal="100" workbookViewId="0">
      <selection activeCell="AI18" sqref="AI18"/>
    </sheetView>
  </sheetViews>
  <sheetFormatPr defaultColWidth="12.42578125" defaultRowHeight="12"/>
  <cols>
    <col min="1" max="1" width="7.85546875" style="159" customWidth="1"/>
    <col min="2" max="2" width="26.140625" style="158" customWidth="1"/>
    <col min="3" max="3" width="12.42578125" style="158" customWidth="1"/>
    <col min="4" max="4" width="5.5703125" style="158" bestFit="1" customWidth="1"/>
    <col min="5" max="5" width="14.7109375" style="158" customWidth="1"/>
    <col min="6" max="8" width="12.42578125" style="158" customWidth="1"/>
    <col min="9" max="9" width="14.7109375" style="158" hidden="1" customWidth="1"/>
    <col min="10" max="11" width="12.42578125" style="158" hidden="1" customWidth="1"/>
    <col min="12" max="16384" width="12.42578125" style="158"/>
  </cols>
  <sheetData>
    <row r="1" spans="1:11">
      <c r="A1" s="186" t="s">
        <v>90</v>
      </c>
      <c r="B1" s="187"/>
      <c r="C1" s="186"/>
    </row>
    <row r="2" spans="1:11">
      <c r="A2" s="186" t="s">
        <v>60</v>
      </c>
      <c r="B2" s="187"/>
      <c r="C2" s="186"/>
      <c r="I2" s="186"/>
      <c r="J2" s="159" t="s">
        <v>107</v>
      </c>
      <c r="K2" s="186"/>
    </row>
    <row r="3" spans="1:11">
      <c r="A3" s="187" t="str">
        <f>'ADJ DETAIL-INPUT-Restate'!A5</f>
        <v>TWELVE MONTHS ENDED DECEMBER 31, 2016</v>
      </c>
      <c r="B3" s="187"/>
      <c r="C3" s="186"/>
      <c r="I3" s="186" t="s">
        <v>108</v>
      </c>
      <c r="J3" s="186"/>
      <c r="K3" s="186"/>
    </row>
    <row r="4" spans="1:11">
      <c r="A4" s="186" t="s">
        <v>0</v>
      </c>
      <c r="B4" s="187"/>
      <c r="C4" s="186"/>
      <c r="F4" s="269"/>
      <c r="I4" s="185" t="s">
        <v>63</v>
      </c>
      <c r="J4" s="185"/>
      <c r="K4" s="184"/>
    </row>
    <row r="5" spans="1:11">
      <c r="A5" s="186"/>
      <c r="B5" s="187"/>
      <c r="C5" s="186"/>
      <c r="I5" s="183"/>
      <c r="J5" s="183"/>
      <c r="K5" s="182"/>
    </row>
    <row r="6" spans="1:11">
      <c r="A6" s="186"/>
      <c r="B6" s="187"/>
      <c r="C6" s="186"/>
      <c r="E6" s="186" t="s">
        <v>61</v>
      </c>
      <c r="F6" s="186"/>
      <c r="G6" s="186"/>
      <c r="I6" s="183"/>
      <c r="J6" s="183"/>
      <c r="K6" s="182"/>
    </row>
    <row r="7" spans="1:11">
      <c r="A7" s="186"/>
      <c r="B7" s="187"/>
      <c r="C7" s="186"/>
      <c r="E7" s="186" t="s">
        <v>62</v>
      </c>
      <c r="F7" s="186"/>
      <c r="G7" s="186"/>
      <c r="I7" s="183"/>
      <c r="J7" s="183"/>
      <c r="K7" s="182"/>
    </row>
    <row r="8" spans="1:11">
      <c r="A8" s="186"/>
      <c r="B8" s="187"/>
      <c r="C8" s="186"/>
      <c r="E8" s="185" t="s">
        <v>63</v>
      </c>
      <c r="F8" s="185"/>
      <c r="G8" s="184"/>
      <c r="I8" s="183"/>
      <c r="J8" s="183"/>
      <c r="K8" s="182"/>
    </row>
    <row r="9" spans="1:11">
      <c r="A9" s="159" t="s">
        <v>7</v>
      </c>
    </row>
    <row r="10" spans="1:11" s="159" customFormat="1">
      <c r="A10" s="159" t="s">
        <v>64</v>
      </c>
      <c r="B10" s="181" t="s">
        <v>20</v>
      </c>
      <c r="C10" s="181"/>
      <c r="E10" s="181" t="s">
        <v>65</v>
      </c>
      <c r="F10" s="181" t="s">
        <v>66</v>
      </c>
      <c r="G10" s="181" t="s">
        <v>51</v>
      </c>
      <c r="H10" s="180" t="s">
        <v>67</v>
      </c>
      <c r="I10" s="181" t="s">
        <v>65</v>
      </c>
      <c r="J10" s="181" t="s">
        <v>66</v>
      </c>
      <c r="K10" s="181"/>
    </row>
    <row r="11" spans="1:11" s="159" customFormat="1" ht="5.25" customHeight="1">
      <c r="B11" s="240"/>
      <c r="C11" s="240"/>
      <c r="E11" s="240"/>
      <c r="F11" s="240"/>
      <c r="G11" s="240"/>
      <c r="H11" s="180"/>
      <c r="I11" s="240"/>
      <c r="J11" s="240"/>
      <c r="K11" s="240"/>
    </row>
    <row r="12" spans="1:11" s="159" customFormat="1" ht="5.25" customHeight="1">
      <c r="B12" s="240"/>
      <c r="C12" s="240"/>
      <c r="E12" s="240"/>
      <c r="F12" s="240"/>
      <c r="G12" s="240"/>
      <c r="H12" s="180"/>
      <c r="I12" s="240"/>
      <c r="J12" s="240"/>
      <c r="K12" s="240"/>
    </row>
    <row r="13" spans="1:11">
      <c r="B13" s="161" t="s">
        <v>31</v>
      </c>
    </row>
    <row r="14" spans="1:11" s="165" customFormat="1">
      <c r="A14" s="168">
        <v>1</v>
      </c>
      <c r="B14" s="167" t="s">
        <v>32</v>
      </c>
      <c r="E14" s="174">
        <f>F14+G14</f>
        <v>516333</v>
      </c>
      <c r="F14" s="174">
        <f>SUM(F85:F88)+F90</f>
        <v>516333</v>
      </c>
      <c r="G14" s="174">
        <f>SUM(G85:G89)</f>
        <v>0</v>
      </c>
      <c r="H14" s="165" t="str">
        <f t="shared" ref="H14:H19" si="0">IF(E14=F14+G14," ","ERROR")</f>
        <v xml:space="preserve"> </v>
      </c>
      <c r="I14" s="174" t="e">
        <f>J14+K14</f>
        <v>#REF!</v>
      </c>
      <c r="J14" s="174" t="e">
        <f>#REF!</f>
        <v>#REF!</v>
      </c>
      <c r="K14" s="174"/>
    </row>
    <row r="15" spans="1:11">
      <c r="A15" s="159">
        <v>2</v>
      </c>
      <c r="B15" s="161" t="s">
        <v>33</v>
      </c>
      <c r="E15" s="170">
        <f>F15+G15</f>
        <v>946</v>
      </c>
      <c r="F15" s="170">
        <f>SUM(F89)</f>
        <v>946</v>
      </c>
      <c r="G15" s="170">
        <f>SUM(G90)</f>
        <v>0</v>
      </c>
      <c r="H15" s="165" t="str">
        <f t="shared" si="0"/>
        <v xml:space="preserve"> </v>
      </c>
      <c r="I15" s="170" t="e">
        <f>J15+K15</f>
        <v>#REF!</v>
      </c>
      <c r="J15" s="170" t="e">
        <f>#REF!</f>
        <v>#REF!</v>
      </c>
      <c r="K15" s="170"/>
    </row>
    <row r="16" spans="1:11">
      <c r="A16" s="159">
        <v>3</v>
      </c>
      <c r="B16" s="161" t="s">
        <v>68</v>
      </c>
      <c r="E16" s="170">
        <f>F16+G16</f>
        <v>78098</v>
      </c>
      <c r="F16" s="170">
        <f>SUM(F93)</f>
        <v>78098</v>
      </c>
      <c r="G16" s="170">
        <f>SUM(G93)</f>
        <v>0</v>
      </c>
      <c r="H16" s="165" t="str">
        <f t="shared" si="0"/>
        <v xml:space="preserve"> </v>
      </c>
      <c r="I16" s="170" t="e">
        <f>J16+K16</f>
        <v>#REF!</v>
      </c>
      <c r="J16" s="170" t="e">
        <f>#REF!</f>
        <v>#REF!</v>
      </c>
      <c r="K16" s="170"/>
    </row>
    <row r="17" spans="1:11">
      <c r="A17" s="159">
        <v>4</v>
      </c>
      <c r="B17" s="161" t="s">
        <v>69</v>
      </c>
      <c r="E17" s="178">
        <f>E14+E15+E16</f>
        <v>595377</v>
      </c>
      <c r="F17" s="178">
        <f>F14+F15+F16</f>
        <v>595377</v>
      </c>
      <c r="G17" s="178">
        <f>G14+G15+G16</f>
        <v>0</v>
      </c>
      <c r="H17" s="165" t="str">
        <f t="shared" si="0"/>
        <v xml:space="preserve"> </v>
      </c>
      <c r="I17" s="178" t="e">
        <f>I14+I15+I16</f>
        <v>#REF!</v>
      </c>
      <c r="J17" s="178" t="e">
        <f>J14+J15+J16</f>
        <v>#REF!</v>
      </c>
      <c r="K17" s="178"/>
    </row>
    <row r="18" spans="1:11">
      <c r="A18" s="159">
        <v>5</v>
      </c>
      <c r="B18" s="161" t="s">
        <v>35</v>
      </c>
      <c r="E18" s="179">
        <f>F18+G18</f>
        <v>81735</v>
      </c>
      <c r="F18" s="170">
        <f>SUM(F97:F101)+1</f>
        <v>81735</v>
      </c>
      <c r="G18" s="170">
        <f>SUM(G98:G101)</f>
        <v>0</v>
      </c>
      <c r="H18" s="165" t="str">
        <f t="shared" si="0"/>
        <v xml:space="preserve"> </v>
      </c>
      <c r="I18" s="179" t="e">
        <f>J18+K18</f>
        <v>#REF!</v>
      </c>
      <c r="J18" s="170" t="e">
        <f>#REF!</f>
        <v>#REF!</v>
      </c>
      <c r="K18" s="170"/>
    </row>
    <row r="19" spans="1:11">
      <c r="A19" s="159">
        <v>6</v>
      </c>
      <c r="B19" s="161" t="s">
        <v>70</v>
      </c>
      <c r="E19" s="178">
        <f>E17+E18</f>
        <v>677112</v>
      </c>
      <c r="F19" s="178">
        <f>F17+F18</f>
        <v>677112</v>
      </c>
      <c r="G19" s="178">
        <f>G17+G18</f>
        <v>0</v>
      </c>
      <c r="H19" s="165" t="str">
        <f t="shared" si="0"/>
        <v xml:space="preserve"> </v>
      </c>
      <c r="I19" s="178" t="e">
        <f>I17+I18</f>
        <v>#REF!</v>
      </c>
      <c r="J19" s="178" t="e">
        <f>J17+J18</f>
        <v>#REF!</v>
      </c>
      <c r="K19" s="178"/>
    </row>
    <row r="20" spans="1:11">
      <c r="E20" s="172"/>
      <c r="F20" s="172"/>
      <c r="G20" s="172"/>
      <c r="H20" s="165"/>
      <c r="I20" s="172"/>
      <c r="J20" s="172"/>
      <c r="K20" s="172"/>
    </row>
    <row r="21" spans="1:11">
      <c r="B21" s="161" t="s">
        <v>36</v>
      </c>
      <c r="E21" s="172"/>
      <c r="F21" s="172"/>
      <c r="G21" s="172"/>
      <c r="H21" s="165"/>
      <c r="I21" s="172"/>
      <c r="J21" s="172"/>
      <c r="K21" s="172"/>
    </row>
    <row r="22" spans="1:11">
      <c r="B22" s="161" t="s">
        <v>37</v>
      </c>
      <c r="E22" s="172"/>
      <c r="F22" s="172"/>
      <c r="G22" s="172"/>
      <c r="H22" s="165"/>
      <c r="I22" s="172"/>
      <c r="J22" s="172"/>
      <c r="K22" s="172"/>
    </row>
    <row r="23" spans="1:11">
      <c r="A23" s="159">
        <v>7</v>
      </c>
      <c r="B23" s="161" t="s">
        <v>71</v>
      </c>
      <c r="E23" s="170">
        <f>F23+G23</f>
        <v>184672</v>
      </c>
      <c r="F23" s="170">
        <f>SUM(F161-F157+F182)</f>
        <v>184672</v>
      </c>
      <c r="G23" s="170">
        <f>SUM(G161-G157+G182)</f>
        <v>0</v>
      </c>
      <c r="H23" s="165" t="str">
        <f>IF(E23=F23+G23," ","ERROR")</f>
        <v xml:space="preserve"> </v>
      </c>
      <c r="I23" s="170" t="e">
        <f>J23+K23</f>
        <v>#REF!</v>
      </c>
      <c r="J23" s="170" t="e">
        <f>#REF!+#REF!+#REF!+#REF!+#REF!</f>
        <v>#REF!</v>
      </c>
      <c r="K23" s="170"/>
    </row>
    <row r="24" spans="1:11">
      <c r="A24" s="159">
        <v>8</v>
      </c>
      <c r="B24" s="161" t="s">
        <v>72</v>
      </c>
      <c r="E24" s="170">
        <f>F24+G24</f>
        <v>96772</v>
      </c>
      <c r="F24" s="170">
        <f>SUM(F157)</f>
        <v>96772</v>
      </c>
      <c r="G24" s="170">
        <f>SUM(G157)</f>
        <v>0</v>
      </c>
      <c r="H24" s="165" t="str">
        <f>IF(E24=F24+G24," ","ERROR")</f>
        <v xml:space="preserve"> </v>
      </c>
      <c r="I24" s="170" t="e">
        <f>J24+K24</f>
        <v>#REF!</v>
      </c>
      <c r="J24" s="170" t="e">
        <f>#REF!</f>
        <v>#REF!</v>
      </c>
      <c r="K24" s="170"/>
    </row>
    <row r="25" spans="1:11">
      <c r="A25" s="159">
        <v>9</v>
      </c>
      <c r="B25" s="161" t="s">
        <v>507</v>
      </c>
      <c r="E25" s="170">
        <f>F25+G25</f>
        <v>26677</v>
      </c>
      <c r="F25" s="170">
        <f>SUM(F184:F187)</f>
        <v>26677</v>
      </c>
      <c r="G25" s="170">
        <f>SUM(G184:G186)</f>
        <v>0</v>
      </c>
      <c r="H25" s="165" t="str">
        <f>IF(E25=F25+G25," ","ERROR")</f>
        <v xml:space="preserve"> </v>
      </c>
      <c r="I25" s="170" t="e">
        <f>J25+K25</f>
        <v>#REF!</v>
      </c>
      <c r="J25" s="170" t="e">
        <f>#REF!</f>
        <v>#REF!</v>
      </c>
      <c r="K25" s="170"/>
    </row>
    <row r="26" spans="1:11">
      <c r="A26" s="159">
        <v>10</v>
      </c>
      <c r="B26" s="161" t="s">
        <v>506</v>
      </c>
      <c r="E26" s="170">
        <f>F26+G26</f>
        <v>4312</v>
      </c>
      <c r="F26" s="170">
        <f>SUM(F188:F219)</f>
        <v>4310</v>
      </c>
      <c r="G26" s="170">
        <f>SUM(G188:G218)</f>
        <v>2</v>
      </c>
      <c r="H26" s="165"/>
      <c r="I26" s="170"/>
      <c r="J26" s="170"/>
      <c r="K26" s="170"/>
    </row>
    <row r="27" spans="1:11">
      <c r="A27" s="159">
        <v>11</v>
      </c>
      <c r="B27" s="161" t="s">
        <v>73</v>
      </c>
      <c r="E27" s="169">
        <f>F27+G27</f>
        <v>14904</v>
      </c>
      <c r="F27" s="170">
        <f>SUM(F220)</f>
        <v>14904</v>
      </c>
      <c r="G27" s="170">
        <f>SUM(G220)</f>
        <v>0</v>
      </c>
      <c r="H27" s="165" t="str">
        <f>IF(E27=F27+G27," ","ERROR")</f>
        <v xml:space="preserve"> </v>
      </c>
      <c r="I27" s="169" t="e">
        <f>J27+K27</f>
        <v>#REF!</v>
      </c>
      <c r="J27" s="170" t="e">
        <f>#REF!</f>
        <v>#REF!</v>
      </c>
      <c r="K27" s="170"/>
    </row>
    <row r="28" spans="1:11">
      <c r="A28" s="159">
        <v>12</v>
      </c>
      <c r="B28" s="161" t="s">
        <v>74</v>
      </c>
      <c r="E28" s="178">
        <f>SUM(E23:E27)</f>
        <v>327337</v>
      </c>
      <c r="F28" s="178">
        <f>SUM(F23:F27)</f>
        <v>327335</v>
      </c>
      <c r="G28" s="178">
        <f>SUM(G23:G27)</f>
        <v>2</v>
      </c>
      <c r="H28" s="165" t="str">
        <f>IF(E28=F28+G28," ","ERROR")</f>
        <v xml:space="preserve"> </v>
      </c>
      <c r="I28" s="170" t="e">
        <f>I23+I24+I25+I27</f>
        <v>#REF!</v>
      </c>
      <c r="J28" s="178" t="e">
        <f>J23+J24+J25+J27</f>
        <v>#REF!</v>
      </c>
      <c r="K28" s="178"/>
    </row>
    <row r="29" spans="1:11">
      <c r="E29" s="170"/>
      <c r="F29" s="172"/>
      <c r="G29" s="172"/>
      <c r="H29" s="165"/>
      <c r="I29" s="170"/>
      <c r="J29" s="172"/>
      <c r="K29" s="172"/>
    </row>
    <row r="30" spans="1:11">
      <c r="B30" s="161" t="s">
        <v>40</v>
      </c>
      <c r="E30" s="170"/>
      <c r="F30" s="172"/>
      <c r="G30" s="172"/>
      <c r="H30" s="165"/>
      <c r="I30" s="170"/>
      <c r="J30" s="172"/>
      <c r="K30" s="172"/>
    </row>
    <row r="31" spans="1:11">
      <c r="A31" s="159">
        <v>13</v>
      </c>
      <c r="B31" s="161" t="s">
        <v>71</v>
      </c>
      <c r="E31" s="170">
        <f>F31+G31</f>
        <v>21420</v>
      </c>
      <c r="F31" s="170">
        <f>SUM(F249)</f>
        <v>21420</v>
      </c>
      <c r="G31" s="170">
        <f>SUM(G249)</f>
        <v>0</v>
      </c>
      <c r="H31" s="165" t="str">
        <f>IF(E31=F31+G31," ","ERROR")</f>
        <v xml:space="preserve"> </v>
      </c>
      <c r="I31" s="170" t="e">
        <f>J31+K31</f>
        <v>#REF!</v>
      </c>
      <c r="J31" s="170" t="e">
        <f>#REF!</f>
        <v>#REF!</v>
      </c>
      <c r="K31" s="170"/>
    </row>
    <row r="32" spans="1:11">
      <c r="A32" s="159">
        <v>14</v>
      </c>
      <c r="B32" s="161" t="s">
        <v>507</v>
      </c>
      <c r="E32" s="170">
        <f>F32+G32</f>
        <v>27913</v>
      </c>
      <c r="F32" s="170">
        <f>SUM(F251:F252)</f>
        <v>27913</v>
      </c>
      <c r="G32" s="170">
        <f>SUM(G251:G252)</f>
        <v>0</v>
      </c>
      <c r="H32" s="165" t="str">
        <f>IF(E32=F32+G32," ","ERROR")</f>
        <v xml:space="preserve"> </v>
      </c>
      <c r="I32" s="170" t="e">
        <f>J32+K32</f>
        <v>#REF!</v>
      </c>
      <c r="J32" s="170" t="e">
        <f>#REF!</f>
        <v>#REF!</v>
      </c>
      <c r="K32" s="170"/>
    </row>
    <row r="33" spans="1:18" ht="12.75">
      <c r="A33" s="212"/>
      <c r="B33" s="161" t="s">
        <v>506</v>
      </c>
      <c r="E33" s="170">
        <f>F33+G33</f>
        <v>0</v>
      </c>
      <c r="F33" s="170">
        <f>SUM(F254)</f>
        <v>0</v>
      </c>
      <c r="G33" s="170">
        <f>SUM(G252:G253)</f>
        <v>0</v>
      </c>
      <c r="H33" s="165" t="str">
        <f>IF(E33=F33+G33," ","ERROR")</f>
        <v xml:space="preserve"> </v>
      </c>
      <c r="I33" s="170" t="e">
        <f>J33+K33</f>
        <v>#REF!</v>
      </c>
      <c r="J33" s="170" t="e">
        <f>#REF!</f>
        <v>#REF!</v>
      </c>
      <c r="K33" s="170"/>
      <c r="L33" s="472"/>
      <c r="M33" s="473"/>
      <c r="N33" s="473"/>
      <c r="O33" s="473"/>
      <c r="P33" s="473"/>
      <c r="Q33" s="474"/>
      <c r="R33" s="474"/>
    </row>
    <row r="34" spans="1:18">
      <c r="A34" s="159">
        <v>15</v>
      </c>
      <c r="B34" s="161" t="s">
        <v>73</v>
      </c>
      <c r="E34" s="169">
        <f>F34+G34</f>
        <v>45258</v>
      </c>
      <c r="F34" s="170">
        <f>SUM(F253)</f>
        <v>45258</v>
      </c>
      <c r="G34" s="170">
        <f>SUM(G253)</f>
        <v>0</v>
      </c>
      <c r="H34" s="165" t="str">
        <f>IF(E34=F34+G34," ","ERROR")</f>
        <v xml:space="preserve"> </v>
      </c>
      <c r="I34" s="169" t="e">
        <f>J34+K34</f>
        <v>#REF!</v>
      </c>
      <c r="J34" s="170" t="e">
        <f>#REF!</f>
        <v>#REF!</v>
      </c>
      <c r="K34" s="170"/>
    </row>
    <row r="35" spans="1:18">
      <c r="A35" s="159">
        <v>16</v>
      </c>
      <c r="B35" s="161" t="s">
        <v>75</v>
      </c>
      <c r="E35" s="170">
        <f>E31+E32+E34</f>
        <v>94591</v>
      </c>
      <c r="F35" s="178">
        <f>F31+F32+F34</f>
        <v>94591</v>
      </c>
      <c r="G35" s="178">
        <f>G31+G32+G34</f>
        <v>0</v>
      </c>
      <c r="H35" s="165" t="str">
        <f>IF(E35=F35+G35," ","ERROR")</f>
        <v xml:space="preserve"> </v>
      </c>
      <c r="I35" s="170" t="e">
        <f>I31+I32+I34</f>
        <v>#REF!</v>
      </c>
      <c r="J35" s="178" t="e">
        <f>J31+J32+J34</f>
        <v>#REF!</v>
      </c>
      <c r="K35" s="178"/>
    </row>
    <row r="36" spans="1:18">
      <c r="E36" s="172"/>
      <c r="F36" s="172"/>
      <c r="G36" s="172"/>
      <c r="H36" s="165"/>
      <c r="I36" s="172"/>
      <c r="J36" s="172"/>
      <c r="K36" s="172"/>
    </row>
    <row r="37" spans="1:18">
      <c r="A37" s="159">
        <v>17</v>
      </c>
      <c r="B37" s="161" t="s">
        <v>41</v>
      </c>
      <c r="E37" s="170">
        <f>F37+G37</f>
        <v>11733</v>
      </c>
      <c r="F37" s="170">
        <f>SUM(F265)</f>
        <v>11733</v>
      </c>
      <c r="G37" s="170">
        <f>SUM(G265)</f>
        <v>0</v>
      </c>
      <c r="H37" s="165" t="str">
        <f>IF(E37=F37+G37," ","ERROR")</f>
        <v xml:space="preserve"> </v>
      </c>
      <c r="I37" s="170" t="e">
        <f>J37+K37</f>
        <v>#REF!</v>
      </c>
      <c r="J37" s="170" t="e">
        <f>#REF!</f>
        <v>#REF!</v>
      </c>
      <c r="K37" s="170"/>
    </row>
    <row r="38" spans="1:18">
      <c r="A38" s="159">
        <v>18</v>
      </c>
      <c r="B38" s="161" t="s">
        <v>42</v>
      </c>
      <c r="E38" s="170">
        <f>F38+G38</f>
        <v>18081</v>
      </c>
      <c r="F38" s="170">
        <f>SUM(F271)</f>
        <v>18081</v>
      </c>
      <c r="G38" s="170">
        <f>SUM(G271)</f>
        <v>0</v>
      </c>
      <c r="H38" s="165" t="str">
        <f>IF(E38=F38+G38," ","ERROR")</f>
        <v xml:space="preserve"> </v>
      </c>
      <c r="I38" s="170" t="e">
        <f>J38+K38</f>
        <v>#REF!</v>
      </c>
      <c r="J38" s="170" t="e">
        <f>#REF!</f>
        <v>#REF!</v>
      </c>
      <c r="K38" s="170"/>
    </row>
    <row r="39" spans="1:18">
      <c r="A39" s="159">
        <v>19</v>
      </c>
      <c r="B39" s="161" t="s">
        <v>43</v>
      </c>
      <c r="E39" s="170">
        <f>F39+G39</f>
        <v>0</v>
      </c>
      <c r="F39" s="170">
        <f>SUM(F277)</f>
        <v>0</v>
      </c>
      <c r="G39" s="170">
        <f>SUM(G277)</f>
        <v>0</v>
      </c>
      <c r="H39" s="165" t="str">
        <f>IF(E39=F39+G39," ","ERROR")</f>
        <v xml:space="preserve"> </v>
      </c>
      <c r="I39" s="170" t="e">
        <f>J39+K39</f>
        <v>#REF!</v>
      </c>
      <c r="J39" s="170" t="e">
        <f>#REF!</f>
        <v>#REF!</v>
      </c>
      <c r="K39" s="170"/>
    </row>
    <row r="40" spans="1:18">
      <c r="E40" s="172"/>
      <c r="F40" s="172"/>
      <c r="G40" s="172"/>
      <c r="H40" s="165"/>
      <c r="I40" s="172"/>
      <c r="J40" s="172"/>
      <c r="K40" s="172"/>
    </row>
    <row r="41" spans="1:18">
      <c r="B41" s="161" t="s">
        <v>44</v>
      </c>
      <c r="E41" s="172"/>
      <c r="F41" s="172"/>
      <c r="G41" s="172"/>
      <c r="H41" s="165"/>
      <c r="I41" s="172"/>
      <c r="J41" s="172"/>
      <c r="K41" s="172"/>
    </row>
    <row r="42" spans="1:18">
      <c r="A42" s="159">
        <v>20</v>
      </c>
      <c r="B42" s="161" t="s">
        <v>71</v>
      </c>
      <c r="E42" s="170">
        <f>F42+G42</f>
        <v>50568</v>
      </c>
      <c r="F42" s="170">
        <f>SUM(F292)</f>
        <v>50568</v>
      </c>
      <c r="G42" s="170">
        <f>SUM(G292)</f>
        <v>0</v>
      </c>
      <c r="H42" s="165" t="str">
        <f>IF(E42=F42+G42," ","ERROR")</f>
        <v xml:space="preserve"> </v>
      </c>
      <c r="I42" s="170" t="e">
        <f>J42+K42</f>
        <v>#REF!</v>
      </c>
      <c r="J42" s="170" t="e">
        <f>#REF!</f>
        <v>#REF!</v>
      </c>
      <c r="K42" s="170"/>
    </row>
    <row r="43" spans="1:18">
      <c r="A43" s="159">
        <v>21</v>
      </c>
      <c r="B43" s="161" t="s">
        <v>507</v>
      </c>
      <c r="E43" s="170">
        <f>F43+G43</f>
        <v>23877</v>
      </c>
      <c r="F43" s="170">
        <f>SUM(F300)</f>
        <v>23877</v>
      </c>
      <c r="G43" s="170">
        <f>SUM(G300)</f>
        <v>0</v>
      </c>
      <c r="H43" s="165" t="str">
        <f>IF(E43=F43+G43," ","ERROR")</f>
        <v xml:space="preserve"> </v>
      </c>
      <c r="I43" s="170" t="e">
        <f>J43+K43</f>
        <v>#REF!</v>
      </c>
      <c r="J43" s="170" t="e">
        <f>#REF!</f>
        <v>#REF!</v>
      </c>
      <c r="K43" s="170"/>
    </row>
    <row r="44" spans="1:18">
      <c r="A44" s="159">
        <v>22</v>
      </c>
      <c r="B44" s="161" t="s">
        <v>73</v>
      </c>
      <c r="E44" s="170">
        <f>F44+G44</f>
        <v>0</v>
      </c>
      <c r="F44" s="170">
        <v>0</v>
      </c>
      <c r="G44" s="170">
        <v>0</v>
      </c>
      <c r="H44" s="165" t="str">
        <f>IF(E44=F44+G44," ","ERROR")</f>
        <v xml:space="preserve"> </v>
      </c>
      <c r="I44" s="170" t="e">
        <f>J44+K44</f>
        <v>#REF!</v>
      </c>
      <c r="J44" s="170" t="e">
        <f>#REF!</f>
        <v>#REF!</v>
      </c>
      <c r="K44" s="170"/>
    </row>
    <row r="45" spans="1:18">
      <c r="A45" s="159">
        <v>23</v>
      </c>
      <c r="B45" s="161" t="s">
        <v>76</v>
      </c>
      <c r="E45" s="177">
        <f>E42+E43+E44</f>
        <v>74445</v>
      </c>
      <c r="F45" s="177">
        <f>F42+F43+F44</f>
        <v>74445</v>
      </c>
      <c r="G45" s="177">
        <f>G42+G43+G44</f>
        <v>0</v>
      </c>
      <c r="H45" s="165" t="str">
        <f>IF(E45=F45+G45," ","ERROR")</f>
        <v xml:space="preserve"> </v>
      </c>
      <c r="I45" s="177" t="e">
        <f>I42+I43+I44</f>
        <v>#REF!</v>
      </c>
      <c r="J45" s="177" t="e">
        <f>J42+J43+J44</f>
        <v>#REF!</v>
      </c>
      <c r="K45" s="177"/>
    </row>
    <row r="46" spans="1:18" ht="18.75" customHeight="1">
      <c r="A46" s="159">
        <v>24</v>
      </c>
      <c r="B46" s="161" t="s">
        <v>45</v>
      </c>
      <c r="E46" s="176">
        <f>E28+E35+E37+E38+E39+E45</f>
        <v>526187</v>
      </c>
      <c r="F46" s="176">
        <f>F28+F35+F37+F38+F39+F45</f>
        <v>526185</v>
      </c>
      <c r="G46" s="176">
        <f>G28+G35+G37+G38+G39+G45</f>
        <v>2</v>
      </c>
      <c r="H46" s="165" t="str">
        <f>IF(E46=F46+G46," ","ERROR")</f>
        <v xml:space="preserve"> </v>
      </c>
      <c r="I46" s="176" t="e">
        <f>I28+I35+I37+I38+I39+I45</f>
        <v>#REF!</v>
      </c>
      <c r="J46" s="176" t="e">
        <f>J28+J35+J37+J38+J39+J45</f>
        <v>#REF!</v>
      </c>
      <c r="K46" s="176"/>
    </row>
    <row r="47" spans="1:18">
      <c r="E47" s="172"/>
      <c r="F47" s="172"/>
      <c r="G47" s="172"/>
      <c r="H47" s="165"/>
      <c r="I47" s="172"/>
      <c r="J47" s="172"/>
      <c r="K47" s="172"/>
    </row>
    <row r="48" spans="1:18">
      <c r="A48" s="212">
        <v>25</v>
      </c>
      <c r="B48" s="161" t="s">
        <v>77</v>
      </c>
      <c r="E48" s="172">
        <f>E19-E46</f>
        <v>150925</v>
      </c>
      <c r="F48" s="172">
        <f>F19-F46</f>
        <v>150927</v>
      </c>
      <c r="G48" s="172">
        <f>G19-G46</f>
        <v>-2</v>
      </c>
      <c r="H48" s="165" t="str">
        <f>IF(E48=F48+G48," ","ERROR")</f>
        <v xml:space="preserve"> </v>
      </c>
      <c r="I48" s="172" t="e">
        <f>I19-I46</f>
        <v>#REF!</v>
      </c>
      <c r="J48" s="172" t="e">
        <f>J19-J46</f>
        <v>#REF!</v>
      </c>
      <c r="K48" s="172"/>
    </row>
    <row r="49" spans="1:11">
      <c r="B49" s="161"/>
      <c r="E49" s="172"/>
      <c r="F49" s="172"/>
      <c r="G49" s="172"/>
      <c r="H49" s="165"/>
      <c r="I49" s="172"/>
      <c r="J49" s="172"/>
      <c r="K49" s="172"/>
    </row>
    <row r="50" spans="1:11">
      <c r="B50" s="161" t="s">
        <v>78</v>
      </c>
      <c r="E50" s="172"/>
      <c r="F50" s="172"/>
      <c r="G50" s="172"/>
      <c r="H50" s="165"/>
      <c r="I50" s="172"/>
      <c r="J50" s="172"/>
      <c r="K50" s="172"/>
    </row>
    <row r="51" spans="1:11">
      <c r="A51" s="159">
        <v>26</v>
      </c>
      <c r="B51" s="161" t="s">
        <v>79</v>
      </c>
      <c r="D51" s="175">
        <v>0.35</v>
      </c>
      <c r="E51" s="170">
        <f>F51+G51</f>
        <v>-25741</v>
      </c>
      <c r="F51" s="170">
        <f>SUM(F308)</f>
        <v>-25741</v>
      </c>
      <c r="G51" s="170">
        <f>SUM(G308)</f>
        <v>0</v>
      </c>
      <c r="H51" s="165" t="str">
        <f>IF(E51=F51+G51," ","ERROR")</f>
        <v xml:space="preserve"> </v>
      </c>
      <c r="I51" s="170" t="e">
        <f>J51+K51</f>
        <v>#REF!</v>
      </c>
      <c r="J51" s="170" t="e">
        <f>#REF!</f>
        <v>#REF!</v>
      </c>
      <c r="K51" s="170"/>
    </row>
    <row r="52" spans="1:11">
      <c r="A52" s="159">
        <v>27</v>
      </c>
      <c r="B52" s="161" t="s">
        <v>516</v>
      </c>
      <c r="D52" s="175"/>
      <c r="E52" s="170"/>
      <c r="F52" s="170"/>
      <c r="G52" s="170"/>
      <c r="H52" s="165"/>
      <c r="I52" s="170"/>
      <c r="J52" s="170"/>
      <c r="K52" s="170"/>
    </row>
    <row r="53" spans="1:11">
      <c r="A53" s="159">
        <v>28</v>
      </c>
      <c r="B53" s="161" t="s">
        <v>80</v>
      </c>
      <c r="E53" s="170">
        <f>F53+G53</f>
        <v>66436</v>
      </c>
      <c r="F53" s="170">
        <f t="shared" ref="F53:G54" si="1">SUM(F309)</f>
        <v>66436</v>
      </c>
      <c r="G53" s="170">
        <f t="shared" si="1"/>
        <v>0</v>
      </c>
      <c r="H53" s="165" t="str">
        <f>IF(E53=F53+G53," ","ERROR")</f>
        <v xml:space="preserve"> </v>
      </c>
      <c r="I53" s="170" t="e">
        <f>J53+K53</f>
        <v>#REF!</v>
      </c>
      <c r="J53" s="170" t="e">
        <f>#REF!</f>
        <v>#REF!</v>
      </c>
      <c r="K53" s="170"/>
    </row>
    <row r="54" spans="1:11">
      <c r="A54" s="159">
        <v>29</v>
      </c>
      <c r="B54" s="161" t="s">
        <v>81</v>
      </c>
      <c r="E54" s="169">
        <f>F54+G54</f>
        <v>-325</v>
      </c>
      <c r="F54" s="169">
        <f t="shared" si="1"/>
        <v>-325</v>
      </c>
      <c r="G54" s="169">
        <f t="shared" si="1"/>
        <v>0</v>
      </c>
      <c r="H54" s="165" t="str">
        <f>IF(E54=F54+G54," ","ERROR")</f>
        <v xml:space="preserve"> </v>
      </c>
      <c r="I54" s="170" t="e">
        <f>J54+K54</f>
        <v>#REF!</v>
      </c>
      <c r="J54" s="170" t="e">
        <f>#REF!</f>
        <v>#REF!</v>
      </c>
      <c r="K54" s="170"/>
    </row>
    <row r="55" spans="1:11">
      <c r="B55" s="161"/>
      <c r="E55" s="171"/>
      <c r="F55" s="171"/>
      <c r="G55" s="171"/>
      <c r="H55" s="165"/>
      <c r="I55" s="170"/>
      <c r="J55" s="170"/>
      <c r="K55" s="170"/>
    </row>
    <row r="56" spans="1:11" s="165" customFormat="1" ht="12.75" thickBot="1">
      <c r="A56" s="168">
        <v>30</v>
      </c>
      <c r="B56" s="167" t="s">
        <v>46</v>
      </c>
      <c r="E56" s="166">
        <f>E48-(E50+E51+E53+E54)</f>
        <v>110555</v>
      </c>
      <c r="F56" s="166">
        <f>F48-(F50+F51+F53+F54)</f>
        <v>110557</v>
      </c>
      <c r="G56" s="166">
        <f>G48-(G50+G51+G53+G54)</f>
        <v>-2</v>
      </c>
      <c r="H56" s="165" t="str">
        <f>IF(E56=F56+G56," ","ERROR")</f>
        <v xml:space="preserve"> </v>
      </c>
      <c r="I56" s="166" t="e">
        <f>I48-(I50+I51+I53+I54+#REF!)</f>
        <v>#REF!</v>
      </c>
      <c r="J56" s="166" t="e">
        <f>J48-(J50+J51+J53+J54+#REF!)</f>
        <v>#REF!</v>
      </c>
      <c r="K56" s="166"/>
    </row>
    <row r="57" spans="1:11" ht="12.75" thickTop="1">
      <c r="H57" s="165"/>
    </row>
    <row r="58" spans="1:11">
      <c r="B58" s="161" t="s">
        <v>47</v>
      </c>
      <c r="H58" s="165"/>
    </row>
    <row r="59" spans="1:11">
      <c r="B59" s="161" t="s">
        <v>48</v>
      </c>
      <c r="H59" s="165"/>
    </row>
    <row r="60" spans="1:11" s="165" customFormat="1">
      <c r="A60" s="168">
        <v>31</v>
      </c>
      <c r="B60" s="167" t="s">
        <v>82</v>
      </c>
      <c r="E60" s="174">
        <f>F60+G60</f>
        <v>156057</v>
      </c>
      <c r="F60" s="174">
        <f>SUM(F324)</f>
        <v>156057</v>
      </c>
      <c r="G60" s="174">
        <f>SUM(G324)</f>
        <v>0</v>
      </c>
      <c r="H60" s="165" t="str">
        <f t="shared" ref="H60:H66" si="2">IF(E60=F60+G60," ","ERROR")</f>
        <v xml:space="preserve"> </v>
      </c>
      <c r="I60" s="174" t="e">
        <f>J60+K60</f>
        <v>#REF!</v>
      </c>
      <c r="J60" s="174" t="e">
        <f>#REF!</f>
        <v>#REF!</v>
      </c>
      <c r="K60" s="174"/>
    </row>
    <row r="61" spans="1:11">
      <c r="A61" s="159">
        <v>32</v>
      </c>
      <c r="B61" s="161" t="s">
        <v>83</v>
      </c>
      <c r="E61" s="170">
        <f>F61+G61</f>
        <v>832833</v>
      </c>
      <c r="F61" s="170">
        <f>SUM(F357)</f>
        <v>832833</v>
      </c>
      <c r="G61" s="170">
        <f>SUM(G357)</f>
        <v>0</v>
      </c>
      <c r="H61" s="165" t="str">
        <f t="shared" si="2"/>
        <v xml:space="preserve"> </v>
      </c>
      <c r="I61" s="170" t="e">
        <f>J61+K61</f>
        <v>#REF!</v>
      </c>
      <c r="J61" s="170" t="e">
        <f>#REF!</f>
        <v>#REF!</v>
      </c>
      <c r="K61" s="170"/>
    </row>
    <row r="62" spans="1:11">
      <c r="A62" s="159">
        <v>33</v>
      </c>
      <c r="B62" s="161" t="s">
        <v>84</v>
      </c>
      <c r="E62" s="170">
        <f>F62+G62</f>
        <v>430613</v>
      </c>
      <c r="F62" s="170">
        <f>SUM(F370)</f>
        <v>430613</v>
      </c>
      <c r="G62" s="170">
        <f>SUM(G370)</f>
        <v>0</v>
      </c>
      <c r="H62" s="165" t="str">
        <f t="shared" si="2"/>
        <v xml:space="preserve"> </v>
      </c>
      <c r="I62" s="170" t="e">
        <f>J62+K62</f>
        <v>#REF!</v>
      </c>
      <c r="J62" s="170" t="e">
        <f>#REF!</f>
        <v>#REF!</v>
      </c>
      <c r="K62" s="170"/>
    </row>
    <row r="63" spans="1:11">
      <c r="A63" s="159">
        <v>34</v>
      </c>
      <c r="B63" s="161" t="s">
        <v>85</v>
      </c>
      <c r="E63" s="170">
        <f>F63+G63</f>
        <v>970455</v>
      </c>
      <c r="F63" s="170">
        <f>SUM(F388)</f>
        <v>970455</v>
      </c>
      <c r="G63" s="170">
        <f>SUM(G389)</f>
        <v>0</v>
      </c>
      <c r="H63" s="165" t="str">
        <f t="shared" si="2"/>
        <v xml:space="preserve"> </v>
      </c>
      <c r="I63" s="170" t="e">
        <f>J63+K63</f>
        <v>#REF!</v>
      </c>
      <c r="J63" s="170" t="e">
        <f>#REF!</f>
        <v>#REF!</v>
      </c>
      <c r="K63" s="170"/>
    </row>
    <row r="64" spans="1:11">
      <c r="A64" s="159">
        <v>35</v>
      </c>
      <c r="B64" s="161" t="s">
        <v>86</v>
      </c>
      <c r="E64" s="169">
        <f>F64+G64</f>
        <v>233267</v>
      </c>
      <c r="F64" s="169">
        <f>SUM(F403)</f>
        <v>233267</v>
      </c>
      <c r="G64" s="169">
        <f>SUM(G404)</f>
        <v>0</v>
      </c>
      <c r="H64" s="165" t="str">
        <f t="shared" si="2"/>
        <v xml:space="preserve"> </v>
      </c>
      <c r="I64" s="169" t="e">
        <f>J64+K64</f>
        <v>#REF!</v>
      </c>
      <c r="J64" s="169" t="e">
        <f>#REF!</f>
        <v>#REF!</v>
      </c>
      <c r="K64" s="169"/>
    </row>
    <row r="65" spans="1:11">
      <c r="A65" s="159">
        <v>36</v>
      </c>
      <c r="B65" s="161" t="s">
        <v>87</v>
      </c>
      <c r="E65" s="172">
        <f>E60+E61+E62+E63+E64</f>
        <v>2623225</v>
      </c>
      <c r="F65" s="172">
        <f>F60+F61+F62+F63+F64</f>
        <v>2623225</v>
      </c>
      <c r="G65" s="172">
        <f>G60+G61+G62+G63+G64</f>
        <v>0</v>
      </c>
      <c r="H65" s="165" t="str">
        <f t="shared" si="2"/>
        <v xml:space="preserve"> </v>
      </c>
      <c r="I65" s="172" t="e">
        <f>I60+I61+I62+I63+I64</f>
        <v>#REF!</v>
      </c>
      <c r="J65" s="172" t="e">
        <f>J60+J61+J62+J63+J64</f>
        <v>#REF!</v>
      </c>
      <c r="K65" s="172"/>
    </row>
    <row r="66" spans="1:11" ht="19.5" customHeight="1">
      <c r="B66" s="161" t="s">
        <v>510</v>
      </c>
      <c r="E66" s="170"/>
      <c r="F66" s="170"/>
      <c r="G66" s="170"/>
      <c r="H66" s="165" t="str">
        <f t="shared" si="2"/>
        <v xml:space="preserve"> </v>
      </c>
      <c r="I66" s="170" t="e">
        <f>J66+K66</f>
        <v>#REF!</v>
      </c>
      <c r="J66" s="170" t="e">
        <f>#REF!</f>
        <v>#REF!</v>
      </c>
      <c r="K66" s="170"/>
    </row>
    <row r="67" spans="1:11">
      <c r="A67" s="159">
        <v>37</v>
      </c>
      <c r="B67" s="167" t="s">
        <v>82</v>
      </c>
      <c r="E67" s="170">
        <f>F67+G67</f>
        <v>-30914</v>
      </c>
      <c r="F67" s="170">
        <f>SUM(F418:F421)</f>
        <v>-30914</v>
      </c>
      <c r="G67" s="174">
        <f>SUM(G419:G420)</f>
        <v>0</v>
      </c>
      <c r="H67" s="165"/>
      <c r="I67" s="170"/>
      <c r="J67" s="170"/>
      <c r="K67" s="170"/>
    </row>
    <row r="68" spans="1:11">
      <c r="A68" s="159">
        <v>38</v>
      </c>
      <c r="B68" s="161" t="s">
        <v>83</v>
      </c>
      <c r="E68" s="170">
        <f>F68+G68</f>
        <v>-351625</v>
      </c>
      <c r="F68" s="170">
        <f>SUM(F409:F411)</f>
        <v>-351625</v>
      </c>
      <c r="G68" s="174">
        <f>SUM(G410:G412)</f>
        <v>0</v>
      </c>
      <c r="H68" s="165"/>
      <c r="I68" s="170"/>
      <c r="J68" s="170"/>
      <c r="K68" s="170"/>
    </row>
    <row r="69" spans="1:11">
      <c r="A69" s="159">
        <v>39</v>
      </c>
      <c r="B69" s="161" t="s">
        <v>84</v>
      </c>
      <c r="E69" s="170">
        <f>F69+G69</f>
        <v>-135624</v>
      </c>
      <c r="F69" s="170">
        <f>SUM(F412)</f>
        <v>-135624</v>
      </c>
      <c r="G69" s="174">
        <f>SUM(G413)</f>
        <v>0</v>
      </c>
      <c r="H69" s="165"/>
      <c r="I69" s="170"/>
      <c r="J69" s="170"/>
      <c r="K69" s="170"/>
    </row>
    <row r="70" spans="1:11">
      <c r="A70" s="159">
        <v>40</v>
      </c>
      <c r="B70" s="161" t="s">
        <v>85</v>
      </c>
      <c r="E70" s="170">
        <f>F70+G70</f>
        <v>-295383</v>
      </c>
      <c r="F70" s="170">
        <f>SUM(F413)</f>
        <v>-295383</v>
      </c>
      <c r="G70" s="174">
        <f>SUM(G414)</f>
        <v>0</v>
      </c>
      <c r="H70" s="165"/>
      <c r="I70" s="170"/>
      <c r="J70" s="170"/>
      <c r="K70" s="170"/>
    </row>
    <row r="71" spans="1:11">
      <c r="A71" s="159">
        <v>41</v>
      </c>
      <c r="B71" s="161" t="s">
        <v>86</v>
      </c>
      <c r="E71" s="169">
        <f>F71+G71</f>
        <v>-80093</v>
      </c>
      <c r="F71" s="169">
        <f>SUM(F414,F422)</f>
        <v>-80093</v>
      </c>
      <c r="G71" s="173">
        <f>SUM(G415,G421,G422,G423)</f>
        <v>0</v>
      </c>
    </row>
    <row r="72" spans="1:11">
      <c r="A72" s="159">
        <v>42</v>
      </c>
      <c r="B72" s="161" t="s">
        <v>229</v>
      </c>
      <c r="E72" s="274">
        <f>SUM(E67:E71)</f>
        <v>-893639</v>
      </c>
      <c r="F72" s="274">
        <f>SUM(F67:F71)</f>
        <v>-893639</v>
      </c>
      <c r="G72" s="158">
        <f>SUM(G67:G71)</f>
        <v>0</v>
      </c>
    </row>
    <row r="73" spans="1:11">
      <c r="A73" s="159">
        <v>43</v>
      </c>
      <c r="B73" s="158" t="s">
        <v>513</v>
      </c>
      <c r="E73" s="213">
        <f>E65+E72</f>
        <v>1729586</v>
      </c>
      <c r="F73" s="213">
        <f>F65+F72</f>
        <v>1729586</v>
      </c>
      <c r="G73" s="213">
        <f>G65+G72</f>
        <v>0</v>
      </c>
    </row>
    <row r="74" spans="1:11" ht="3.75" customHeight="1">
      <c r="B74" s="161"/>
      <c r="E74" s="172"/>
      <c r="F74" s="172"/>
      <c r="G74" s="172"/>
      <c r="H74" s="165"/>
      <c r="I74" s="172"/>
      <c r="J74" s="172"/>
      <c r="K74" s="172"/>
    </row>
    <row r="75" spans="1:11">
      <c r="A75" s="159">
        <v>44</v>
      </c>
      <c r="B75" s="161" t="s">
        <v>511</v>
      </c>
      <c r="E75" s="169">
        <f>F75+G75</f>
        <v>-354706</v>
      </c>
      <c r="F75" s="169">
        <f>SUM(F440)</f>
        <v>-354706</v>
      </c>
      <c r="G75" s="169">
        <f>SUM(G441)</f>
        <v>0</v>
      </c>
      <c r="H75" s="165" t="str">
        <f>IF(E75=F75+G75," ","ERROR")</f>
        <v xml:space="preserve"> </v>
      </c>
      <c r="I75" s="169" t="e">
        <f>J75+K75</f>
        <v>#REF!</v>
      </c>
      <c r="J75" s="169" t="e">
        <f>#REF!</f>
        <v>#REF!</v>
      </c>
      <c r="K75" s="169"/>
    </row>
    <row r="76" spans="1:11">
      <c r="A76" s="159">
        <v>45</v>
      </c>
      <c r="B76" s="161" t="s">
        <v>512</v>
      </c>
      <c r="E76" s="171">
        <f>SUM(E73:E75)</f>
        <v>1374880</v>
      </c>
      <c r="F76" s="171">
        <f>SUM(F73:F75)</f>
        <v>1374880</v>
      </c>
      <c r="G76" s="171">
        <f>SUM(G73-G75)</f>
        <v>0</v>
      </c>
      <c r="H76" s="165"/>
      <c r="I76" s="171"/>
      <c r="J76" s="171"/>
      <c r="K76" s="171"/>
    </row>
    <row r="77" spans="1:11">
      <c r="A77" s="159">
        <v>46</v>
      </c>
      <c r="B77" s="161" t="s">
        <v>228</v>
      </c>
      <c r="E77" s="170">
        <f t="shared" ref="E77:E78" si="3">F77+G77</f>
        <v>4566</v>
      </c>
      <c r="F77" s="172">
        <f>SUM(F476)-F78-1</f>
        <v>4566</v>
      </c>
      <c r="G77" s="172">
        <f>SUM(G446:G476)-G78</f>
        <v>0</v>
      </c>
      <c r="H77" s="165"/>
      <c r="I77" s="172"/>
      <c r="J77" s="172"/>
      <c r="K77" s="172"/>
    </row>
    <row r="78" spans="1:11">
      <c r="A78" s="159">
        <v>47</v>
      </c>
      <c r="B78" s="161" t="s">
        <v>212</v>
      </c>
      <c r="E78" s="169">
        <f t="shared" si="3"/>
        <v>65480</v>
      </c>
      <c r="F78" s="169">
        <f>F474</f>
        <v>65480</v>
      </c>
      <c r="G78" s="169">
        <f>G475</f>
        <v>0</v>
      </c>
      <c r="H78" s="165"/>
      <c r="I78" s="170"/>
      <c r="J78" s="170"/>
      <c r="K78" s="170"/>
    </row>
    <row r="79" spans="1:11">
      <c r="H79" s="165"/>
    </row>
    <row r="80" spans="1:11" s="165" customFormat="1" ht="12.75" thickBot="1">
      <c r="A80" s="168">
        <v>48</v>
      </c>
      <c r="B80" s="167" t="s">
        <v>50</v>
      </c>
      <c r="E80" s="166">
        <f>SUM(E76:E78)</f>
        <v>1444926</v>
      </c>
      <c r="F80" s="166">
        <f>SUM(F76:F78)</f>
        <v>1444926</v>
      </c>
      <c r="G80" s="166">
        <f>SUM(G76:G78)</f>
        <v>0</v>
      </c>
      <c r="H80" s="165" t="str">
        <f>IF(E80=F80+G80," ","ERROR")</f>
        <v xml:space="preserve"> </v>
      </c>
      <c r="I80" s="166" t="e">
        <f>J80+K80</f>
        <v>#REF!</v>
      </c>
      <c r="J80" s="166" t="e">
        <f>J65-#REF!+#REF!+#REF!</f>
        <v>#REF!</v>
      </c>
      <c r="K80" s="166"/>
    </row>
    <row r="81" spans="1:14" s="160" customFormat="1" ht="12.75" thickTop="1">
      <c r="E81" s="156">
        <f>E56/E80</f>
        <v>7.6512568809752199E-2</v>
      </c>
      <c r="F81" s="156">
        <f>F56/F80</f>
        <v>7.6513952963681187E-2</v>
      </c>
      <c r="G81" s="156"/>
      <c r="I81" s="156" t="e">
        <f>I56/I80</f>
        <v>#REF!</v>
      </c>
      <c r="J81" s="156" t="e">
        <f>J56/J80</f>
        <v>#REF!</v>
      </c>
      <c r="K81" s="156"/>
    </row>
    <row r="82" spans="1:14">
      <c r="A82" s="158"/>
      <c r="B82" s="164" t="s">
        <v>88</v>
      </c>
      <c r="C82" s="163"/>
      <c r="D82" s="163"/>
      <c r="E82" s="163"/>
      <c r="F82" s="163"/>
      <c r="G82" s="162"/>
      <c r="I82" s="163"/>
      <c r="J82" s="163"/>
      <c r="K82" s="162"/>
    </row>
    <row r="83" spans="1:14" ht="15.75">
      <c r="A83" s="189"/>
      <c r="B83" s="190" t="s">
        <v>231</v>
      </c>
      <c r="C83" s="190"/>
      <c r="M83" s="286"/>
      <c r="N83" s="286"/>
    </row>
    <row r="84" spans="1:14" ht="15.75">
      <c r="A84" s="189"/>
      <c r="B84" s="191" t="s">
        <v>232</v>
      </c>
      <c r="C84" s="190"/>
      <c r="M84" s="282"/>
      <c r="N84" s="286"/>
    </row>
    <row r="85" spans="1:14" ht="15.75">
      <c r="A85" s="192">
        <v>440000</v>
      </c>
      <c r="B85" s="191" t="s">
        <v>233</v>
      </c>
      <c r="C85" s="190"/>
      <c r="F85" s="158">
        <f>ROUND(H85/1000,0)</f>
        <v>227836</v>
      </c>
      <c r="G85" s="158">
        <v>0</v>
      </c>
      <c r="H85" s="158">
        <v>227836069</v>
      </c>
      <c r="M85" s="282"/>
      <c r="N85" s="286"/>
    </row>
    <row r="86" spans="1:14" ht="15.75">
      <c r="A86" s="192">
        <v>442200</v>
      </c>
      <c r="B86" s="191" t="s">
        <v>234</v>
      </c>
      <c r="C86" s="190"/>
      <c r="F86" s="158">
        <f t="shared" ref="F86:F150" si="4">ROUND(H86/1000,0)</f>
        <v>216620</v>
      </c>
      <c r="G86" s="158">
        <v>0</v>
      </c>
      <c r="H86" s="158">
        <v>216620304</v>
      </c>
      <c r="M86" s="282"/>
      <c r="N86" s="286"/>
    </row>
    <row r="87" spans="1:14" ht="15.75">
      <c r="A87" s="192">
        <v>442300</v>
      </c>
      <c r="B87" s="191" t="s">
        <v>235</v>
      </c>
      <c r="C87" s="190"/>
      <c r="F87" s="158">
        <f t="shared" si="4"/>
        <v>63048</v>
      </c>
      <c r="G87" s="158">
        <v>0</v>
      </c>
      <c r="H87" s="158">
        <v>63048488</v>
      </c>
      <c r="M87" s="282"/>
      <c r="N87" s="286"/>
    </row>
    <row r="88" spans="1:14" ht="15.75">
      <c r="A88" s="192">
        <v>444000</v>
      </c>
      <c r="B88" s="191" t="s">
        <v>236</v>
      </c>
      <c r="C88" s="190"/>
      <c r="F88" s="158">
        <f t="shared" si="4"/>
        <v>5155</v>
      </c>
      <c r="G88" s="158">
        <v>0</v>
      </c>
      <c r="H88" s="158">
        <v>5154751</v>
      </c>
      <c r="M88" s="282"/>
      <c r="N88" s="286"/>
    </row>
    <row r="89" spans="1:14" ht="15.75">
      <c r="A89" s="192">
        <v>448000</v>
      </c>
      <c r="B89" s="191" t="s">
        <v>239</v>
      </c>
      <c r="E89" s="190"/>
      <c r="F89" s="158">
        <f t="shared" si="4"/>
        <v>946</v>
      </c>
      <c r="G89" s="158">
        <v>0</v>
      </c>
      <c r="H89" s="158">
        <v>945950</v>
      </c>
      <c r="M89" s="282"/>
      <c r="N89" s="286"/>
    </row>
    <row r="90" spans="1:14" ht="15.75">
      <c r="A90" s="189" t="s">
        <v>237</v>
      </c>
      <c r="B90" s="191" t="s">
        <v>238</v>
      </c>
      <c r="C90" s="190"/>
      <c r="F90" s="158">
        <f t="shared" si="4"/>
        <v>3674</v>
      </c>
      <c r="G90" s="158">
        <v>0</v>
      </c>
      <c r="H90" s="158">
        <v>3673833</v>
      </c>
      <c r="M90" s="282"/>
      <c r="N90" s="286"/>
    </row>
    <row r="91" spans="1:14" ht="15.75">
      <c r="A91" s="192"/>
      <c r="B91" s="191" t="s">
        <v>240</v>
      </c>
      <c r="C91" s="190"/>
      <c r="F91" s="158">
        <f t="shared" si="4"/>
        <v>517279</v>
      </c>
      <c r="G91" s="158">
        <v>0</v>
      </c>
      <c r="H91" s="158">
        <v>517279395</v>
      </c>
      <c r="M91" s="282"/>
      <c r="N91" s="286"/>
    </row>
    <row r="92" spans="1:14" ht="15.75">
      <c r="A92" s="192"/>
      <c r="B92" s="191"/>
      <c r="C92" s="190"/>
      <c r="F92" s="158">
        <f t="shared" si="4"/>
        <v>0</v>
      </c>
      <c r="G92" s="158">
        <v>0</v>
      </c>
      <c r="M92" s="282"/>
      <c r="N92" s="286"/>
    </row>
    <row r="93" spans="1:14" ht="15.75">
      <c r="A93" s="192" t="s">
        <v>241</v>
      </c>
      <c r="B93" s="191" t="s">
        <v>34</v>
      </c>
      <c r="C93" s="190"/>
      <c r="F93" s="158">
        <f t="shared" si="4"/>
        <v>78098</v>
      </c>
      <c r="G93" s="158">
        <v>0</v>
      </c>
      <c r="H93" s="158">
        <v>78097735</v>
      </c>
      <c r="M93" s="282"/>
      <c r="N93" s="286"/>
    </row>
    <row r="94" spans="1:14" ht="15.75">
      <c r="A94" s="192"/>
      <c r="B94" s="191" t="s">
        <v>242</v>
      </c>
      <c r="C94" s="190"/>
      <c r="F94" s="158">
        <f t="shared" si="4"/>
        <v>595377</v>
      </c>
      <c r="G94" s="158">
        <v>0</v>
      </c>
      <c r="H94" s="158">
        <v>595377130</v>
      </c>
      <c r="M94" s="282"/>
      <c r="N94" s="286"/>
    </row>
    <row r="95" spans="1:14" ht="15.75">
      <c r="A95" s="192"/>
      <c r="B95" s="191"/>
      <c r="C95" s="190"/>
      <c r="F95" s="158">
        <f t="shared" si="4"/>
        <v>0</v>
      </c>
      <c r="G95" s="158">
        <v>0</v>
      </c>
      <c r="M95" s="282"/>
      <c r="N95" s="286"/>
    </row>
    <row r="96" spans="1:14" ht="15.75">
      <c r="A96" s="192"/>
      <c r="B96" s="191" t="s">
        <v>243</v>
      </c>
      <c r="C96" s="190"/>
      <c r="F96" s="158">
        <f t="shared" si="4"/>
        <v>0</v>
      </c>
      <c r="G96" s="158">
        <v>0</v>
      </c>
      <c r="M96" s="282"/>
      <c r="N96" s="286"/>
    </row>
    <row r="97" spans="1:14" ht="15.75">
      <c r="A97" s="283">
        <v>449100</v>
      </c>
      <c r="B97" s="282" t="s">
        <v>586</v>
      </c>
      <c r="C97" s="190"/>
      <c r="F97" s="158">
        <f t="shared" ref="F97" si="5">ROUND(H97/1000,0)</f>
        <v>220</v>
      </c>
      <c r="G97" s="158">
        <v>1</v>
      </c>
      <c r="H97" s="158">
        <v>220462</v>
      </c>
      <c r="M97" s="282"/>
      <c r="N97" s="286"/>
    </row>
    <row r="98" spans="1:14" ht="15.75">
      <c r="A98" s="192">
        <v>451000</v>
      </c>
      <c r="B98" s="191" t="s">
        <v>244</v>
      </c>
      <c r="C98" s="190"/>
      <c r="F98" s="158">
        <f t="shared" si="4"/>
        <v>267</v>
      </c>
      <c r="G98" s="158">
        <v>0</v>
      </c>
      <c r="H98" s="158">
        <v>266939</v>
      </c>
      <c r="M98" s="282"/>
      <c r="N98" s="286"/>
    </row>
    <row r="99" spans="1:14" ht="15.75">
      <c r="A99" s="192">
        <v>453000</v>
      </c>
      <c r="B99" s="191" t="s">
        <v>245</v>
      </c>
      <c r="C99" s="190"/>
      <c r="F99" s="158">
        <f t="shared" si="4"/>
        <v>234</v>
      </c>
      <c r="G99" s="158">
        <v>0</v>
      </c>
      <c r="H99" s="158">
        <v>234435</v>
      </c>
      <c r="M99" s="282"/>
      <c r="N99" s="286"/>
    </row>
    <row r="100" spans="1:14" ht="15.75">
      <c r="A100" s="192">
        <v>454000</v>
      </c>
      <c r="B100" s="191" t="s">
        <v>246</v>
      </c>
      <c r="C100" s="190"/>
      <c r="F100" s="158">
        <f t="shared" si="4"/>
        <v>1829</v>
      </c>
      <c r="G100" s="158">
        <v>0</v>
      </c>
      <c r="H100" s="158">
        <v>1828847</v>
      </c>
      <c r="M100" s="282"/>
      <c r="N100" s="286"/>
    </row>
    <row r="101" spans="1:14" ht="15.75">
      <c r="A101" s="189" t="s">
        <v>247</v>
      </c>
      <c r="B101" s="191" t="s">
        <v>248</v>
      </c>
      <c r="C101" s="190"/>
      <c r="F101" s="158">
        <f t="shared" si="4"/>
        <v>79184</v>
      </c>
      <c r="G101" s="158">
        <v>0</v>
      </c>
      <c r="H101" s="158">
        <v>79183997</v>
      </c>
      <c r="M101" s="282"/>
      <c r="N101" s="286"/>
    </row>
    <row r="102" spans="1:14" ht="15.75">
      <c r="A102" s="189"/>
      <c r="B102" s="191" t="s">
        <v>249</v>
      </c>
      <c r="C102" s="190"/>
      <c r="F102" s="158">
        <f t="shared" si="4"/>
        <v>81735</v>
      </c>
      <c r="G102" s="158">
        <v>0</v>
      </c>
      <c r="H102" s="158">
        <v>81734680</v>
      </c>
      <c r="M102" s="282"/>
      <c r="N102" s="286"/>
    </row>
    <row r="103" spans="1:14" ht="15.75">
      <c r="A103" s="189"/>
      <c r="B103" s="191" t="s">
        <v>250</v>
      </c>
      <c r="C103" s="190"/>
      <c r="F103" s="158">
        <f t="shared" si="4"/>
        <v>677112</v>
      </c>
      <c r="G103" s="158">
        <v>0</v>
      </c>
      <c r="H103" s="158">
        <v>677111810</v>
      </c>
      <c r="M103" s="282"/>
      <c r="N103" s="286"/>
    </row>
    <row r="104" spans="1:14" ht="15.75">
      <c r="A104" s="189"/>
      <c r="B104" s="191"/>
      <c r="C104" s="190"/>
      <c r="F104" s="158">
        <f t="shared" si="4"/>
        <v>0</v>
      </c>
      <c r="G104" s="158">
        <v>0</v>
      </c>
      <c r="M104" s="282"/>
      <c r="N104" s="286"/>
    </row>
    <row r="105" spans="1:14" ht="15.75">
      <c r="A105" s="189"/>
      <c r="B105" s="191" t="s">
        <v>251</v>
      </c>
      <c r="C105" s="190"/>
      <c r="F105" s="158">
        <f t="shared" si="4"/>
        <v>0</v>
      </c>
      <c r="G105" s="158">
        <v>0</v>
      </c>
      <c r="M105" s="282"/>
      <c r="N105" s="286"/>
    </row>
    <row r="106" spans="1:14" ht="15.75">
      <c r="A106" s="189"/>
      <c r="B106" s="191" t="s">
        <v>252</v>
      </c>
      <c r="C106" s="190"/>
      <c r="F106" s="158">
        <f t="shared" si="4"/>
        <v>0</v>
      </c>
      <c r="G106" s="158">
        <v>0</v>
      </c>
      <c r="M106" s="282"/>
      <c r="N106" s="286"/>
    </row>
    <row r="107" spans="1:14" ht="15.75">
      <c r="A107" s="189"/>
      <c r="B107" s="191" t="s">
        <v>253</v>
      </c>
      <c r="C107" s="190"/>
      <c r="F107" s="158">
        <f t="shared" si="4"/>
        <v>0</v>
      </c>
      <c r="G107" s="158">
        <v>0</v>
      </c>
      <c r="M107" s="282"/>
      <c r="N107" s="286"/>
    </row>
    <row r="108" spans="1:14" ht="15.75">
      <c r="A108" s="192">
        <v>500000</v>
      </c>
      <c r="B108" s="191" t="s">
        <v>254</v>
      </c>
      <c r="C108" s="190"/>
      <c r="F108" s="158">
        <f t="shared" si="4"/>
        <v>209</v>
      </c>
      <c r="G108" s="158">
        <v>0</v>
      </c>
      <c r="H108" s="158">
        <v>209468</v>
      </c>
      <c r="M108" s="282"/>
      <c r="N108" s="286"/>
    </row>
    <row r="109" spans="1:14" ht="15.75">
      <c r="A109" s="192">
        <v>501000</v>
      </c>
      <c r="B109" s="191" t="s">
        <v>255</v>
      </c>
      <c r="C109" s="190"/>
      <c r="F109" s="158">
        <f t="shared" si="4"/>
        <v>20076</v>
      </c>
      <c r="G109" s="158">
        <v>0</v>
      </c>
      <c r="H109" s="158">
        <v>20075571</v>
      </c>
      <c r="M109" s="282"/>
      <c r="N109" s="286"/>
    </row>
    <row r="110" spans="1:14" ht="15.75">
      <c r="A110" s="192">
        <v>502000</v>
      </c>
      <c r="B110" s="191" t="s">
        <v>256</v>
      </c>
      <c r="C110" s="190"/>
      <c r="F110" s="158">
        <f t="shared" si="4"/>
        <v>2933</v>
      </c>
      <c r="G110" s="158">
        <v>0</v>
      </c>
      <c r="H110" s="158">
        <v>2933168</v>
      </c>
      <c r="M110" s="282"/>
      <c r="N110" s="286"/>
    </row>
    <row r="111" spans="1:14" ht="15.75">
      <c r="A111" s="192">
        <v>505000</v>
      </c>
      <c r="B111" s="191" t="s">
        <v>257</v>
      </c>
      <c r="C111" s="190"/>
      <c r="F111" s="158">
        <f t="shared" si="4"/>
        <v>789</v>
      </c>
      <c r="G111" s="158">
        <v>0</v>
      </c>
      <c r="H111" s="158">
        <v>789466</v>
      </c>
      <c r="M111" s="282"/>
      <c r="N111" s="286"/>
    </row>
    <row r="112" spans="1:14" ht="15.75">
      <c r="A112" s="192">
        <v>506000</v>
      </c>
      <c r="B112" s="191" t="s">
        <v>258</v>
      </c>
      <c r="C112" s="190"/>
      <c r="F112" s="158">
        <f t="shared" si="4"/>
        <v>2154</v>
      </c>
      <c r="G112" s="158">
        <v>0</v>
      </c>
      <c r="H112" s="158">
        <v>2154267</v>
      </c>
      <c r="M112" s="282"/>
      <c r="N112" s="286"/>
    </row>
    <row r="113" spans="1:14" ht="15.75">
      <c r="A113" s="192">
        <v>507000</v>
      </c>
      <c r="B113" s="191" t="s">
        <v>259</v>
      </c>
      <c r="C113" s="190"/>
      <c r="F113" s="158">
        <f t="shared" si="4"/>
        <v>27</v>
      </c>
      <c r="G113" s="158">
        <v>0</v>
      </c>
      <c r="H113" s="158">
        <v>27201</v>
      </c>
      <c r="M113" s="282"/>
      <c r="N113" s="286"/>
    </row>
    <row r="114" spans="1:14" ht="15.75">
      <c r="A114" s="192"/>
      <c r="B114" s="191"/>
      <c r="C114" s="190"/>
      <c r="F114" s="158">
        <f t="shared" si="4"/>
        <v>0</v>
      </c>
      <c r="G114" s="158">
        <v>0</v>
      </c>
      <c r="M114" s="282"/>
      <c r="N114" s="286"/>
    </row>
    <row r="115" spans="1:14" ht="15.75">
      <c r="A115" s="192"/>
      <c r="B115" s="191" t="s">
        <v>260</v>
      </c>
      <c r="C115" s="190"/>
      <c r="F115" s="158">
        <f t="shared" si="4"/>
        <v>0</v>
      </c>
      <c r="G115" s="158">
        <v>0</v>
      </c>
      <c r="M115" s="282"/>
      <c r="N115" s="286"/>
    </row>
    <row r="116" spans="1:14" ht="15.75">
      <c r="A116" s="192">
        <v>510000</v>
      </c>
      <c r="B116" s="191" t="s">
        <v>254</v>
      </c>
      <c r="C116" s="190"/>
      <c r="F116" s="158">
        <f t="shared" si="4"/>
        <v>383</v>
      </c>
      <c r="G116" s="158">
        <v>0</v>
      </c>
      <c r="H116" s="158">
        <v>383082</v>
      </c>
      <c r="M116" s="282"/>
      <c r="N116" s="286"/>
    </row>
    <row r="117" spans="1:14" ht="15.75">
      <c r="A117" s="192">
        <v>511000</v>
      </c>
      <c r="B117" s="191" t="s">
        <v>261</v>
      </c>
      <c r="C117" s="190"/>
      <c r="F117" s="158">
        <f t="shared" si="4"/>
        <v>463</v>
      </c>
      <c r="G117" s="158">
        <v>0</v>
      </c>
      <c r="H117" s="158">
        <v>463477</v>
      </c>
      <c r="M117" s="282"/>
      <c r="N117" s="286"/>
    </row>
    <row r="118" spans="1:14" ht="15.75">
      <c r="A118" s="192">
        <v>512000</v>
      </c>
      <c r="B118" s="191" t="s">
        <v>262</v>
      </c>
      <c r="C118" s="190"/>
      <c r="F118" s="158">
        <f t="shared" si="4"/>
        <v>4737</v>
      </c>
      <c r="G118" s="158">
        <v>0</v>
      </c>
      <c r="H118" s="158">
        <v>4737098</v>
      </c>
      <c r="M118" s="282"/>
      <c r="N118" s="286"/>
    </row>
    <row r="119" spans="1:14" ht="15.75">
      <c r="A119" s="192">
        <v>513000</v>
      </c>
      <c r="B119" s="191" t="s">
        <v>263</v>
      </c>
      <c r="C119" s="190"/>
      <c r="F119" s="158">
        <f t="shared" si="4"/>
        <v>1598</v>
      </c>
      <c r="G119" s="158">
        <v>0</v>
      </c>
      <c r="H119" s="158">
        <v>1598258</v>
      </c>
      <c r="M119" s="282"/>
      <c r="N119" s="286"/>
    </row>
    <row r="120" spans="1:14" ht="15.75">
      <c r="A120" s="192">
        <v>514000</v>
      </c>
      <c r="B120" s="191" t="s">
        <v>264</v>
      </c>
      <c r="C120" s="190"/>
      <c r="F120" s="158">
        <f t="shared" si="4"/>
        <v>1123</v>
      </c>
      <c r="G120" s="158">
        <v>0</v>
      </c>
      <c r="H120" s="158">
        <v>1122549</v>
      </c>
      <c r="M120" s="282"/>
      <c r="N120" s="286"/>
    </row>
    <row r="121" spans="1:14" ht="15.75">
      <c r="A121" s="189"/>
      <c r="B121" s="191" t="s">
        <v>265</v>
      </c>
      <c r="C121" s="190"/>
      <c r="F121" s="158">
        <f t="shared" si="4"/>
        <v>34494</v>
      </c>
      <c r="G121" s="158">
        <v>0</v>
      </c>
      <c r="H121" s="158">
        <v>34493605</v>
      </c>
      <c r="M121" s="282"/>
      <c r="N121" s="286"/>
    </row>
    <row r="122" spans="1:14" ht="15.75">
      <c r="A122" s="189"/>
      <c r="B122" s="191"/>
      <c r="C122" s="190"/>
      <c r="F122" s="158">
        <f t="shared" si="4"/>
        <v>0</v>
      </c>
      <c r="G122" s="158">
        <v>0</v>
      </c>
      <c r="M122" s="282"/>
      <c r="N122" s="286"/>
    </row>
    <row r="123" spans="1:14" ht="15.75">
      <c r="A123" s="189"/>
      <c r="B123" s="191" t="s">
        <v>266</v>
      </c>
      <c r="C123" s="190"/>
      <c r="F123" s="158">
        <f t="shared" si="4"/>
        <v>0</v>
      </c>
      <c r="G123" s="158">
        <v>0</v>
      </c>
      <c r="M123" s="282"/>
      <c r="N123" s="286"/>
    </row>
    <row r="124" spans="1:14" ht="15.75">
      <c r="A124" s="189"/>
      <c r="B124" s="191" t="s">
        <v>253</v>
      </c>
      <c r="C124" s="190"/>
      <c r="F124" s="158">
        <f t="shared" si="4"/>
        <v>0</v>
      </c>
      <c r="G124" s="158">
        <v>0</v>
      </c>
      <c r="M124" s="282"/>
      <c r="N124" s="286"/>
    </row>
    <row r="125" spans="1:14" ht="15.75">
      <c r="A125" s="192">
        <v>535000</v>
      </c>
      <c r="B125" s="191" t="s">
        <v>254</v>
      </c>
      <c r="C125" s="190"/>
      <c r="F125" s="158">
        <f t="shared" si="4"/>
        <v>1896</v>
      </c>
      <c r="G125" s="158">
        <v>0</v>
      </c>
      <c r="H125" s="158">
        <v>1896004</v>
      </c>
      <c r="M125" s="282"/>
      <c r="N125" s="286"/>
    </row>
    <row r="126" spans="1:14" ht="15.75">
      <c r="A126" s="192">
        <v>536000</v>
      </c>
      <c r="B126" s="191" t="s">
        <v>267</v>
      </c>
      <c r="C126" s="190"/>
      <c r="F126" s="158">
        <f t="shared" si="4"/>
        <v>711</v>
      </c>
      <c r="G126" s="158">
        <v>0</v>
      </c>
      <c r="H126" s="158">
        <v>710557</v>
      </c>
      <c r="M126" s="282"/>
      <c r="N126" s="286"/>
    </row>
    <row r="127" spans="1:14" ht="15.75">
      <c r="A127" s="192">
        <v>537000</v>
      </c>
      <c r="B127" s="191" t="s">
        <v>268</v>
      </c>
      <c r="C127" s="190"/>
      <c r="F127" s="158">
        <f t="shared" si="4"/>
        <v>4744</v>
      </c>
      <c r="G127" s="158">
        <v>0</v>
      </c>
      <c r="H127" s="158">
        <v>4744114</v>
      </c>
      <c r="M127" s="282"/>
      <c r="N127" s="286"/>
    </row>
    <row r="128" spans="1:14" ht="15.75">
      <c r="A128" s="192">
        <v>538000</v>
      </c>
      <c r="B128" s="191" t="s">
        <v>257</v>
      </c>
      <c r="C128" s="190"/>
      <c r="F128" s="158">
        <f t="shared" si="4"/>
        <v>4696</v>
      </c>
      <c r="G128" s="158">
        <v>0</v>
      </c>
      <c r="H128" s="158">
        <v>4695602</v>
      </c>
      <c r="M128" s="282"/>
      <c r="N128" s="286"/>
    </row>
    <row r="129" spans="1:14" ht="15.75">
      <c r="A129" s="192">
        <v>539000</v>
      </c>
      <c r="B129" s="191" t="s">
        <v>269</v>
      </c>
      <c r="C129" s="190"/>
      <c r="F129" s="158">
        <f t="shared" si="4"/>
        <v>598</v>
      </c>
      <c r="G129" s="158">
        <v>0</v>
      </c>
      <c r="H129" s="158">
        <v>597770</v>
      </c>
      <c r="M129" s="282"/>
      <c r="N129" s="286"/>
    </row>
    <row r="130" spans="1:14" ht="15.75">
      <c r="A130" s="192">
        <v>540000</v>
      </c>
      <c r="B130" s="191" t="s">
        <v>259</v>
      </c>
      <c r="C130" s="190"/>
      <c r="F130" s="158">
        <f t="shared" si="4"/>
        <v>837</v>
      </c>
      <c r="G130" s="158">
        <v>0</v>
      </c>
      <c r="H130" s="158">
        <v>837315</v>
      </c>
      <c r="M130" s="282"/>
      <c r="N130" s="286"/>
    </row>
    <row r="131" spans="1:14" ht="15.75">
      <c r="A131" s="193">
        <v>540100</v>
      </c>
      <c r="B131" s="194" t="s">
        <v>270</v>
      </c>
      <c r="C131" s="195"/>
      <c r="F131" s="158">
        <f t="shared" si="4"/>
        <v>3657</v>
      </c>
      <c r="G131" s="158">
        <v>0</v>
      </c>
      <c r="H131" s="158">
        <v>3656641</v>
      </c>
      <c r="M131" s="285"/>
      <c r="N131" s="290"/>
    </row>
    <row r="132" spans="1:14" ht="15.75">
      <c r="A132" s="189"/>
      <c r="B132" s="191"/>
      <c r="C132" s="190"/>
      <c r="F132" s="158">
        <f t="shared" si="4"/>
        <v>0</v>
      </c>
      <c r="G132" s="158">
        <v>0</v>
      </c>
      <c r="M132" s="282"/>
      <c r="N132" s="286"/>
    </row>
    <row r="133" spans="1:14" ht="15.75">
      <c r="A133" s="189"/>
      <c r="B133" s="191" t="s">
        <v>260</v>
      </c>
      <c r="C133" s="190"/>
      <c r="F133" s="158">
        <f t="shared" si="4"/>
        <v>0</v>
      </c>
      <c r="G133" s="158">
        <v>0</v>
      </c>
      <c r="M133" s="282"/>
      <c r="N133" s="286"/>
    </row>
    <row r="134" spans="1:14" ht="15.75">
      <c r="A134" s="192">
        <v>541000</v>
      </c>
      <c r="B134" s="191" t="s">
        <v>254</v>
      </c>
      <c r="C134" s="190"/>
      <c r="F134" s="158">
        <f t="shared" si="4"/>
        <v>594</v>
      </c>
      <c r="G134" s="158">
        <v>0</v>
      </c>
      <c r="H134" s="158">
        <v>594394</v>
      </c>
      <c r="M134" s="282"/>
      <c r="N134" s="286"/>
    </row>
    <row r="135" spans="1:14" ht="15.75">
      <c r="A135" s="192">
        <v>542000</v>
      </c>
      <c r="B135" s="191" t="s">
        <v>261</v>
      </c>
      <c r="C135" s="190"/>
      <c r="F135" s="158">
        <f t="shared" si="4"/>
        <v>338</v>
      </c>
      <c r="G135" s="158">
        <v>0</v>
      </c>
      <c r="H135" s="158">
        <v>338373</v>
      </c>
      <c r="M135" s="282"/>
      <c r="N135" s="286"/>
    </row>
    <row r="136" spans="1:14" ht="15.75">
      <c r="A136" s="192">
        <v>543000</v>
      </c>
      <c r="B136" s="191" t="s">
        <v>271</v>
      </c>
      <c r="C136" s="190"/>
      <c r="F136" s="158">
        <f t="shared" si="4"/>
        <v>1559</v>
      </c>
      <c r="G136" s="158">
        <v>0</v>
      </c>
      <c r="H136" s="158">
        <v>1559413</v>
      </c>
      <c r="M136" s="282"/>
      <c r="N136" s="286"/>
    </row>
    <row r="137" spans="1:14" ht="15.75">
      <c r="A137" s="192">
        <v>544000</v>
      </c>
      <c r="B137" s="191" t="s">
        <v>263</v>
      </c>
      <c r="C137" s="190"/>
      <c r="F137" s="158">
        <f t="shared" si="4"/>
        <v>2011</v>
      </c>
      <c r="G137" s="158">
        <v>0</v>
      </c>
      <c r="H137" s="158">
        <v>2011360</v>
      </c>
      <c r="M137" s="282"/>
      <c r="N137" s="286"/>
    </row>
    <row r="138" spans="1:14" ht="15.75">
      <c r="A138" s="192">
        <v>545000</v>
      </c>
      <c r="B138" s="191" t="s">
        <v>272</v>
      </c>
      <c r="C138" s="190"/>
      <c r="F138" s="158">
        <f t="shared" si="4"/>
        <v>476</v>
      </c>
      <c r="G138" s="158">
        <v>0</v>
      </c>
      <c r="H138" s="158">
        <v>475795</v>
      </c>
      <c r="M138" s="282"/>
      <c r="N138" s="286"/>
    </row>
    <row r="139" spans="1:14" ht="15.75">
      <c r="A139" s="189"/>
      <c r="B139" s="191" t="s">
        <v>273</v>
      </c>
      <c r="C139" s="190"/>
      <c r="F139" s="158">
        <f t="shared" si="4"/>
        <v>22117</v>
      </c>
      <c r="G139" s="158">
        <v>0</v>
      </c>
      <c r="H139" s="158">
        <v>22117338</v>
      </c>
      <c r="M139" s="282"/>
      <c r="N139" s="286"/>
    </row>
    <row r="140" spans="1:14" ht="15.75">
      <c r="A140" s="189"/>
      <c r="B140" s="191"/>
      <c r="C140" s="190"/>
      <c r="F140" s="158">
        <f t="shared" si="4"/>
        <v>0</v>
      </c>
      <c r="G140" s="158">
        <v>0</v>
      </c>
      <c r="M140" s="282"/>
      <c r="N140" s="286"/>
    </row>
    <row r="141" spans="1:14" ht="15.75">
      <c r="A141" s="189"/>
      <c r="B141" s="191" t="s">
        <v>274</v>
      </c>
      <c r="C141" s="190"/>
      <c r="F141" s="158">
        <f t="shared" si="4"/>
        <v>0</v>
      </c>
      <c r="G141" s="158">
        <v>0</v>
      </c>
      <c r="M141" s="282"/>
      <c r="N141" s="286"/>
    </row>
    <row r="142" spans="1:14" ht="15.75">
      <c r="A142" s="189"/>
      <c r="B142" s="191" t="s">
        <v>253</v>
      </c>
      <c r="C142" s="190"/>
      <c r="F142" s="158">
        <f t="shared" si="4"/>
        <v>0</v>
      </c>
      <c r="G142" s="158">
        <v>0</v>
      </c>
      <c r="M142" s="282"/>
      <c r="N142" s="286"/>
    </row>
    <row r="143" spans="1:14" ht="15.75">
      <c r="A143" s="192">
        <v>546000</v>
      </c>
      <c r="B143" s="191" t="s">
        <v>254</v>
      </c>
      <c r="C143" s="190"/>
      <c r="F143" s="158">
        <f t="shared" si="4"/>
        <v>801</v>
      </c>
      <c r="G143" s="158">
        <v>0</v>
      </c>
      <c r="H143" s="158">
        <v>801026</v>
      </c>
      <c r="M143" s="282"/>
      <c r="N143" s="286"/>
    </row>
    <row r="144" spans="1:14" ht="15.75">
      <c r="A144" s="192">
        <v>547000</v>
      </c>
      <c r="B144" s="191" t="s">
        <v>255</v>
      </c>
      <c r="C144" s="190"/>
      <c r="F144" s="158">
        <f t="shared" si="4"/>
        <v>50743</v>
      </c>
      <c r="G144" s="158">
        <v>0</v>
      </c>
      <c r="H144" s="158">
        <v>50742893</v>
      </c>
      <c r="M144" s="282"/>
      <c r="N144" s="286"/>
    </row>
    <row r="145" spans="1:14" ht="15.75">
      <c r="A145" s="192">
        <v>548000</v>
      </c>
      <c r="B145" s="191" t="s">
        <v>275</v>
      </c>
      <c r="C145" s="190"/>
      <c r="F145" s="158">
        <f t="shared" si="4"/>
        <v>1041</v>
      </c>
      <c r="G145" s="158">
        <v>0</v>
      </c>
      <c r="H145" s="158">
        <v>1041442</v>
      </c>
      <c r="M145" s="282"/>
      <c r="N145" s="286"/>
    </row>
    <row r="146" spans="1:14" ht="15.75">
      <c r="A146" s="192">
        <v>549000</v>
      </c>
      <c r="B146" s="191" t="s">
        <v>276</v>
      </c>
      <c r="C146" s="190"/>
      <c r="F146" s="158">
        <f t="shared" si="4"/>
        <v>392</v>
      </c>
      <c r="G146" s="158">
        <v>0</v>
      </c>
      <c r="H146" s="158">
        <v>391678</v>
      </c>
      <c r="M146" s="282"/>
      <c r="N146" s="286"/>
    </row>
    <row r="147" spans="1:14" ht="15.75">
      <c r="A147" s="192">
        <v>550000</v>
      </c>
      <c r="B147" s="191" t="s">
        <v>259</v>
      </c>
      <c r="C147" s="190"/>
      <c r="F147" s="158">
        <f t="shared" si="4"/>
        <v>-22</v>
      </c>
      <c r="G147" s="158">
        <v>0</v>
      </c>
      <c r="H147" s="158">
        <v>-22132</v>
      </c>
      <c r="M147" s="282"/>
      <c r="N147" s="286"/>
    </row>
    <row r="148" spans="1:14" ht="15.75">
      <c r="A148" s="189"/>
      <c r="B148" s="191"/>
      <c r="C148" s="190"/>
      <c r="F148" s="158">
        <f t="shared" si="4"/>
        <v>0</v>
      </c>
      <c r="G148" s="158">
        <v>0</v>
      </c>
      <c r="M148" s="282"/>
      <c r="N148" s="286"/>
    </row>
    <row r="149" spans="1:14" ht="15.75">
      <c r="A149" s="189"/>
      <c r="B149" s="191" t="s">
        <v>260</v>
      </c>
      <c r="C149" s="190"/>
      <c r="F149" s="158">
        <f t="shared" si="4"/>
        <v>0</v>
      </c>
      <c r="G149" s="158">
        <v>0</v>
      </c>
      <c r="M149" s="282"/>
      <c r="N149" s="286"/>
    </row>
    <row r="150" spans="1:14" ht="15.75">
      <c r="A150" s="192">
        <v>551000</v>
      </c>
      <c r="B150" s="191" t="s">
        <v>254</v>
      </c>
      <c r="C150" s="190"/>
      <c r="F150" s="158">
        <f t="shared" si="4"/>
        <v>415</v>
      </c>
      <c r="G150" s="158">
        <v>0</v>
      </c>
      <c r="H150" s="158">
        <v>414996</v>
      </c>
      <c r="M150" s="282"/>
      <c r="N150" s="286"/>
    </row>
    <row r="151" spans="1:14" ht="15.75">
      <c r="A151" s="192">
        <v>552000</v>
      </c>
      <c r="B151" s="191" t="s">
        <v>261</v>
      </c>
      <c r="C151" s="190"/>
      <c r="F151" s="158">
        <f t="shared" ref="F151:F228" si="6">ROUND(H151/1000,0)</f>
        <v>84</v>
      </c>
      <c r="G151" s="158">
        <v>0</v>
      </c>
      <c r="H151" s="158">
        <v>83600</v>
      </c>
      <c r="M151" s="282"/>
      <c r="N151" s="286"/>
    </row>
    <row r="152" spans="1:14" ht="15.75">
      <c r="A152" s="192">
        <v>553000</v>
      </c>
      <c r="B152" s="191" t="s">
        <v>277</v>
      </c>
      <c r="C152" s="190"/>
      <c r="F152" s="158">
        <f t="shared" si="6"/>
        <v>2102</v>
      </c>
      <c r="G152" s="158">
        <v>0</v>
      </c>
      <c r="H152" s="158">
        <v>2101726</v>
      </c>
      <c r="M152" s="282"/>
      <c r="N152" s="286"/>
    </row>
    <row r="153" spans="1:14" ht="15.75">
      <c r="A153" s="192">
        <v>554000</v>
      </c>
      <c r="B153" s="191" t="s">
        <v>278</v>
      </c>
      <c r="C153" s="190"/>
      <c r="F153" s="158">
        <f t="shared" si="6"/>
        <v>178</v>
      </c>
      <c r="G153" s="158">
        <v>0</v>
      </c>
      <c r="H153" s="158">
        <v>177570</v>
      </c>
      <c r="M153" s="282"/>
      <c r="N153" s="286"/>
    </row>
    <row r="154" spans="1:14" ht="15.75">
      <c r="A154" s="189"/>
      <c r="B154" s="191" t="s">
        <v>279</v>
      </c>
      <c r="C154" s="190"/>
      <c r="F154" s="158">
        <f t="shared" si="6"/>
        <v>55733</v>
      </c>
      <c r="G154" s="158">
        <v>0</v>
      </c>
      <c r="H154" s="158">
        <v>55732799</v>
      </c>
      <c r="M154" s="282"/>
      <c r="N154" s="286"/>
    </row>
    <row r="155" spans="1:14" ht="15.75">
      <c r="A155" s="189"/>
      <c r="B155" s="191"/>
      <c r="C155" s="190"/>
      <c r="F155" s="158">
        <f t="shared" si="6"/>
        <v>0</v>
      </c>
      <c r="G155" s="158">
        <v>0</v>
      </c>
      <c r="M155" s="282"/>
      <c r="N155" s="286"/>
    </row>
    <row r="156" spans="1:14" ht="15.75">
      <c r="A156" s="189"/>
      <c r="B156" s="191" t="s">
        <v>280</v>
      </c>
      <c r="C156" s="190"/>
      <c r="F156" s="158">
        <f t="shared" si="6"/>
        <v>0</v>
      </c>
      <c r="G156" s="158">
        <v>0</v>
      </c>
      <c r="M156" s="282"/>
      <c r="N156" s="286"/>
    </row>
    <row r="157" spans="1:14" ht="15.75">
      <c r="A157" s="189" t="s">
        <v>281</v>
      </c>
      <c r="B157" s="191" t="s">
        <v>39</v>
      </c>
      <c r="C157" s="190"/>
      <c r="F157" s="158">
        <f t="shared" si="6"/>
        <v>96772</v>
      </c>
      <c r="G157" s="158">
        <v>0</v>
      </c>
      <c r="H157" s="158">
        <v>96772129</v>
      </c>
      <c r="M157" s="282"/>
      <c r="N157" s="286"/>
    </row>
    <row r="158" spans="1:14" ht="15.75">
      <c r="A158" s="192">
        <v>556000</v>
      </c>
      <c r="B158" s="191" t="s">
        <v>282</v>
      </c>
      <c r="C158" s="190"/>
      <c r="F158" s="158">
        <f t="shared" si="6"/>
        <v>493</v>
      </c>
      <c r="G158" s="158">
        <v>0</v>
      </c>
      <c r="H158" s="158">
        <v>493194</v>
      </c>
      <c r="M158" s="282"/>
      <c r="N158" s="286"/>
    </row>
    <row r="159" spans="1:14" ht="15.75">
      <c r="A159" s="192" t="s">
        <v>283</v>
      </c>
      <c r="B159" s="191" t="s">
        <v>284</v>
      </c>
      <c r="C159" s="190"/>
      <c r="F159" s="158">
        <f t="shared" si="6"/>
        <v>51397</v>
      </c>
      <c r="G159" s="158">
        <v>0</v>
      </c>
      <c r="H159" s="158">
        <v>51396875</v>
      </c>
      <c r="M159" s="282"/>
      <c r="N159" s="286"/>
    </row>
    <row r="160" spans="1:14" ht="15.75">
      <c r="A160" s="192"/>
      <c r="B160" s="191" t="s">
        <v>285</v>
      </c>
      <c r="C160" s="190"/>
      <c r="F160" s="158">
        <f t="shared" si="6"/>
        <v>148662</v>
      </c>
      <c r="G160" s="158">
        <v>0</v>
      </c>
      <c r="H160" s="158">
        <v>148662198</v>
      </c>
      <c r="M160" s="282"/>
      <c r="N160" s="286"/>
    </row>
    <row r="161" spans="1:14" ht="15.75">
      <c r="A161" s="192"/>
      <c r="B161" s="191" t="s">
        <v>286</v>
      </c>
      <c r="C161" s="190"/>
      <c r="F161" s="158">
        <f t="shared" si="6"/>
        <v>261006</v>
      </c>
      <c r="G161" s="158">
        <v>0</v>
      </c>
      <c r="H161" s="158">
        <v>261005940</v>
      </c>
      <c r="M161" s="282"/>
      <c r="N161" s="286"/>
    </row>
    <row r="162" spans="1:14" ht="15.75">
      <c r="A162" s="192"/>
      <c r="B162" s="191"/>
      <c r="C162" s="190"/>
      <c r="F162" s="158">
        <f t="shared" si="6"/>
        <v>0</v>
      </c>
      <c r="G162" s="158">
        <v>0</v>
      </c>
      <c r="M162" s="282"/>
      <c r="N162" s="286"/>
    </row>
    <row r="163" spans="1:14" ht="15.75">
      <c r="A163" s="192"/>
      <c r="B163" s="191" t="s">
        <v>287</v>
      </c>
      <c r="C163" s="190"/>
      <c r="F163" s="158">
        <f t="shared" si="6"/>
        <v>0</v>
      </c>
      <c r="G163" s="158">
        <v>0</v>
      </c>
      <c r="M163" s="282"/>
      <c r="N163" s="286"/>
    </row>
    <row r="164" spans="1:14" ht="15.75">
      <c r="A164" s="192"/>
      <c r="B164" s="191" t="s">
        <v>253</v>
      </c>
      <c r="C164" s="190"/>
      <c r="F164" s="158">
        <f t="shared" si="6"/>
        <v>0</v>
      </c>
      <c r="G164" s="158">
        <v>0</v>
      </c>
      <c r="M164" s="282"/>
      <c r="N164" s="286"/>
    </row>
    <row r="165" spans="1:14" ht="15.75">
      <c r="A165" s="192">
        <v>560000</v>
      </c>
      <c r="B165" s="191" t="s">
        <v>254</v>
      </c>
      <c r="C165" s="190"/>
      <c r="F165" s="158">
        <f t="shared" si="6"/>
        <v>1670</v>
      </c>
      <c r="G165" s="158">
        <v>0</v>
      </c>
      <c r="H165" s="158">
        <v>1669589</v>
      </c>
      <c r="M165" s="282"/>
      <c r="N165" s="286"/>
    </row>
    <row r="166" spans="1:14" ht="15.75">
      <c r="A166" s="192">
        <v>561000</v>
      </c>
      <c r="B166" s="191" t="s">
        <v>288</v>
      </c>
      <c r="C166" s="190"/>
      <c r="F166" s="158">
        <f t="shared" si="6"/>
        <v>1863</v>
      </c>
      <c r="G166" s="158">
        <v>0</v>
      </c>
      <c r="H166" s="158">
        <v>1862591</v>
      </c>
      <c r="M166" s="282"/>
      <c r="N166" s="286"/>
    </row>
    <row r="167" spans="1:14" ht="15.75">
      <c r="A167" s="192">
        <v>562000</v>
      </c>
      <c r="B167" s="191" t="s">
        <v>289</v>
      </c>
      <c r="C167" s="190"/>
      <c r="F167" s="158">
        <f t="shared" si="6"/>
        <v>287</v>
      </c>
      <c r="G167" s="158">
        <v>0</v>
      </c>
      <c r="H167" s="158">
        <v>287138</v>
      </c>
      <c r="M167" s="282"/>
      <c r="N167" s="286"/>
    </row>
    <row r="168" spans="1:14" ht="15.75">
      <c r="A168" s="283">
        <v>562100</v>
      </c>
      <c r="B168" s="282" t="s">
        <v>587</v>
      </c>
      <c r="C168" s="190"/>
      <c r="F168" s="158">
        <f t="shared" ref="F168" si="7">ROUND(H168/1000,0)</f>
        <v>0</v>
      </c>
      <c r="G168" s="158">
        <v>0</v>
      </c>
      <c r="H168" s="158">
        <v>0</v>
      </c>
      <c r="M168" s="282"/>
      <c r="N168" s="286"/>
    </row>
    <row r="169" spans="1:14" ht="15.75">
      <c r="A169" s="192">
        <v>563000</v>
      </c>
      <c r="B169" s="191" t="s">
        <v>290</v>
      </c>
      <c r="C169" s="190"/>
      <c r="F169" s="158">
        <f t="shared" si="6"/>
        <v>337</v>
      </c>
      <c r="G169" s="158">
        <v>0</v>
      </c>
      <c r="H169" s="158">
        <v>337280</v>
      </c>
      <c r="M169" s="282"/>
      <c r="N169" s="286"/>
    </row>
    <row r="170" spans="1:14" ht="15.75">
      <c r="A170" s="192">
        <v>565000</v>
      </c>
      <c r="B170" s="191" t="s">
        <v>291</v>
      </c>
      <c r="C170" s="190"/>
      <c r="F170" s="158">
        <f t="shared" si="6"/>
        <v>11339</v>
      </c>
      <c r="G170" s="158">
        <v>0</v>
      </c>
      <c r="H170" s="158">
        <v>11339318</v>
      </c>
      <c r="M170" s="282"/>
      <c r="N170" s="286"/>
    </row>
    <row r="171" spans="1:14" ht="15.75">
      <c r="A171" s="192">
        <v>566000</v>
      </c>
      <c r="B171" s="191" t="s">
        <v>292</v>
      </c>
      <c r="C171" s="190"/>
      <c r="F171" s="158">
        <f t="shared" si="6"/>
        <v>1599</v>
      </c>
      <c r="G171" s="158">
        <v>0</v>
      </c>
      <c r="H171" s="158">
        <v>1598537</v>
      </c>
      <c r="M171" s="282"/>
      <c r="N171" s="286"/>
    </row>
    <row r="172" spans="1:14" ht="15.75">
      <c r="A172" s="192">
        <v>567000</v>
      </c>
      <c r="B172" s="191" t="s">
        <v>259</v>
      </c>
      <c r="C172" s="190"/>
      <c r="F172" s="158">
        <f t="shared" si="6"/>
        <v>125</v>
      </c>
      <c r="G172" s="158">
        <v>0</v>
      </c>
      <c r="H172" s="158">
        <v>125349</v>
      </c>
      <c r="M172" s="282"/>
      <c r="N172" s="286"/>
    </row>
    <row r="173" spans="1:14" ht="15.75">
      <c r="A173" s="189"/>
      <c r="B173" s="191"/>
      <c r="C173" s="190"/>
      <c r="F173" s="158">
        <f t="shared" si="6"/>
        <v>0</v>
      </c>
      <c r="G173" s="158">
        <v>0</v>
      </c>
      <c r="M173" s="282"/>
      <c r="N173" s="286"/>
    </row>
    <row r="174" spans="1:14" ht="15.75">
      <c r="A174" s="189"/>
      <c r="B174" s="191" t="s">
        <v>260</v>
      </c>
      <c r="C174" s="190"/>
      <c r="F174" s="158">
        <f t="shared" si="6"/>
        <v>0</v>
      </c>
      <c r="G174" s="158">
        <v>0</v>
      </c>
      <c r="M174" s="282"/>
      <c r="N174" s="286"/>
    </row>
    <row r="175" spans="1:14" ht="15.75">
      <c r="A175" s="192">
        <v>568000</v>
      </c>
      <c r="B175" s="191" t="s">
        <v>254</v>
      </c>
      <c r="C175" s="190"/>
      <c r="F175" s="158">
        <f t="shared" si="6"/>
        <v>672</v>
      </c>
      <c r="G175" s="158">
        <v>0</v>
      </c>
      <c r="H175" s="158">
        <v>671604</v>
      </c>
      <c r="M175" s="282"/>
      <c r="N175" s="286"/>
    </row>
    <row r="176" spans="1:14" ht="15.75">
      <c r="A176" s="192">
        <v>569000</v>
      </c>
      <c r="B176" s="191" t="s">
        <v>261</v>
      </c>
      <c r="C176" s="190"/>
      <c r="F176" s="158">
        <f t="shared" si="6"/>
        <v>445</v>
      </c>
      <c r="G176" s="158">
        <v>0</v>
      </c>
      <c r="H176" s="158">
        <v>445134</v>
      </c>
      <c r="M176" s="282"/>
      <c r="N176" s="286"/>
    </row>
    <row r="177" spans="1:14" ht="15.75">
      <c r="A177" s="192">
        <v>570000</v>
      </c>
      <c r="B177" s="191" t="s">
        <v>293</v>
      </c>
      <c r="C177" s="190"/>
      <c r="F177" s="158">
        <f t="shared" si="6"/>
        <v>875</v>
      </c>
      <c r="G177" s="158">
        <v>0</v>
      </c>
      <c r="H177" s="158">
        <v>874609</v>
      </c>
      <c r="M177" s="282"/>
      <c r="N177" s="286"/>
    </row>
    <row r="178" spans="1:14" ht="15.75">
      <c r="A178" s="283">
        <v>570100</v>
      </c>
      <c r="B178" s="282" t="s">
        <v>587</v>
      </c>
      <c r="C178" s="190"/>
      <c r="F178" s="158">
        <f t="shared" ref="F178" si="8">ROUND(H178/1000,0)</f>
        <v>0</v>
      </c>
      <c r="G178" s="158">
        <v>0</v>
      </c>
      <c r="H178" s="158">
        <v>0</v>
      </c>
      <c r="M178" s="282"/>
      <c r="N178" s="286"/>
    </row>
    <row r="179" spans="1:14" ht="15.75">
      <c r="A179" s="192">
        <v>571000</v>
      </c>
      <c r="B179" s="191" t="s">
        <v>294</v>
      </c>
      <c r="C179" s="190"/>
      <c r="F179" s="158">
        <f t="shared" si="6"/>
        <v>1172</v>
      </c>
      <c r="G179" s="158">
        <v>0</v>
      </c>
      <c r="H179" s="158">
        <v>1171516</v>
      </c>
      <c r="M179" s="282"/>
      <c r="N179" s="286"/>
    </row>
    <row r="180" spans="1:14" ht="15.75">
      <c r="A180" s="192">
        <v>572000</v>
      </c>
      <c r="B180" s="191" t="s">
        <v>295</v>
      </c>
      <c r="C180" s="190"/>
      <c r="F180" s="158">
        <f t="shared" si="6"/>
        <v>1</v>
      </c>
      <c r="G180" s="158">
        <v>0</v>
      </c>
      <c r="H180" s="158">
        <v>1088</v>
      </c>
      <c r="M180" s="282"/>
      <c r="N180" s="286"/>
    </row>
    <row r="181" spans="1:14" ht="15.75">
      <c r="A181" s="192">
        <v>573000</v>
      </c>
      <c r="B181" s="191" t="s">
        <v>296</v>
      </c>
      <c r="C181" s="190"/>
      <c r="F181" s="158">
        <f t="shared" si="6"/>
        <v>54</v>
      </c>
      <c r="G181" s="158">
        <v>0</v>
      </c>
      <c r="H181" s="158">
        <v>54411</v>
      </c>
      <c r="M181" s="282"/>
      <c r="N181" s="286"/>
    </row>
    <row r="182" spans="1:14" ht="15.75">
      <c r="A182" s="189"/>
      <c r="B182" s="191" t="s">
        <v>297</v>
      </c>
      <c r="C182" s="190"/>
      <c r="F182" s="158">
        <f t="shared" si="6"/>
        <v>20438</v>
      </c>
      <c r="G182" s="158">
        <v>0</v>
      </c>
      <c r="H182" s="158">
        <v>20438164</v>
      </c>
      <c r="M182" s="282"/>
      <c r="N182" s="286"/>
    </row>
    <row r="183" spans="1:14" ht="15.75">
      <c r="A183" s="189"/>
      <c r="B183" s="191"/>
      <c r="C183" s="190"/>
      <c r="F183" s="158">
        <f t="shared" si="6"/>
        <v>0</v>
      </c>
      <c r="G183" s="158">
        <v>0</v>
      </c>
      <c r="M183" s="282"/>
    </row>
    <row r="184" spans="1:14" ht="15.75">
      <c r="A184" s="189"/>
      <c r="B184" s="191" t="s">
        <v>298</v>
      </c>
      <c r="C184" s="190"/>
      <c r="F184" s="158">
        <f>ROUND(H184/1000,0)</f>
        <v>18302</v>
      </c>
      <c r="G184" s="158">
        <v>0</v>
      </c>
      <c r="H184" s="158">
        <v>18301777</v>
      </c>
      <c r="M184" s="282" t="s">
        <v>298</v>
      </c>
    </row>
    <row r="185" spans="1:14" ht="15.75">
      <c r="A185" s="189"/>
      <c r="B185" s="191" t="s">
        <v>299</v>
      </c>
      <c r="C185" s="190"/>
      <c r="F185" s="158">
        <f t="shared" ref="F185:F223" si="9">ROUND(H185/1000,0)</f>
        <v>7755</v>
      </c>
      <c r="G185" s="158">
        <v>0</v>
      </c>
      <c r="H185" s="158">
        <v>7755079</v>
      </c>
      <c r="M185" s="282" t="s">
        <v>299</v>
      </c>
    </row>
    <row r="186" spans="1:14" ht="15.75">
      <c r="A186" s="196"/>
      <c r="B186" s="194" t="s">
        <v>300</v>
      </c>
      <c r="C186" s="195"/>
      <c r="F186" s="158">
        <f t="shared" si="9"/>
        <v>761</v>
      </c>
      <c r="G186" s="158">
        <v>0</v>
      </c>
      <c r="H186" s="158">
        <v>761423</v>
      </c>
      <c r="M186" s="285" t="s">
        <v>300</v>
      </c>
    </row>
    <row r="187" spans="1:14" ht="15.75">
      <c r="A187" s="196"/>
      <c r="B187" s="191" t="s">
        <v>556</v>
      </c>
      <c r="C187" s="195"/>
      <c r="F187" s="158">
        <f t="shared" si="9"/>
        <v>-141</v>
      </c>
      <c r="G187" s="158">
        <v>0</v>
      </c>
      <c r="H187" s="158">
        <v>-141072</v>
      </c>
      <c r="M187" s="282" t="s">
        <v>556</v>
      </c>
    </row>
    <row r="188" spans="1:14" ht="15.75">
      <c r="A188" s="192">
        <v>405930</v>
      </c>
      <c r="B188" s="191" t="s">
        <v>301</v>
      </c>
      <c r="C188" s="190"/>
      <c r="F188" s="158">
        <f t="shared" si="9"/>
        <v>2450</v>
      </c>
      <c r="G188" s="158">
        <v>0</v>
      </c>
      <c r="H188" s="158">
        <v>2450031</v>
      </c>
      <c r="M188" s="282" t="s">
        <v>301</v>
      </c>
    </row>
    <row r="189" spans="1:14" ht="15.75">
      <c r="A189" s="192">
        <v>406100</v>
      </c>
      <c r="B189" s="191" t="s">
        <v>302</v>
      </c>
      <c r="C189" s="190"/>
      <c r="F189" s="158">
        <f t="shared" si="9"/>
        <v>32</v>
      </c>
      <c r="G189" s="158">
        <v>0</v>
      </c>
      <c r="H189" s="158">
        <v>31743</v>
      </c>
      <c r="M189" s="282" t="s">
        <v>302</v>
      </c>
    </row>
    <row r="190" spans="1:14" ht="15.75">
      <c r="A190" s="192">
        <v>407312</v>
      </c>
      <c r="B190" s="191" t="s">
        <v>303</v>
      </c>
      <c r="C190" s="190"/>
      <c r="F190" s="158">
        <f t="shared" si="9"/>
        <v>0</v>
      </c>
      <c r="G190" s="158">
        <v>0</v>
      </c>
      <c r="H190" s="158">
        <v>0</v>
      </c>
      <c r="M190" s="282" t="s">
        <v>303</v>
      </c>
    </row>
    <row r="191" spans="1:14" ht="15.75">
      <c r="A191" s="284">
        <v>407320</v>
      </c>
      <c r="B191" s="285" t="s">
        <v>590</v>
      </c>
      <c r="C191" s="190"/>
      <c r="F191" s="158">
        <f t="shared" si="9"/>
        <v>0</v>
      </c>
      <c r="G191" s="158">
        <v>0</v>
      </c>
      <c r="H191" s="158">
        <v>0</v>
      </c>
      <c r="M191" s="285" t="s">
        <v>590</v>
      </c>
    </row>
    <row r="192" spans="1:14" ht="15.75">
      <c r="A192" s="193">
        <v>407322</v>
      </c>
      <c r="B192" s="194" t="s">
        <v>304</v>
      </c>
      <c r="C192" s="195"/>
      <c r="F192" s="158">
        <f t="shared" si="9"/>
        <v>73</v>
      </c>
      <c r="G192" s="158">
        <v>0</v>
      </c>
      <c r="H192" s="158">
        <v>72939</v>
      </c>
      <c r="M192" s="285" t="s">
        <v>304</v>
      </c>
    </row>
    <row r="193" spans="1:13" ht="15.75">
      <c r="A193" s="193">
        <v>407324</v>
      </c>
      <c r="B193" s="194" t="s">
        <v>305</v>
      </c>
      <c r="C193" s="195"/>
      <c r="F193" s="158">
        <f t="shared" si="9"/>
        <v>143</v>
      </c>
      <c r="G193" s="158">
        <v>0</v>
      </c>
      <c r="H193" s="158">
        <v>142525</v>
      </c>
      <c r="M193" s="285" t="s">
        <v>305</v>
      </c>
    </row>
    <row r="194" spans="1:13" ht="15.75">
      <c r="A194" s="193">
        <v>407326</v>
      </c>
      <c r="B194" s="194" t="s">
        <v>594</v>
      </c>
      <c r="C194" s="195"/>
      <c r="F194" s="158">
        <f t="shared" si="9"/>
        <v>0</v>
      </c>
      <c r="H194" s="158">
        <v>0</v>
      </c>
      <c r="M194" s="285" t="s">
        <v>594</v>
      </c>
    </row>
    <row r="195" spans="1:13" ht="15.75">
      <c r="A195" s="193">
        <v>407331</v>
      </c>
      <c r="B195" s="194" t="s">
        <v>557</v>
      </c>
      <c r="C195" s="195"/>
      <c r="F195" s="158">
        <f t="shared" si="9"/>
        <v>0</v>
      </c>
      <c r="G195" s="158">
        <v>0</v>
      </c>
      <c r="H195" s="158">
        <v>0</v>
      </c>
      <c r="M195" s="285" t="s">
        <v>557</v>
      </c>
    </row>
    <row r="196" spans="1:13" ht="15.75">
      <c r="A196" s="193">
        <v>407333</v>
      </c>
      <c r="B196" s="194" t="s">
        <v>558</v>
      </c>
      <c r="C196" s="195"/>
      <c r="F196" s="158">
        <f t="shared" si="9"/>
        <v>22</v>
      </c>
      <c r="G196" s="158">
        <v>0</v>
      </c>
      <c r="H196" s="158">
        <v>21506</v>
      </c>
      <c r="M196" s="285" t="s">
        <v>558</v>
      </c>
    </row>
    <row r="197" spans="1:13" ht="15.75">
      <c r="A197" s="193">
        <v>407335</v>
      </c>
      <c r="B197" s="194" t="s">
        <v>306</v>
      </c>
      <c r="C197" s="190"/>
      <c r="F197" s="158">
        <f t="shared" si="9"/>
        <v>0</v>
      </c>
      <c r="G197" s="158">
        <v>0</v>
      </c>
      <c r="H197" s="158">
        <v>0</v>
      </c>
      <c r="M197" s="285" t="s">
        <v>306</v>
      </c>
    </row>
    <row r="198" spans="1:13" ht="15.75">
      <c r="A198" s="192">
        <v>407350</v>
      </c>
      <c r="B198" s="191" t="s">
        <v>559</v>
      </c>
      <c r="C198" s="190"/>
      <c r="F198" s="158">
        <f t="shared" si="9"/>
        <v>0</v>
      </c>
      <c r="G198" s="158">
        <v>0</v>
      </c>
      <c r="H198" s="158">
        <v>0</v>
      </c>
      <c r="M198" s="282" t="s">
        <v>559</v>
      </c>
    </row>
    <row r="199" spans="1:13" ht="15.75">
      <c r="A199" s="192">
        <v>407351</v>
      </c>
      <c r="B199" s="191" t="s">
        <v>307</v>
      </c>
      <c r="C199" s="195"/>
      <c r="F199" s="158">
        <f t="shared" si="9"/>
        <v>0</v>
      </c>
      <c r="G199" s="158">
        <v>0</v>
      </c>
      <c r="H199" s="158">
        <v>0</v>
      </c>
      <c r="M199" s="282" t="s">
        <v>307</v>
      </c>
    </row>
    <row r="200" spans="1:13" ht="15.75">
      <c r="A200" s="192">
        <v>407360</v>
      </c>
      <c r="B200" s="191" t="s">
        <v>560</v>
      </c>
      <c r="C200" s="195"/>
      <c r="F200" s="158">
        <f t="shared" si="9"/>
        <v>1103</v>
      </c>
      <c r="G200" s="158">
        <v>0</v>
      </c>
      <c r="H200" s="158">
        <v>1102752</v>
      </c>
      <c r="M200" s="282" t="s">
        <v>560</v>
      </c>
    </row>
    <row r="201" spans="1:13" ht="15.75">
      <c r="A201" s="192">
        <v>407362</v>
      </c>
      <c r="B201" s="191" t="s">
        <v>561</v>
      </c>
      <c r="C201" s="195"/>
      <c r="F201" s="158">
        <f t="shared" si="9"/>
        <v>0</v>
      </c>
      <c r="G201" s="158">
        <v>0</v>
      </c>
      <c r="H201" s="158">
        <v>0</v>
      </c>
      <c r="M201" s="282" t="s">
        <v>561</v>
      </c>
    </row>
    <row r="202" spans="1:13" ht="15.75">
      <c r="A202" s="192">
        <v>407365</v>
      </c>
      <c r="B202" s="191" t="s">
        <v>562</v>
      </c>
      <c r="C202" s="195"/>
      <c r="F202" s="158">
        <f t="shared" si="9"/>
        <v>0</v>
      </c>
      <c r="G202" s="158">
        <v>0</v>
      </c>
      <c r="H202" s="158">
        <v>0</v>
      </c>
      <c r="M202" s="282" t="s">
        <v>562</v>
      </c>
    </row>
    <row r="203" spans="1:13" ht="15.75">
      <c r="A203" s="192">
        <v>407368</v>
      </c>
      <c r="B203" s="191" t="s">
        <v>615</v>
      </c>
      <c r="C203" s="195"/>
      <c r="F203" s="158">
        <f t="shared" si="9"/>
        <v>0</v>
      </c>
      <c r="H203" s="158">
        <v>0</v>
      </c>
      <c r="M203" s="282" t="s">
        <v>615</v>
      </c>
    </row>
    <row r="204" spans="1:13" ht="15.75">
      <c r="A204" s="192">
        <v>407380</v>
      </c>
      <c r="B204" s="191" t="s">
        <v>308</v>
      </c>
      <c r="C204" s="195"/>
      <c r="F204" s="158">
        <f t="shared" si="9"/>
        <v>0</v>
      </c>
      <c r="G204" s="158">
        <v>0</v>
      </c>
      <c r="H204" s="158">
        <v>0</v>
      </c>
      <c r="M204" s="282" t="s">
        <v>308</v>
      </c>
    </row>
    <row r="205" spans="1:13" ht="15.75">
      <c r="A205" s="193">
        <v>407382</v>
      </c>
      <c r="B205" s="194" t="s">
        <v>309</v>
      </c>
      <c r="C205" s="195"/>
      <c r="F205" s="158">
        <f t="shared" si="9"/>
        <v>581</v>
      </c>
      <c r="G205" s="158">
        <v>0</v>
      </c>
      <c r="H205" s="158">
        <v>581110</v>
      </c>
      <c r="M205" s="285" t="s">
        <v>309</v>
      </c>
    </row>
    <row r="206" spans="1:13" ht="15.75">
      <c r="A206" s="193">
        <v>407382</v>
      </c>
      <c r="B206" s="194" t="s">
        <v>310</v>
      </c>
      <c r="C206" s="195"/>
      <c r="F206" s="158">
        <f t="shared" si="9"/>
        <v>152</v>
      </c>
      <c r="G206" s="158">
        <v>0</v>
      </c>
      <c r="H206" s="158">
        <v>152118</v>
      </c>
      <c r="M206" s="285" t="s">
        <v>310</v>
      </c>
    </row>
    <row r="207" spans="1:13" ht="15.75">
      <c r="A207" s="284">
        <v>407391</v>
      </c>
      <c r="B207" s="285" t="s">
        <v>594</v>
      </c>
      <c r="C207" s="195"/>
      <c r="F207" s="158">
        <f t="shared" si="9"/>
        <v>290</v>
      </c>
      <c r="G207" s="158">
        <v>1</v>
      </c>
      <c r="H207" s="158">
        <v>290395</v>
      </c>
      <c r="M207" s="285" t="s">
        <v>594</v>
      </c>
    </row>
    <row r="208" spans="1:13" ht="15.75">
      <c r="A208" s="193">
        <v>407395</v>
      </c>
      <c r="B208" s="194" t="s">
        <v>311</v>
      </c>
      <c r="C208" s="195"/>
      <c r="F208" s="158">
        <f t="shared" si="9"/>
        <v>177</v>
      </c>
      <c r="G208" s="158">
        <v>0</v>
      </c>
      <c r="H208" s="158">
        <v>176886</v>
      </c>
      <c r="M208" s="285" t="s">
        <v>311</v>
      </c>
    </row>
    <row r="209" spans="1:13" ht="15.75">
      <c r="A209" s="192">
        <v>407403</v>
      </c>
      <c r="B209" s="191" t="s">
        <v>312</v>
      </c>
      <c r="C209" s="195"/>
      <c r="F209" s="158">
        <f t="shared" si="9"/>
        <v>-135</v>
      </c>
      <c r="G209" s="158">
        <v>0</v>
      </c>
      <c r="H209" s="158">
        <v>-134592</v>
      </c>
      <c r="M209" s="282" t="s">
        <v>312</v>
      </c>
    </row>
    <row r="210" spans="1:13" ht="15.75">
      <c r="A210" s="192">
        <v>407405</v>
      </c>
      <c r="B210" s="191" t="s">
        <v>313</v>
      </c>
      <c r="C210" s="190"/>
      <c r="F210" s="158">
        <f t="shared" si="9"/>
        <v>0</v>
      </c>
      <c r="G210" s="158">
        <v>0</v>
      </c>
      <c r="H210" s="158">
        <v>0</v>
      </c>
      <c r="M210" s="282" t="s">
        <v>313</v>
      </c>
    </row>
    <row r="211" spans="1:13" ht="15.75">
      <c r="A211" s="192">
        <v>407420</v>
      </c>
      <c r="B211" s="191" t="s">
        <v>314</v>
      </c>
      <c r="C211" s="190"/>
      <c r="F211" s="158">
        <f t="shared" si="9"/>
        <v>0</v>
      </c>
      <c r="G211" s="158">
        <v>0</v>
      </c>
      <c r="H211" s="158">
        <v>0</v>
      </c>
      <c r="M211" s="282" t="s">
        <v>314</v>
      </c>
    </row>
    <row r="212" spans="1:13" ht="15.75">
      <c r="A212" s="189" t="s">
        <v>315</v>
      </c>
      <c r="B212" s="191" t="s">
        <v>316</v>
      </c>
      <c r="C212" s="190"/>
      <c r="F212" s="158">
        <f t="shared" si="9"/>
        <v>-730</v>
      </c>
      <c r="G212" s="158">
        <v>0</v>
      </c>
      <c r="H212" s="158">
        <v>-729599</v>
      </c>
      <c r="M212" s="282" t="s">
        <v>316</v>
      </c>
    </row>
    <row r="213" spans="1:13" ht="15.75">
      <c r="A213" s="284">
        <v>407455</v>
      </c>
      <c r="B213" s="285" t="s">
        <v>616</v>
      </c>
      <c r="C213" s="190"/>
      <c r="F213" s="158">
        <f t="shared" si="9"/>
        <v>0</v>
      </c>
      <c r="H213" s="158">
        <v>0</v>
      </c>
      <c r="M213" s="285" t="s">
        <v>616</v>
      </c>
    </row>
    <row r="214" spans="1:13" ht="15.75">
      <c r="A214" s="193">
        <v>407460</v>
      </c>
      <c r="B214" s="194" t="s">
        <v>317</v>
      </c>
      <c r="C214" s="195"/>
      <c r="F214" s="158">
        <f t="shared" si="9"/>
        <v>0</v>
      </c>
      <c r="G214" s="158">
        <v>0</v>
      </c>
      <c r="H214" s="158">
        <v>0</v>
      </c>
      <c r="M214" s="285" t="s">
        <v>317</v>
      </c>
    </row>
    <row r="215" spans="1:13" ht="15.75">
      <c r="A215" s="193">
        <v>407462</v>
      </c>
      <c r="B215" s="194" t="s">
        <v>563</v>
      </c>
      <c r="C215" s="190"/>
      <c r="F215" s="158">
        <f t="shared" si="9"/>
        <v>0</v>
      </c>
      <c r="G215" s="158">
        <v>0</v>
      </c>
      <c r="H215" s="158">
        <v>0</v>
      </c>
      <c r="M215" s="285" t="s">
        <v>563</v>
      </c>
    </row>
    <row r="216" spans="1:13" ht="15.75">
      <c r="A216" s="284">
        <v>407494</v>
      </c>
      <c r="B216" s="285" t="s">
        <v>595</v>
      </c>
      <c r="C216" s="190"/>
      <c r="F216" s="158">
        <f t="shared" si="9"/>
        <v>158</v>
      </c>
      <c r="G216" s="158">
        <v>1</v>
      </c>
      <c r="H216" s="158">
        <v>157646</v>
      </c>
      <c r="M216" s="285" t="s">
        <v>595</v>
      </c>
    </row>
    <row r="217" spans="1:13" ht="15.75">
      <c r="A217" s="193">
        <v>407495</v>
      </c>
      <c r="B217" s="194" t="s">
        <v>564</v>
      </c>
      <c r="C217" s="195"/>
      <c r="F217" s="158">
        <f t="shared" si="9"/>
        <v>-6</v>
      </c>
      <c r="G217" s="158">
        <v>0</v>
      </c>
      <c r="H217" s="158">
        <v>-5531</v>
      </c>
      <c r="M217" s="285" t="s">
        <v>564</v>
      </c>
    </row>
    <row r="218" spans="1:13" ht="15.75">
      <c r="A218" s="193">
        <v>407496</v>
      </c>
      <c r="B218" s="194" t="s">
        <v>565</v>
      </c>
      <c r="C218" s="195"/>
      <c r="F218" s="158">
        <f t="shared" si="9"/>
        <v>0</v>
      </c>
      <c r="G218" s="158">
        <v>0</v>
      </c>
      <c r="H218" s="158">
        <v>0</v>
      </c>
      <c r="M218" s="285" t="s">
        <v>565</v>
      </c>
    </row>
    <row r="219" spans="1:13" ht="15.75">
      <c r="A219" s="284">
        <v>407497</v>
      </c>
      <c r="B219" s="285" t="s">
        <v>588</v>
      </c>
      <c r="C219" s="195"/>
      <c r="F219" s="158">
        <f t="shared" si="9"/>
        <v>0</v>
      </c>
      <c r="G219" s="158">
        <v>0</v>
      </c>
      <c r="H219" s="158">
        <v>0</v>
      </c>
      <c r="M219" s="285" t="s">
        <v>588</v>
      </c>
    </row>
    <row r="220" spans="1:13" ht="15.75">
      <c r="A220" s="189"/>
      <c r="B220" s="191" t="s">
        <v>318</v>
      </c>
      <c r="C220" s="190"/>
      <c r="F220" s="158">
        <f t="shared" si="9"/>
        <v>14904</v>
      </c>
      <c r="G220" s="158">
        <v>0</v>
      </c>
      <c r="H220" s="158">
        <v>14903659</v>
      </c>
      <c r="M220" s="282" t="s">
        <v>318</v>
      </c>
    </row>
    <row r="221" spans="1:13" ht="15.75">
      <c r="A221" s="189"/>
      <c r="B221" s="191" t="s">
        <v>319</v>
      </c>
      <c r="C221" s="190"/>
      <c r="F221" s="158">
        <f t="shared" si="9"/>
        <v>45891</v>
      </c>
      <c r="G221" s="158">
        <v>0</v>
      </c>
      <c r="H221" s="158">
        <v>45890795</v>
      </c>
      <c r="M221" s="282" t="s">
        <v>319</v>
      </c>
    </row>
    <row r="222" spans="1:13" ht="15.75">
      <c r="A222" s="189"/>
      <c r="B222" s="191"/>
      <c r="C222" s="190"/>
      <c r="F222" s="158">
        <f t="shared" si="9"/>
        <v>0</v>
      </c>
      <c r="G222" s="158">
        <v>0</v>
      </c>
      <c r="M222" s="282"/>
    </row>
    <row r="223" spans="1:13" ht="15.75">
      <c r="A223" s="189"/>
      <c r="B223" s="191" t="s">
        <v>320</v>
      </c>
      <c r="C223" s="190"/>
      <c r="F223" s="158">
        <f t="shared" si="9"/>
        <v>327335</v>
      </c>
      <c r="G223" s="158">
        <v>0</v>
      </c>
      <c r="H223" s="158">
        <v>327334899</v>
      </c>
      <c r="M223" s="282"/>
    </row>
    <row r="224" spans="1:13" ht="15.75">
      <c r="A224" s="189"/>
      <c r="B224" s="191"/>
      <c r="C224" s="190"/>
      <c r="F224" s="158">
        <f t="shared" si="6"/>
        <v>0</v>
      </c>
      <c r="G224" s="158">
        <v>0</v>
      </c>
      <c r="M224" s="282"/>
    </row>
    <row r="225" spans="1:13" ht="15.75">
      <c r="A225" s="189"/>
      <c r="B225" s="191" t="s">
        <v>321</v>
      </c>
      <c r="C225" s="190"/>
      <c r="F225" s="158">
        <f t="shared" si="6"/>
        <v>0</v>
      </c>
      <c r="G225" s="158">
        <v>0</v>
      </c>
      <c r="M225" s="282"/>
    </row>
    <row r="226" spans="1:13" ht="15.75">
      <c r="A226" s="189"/>
      <c r="B226" s="190" t="s">
        <v>322</v>
      </c>
      <c r="C226" s="190"/>
      <c r="F226" s="158">
        <f t="shared" si="6"/>
        <v>0</v>
      </c>
      <c r="G226" s="158">
        <v>0</v>
      </c>
      <c r="M226" s="286"/>
    </row>
    <row r="227" spans="1:13" ht="15.75">
      <c r="A227" s="192">
        <v>580000</v>
      </c>
      <c r="B227" s="191" t="s">
        <v>254</v>
      </c>
      <c r="C227" s="190"/>
      <c r="F227" s="158">
        <f>ROUND(H227/1000,0)</f>
        <v>3028</v>
      </c>
      <c r="G227" s="158">
        <v>0</v>
      </c>
      <c r="H227" s="158">
        <v>3028128</v>
      </c>
      <c r="M227" s="282"/>
    </row>
    <row r="228" spans="1:13" ht="15.75">
      <c r="A228" s="192">
        <v>582000</v>
      </c>
      <c r="B228" s="190" t="s">
        <v>289</v>
      </c>
      <c r="C228" s="190"/>
      <c r="F228" s="158">
        <f t="shared" si="6"/>
        <v>402</v>
      </c>
      <c r="G228" s="158">
        <v>0</v>
      </c>
      <c r="H228" s="158">
        <v>401921</v>
      </c>
      <c r="M228" s="286"/>
    </row>
    <row r="229" spans="1:13" ht="15.75">
      <c r="A229" s="192">
        <v>583000</v>
      </c>
      <c r="B229" s="191" t="s">
        <v>290</v>
      </c>
      <c r="C229" s="190"/>
      <c r="F229" s="158">
        <f t="shared" ref="F229:F295" si="10">ROUND(H229/1000,0)</f>
        <v>1387</v>
      </c>
      <c r="G229" s="158">
        <v>0</v>
      </c>
      <c r="H229" s="158">
        <v>1386838</v>
      </c>
      <c r="M229" s="282"/>
    </row>
    <row r="230" spans="1:13" ht="15.75">
      <c r="A230" s="192">
        <v>584000</v>
      </c>
      <c r="B230" s="191" t="s">
        <v>323</v>
      </c>
      <c r="C230" s="190"/>
      <c r="F230" s="158">
        <f t="shared" si="10"/>
        <v>744</v>
      </c>
      <c r="G230" s="158">
        <v>0</v>
      </c>
      <c r="H230" s="158">
        <v>743627</v>
      </c>
      <c r="M230" s="282"/>
    </row>
    <row r="231" spans="1:13" ht="15.75">
      <c r="A231" s="283">
        <v>584100</v>
      </c>
      <c r="B231" s="282" t="s">
        <v>587</v>
      </c>
      <c r="C231" s="190"/>
      <c r="F231" s="158">
        <f t="shared" si="10"/>
        <v>32</v>
      </c>
      <c r="G231" s="158">
        <v>0</v>
      </c>
      <c r="H231" s="158">
        <v>31795</v>
      </c>
      <c r="M231" s="282"/>
    </row>
    <row r="232" spans="1:13" ht="15.75">
      <c r="A232" s="192">
        <v>585000</v>
      </c>
      <c r="B232" s="191" t="s">
        <v>324</v>
      </c>
      <c r="C232" s="190"/>
      <c r="F232" s="158">
        <f t="shared" si="10"/>
        <v>6</v>
      </c>
      <c r="G232" s="158">
        <v>0</v>
      </c>
      <c r="H232" s="158">
        <v>6275</v>
      </c>
      <c r="M232" s="282"/>
    </row>
    <row r="233" spans="1:13" ht="15.75">
      <c r="A233" s="192">
        <v>586000</v>
      </c>
      <c r="B233" s="191" t="s">
        <v>325</v>
      </c>
      <c r="C233" s="190"/>
      <c r="F233" s="158">
        <f t="shared" si="10"/>
        <v>1413</v>
      </c>
      <c r="G233" s="158">
        <v>0</v>
      </c>
      <c r="H233" s="158">
        <v>1413377</v>
      </c>
      <c r="M233" s="282"/>
    </row>
    <row r="234" spans="1:13" ht="15.75">
      <c r="A234" s="192">
        <v>587000</v>
      </c>
      <c r="B234" s="191" t="s">
        <v>326</v>
      </c>
      <c r="C234" s="190"/>
      <c r="F234" s="158">
        <f t="shared" si="10"/>
        <v>443</v>
      </c>
      <c r="G234" s="158">
        <v>0</v>
      </c>
      <c r="H234" s="158">
        <v>442912</v>
      </c>
      <c r="M234" s="282"/>
    </row>
    <row r="235" spans="1:13" ht="15.75">
      <c r="A235" s="192">
        <v>588000</v>
      </c>
      <c r="B235" s="191" t="s">
        <v>327</v>
      </c>
      <c r="C235" s="190"/>
      <c r="F235" s="158">
        <f t="shared" si="10"/>
        <v>5202</v>
      </c>
      <c r="G235" s="158">
        <v>0</v>
      </c>
      <c r="H235" s="158">
        <v>5201512</v>
      </c>
      <c r="M235" s="282"/>
    </row>
    <row r="236" spans="1:13" ht="15.75">
      <c r="A236" s="192">
        <v>589000</v>
      </c>
      <c r="B236" s="191" t="s">
        <v>259</v>
      </c>
      <c r="C236" s="190"/>
      <c r="F236" s="158">
        <f t="shared" si="10"/>
        <v>233</v>
      </c>
      <c r="G236" s="158">
        <v>0</v>
      </c>
      <c r="H236" s="158">
        <v>233383</v>
      </c>
      <c r="M236" s="282"/>
    </row>
    <row r="237" spans="1:13" ht="15.75">
      <c r="A237" s="197"/>
      <c r="B237" s="191"/>
      <c r="C237" s="190"/>
      <c r="F237" s="158">
        <f t="shared" si="10"/>
        <v>0</v>
      </c>
      <c r="G237" s="158">
        <v>0</v>
      </c>
      <c r="M237" s="282"/>
    </row>
    <row r="238" spans="1:13" ht="15.75">
      <c r="A238" s="189"/>
      <c r="B238" s="190" t="s">
        <v>328</v>
      </c>
      <c r="C238" s="190"/>
      <c r="F238" s="158">
        <f t="shared" si="10"/>
        <v>0</v>
      </c>
      <c r="G238" s="158">
        <v>0</v>
      </c>
      <c r="M238" s="286"/>
    </row>
    <row r="239" spans="1:13" ht="15.75">
      <c r="A239" s="192">
        <v>590000</v>
      </c>
      <c r="B239" s="191" t="s">
        <v>254</v>
      </c>
      <c r="C239" s="190"/>
      <c r="F239" s="158">
        <f t="shared" si="10"/>
        <v>1004</v>
      </c>
      <c r="G239" s="158">
        <v>0</v>
      </c>
      <c r="H239" s="158">
        <v>1003927</v>
      </c>
      <c r="M239" s="282"/>
    </row>
    <row r="240" spans="1:13" ht="15.75">
      <c r="A240" s="192">
        <v>591000</v>
      </c>
      <c r="B240" s="191" t="s">
        <v>261</v>
      </c>
      <c r="C240" s="190"/>
      <c r="F240" s="158">
        <f t="shared" si="10"/>
        <v>289</v>
      </c>
      <c r="G240" s="158">
        <v>0</v>
      </c>
      <c r="H240" s="158">
        <v>289437</v>
      </c>
      <c r="M240" s="282"/>
    </row>
    <row r="241" spans="1:13" ht="15.75">
      <c r="A241" s="192">
        <v>592000</v>
      </c>
      <c r="B241" s="190" t="s">
        <v>293</v>
      </c>
      <c r="C241" s="190"/>
      <c r="F241" s="158">
        <f t="shared" si="10"/>
        <v>670</v>
      </c>
      <c r="G241" s="158">
        <v>0</v>
      </c>
      <c r="H241" s="158">
        <v>669613</v>
      </c>
      <c r="M241" s="286"/>
    </row>
    <row r="242" spans="1:13" ht="15.75">
      <c r="A242" s="283">
        <v>592200</v>
      </c>
      <c r="B242" s="282" t="s">
        <v>587</v>
      </c>
      <c r="C242" s="190"/>
      <c r="F242" s="158">
        <f t="shared" si="10"/>
        <v>0</v>
      </c>
      <c r="G242" s="158">
        <v>0</v>
      </c>
      <c r="H242" s="158">
        <v>0</v>
      </c>
      <c r="M242" s="282"/>
    </row>
    <row r="243" spans="1:13" ht="15.75">
      <c r="A243" s="192">
        <v>593000</v>
      </c>
      <c r="B243" s="191" t="s">
        <v>294</v>
      </c>
      <c r="C243" s="190"/>
      <c r="F243" s="158">
        <f t="shared" si="10"/>
        <v>5200</v>
      </c>
      <c r="G243" s="158">
        <v>0</v>
      </c>
      <c r="H243" s="158">
        <v>5200180</v>
      </c>
      <c r="M243" s="282"/>
    </row>
    <row r="244" spans="1:13" ht="15.75">
      <c r="A244" s="192">
        <v>594000</v>
      </c>
      <c r="B244" s="191" t="s">
        <v>295</v>
      </c>
      <c r="C244" s="190"/>
      <c r="F244" s="158">
        <f t="shared" si="10"/>
        <v>447</v>
      </c>
      <c r="G244" s="158">
        <v>0</v>
      </c>
      <c r="H244" s="158">
        <v>447354</v>
      </c>
      <c r="M244" s="282"/>
    </row>
    <row r="245" spans="1:13" ht="15.75">
      <c r="A245" s="192">
        <v>595000</v>
      </c>
      <c r="B245" s="191" t="s">
        <v>329</v>
      </c>
      <c r="C245" s="190"/>
      <c r="F245" s="158">
        <f t="shared" si="10"/>
        <v>314</v>
      </c>
      <c r="G245" s="158">
        <v>0</v>
      </c>
      <c r="H245" s="158">
        <v>313849</v>
      </c>
      <c r="M245" s="282"/>
    </row>
    <row r="246" spans="1:13" ht="15.75">
      <c r="A246" s="192">
        <v>596000</v>
      </c>
      <c r="B246" s="191" t="s">
        <v>330</v>
      </c>
      <c r="C246" s="190"/>
      <c r="F246" s="158">
        <f t="shared" si="10"/>
        <v>253</v>
      </c>
      <c r="G246" s="158">
        <v>0</v>
      </c>
      <c r="H246" s="158">
        <v>253436</v>
      </c>
      <c r="M246" s="282"/>
    </row>
    <row r="247" spans="1:13" ht="15.75">
      <c r="A247" s="192">
        <v>597000</v>
      </c>
      <c r="B247" s="191" t="s">
        <v>331</v>
      </c>
      <c r="C247" s="190"/>
      <c r="F247" s="158">
        <f t="shared" si="10"/>
        <v>15</v>
      </c>
      <c r="G247" s="158">
        <v>0</v>
      </c>
      <c r="H247" s="158">
        <v>14931</v>
      </c>
      <c r="M247" s="282"/>
    </row>
    <row r="248" spans="1:13" ht="15.75">
      <c r="A248" s="192">
        <v>598000</v>
      </c>
      <c r="B248" s="191" t="s">
        <v>327</v>
      </c>
      <c r="C248" s="190"/>
      <c r="F248" s="158">
        <f t="shared" si="10"/>
        <v>337</v>
      </c>
      <c r="G248" s="158">
        <v>0</v>
      </c>
      <c r="H248" s="158">
        <v>337477</v>
      </c>
      <c r="M248" s="282"/>
    </row>
    <row r="249" spans="1:13" ht="15.75">
      <c r="A249" s="197"/>
      <c r="B249" s="191" t="s">
        <v>332</v>
      </c>
      <c r="C249" s="190"/>
      <c r="F249" s="158">
        <f t="shared" si="10"/>
        <v>21420</v>
      </c>
      <c r="G249" s="158">
        <v>0</v>
      </c>
      <c r="H249" s="158">
        <v>21419972</v>
      </c>
      <c r="M249" s="282"/>
    </row>
    <row r="250" spans="1:13" ht="15.75">
      <c r="A250" s="197"/>
      <c r="B250" s="191"/>
      <c r="C250" s="190"/>
      <c r="F250" s="158">
        <f t="shared" si="10"/>
        <v>0</v>
      </c>
      <c r="G250" s="158">
        <v>0</v>
      </c>
      <c r="M250" s="282"/>
    </row>
    <row r="251" spans="1:13" ht="15.75">
      <c r="A251" s="189"/>
      <c r="B251" s="191" t="s">
        <v>333</v>
      </c>
      <c r="C251" s="190"/>
      <c r="F251" s="158">
        <f t="shared" si="10"/>
        <v>27885</v>
      </c>
      <c r="G251" s="158">
        <v>0</v>
      </c>
      <c r="H251" s="158">
        <v>27885174</v>
      </c>
      <c r="M251" s="282"/>
    </row>
    <row r="252" spans="1:13" ht="15.75">
      <c r="A252" s="196"/>
      <c r="B252" s="194" t="s">
        <v>300</v>
      </c>
      <c r="C252" s="195"/>
      <c r="F252" s="158">
        <f t="shared" si="10"/>
        <v>28</v>
      </c>
      <c r="G252" s="158">
        <v>0</v>
      </c>
      <c r="H252" s="158">
        <v>27688</v>
      </c>
      <c r="M252" s="285"/>
    </row>
    <row r="253" spans="1:13" ht="15.75">
      <c r="A253" s="189"/>
      <c r="B253" s="191" t="s">
        <v>334</v>
      </c>
      <c r="C253" s="190"/>
      <c r="F253" s="158">
        <f t="shared" si="10"/>
        <v>45258</v>
      </c>
      <c r="G253" s="158">
        <v>0</v>
      </c>
      <c r="H253" s="158">
        <v>45257776</v>
      </c>
      <c r="M253" s="282"/>
    </row>
    <row r="254" spans="1:13" ht="15.75">
      <c r="A254" s="196" t="s">
        <v>606</v>
      </c>
      <c r="B254" s="391" t="s">
        <v>505</v>
      </c>
      <c r="C254" s="195"/>
      <c r="F254" s="158">
        <f>ROUND(H254/1000,0)</f>
        <v>0</v>
      </c>
      <c r="G254" s="158">
        <v>0</v>
      </c>
      <c r="M254" s="285"/>
    </row>
    <row r="255" spans="1:13" ht="15.75">
      <c r="A255" s="189"/>
      <c r="B255" s="191" t="s">
        <v>335</v>
      </c>
      <c r="C255" s="190"/>
      <c r="F255" s="158">
        <f t="shared" si="10"/>
        <v>73171</v>
      </c>
      <c r="G255" s="158">
        <v>0</v>
      </c>
      <c r="H255" s="158">
        <v>73170638</v>
      </c>
      <c r="M255" s="282"/>
    </row>
    <row r="256" spans="1:13" ht="15.75">
      <c r="A256" s="189"/>
      <c r="B256" s="191"/>
      <c r="C256" s="190"/>
      <c r="F256" s="158">
        <f t="shared" si="10"/>
        <v>0</v>
      </c>
      <c r="G256" s="158">
        <v>0</v>
      </c>
      <c r="M256" s="282"/>
    </row>
    <row r="257" spans="1:13" ht="15.75">
      <c r="A257" s="189"/>
      <c r="B257" s="191" t="s">
        <v>336</v>
      </c>
      <c r="C257" s="190"/>
      <c r="F257" s="158">
        <f t="shared" si="10"/>
        <v>94591</v>
      </c>
      <c r="G257" s="158">
        <v>0</v>
      </c>
      <c r="H257" s="158">
        <v>94590610</v>
      </c>
      <c r="M257" s="282"/>
    </row>
    <row r="258" spans="1:13" ht="15.75">
      <c r="A258" s="189"/>
      <c r="B258" s="190"/>
      <c r="C258" s="190"/>
      <c r="F258" s="158">
        <f t="shared" si="10"/>
        <v>0</v>
      </c>
      <c r="G258" s="158">
        <v>0</v>
      </c>
      <c r="M258" s="286"/>
    </row>
    <row r="259" spans="1:13" ht="15.75">
      <c r="A259" s="189"/>
      <c r="B259" s="191" t="s">
        <v>337</v>
      </c>
      <c r="C259" s="190"/>
      <c r="F259" s="158">
        <f t="shared" si="10"/>
        <v>0</v>
      </c>
      <c r="G259" s="158">
        <v>0</v>
      </c>
      <c r="M259" s="282"/>
    </row>
    <row r="260" spans="1:13" ht="15.75">
      <c r="A260" s="192">
        <v>901000</v>
      </c>
      <c r="B260" s="191" t="s">
        <v>338</v>
      </c>
      <c r="C260" s="190"/>
      <c r="F260" s="158">
        <f t="shared" si="10"/>
        <v>222</v>
      </c>
      <c r="G260" s="158">
        <v>0</v>
      </c>
      <c r="H260" s="158">
        <v>222445</v>
      </c>
      <c r="M260" s="282"/>
    </row>
    <row r="261" spans="1:13" ht="15.75">
      <c r="A261" s="192">
        <v>902000</v>
      </c>
      <c r="B261" s="191" t="s">
        <v>339</v>
      </c>
      <c r="C261" s="190"/>
      <c r="F261" s="158">
        <f t="shared" si="10"/>
        <v>2945</v>
      </c>
      <c r="G261" s="158">
        <v>0</v>
      </c>
      <c r="H261" s="158">
        <v>2944552</v>
      </c>
      <c r="M261" s="282"/>
    </row>
    <row r="262" spans="1:13" ht="15.75">
      <c r="A262" s="192" t="s">
        <v>340</v>
      </c>
      <c r="B262" s="191" t="s">
        <v>341</v>
      </c>
      <c r="C262" s="190"/>
      <c r="F262" s="158">
        <f t="shared" si="10"/>
        <v>6323</v>
      </c>
      <c r="G262" s="158">
        <v>0</v>
      </c>
      <c r="H262" s="158">
        <v>6323457</v>
      </c>
      <c r="M262" s="282"/>
    </row>
    <row r="263" spans="1:13" ht="15.75">
      <c r="A263" s="192">
        <v>904000</v>
      </c>
      <c r="B263" s="191" t="s">
        <v>342</v>
      </c>
      <c r="C263" s="190"/>
      <c r="F263" s="158">
        <f t="shared" si="10"/>
        <v>2082</v>
      </c>
      <c r="G263" s="158">
        <v>0</v>
      </c>
      <c r="H263" s="158">
        <v>2081575</v>
      </c>
      <c r="M263" s="282"/>
    </row>
    <row r="264" spans="1:13" ht="15.75">
      <c r="A264" s="192">
        <v>905000</v>
      </c>
      <c r="B264" s="191" t="s">
        <v>343</v>
      </c>
      <c r="C264" s="190"/>
      <c r="F264" s="158">
        <f t="shared" si="10"/>
        <v>161</v>
      </c>
      <c r="G264" s="158">
        <v>0</v>
      </c>
      <c r="H264" s="158">
        <v>160937</v>
      </c>
      <c r="M264" s="282"/>
    </row>
    <row r="265" spans="1:13" ht="15.75">
      <c r="A265" s="189"/>
      <c r="B265" s="191" t="s">
        <v>344</v>
      </c>
      <c r="C265" s="190"/>
      <c r="F265" s="158">
        <f t="shared" si="10"/>
        <v>11733</v>
      </c>
      <c r="G265" s="158">
        <v>0</v>
      </c>
      <c r="H265" s="158">
        <v>11732966</v>
      </c>
      <c r="M265" s="282"/>
    </row>
    <row r="266" spans="1:13" ht="15.75">
      <c r="A266" s="189"/>
      <c r="B266" s="191"/>
      <c r="C266" s="190"/>
      <c r="F266" s="158">
        <f t="shared" si="10"/>
        <v>0</v>
      </c>
      <c r="G266" s="158">
        <v>0</v>
      </c>
      <c r="M266" s="282"/>
    </row>
    <row r="267" spans="1:13" ht="15.75">
      <c r="A267" s="189"/>
      <c r="B267" s="191" t="s">
        <v>345</v>
      </c>
      <c r="C267" s="190"/>
      <c r="F267" s="158">
        <f t="shared" si="10"/>
        <v>0</v>
      </c>
      <c r="G267" s="158">
        <v>0</v>
      </c>
      <c r="M267" s="282"/>
    </row>
    <row r="268" spans="1:13" ht="15.75">
      <c r="A268" s="189" t="s">
        <v>346</v>
      </c>
      <c r="B268" s="191" t="s">
        <v>347</v>
      </c>
      <c r="C268" s="190"/>
      <c r="F268" s="158">
        <f t="shared" si="10"/>
        <v>17284</v>
      </c>
      <c r="G268" s="158">
        <v>0</v>
      </c>
      <c r="H268" s="158">
        <v>17283990</v>
      </c>
      <c r="M268" s="282"/>
    </row>
    <row r="269" spans="1:13" ht="15.75">
      <c r="A269" s="192">
        <v>909000</v>
      </c>
      <c r="B269" s="191" t="s">
        <v>348</v>
      </c>
      <c r="C269" s="190"/>
      <c r="F269" s="158">
        <f t="shared" si="10"/>
        <v>642</v>
      </c>
      <c r="G269" s="158">
        <v>0</v>
      </c>
      <c r="H269" s="158">
        <v>642235</v>
      </c>
      <c r="M269" s="282"/>
    </row>
    <row r="270" spans="1:13" ht="15.75">
      <c r="A270" s="192">
        <v>910000</v>
      </c>
      <c r="B270" s="191" t="s">
        <v>349</v>
      </c>
      <c r="C270" s="190"/>
      <c r="F270" s="158">
        <f t="shared" si="10"/>
        <v>155</v>
      </c>
      <c r="G270" s="158">
        <v>0</v>
      </c>
      <c r="H270" s="158">
        <v>155165</v>
      </c>
      <c r="M270" s="282"/>
    </row>
    <row r="271" spans="1:13" ht="15.75">
      <c r="A271" s="192"/>
      <c r="B271" s="191" t="s">
        <v>350</v>
      </c>
      <c r="C271" s="190"/>
      <c r="F271" s="158">
        <f t="shared" si="10"/>
        <v>18081</v>
      </c>
      <c r="G271" s="158">
        <v>0</v>
      </c>
      <c r="H271" s="158">
        <v>18081390</v>
      </c>
      <c r="M271" s="282"/>
    </row>
    <row r="272" spans="1:13" ht="15.75">
      <c r="A272" s="192"/>
      <c r="B272" s="191"/>
      <c r="C272" s="190"/>
      <c r="F272" s="158">
        <f t="shared" si="10"/>
        <v>0</v>
      </c>
      <c r="G272" s="158">
        <v>0</v>
      </c>
      <c r="M272" s="282"/>
    </row>
    <row r="273" spans="1:13" ht="15.75">
      <c r="A273" s="192"/>
      <c r="B273" s="191" t="s">
        <v>351</v>
      </c>
      <c r="C273" s="190"/>
      <c r="F273" s="158">
        <f t="shared" si="10"/>
        <v>0</v>
      </c>
      <c r="G273" s="158">
        <v>0</v>
      </c>
      <c r="M273" s="282"/>
    </row>
    <row r="274" spans="1:13" ht="15.75">
      <c r="A274" s="192">
        <v>912000</v>
      </c>
      <c r="B274" s="191" t="s">
        <v>352</v>
      </c>
      <c r="C274" s="190"/>
      <c r="F274" s="158">
        <f t="shared" si="10"/>
        <v>0</v>
      </c>
      <c r="G274" s="158">
        <v>0</v>
      </c>
      <c r="H274" s="158">
        <v>0</v>
      </c>
      <c r="M274" s="282"/>
    </row>
    <row r="275" spans="1:13" ht="15.75">
      <c r="A275" s="192">
        <v>913000</v>
      </c>
      <c r="B275" s="191" t="s">
        <v>348</v>
      </c>
      <c r="C275" s="190"/>
      <c r="F275" s="158">
        <f t="shared" si="10"/>
        <v>0</v>
      </c>
      <c r="G275" s="158">
        <v>0</v>
      </c>
      <c r="H275" s="158">
        <v>0</v>
      </c>
      <c r="M275" s="282"/>
    </row>
    <row r="276" spans="1:13" ht="15.75">
      <c r="A276" s="192">
        <v>916000</v>
      </c>
      <c r="B276" s="191" t="s">
        <v>353</v>
      </c>
      <c r="C276" s="190"/>
      <c r="F276" s="158">
        <f t="shared" si="10"/>
        <v>0</v>
      </c>
      <c r="G276" s="158">
        <v>0</v>
      </c>
      <c r="H276" s="158">
        <v>0</v>
      </c>
      <c r="M276" s="282"/>
    </row>
    <row r="277" spans="1:13" ht="15.75">
      <c r="A277" s="192"/>
      <c r="B277" s="191" t="s">
        <v>354</v>
      </c>
      <c r="C277" s="190"/>
      <c r="F277" s="158">
        <f t="shared" si="10"/>
        <v>0</v>
      </c>
      <c r="G277" s="158">
        <v>0</v>
      </c>
      <c r="H277" s="158">
        <v>0</v>
      </c>
      <c r="M277" s="282"/>
    </row>
    <row r="278" spans="1:13" ht="15.75">
      <c r="A278" s="192"/>
      <c r="B278" s="191"/>
      <c r="C278" s="190"/>
      <c r="F278" s="158">
        <f t="shared" si="10"/>
        <v>0</v>
      </c>
      <c r="G278" s="158">
        <v>0</v>
      </c>
      <c r="M278" s="282"/>
    </row>
    <row r="279" spans="1:13" ht="15.75">
      <c r="A279" s="192"/>
      <c r="B279" s="191" t="s">
        <v>355</v>
      </c>
      <c r="C279" s="190"/>
      <c r="F279" s="158">
        <f t="shared" si="10"/>
        <v>0</v>
      </c>
      <c r="G279" s="158">
        <v>0</v>
      </c>
      <c r="M279" s="282"/>
    </row>
    <row r="280" spans="1:13" ht="15.75">
      <c r="A280" s="192">
        <v>920000</v>
      </c>
      <c r="B280" s="191" t="s">
        <v>356</v>
      </c>
      <c r="C280" s="190"/>
      <c r="F280" s="158">
        <f t="shared" si="10"/>
        <v>22921</v>
      </c>
      <c r="G280" s="158">
        <v>0</v>
      </c>
      <c r="H280" s="158">
        <v>22921007</v>
      </c>
      <c r="M280" s="282"/>
    </row>
    <row r="281" spans="1:13" ht="15.75">
      <c r="A281" s="192">
        <v>921000</v>
      </c>
      <c r="B281" s="191" t="s">
        <v>357</v>
      </c>
      <c r="C281" s="190"/>
      <c r="F281" s="158">
        <f t="shared" si="10"/>
        <v>3031</v>
      </c>
      <c r="G281" s="158">
        <v>0</v>
      </c>
      <c r="H281" s="158">
        <v>3030624</v>
      </c>
      <c r="M281" s="282"/>
    </row>
    <row r="282" spans="1:13" ht="15.75">
      <c r="A282" s="192">
        <v>922000</v>
      </c>
      <c r="B282" s="191" t="s">
        <v>358</v>
      </c>
      <c r="C282" s="190"/>
      <c r="F282" s="158">
        <f t="shared" si="10"/>
        <v>-86</v>
      </c>
      <c r="G282" s="158">
        <v>0</v>
      </c>
      <c r="H282" s="158">
        <v>-85669</v>
      </c>
      <c r="M282" s="282"/>
    </row>
    <row r="283" spans="1:13" ht="15.75">
      <c r="A283" s="192">
        <v>923000</v>
      </c>
      <c r="B283" s="191" t="s">
        <v>359</v>
      </c>
      <c r="C283" s="190"/>
      <c r="F283" s="158">
        <f t="shared" si="10"/>
        <v>5222</v>
      </c>
      <c r="G283" s="158">
        <v>0</v>
      </c>
      <c r="H283" s="158">
        <v>5222270</v>
      </c>
      <c r="M283" s="282"/>
    </row>
    <row r="284" spans="1:13" ht="15.75">
      <c r="A284" s="192">
        <v>924000</v>
      </c>
      <c r="B284" s="191" t="s">
        <v>360</v>
      </c>
      <c r="C284" s="190"/>
      <c r="F284" s="158">
        <f t="shared" si="10"/>
        <v>871</v>
      </c>
      <c r="G284" s="158">
        <v>0</v>
      </c>
      <c r="H284" s="158">
        <v>870674</v>
      </c>
      <c r="M284" s="282"/>
    </row>
    <row r="285" spans="1:13" ht="15.75">
      <c r="A285" s="189" t="s">
        <v>361</v>
      </c>
      <c r="B285" s="191" t="s">
        <v>362</v>
      </c>
      <c r="C285" s="190"/>
      <c r="F285" s="158">
        <f t="shared" si="10"/>
        <v>2297</v>
      </c>
      <c r="G285" s="158">
        <v>0</v>
      </c>
      <c r="H285" s="158">
        <v>2296657</v>
      </c>
      <c r="M285" s="282"/>
    </row>
    <row r="286" spans="1:13" ht="15.75">
      <c r="A286" s="189" t="s">
        <v>363</v>
      </c>
      <c r="B286" s="191" t="s">
        <v>364</v>
      </c>
      <c r="C286" s="190"/>
      <c r="F286" s="158">
        <f t="shared" si="10"/>
        <v>914</v>
      </c>
      <c r="G286" s="158">
        <v>0</v>
      </c>
      <c r="H286" s="158">
        <v>914223</v>
      </c>
      <c r="M286" s="282"/>
    </row>
    <row r="287" spans="1:13" ht="15.75">
      <c r="A287" s="192">
        <v>927000</v>
      </c>
      <c r="B287" s="191" t="s">
        <v>365</v>
      </c>
      <c r="C287" s="190"/>
      <c r="F287" s="158">
        <f t="shared" si="10"/>
        <v>0</v>
      </c>
      <c r="G287" s="158">
        <v>0</v>
      </c>
      <c r="H287" s="158">
        <v>0</v>
      </c>
      <c r="M287" s="282"/>
    </row>
    <row r="288" spans="1:13" ht="15.75">
      <c r="A288" s="192">
        <v>928000</v>
      </c>
      <c r="B288" s="191" t="s">
        <v>366</v>
      </c>
      <c r="C288" s="190"/>
      <c r="F288" s="158">
        <f t="shared" si="10"/>
        <v>4298</v>
      </c>
      <c r="G288" s="158">
        <v>0</v>
      </c>
      <c r="H288" s="158">
        <v>4298283</v>
      </c>
      <c r="M288" s="282"/>
    </row>
    <row r="289" spans="1:18" ht="15.75">
      <c r="A289" s="192">
        <v>930000</v>
      </c>
      <c r="B289" s="191" t="s">
        <v>367</v>
      </c>
      <c r="C289" s="190"/>
      <c r="F289" s="158">
        <f t="shared" si="10"/>
        <v>2651</v>
      </c>
      <c r="G289" s="158">
        <v>0</v>
      </c>
      <c r="H289" s="158">
        <v>2651143</v>
      </c>
      <c r="M289" s="282"/>
    </row>
    <row r="290" spans="1:18" ht="15.75">
      <c r="A290" s="192">
        <v>931000</v>
      </c>
      <c r="B290" s="191" t="s">
        <v>368</v>
      </c>
      <c r="C290" s="190"/>
      <c r="F290" s="158">
        <f t="shared" si="10"/>
        <v>730</v>
      </c>
      <c r="G290" s="158">
        <v>0</v>
      </c>
      <c r="H290" s="158">
        <v>730224</v>
      </c>
      <c r="M290" s="282"/>
    </row>
    <row r="291" spans="1:18" ht="15.75">
      <c r="A291" s="192">
        <v>935000</v>
      </c>
      <c r="B291" s="191" t="s">
        <v>369</v>
      </c>
      <c r="C291" s="190"/>
      <c r="F291" s="158">
        <f t="shared" si="10"/>
        <v>7718</v>
      </c>
      <c r="G291" s="158">
        <v>0</v>
      </c>
      <c r="H291" s="158">
        <v>7718483</v>
      </c>
      <c r="M291" s="282"/>
      <c r="Q291" s="158">
        <v>10137303</v>
      </c>
    </row>
    <row r="292" spans="1:18" ht="15.75">
      <c r="A292" s="189"/>
      <c r="B292" s="191" t="s">
        <v>370</v>
      </c>
      <c r="C292" s="190"/>
      <c r="F292" s="158">
        <f t="shared" si="10"/>
        <v>50568</v>
      </c>
      <c r="G292" s="158">
        <v>0</v>
      </c>
      <c r="H292" s="158">
        <v>50567919</v>
      </c>
      <c r="M292" s="282"/>
      <c r="Q292" s="158">
        <v>192090</v>
      </c>
    </row>
    <row r="293" spans="1:18" ht="15.75">
      <c r="A293" s="189"/>
      <c r="B293" s="191"/>
      <c r="C293" s="190"/>
      <c r="F293" s="158">
        <f t="shared" si="10"/>
        <v>0</v>
      </c>
      <c r="G293" s="158">
        <v>0</v>
      </c>
      <c r="M293" s="282"/>
      <c r="Q293" s="158">
        <v>5865595</v>
      </c>
      <c r="R293" s="158" t="s">
        <v>605</v>
      </c>
    </row>
    <row r="294" spans="1:18" ht="15.75">
      <c r="A294" s="189"/>
      <c r="B294" s="191" t="s">
        <v>371</v>
      </c>
      <c r="C294" s="190"/>
      <c r="F294" s="158">
        <f t="shared" si="10"/>
        <v>12362</v>
      </c>
      <c r="G294" s="158">
        <v>0</v>
      </c>
      <c r="H294" s="158">
        <v>12361940</v>
      </c>
      <c r="M294" s="282"/>
      <c r="Q294" s="158">
        <v>20485</v>
      </c>
    </row>
    <row r="295" spans="1:18" ht="15.75">
      <c r="A295" s="189"/>
      <c r="B295" s="191" t="s">
        <v>372</v>
      </c>
      <c r="C295" s="190"/>
      <c r="F295" s="158">
        <f t="shared" si="10"/>
        <v>297</v>
      </c>
      <c r="G295" s="158">
        <v>0</v>
      </c>
      <c r="H295" s="158">
        <v>296647</v>
      </c>
      <c r="M295" s="282"/>
    </row>
    <row r="296" spans="1:18" ht="15.75">
      <c r="A296" s="189"/>
      <c r="B296" s="191" t="s">
        <v>373</v>
      </c>
      <c r="C296" s="190"/>
      <c r="F296" s="158">
        <f t="shared" ref="F296:F322" si="11">ROUND(H296/1000,0)</f>
        <v>11177</v>
      </c>
      <c r="G296" s="158">
        <v>0</v>
      </c>
      <c r="H296" s="158">
        <v>11176852</v>
      </c>
      <c r="M296" s="282"/>
    </row>
    <row r="297" spans="1:18" ht="15.75">
      <c r="A297" s="189"/>
      <c r="B297" s="191" t="s">
        <v>374</v>
      </c>
      <c r="C297" s="190"/>
      <c r="F297" s="158">
        <f t="shared" si="11"/>
        <v>41</v>
      </c>
      <c r="G297" s="158">
        <v>0</v>
      </c>
      <c r="H297" s="158">
        <v>41198</v>
      </c>
      <c r="M297" s="282"/>
      <c r="Q297" s="158">
        <f>SUM(Q291:Q296)</f>
        <v>16215473</v>
      </c>
    </row>
    <row r="298" spans="1:18" ht="15.75">
      <c r="A298" s="283">
        <v>407229</v>
      </c>
      <c r="B298" s="282" t="s">
        <v>589</v>
      </c>
      <c r="C298" s="190"/>
      <c r="F298" s="158">
        <f t="shared" si="11"/>
        <v>0</v>
      </c>
      <c r="G298" s="158">
        <v>0</v>
      </c>
      <c r="H298" s="158">
        <v>0</v>
      </c>
      <c r="M298" s="282"/>
    </row>
    <row r="299" spans="1:18" ht="15.75">
      <c r="A299" s="283">
        <v>407468</v>
      </c>
      <c r="B299" s="282" t="s">
        <v>596</v>
      </c>
      <c r="C299" s="190"/>
      <c r="F299" s="158">
        <f t="shared" ref="F299" si="12">ROUND(H299/1000,0)</f>
        <v>0</v>
      </c>
      <c r="G299" s="158">
        <v>1</v>
      </c>
      <c r="H299" s="158">
        <v>0</v>
      </c>
      <c r="M299" s="282"/>
    </row>
    <row r="300" spans="1:18" ht="15.75">
      <c r="A300" s="189"/>
      <c r="B300" s="191" t="s">
        <v>375</v>
      </c>
      <c r="C300" s="190"/>
      <c r="F300" s="158">
        <f t="shared" si="11"/>
        <v>23877</v>
      </c>
      <c r="G300" s="158">
        <v>0</v>
      </c>
      <c r="H300" s="158">
        <v>23876637</v>
      </c>
      <c r="M300" s="282"/>
    </row>
    <row r="301" spans="1:18" ht="15.75">
      <c r="A301" s="189"/>
      <c r="B301" s="191"/>
      <c r="C301" s="190"/>
      <c r="F301" s="158">
        <f t="shared" si="11"/>
        <v>0</v>
      </c>
      <c r="G301" s="158">
        <v>0</v>
      </c>
      <c r="M301" s="282"/>
    </row>
    <row r="302" spans="1:18" ht="15.75">
      <c r="A302" s="192"/>
      <c r="B302" s="191" t="s">
        <v>376</v>
      </c>
      <c r="C302" s="190"/>
      <c r="F302" s="158">
        <f t="shared" si="11"/>
        <v>74445</v>
      </c>
      <c r="G302" s="158">
        <v>0</v>
      </c>
      <c r="H302" s="158">
        <v>74444556</v>
      </c>
      <c r="M302" s="282"/>
    </row>
    <row r="303" spans="1:18" ht="15.75">
      <c r="A303" s="192"/>
      <c r="B303" s="191"/>
      <c r="C303" s="190"/>
      <c r="F303" s="158">
        <f t="shared" si="11"/>
        <v>0</v>
      </c>
      <c r="G303" s="158">
        <v>0</v>
      </c>
      <c r="M303" s="282"/>
    </row>
    <row r="304" spans="1:18" ht="15.75">
      <c r="A304" s="192"/>
      <c r="B304" s="191" t="s">
        <v>377</v>
      </c>
      <c r="C304" s="190"/>
      <c r="F304" s="158">
        <f t="shared" si="11"/>
        <v>526184</v>
      </c>
      <c r="G304" s="158">
        <v>0</v>
      </c>
      <c r="H304" s="158">
        <v>526184421</v>
      </c>
      <c r="M304" s="282"/>
    </row>
    <row r="305" spans="1:13" ht="15.75">
      <c r="A305" s="192"/>
      <c r="B305" s="191"/>
      <c r="C305" s="190"/>
      <c r="F305" s="158">
        <f t="shared" si="11"/>
        <v>0</v>
      </c>
      <c r="G305" s="158">
        <v>0</v>
      </c>
      <c r="M305" s="282"/>
    </row>
    <row r="306" spans="1:13" ht="15.75">
      <c r="A306" s="192"/>
      <c r="B306" s="191" t="s">
        <v>378</v>
      </c>
      <c r="C306" s="190"/>
      <c r="F306" s="158">
        <f t="shared" si="11"/>
        <v>150927</v>
      </c>
      <c r="G306" s="158">
        <v>0</v>
      </c>
      <c r="H306" s="158">
        <v>150927389</v>
      </c>
      <c r="M306" s="282"/>
    </row>
    <row r="307" spans="1:13" ht="15.75">
      <c r="A307" s="192"/>
      <c r="B307" s="191"/>
      <c r="C307" s="190"/>
      <c r="F307" s="158">
        <f t="shared" si="11"/>
        <v>0</v>
      </c>
      <c r="G307" s="158">
        <v>0</v>
      </c>
      <c r="M307" s="282"/>
    </row>
    <row r="308" spans="1:13" ht="15.75">
      <c r="A308" s="192"/>
      <c r="B308" s="191" t="s">
        <v>379</v>
      </c>
      <c r="C308" s="190"/>
      <c r="F308" s="158">
        <f t="shared" si="11"/>
        <v>-25741</v>
      </c>
      <c r="G308" s="158">
        <v>0</v>
      </c>
      <c r="H308" s="158">
        <v>-25741470</v>
      </c>
      <c r="M308" s="282"/>
    </row>
    <row r="309" spans="1:13" ht="15.75">
      <c r="A309" s="192"/>
      <c r="B309" s="191" t="s">
        <v>380</v>
      </c>
      <c r="C309" s="190"/>
      <c r="F309" s="158">
        <f t="shared" si="11"/>
        <v>66436</v>
      </c>
      <c r="G309" s="158">
        <v>0</v>
      </c>
      <c r="H309" s="158">
        <v>66436097</v>
      </c>
      <c r="M309" s="282"/>
    </row>
    <row r="310" spans="1:13" ht="15.75">
      <c r="A310" s="192"/>
      <c r="B310" s="191" t="s">
        <v>381</v>
      </c>
      <c r="C310" s="195"/>
      <c r="F310" s="158">
        <f t="shared" si="11"/>
        <v>-325</v>
      </c>
      <c r="G310" s="158">
        <v>0</v>
      </c>
      <c r="H310" s="158">
        <v>-324886</v>
      </c>
      <c r="M310" s="282"/>
    </row>
    <row r="311" spans="1:13" ht="15.75">
      <c r="A311" s="189"/>
      <c r="B311" s="191" t="s">
        <v>382</v>
      </c>
      <c r="C311" s="190"/>
      <c r="F311" s="158">
        <f t="shared" si="11"/>
        <v>110558</v>
      </c>
      <c r="G311" s="158">
        <v>0</v>
      </c>
      <c r="H311" s="158">
        <v>110557648</v>
      </c>
      <c r="M311" s="282"/>
    </row>
    <row r="312" spans="1:13">
      <c r="F312" s="158">
        <f t="shared" si="11"/>
        <v>0</v>
      </c>
      <c r="G312" s="158">
        <v>0</v>
      </c>
    </row>
    <row r="313" spans="1:13" ht="15.75">
      <c r="A313" s="198"/>
      <c r="B313" s="191" t="s">
        <v>48</v>
      </c>
      <c r="F313" s="158">
        <f t="shared" si="11"/>
        <v>0</v>
      </c>
      <c r="G313" s="158">
        <v>0</v>
      </c>
      <c r="M313" s="282"/>
    </row>
    <row r="314" spans="1:13" ht="15.75">
      <c r="A314" s="198"/>
      <c r="B314" s="191" t="s">
        <v>383</v>
      </c>
      <c r="F314" s="158">
        <f t="shared" si="11"/>
        <v>0</v>
      </c>
      <c r="G314" s="158">
        <v>0</v>
      </c>
      <c r="M314" s="282"/>
    </row>
    <row r="315" spans="1:13" ht="15.75">
      <c r="A315" s="199">
        <v>182324</v>
      </c>
      <c r="B315" s="194" t="s">
        <v>566</v>
      </c>
      <c r="F315" s="158">
        <f t="shared" si="11"/>
        <v>5686</v>
      </c>
      <c r="G315" s="158">
        <v>0</v>
      </c>
      <c r="H315" s="158">
        <v>5685645</v>
      </c>
      <c r="M315" s="285"/>
    </row>
    <row r="316" spans="1:13" ht="15.75">
      <c r="A316" s="199">
        <v>182325</v>
      </c>
      <c r="B316" s="194" t="s">
        <v>567</v>
      </c>
      <c r="F316" s="158">
        <f t="shared" si="11"/>
        <v>1315</v>
      </c>
      <c r="G316" s="158">
        <v>0</v>
      </c>
      <c r="H316" s="158">
        <v>1314600</v>
      </c>
      <c r="M316" s="285"/>
    </row>
    <row r="317" spans="1:13" ht="15.75">
      <c r="A317" s="199">
        <v>182333</v>
      </c>
      <c r="B317" s="194" t="s">
        <v>568</v>
      </c>
      <c r="F317" s="158">
        <f t="shared" ref="F317:F318" si="13">ROUND(H317/1000,0)</f>
        <v>807</v>
      </c>
      <c r="G317" s="158">
        <v>0</v>
      </c>
      <c r="H317" s="158">
        <v>807389</v>
      </c>
      <c r="M317" s="285"/>
    </row>
    <row r="318" spans="1:13" ht="15.75">
      <c r="A318" s="199">
        <v>182381</v>
      </c>
      <c r="B318" s="194" t="s">
        <v>569</v>
      </c>
      <c r="F318" s="158">
        <f t="shared" si="13"/>
        <v>21816</v>
      </c>
      <c r="G318" s="158">
        <v>0</v>
      </c>
      <c r="H318" s="158">
        <v>21815819</v>
      </c>
      <c r="M318" s="285"/>
    </row>
    <row r="319" spans="1:13" ht="15.75">
      <c r="A319" s="200">
        <v>302000</v>
      </c>
      <c r="B319" s="191" t="s">
        <v>384</v>
      </c>
      <c r="F319" s="158">
        <f t="shared" si="11"/>
        <v>29556</v>
      </c>
      <c r="G319" s="158">
        <v>0</v>
      </c>
      <c r="H319" s="158">
        <v>29556255</v>
      </c>
      <c r="M319" s="282"/>
    </row>
    <row r="320" spans="1:13" ht="15.75">
      <c r="A320" s="200">
        <v>303000</v>
      </c>
      <c r="B320" s="194" t="s">
        <v>385</v>
      </c>
      <c r="F320" s="158">
        <f t="shared" si="11"/>
        <v>11440</v>
      </c>
      <c r="G320" s="158">
        <v>0</v>
      </c>
      <c r="H320" s="158">
        <v>11439631</v>
      </c>
      <c r="M320" s="285"/>
    </row>
    <row r="321" spans="1:13" ht="15.75">
      <c r="A321" s="200">
        <v>303100</v>
      </c>
      <c r="B321" s="191" t="s">
        <v>386</v>
      </c>
      <c r="F321" s="158">
        <f t="shared" si="11"/>
        <v>36026</v>
      </c>
      <c r="G321" s="158">
        <v>0</v>
      </c>
      <c r="H321" s="158">
        <v>36026426</v>
      </c>
      <c r="M321" s="282"/>
    </row>
    <row r="322" spans="1:13" ht="15.75">
      <c r="A322" s="200">
        <v>303110</v>
      </c>
      <c r="B322" s="191" t="s">
        <v>387</v>
      </c>
      <c r="F322" s="158">
        <f t="shared" si="11"/>
        <v>2941</v>
      </c>
      <c r="G322" s="158">
        <v>0</v>
      </c>
      <c r="H322" s="158">
        <v>2940873</v>
      </c>
      <c r="M322" s="282"/>
    </row>
    <row r="323" spans="1:13" ht="15.75">
      <c r="A323" s="287">
        <v>303115</v>
      </c>
      <c r="B323" s="282" t="s">
        <v>597</v>
      </c>
      <c r="F323" s="158">
        <f t="shared" ref="F323" si="14">ROUND(H323/1000,0)</f>
        <v>46471</v>
      </c>
      <c r="G323" s="158">
        <v>1</v>
      </c>
      <c r="H323" s="158">
        <v>46470587</v>
      </c>
      <c r="M323" s="282"/>
    </row>
    <row r="324" spans="1:13" ht="15.75">
      <c r="A324" s="201"/>
      <c r="B324" s="191" t="s">
        <v>388</v>
      </c>
      <c r="F324" s="158">
        <f t="shared" ref="F324:F349" si="15">ROUND(H324/1000,0)</f>
        <v>156057</v>
      </c>
      <c r="G324" s="158">
        <v>0</v>
      </c>
      <c r="H324" s="158">
        <v>156057225</v>
      </c>
      <c r="M324" s="282"/>
    </row>
    <row r="325" spans="1:13" ht="15.75">
      <c r="A325" s="198"/>
      <c r="B325" s="191"/>
      <c r="F325" s="158">
        <f t="shared" si="15"/>
        <v>0</v>
      </c>
      <c r="G325" s="158">
        <v>0</v>
      </c>
      <c r="M325" s="282"/>
    </row>
    <row r="326" spans="1:13" ht="15.75">
      <c r="A326" s="198"/>
      <c r="B326" s="191" t="s">
        <v>389</v>
      </c>
      <c r="F326" s="158">
        <f t="shared" si="15"/>
        <v>0</v>
      </c>
      <c r="G326" s="158">
        <v>0</v>
      </c>
      <c r="M326" s="282"/>
    </row>
    <row r="327" spans="1:13" ht="15.75">
      <c r="A327" s="200" t="s">
        <v>390</v>
      </c>
      <c r="B327" s="191" t="s">
        <v>391</v>
      </c>
      <c r="F327" s="158">
        <f t="shared" si="15"/>
        <v>2352</v>
      </c>
      <c r="G327" s="158">
        <v>0</v>
      </c>
      <c r="H327" s="158">
        <v>2351922</v>
      </c>
      <c r="M327" s="282"/>
    </row>
    <row r="328" spans="1:13" ht="15.75">
      <c r="A328" s="200" t="s">
        <v>392</v>
      </c>
      <c r="B328" s="191" t="s">
        <v>393</v>
      </c>
      <c r="F328" s="158">
        <f t="shared" si="15"/>
        <v>86982</v>
      </c>
      <c r="G328" s="158">
        <v>0</v>
      </c>
      <c r="H328" s="158">
        <v>86981968</v>
      </c>
      <c r="M328" s="282"/>
    </row>
    <row r="329" spans="1:13" ht="15.75">
      <c r="A329" s="200">
        <v>312000</v>
      </c>
      <c r="B329" s="191" t="s">
        <v>262</v>
      </c>
      <c r="F329" s="158">
        <f t="shared" si="15"/>
        <v>115829</v>
      </c>
      <c r="G329" s="158">
        <v>0</v>
      </c>
      <c r="H329" s="158">
        <v>115829080</v>
      </c>
      <c r="M329" s="282"/>
    </row>
    <row r="330" spans="1:13" ht="15.75">
      <c r="A330" s="200">
        <v>313000</v>
      </c>
      <c r="B330" s="191" t="s">
        <v>394</v>
      </c>
      <c r="F330" s="158">
        <f t="shared" si="15"/>
        <v>4</v>
      </c>
      <c r="G330" s="158">
        <v>0</v>
      </c>
      <c r="H330" s="158">
        <v>4450</v>
      </c>
      <c r="M330" s="282"/>
    </row>
    <row r="331" spans="1:13" ht="15.75">
      <c r="A331" s="200">
        <v>314000</v>
      </c>
      <c r="B331" s="191" t="s">
        <v>395</v>
      </c>
      <c r="F331" s="158">
        <f t="shared" si="15"/>
        <v>36187</v>
      </c>
      <c r="G331" s="158">
        <v>0</v>
      </c>
      <c r="H331" s="158">
        <v>36187031</v>
      </c>
      <c r="M331" s="282"/>
    </row>
    <row r="332" spans="1:13" ht="15.75">
      <c r="A332" s="200">
        <v>315000</v>
      </c>
      <c r="B332" s="191" t="s">
        <v>396</v>
      </c>
      <c r="F332" s="158">
        <f t="shared" si="15"/>
        <v>17939</v>
      </c>
      <c r="G332" s="158">
        <v>0</v>
      </c>
      <c r="H332" s="158">
        <v>17939049</v>
      </c>
      <c r="M332" s="282"/>
    </row>
    <row r="333" spans="1:13" ht="15.75">
      <c r="A333" s="200">
        <v>316000</v>
      </c>
      <c r="B333" s="191" t="s">
        <v>397</v>
      </c>
      <c r="F333" s="158">
        <f t="shared" si="15"/>
        <v>11465</v>
      </c>
      <c r="G333" s="158">
        <v>0</v>
      </c>
      <c r="H333" s="158">
        <v>11465135</v>
      </c>
      <c r="M333" s="282"/>
    </row>
    <row r="334" spans="1:13" ht="15.75">
      <c r="A334" s="202"/>
      <c r="B334" s="191" t="s">
        <v>398</v>
      </c>
      <c r="F334" s="158">
        <f t="shared" si="15"/>
        <v>270759</v>
      </c>
      <c r="G334" s="158">
        <v>0</v>
      </c>
      <c r="H334" s="158">
        <v>270758635</v>
      </c>
      <c r="M334" s="282"/>
    </row>
    <row r="335" spans="1:13" ht="15.75">
      <c r="A335" s="203"/>
      <c r="B335" s="191"/>
      <c r="F335" s="158">
        <f t="shared" si="15"/>
        <v>0</v>
      </c>
      <c r="G335" s="158">
        <v>0</v>
      </c>
      <c r="M335" s="282"/>
    </row>
    <row r="336" spans="1:13" ht="15.75">
      <c r="A336" s="198"/>
      <c r="B336" s="191" t="s">
        <v>399</v>
      </c>
      <c r="F336" s="158">
        <f t="shared" si="15"/>
        <v>0</v>
      </c>
      <c r="G336" s="158">
        <v>0</v>
      </c>
      <c r="M336" s="282"/>
    </row>
    <row r="337" spans="1:13" ht="15.75">
      <c r="A337" s="200" t="s">
        <v>400</v>
      </c>
      <c r="B337" s="191" t="s">
        <v>391</v>
      </c>
      <c r="F337" s="158">
        <f t="shared" si="15"/>
        <v>39457</v>
      </c>
      <c r="G337" s="158">
        <v>0</v>
      </c>
      <c r="H337" s="158">
        <v>39456899</v>
      </c>
      <c r="M337" s="282"/>
    </row>
    <row r="338" spans="1:13" ht="15.75">
      <c r="A338" s="200" t="s">
        <v>401</v>
      </c>
      <c r="B338" s="191" t="s">
        <v>393</v>
      </c>
      <c r="F338" s="158">
        <f t="shared" si="15"/>
        <v>45405</v>
      </c>
      <c r="G338" s="158">
        <v>0</v>
      </c>
      <c r="H338" s="158">
        <v>45405487</v>
      </c>
      <c r="M338" s="282"/>
    </row>
    <row r="339" spans="1:13" ht="15.75">
      <c r="A339" s="200" t="s">
        <v>402</v>
      </c>
      <c r="B339" s="191" t="s">
        <v>271</v>
      </c>
      <c r="F339" s="158">
        <f t="shared" si="15"/>
        <v>107158</v>
      </c>
      <c r="G339" s="158">
        <v>0</v>
      </c>
      <c r="H339" s="158">
        <v>107158472</v>
      </c>
      <c r="M339" s="282"/>
    </row>
    <row r="340" spans="1:13" ht="15.75">
      <c r="A340" s="200">
        <v>333000</v>
      </c>
      <c r="B340" s="191" t="s">
        <v>403</v>
      </c>
      <c r="F340" s="158">
        <f t="shared" si="15"/>
        <v>132299</v>
      </c>
      <c r="G340" s="158">
        <v>0</v>
      </c>
      <c r="H340" s="158">
        <v>132299242</v>
      </c>
      <c r="M340" s="282"/>
    </row>
    <row r="341" spans="1:13" ht="15.75">
      <c r="A341" s="200">
        <v>334000</v>
      </c>
      <c r="B341" s="191" t="s">
        <v>396</v>
      </c>
      <c r="F341" s="158">
        <f t="shared" si="15"/>
        <v>32830</v>
      </c>
      <c r="G341" s="158">
        <v>0</v>
      </c>
      <c r="H341" s="158">
        <v>32830286</v>
      </c>
      <c r="M341" s="282"/>
    </row>
    <row r="342" spans="1:13" ht="15.75">
      <c r="A342" s="200" t="s">
        <v>404</v>
      </c>
      <c r="B342" s="191" t="s">
        <v>397</v>
      </c>
      <c r="F342" s="158">
        <f t="shared" si="15"/>
        <v>7141</v>
      </c>
      <c r="G342" s="158">
        <v>0</v>
      </c>
      <c r="H342" s="158">
        <v>7141010</v>
      </c>
      <c r="M342" s="282"/>
    </row>
    <row r="343" spans="1:13" ht="15.75">
      <c r="A343" s="200">
        <v>336000</v>
      </c>
      <c r="B343" s="191" t="s">
        <v>405</v>
      </c>
      <c r="F343" s="158">
        <f t="shared" si="15"/>
        <v>1804</v>
      </c>
      <c r="G343" s="158">
        <v>0</v>
      </c>
      <c r="H343" s="158">
        <v>1803547</v>
      </c>
      <c r="M343" s="282"/>
    </row>
    <row r="344" spans="1:13" ht="15.75">
      <c r="A344" s="202"/>
      <c r="B344" s="191" t="s">
        <v>406</v>
      </c>
      <c r="F344" s="158">
        <f t="shared" si="15"/>
        <v>366095</v>
      </c>
      <c r="G344" s="158">
        <v>0</v>
      </c>
      <c r="H344" s="158">
        <v>366094943</v>
      </c>
      <c r="M344" s="282"/>
    </row>
    <row r="345" spans="1:13" ht="15.75">
      <c r="A345" s="203"/>
      <c r="B345" s="191"/>
      <c r="F345" s="158">
        <f t="shared" si="15"/>
        <v>0</v>
      </c>
      <c r="G345" s="158">
        <v>0</v>
      </c>
      <c r="M345" s="282"/>
    </row>
    <row r="346" spans="1:13" ht="15.75">
      <c r="A346" s="198"/>
      <c r="B346" s="191" t="s">
        <v>407</v>
      </c>
      <c r="F346" s="158">
        <f t="shared" si="15"/>
        <v>0</v>
      </c>
      <c r="G346" s="158">
        <v>0</v>
      </c>
      <c r="M346" s="282"/>
    </row>
    <row r="347" spans="1:13" ht="15.75">
      <c r="A347" s="200">
        <v>340200</v>
      </c>
      <c r="B347" s="191" t="s">
        <v>391</v>
      </c>
      <c r="F347" s="158">
        <f t="shared" si="15"/>
        <v>595</v>
      </c>
      <c r="G347" s="158">
        <v>0</v>
      </c>
      <c r="H347" s="158">
        <v>594967</v>
      </c>
      <c r="M347" s="282"/>
    </row>
    <row r="348" spans="1:13" ht="15.75">
      <c r="A348" s="200">
        <v>341000</v>
      </c>
      <c r="B348" s="191" t="s">
        <v>393</v>
      </c>
      <c r="F348" s="158">
        <f t="shared" si="15"/>
        <v>11079</v>
      </c>
      <c r="G348" s="158">
        <v>0</v>
      </c>
      <c r="H348" s="158">
        <v>11078979</v>
      </c>
      <c r="M348" s="282"/>
    </row>
    <row r="349" spans="1:13" ht="15.75">
      <c r="A349" s="200">
        <v>342000</v>
      </c>
      <c r="B349" s="191" t="s">
        <v>408</v>
      </c>
      <c r="F349" s="158">
        <f t="shared" si="15"/>
        <v>14041</v>
      </c>
      <c r="G349" s="158">
        <v>0</v>
      </c>
      <c r="H349" s="158">
        <v>14041200</v>
      </c>
      <c r="M349" s="282"/>
    </row>
    <row r="350" spans="1:13" ht="15.75">
      <c r="A350" s="200">
        <v>343000</v>
      </c>
      <c r="B350" s="191" t="s">
        <v>409</v>
      </c>
      <c r="F350" s="158">
        <f t="shared" ref="F350:F351" si="16">ROUND(H350/1000,0)</f>
        <v>15716</v>
      </c>
      <c r="G350" s="158">
        <v>0</v>
      </c>
      <c r="H350" s="158">
        <v>15715695</v>
      </c>
      <c r="M350" s="282"/>
    </row>
    <row r="351" spans="1:13" ht="15.75">
      <c r="A351" s="200">
        <v>344000</v>
      </c>
      <c r="B351" s="191" t="s">
        <v>394</v>
      </c>
      <c r="F351" s="158">
        <f t="shared" si="16"/>
        <v>139700</v>
      </c>
      <c r="G351" s="158">
        <v>0</v>
      </c>
      <c r="H351" s="158">
        <v>139700422</v>
      </c>
      <c r="M351" s="282"/>
    </row>
    <row r="352" spans="1:13" ht="15.75">
      <c r="A352" s="200">
        <v>344010</v>
      </c>
      <c r="B352" s="191" t="s">
        <v>570</v>
      </c>
      <c r="F352" s="158">
        <f t="shared" ref="F352:F370" si="17">ROUND(H352/1000,0)</f>
        <v>98</v>
      </c>
      <c r="G352" s="158">
        <v>0</v>
      </c>
      <c r="H352" s="158">
        <v>98378</v>
      </c>
      <c r="M352" s="282"/>
    </row>
    <row r="353" spans="1:16384" ht="15.75">
      <c r="A353" s="200">
        <v>345000</v>
      </c>
      <c r="B353" s="191" t="s">
        <v>396</v>
      </c>
      <c r="F353" s="158">
        <f t="shared" si="17"/>
        <v>13551</v>
      </c>
      <c r="G353" s="158">
        <v>0</v>
      </c>
      <c r="H353" s="158">
        <v>13550640</v>
      </c>
      <c r="M353" s="282"/>
    </row>
    <row r="354" spans="1:16384" ht="15.75">
      <c r="A354" s="200">
        <v>345010</v>
      </c>
      <c r="B354" s="191" t="s">
        <v>571</v>
      </c>
      <c r="F354" s="158">
        <f t="shared" si="17"/>
        <v>22</v>
      </c>
      <c r="G354" s="158">
        <v>0</v>
      </c>
      <c r="H354" s="158">
        <v>21829</v>
      </c>
      <c r="I354" s="287"/>
      <c r="J354" s="282"/>
      <c r="K354" s="287"/>
      <c r="M354" s="282"/>
      <c r="Q354" s="287"/>
      <c r="R354" s="282"/>
      <c r="S354" s="287"/>
      <c r="T354" s="282"/>
      <c r="U354" s="287"/>
      <c r="V354" s="282"/>
      <c r="W354" s="287"/>
      <c r="X354" s="282"/>
      <c r="Y354" s="287"/>
      <c r="Z354" s="282"/>
      <c r="AA354" s="287"/>
      <c r="AB354" s="282"/>
      <c r="AC354" s="287"/>
      <c r="AD354" s="282"/>
      <c r="AE354" s="287"/>
      <c r="AF354" s="282"/>
      <c r="AG354" s="287"/>
      <c r="AH354" s="282"/>
      <c r="AI354" s="287"/>
      <c r="AJ354" s="282"/>
      <c r="AK354" s="287"/>
      <c r="AL354" s="282"/>
      <c r="AM354" s="287"/>
      <c r="AN354" s="282"/>
      <c r="AO354" s="287"/>
      <c r="AP354" s="282"/>
      <c r="AQ354" s="287"/>
      <c r="AR354" s="282"/>
      <c r="AS354" s="287"/>
      <c r="AT354" s="282"/>
      <c r="AU354" s="287"/>
      <c r="AV354" s="282"/>
      <c r="AW354" s="287"/>
      <c r="AX354" s="282"/>
      <c r="AY354" s="287"/>
      <c r="AZ354" s="282"/>
      <c r="BA354" s="287"/>
      <c r="BB354" s="282"/>
      <c r="BC354" s="287"/>
      <c r="BD354" s="282"/>
      <c r="BE354" s="287"/>
      <c r="BF354" s="282"/>
      <c r="BG354" s="287"/>
      <c r="BH354" s="282"/>
      <c r="BI354" s="287"/>
      <c r="BJ354" s="282"/>
      <c r="BK354" s="287"/>
      <c r="BL354" s="282"/>
      <c r="BM354" s="287"/>
      <c r="BN354" s="282"/>
      <c r="BO354" s="287"/>
      <c r="BP354" s="282"/>
      <c r="BQ354" s="287"/>
      <c r="BR354" s="282"/>
      <c r="BS354" s="287"/>
      <c r="BT354" s="282"/>
      <c r="BU354" s="287"/>
      <c r="BV354" s="282"/>
      <c r="BW354" s="287"/>
      <c r="BX354" s="282"/>
      <c r="BY354" s="287"/>
      <c r="BZ354" s="282"/>
      <c r="CA354" s="287"/>
      <c r="CB354" s="282"/>
      <c r="CC354" s="287"/>
      <c r="CD354" s="282"/>
      <c r="CE354" s="287"/>
      <c r="CF354" s="282"/>
      <c r="CG354" s="287"/>
      <c r="CH354" s="282"/>
      <c r="CI354" s="287"/>
      <c r="CJ354" s="282"/>
      <c r="CK354" s="287"/>
      <c r="CL354" s="282"/>
      <c r="CM354" s="287"/>
      <c r="CN354" s="282"/>
      <c r="CO354" s="287"/>
      <c r="CP354" s="282"/>
      <c r="CQ354" s="287"/>
      <c r="CR354" s="282"/>
      <c r="CS354" s="287"/>
      <c r="CT354" s="282"/>
      <c r="CU354" s="287"/>
      <c r="CV354" s="282"/>
      <c r="CW354" s="287"/>
      <c r="CX354" s="282"/>
      <c r="CY354" s="287"/>
      <c r="CZ354" s="282"/>
      <c r="DA354" s="287"/>
      <c r="DB354" s="282"/>
      <c r="DC354" s="287"/>
      <c r="DD354" s="282"/>
      <c r="DE354" s="287"/>
      <c r="DF354" s="282"/>
      <c r="DG354" s="287"/>
      <c r="DH354" s="282"/>
      <c r="DI354" s="287"/>
      <c r="DJ354" s="282"/>
      <c r="DK354" s="287"/>
      <c r="DL354" s="282"/>
      <c r="DM354" s="287"/>
      <c r="DN354" s="282"/>
      <c r="DO354" s="287"/>
      <c r="DP354" s="282"/>
      <c r="DQ354" s="287"/>
      <c r="DR354" s="282"/>
      <c r="DS354" s="287"/>
      <c r="DT354" s="282"/>
      <c r="DU354" s="287"/>
      <c r="DV354" s="282"/>
      <c r="DW354" s="287"/>
      <c r="DX354" s="282"/>
      <c r="DY354" s="287"/>
      <c r="DZ354" s="282"/>
      <c r="EA354" s="287"/>
      <c r="EB354" s="282"/>
      <c r="EC354" s="287"/>
      <c r="ED354" s="282"/>
      <c r="EE354" s="287"/>
      <c r="EF354" s="282"/>
      <c r="EG354" s="287"/>
      <c r="EH354" s="282"/>
      <c r="EI354" s="287"/>
      <c r="EJ354" s="282"/>
      <c r="EK354" s="287"/>
      <c r="EL354" s="282"/>
      <c r="EM354" s="287"/>
      <c r="EN354" s="282"/>
      <c r="EO354" s="287"/>
      <c r="EP354" s="282"/>
      <c r="EQ354" s="287"/>
      <c r="ER354" s="282"/>
      <c r="ES354" s="287"/>
      <c r="ET354" s="282"/>
      <c r="EU354" s="287"/>
      <c r="EV354" s="282"/>
      <c r="EW354" s="287"/>
      <c r="EX354" s="282"/>
      <c r="EY354" s="287"/>
      <c r="EZ354" s="282"/>
      <c r="FA354" s="287"/>
      <c r="FB354" s="282"/>
      <c r="FC354" s="287"/>
      <c r="FD354" s="282"/>
      <c r="FE354" s="287"/>
      <c r="FF354" s="282"/>
      <c r="FG354" s="287"/>
      <c r="FH354" s="282"/>
      <c r="FI354" s="287"/>
      <c r="FJ354" s="282"/>
      <c r="FK354" s="287"/>
      <c r="FL354" s="282"/>
      <c r="FM354" s="287"/>
      <c r="FN354" s="282"/>
      <c r="FO354" s="287"/>
      <c r="FP354" s="282"/>
      <c r="FQ354" s="287"/>
      <c r="FR354" s="282"/>
      <c r="FS354" s="287"/>
      <c r="FT354" s="282"/>
      <c r="FU354" s="287"/>
      <c r="FV354" s="282"/>
      <c r="FW354" s="287"/>
      <c r="FX354" s="282"/>
      <c r="FY354" s="287"/>
      <c r="FZ354" s="282"/>
      <c r="GA354" s="287"/>
      <c r="GB354" s="282"/>
      <c r="GC354" s="287"/>
      <c r="GD354" s="282"/>
      <c r="GE354" s="287"/>
      <c r="GF354" s="282"/>
      <c r="GG354" s="287"/>
      <c r="GH354" s="282"/>
      <c r="GI354" s="287"/>
      <c r="GJ354" s="282"/>
      <c r="GK354" s="287"/>
      <c r="GL354" s="282"/>
      <c r="GM354" s="287"/>
      <c r="GN354" s="282"/>
      <c r="GO354" s="287"/>
      <c r="GP354" s="282"/>
      <c r="GQ354" s="287"/>
      <c r="GR354" s="282"/>
      <c r="GS354" s="287"/>
      <c r="GT354" s="282"/>
      <c r="GU354" s="287"/>
      <c r="GV354" s="282"/>
      <c r="GW354" s="287"/>
      <c r="GX354" s="282"/>
      <c r="GY354" s="287"/>
      <c r="GZ354" s="282"/>
      <c r="HA354" s="287"/>
      <c r="HB354" s="282"/>
      <c r="HC354" s="287"/>
      <c r="HD354" s="282"/>
      <c r="HE354" s="287"/>
      <c r="HF354" s="282"/>
      <c r="HG354" s="287"/>
      <c r="HH354" s="282"/>
      <c r="HI354" s="287"/>
      <c r="HJ354" s="282"/>
      <c r="HK354" s="287"/>
      <c r="HL354" s="282"/>
      <c r="HM354" s="287"/>
      <c r="HN354" s="282"/>
      <c r="HO354" s="287"/>
      <c r="HP354" s="282"/>
      <c r="HQ354" s="287"/>
      <c r="HR354" s="282"/>
      <c r="HS354" s="287"/>
      <c r="HT354" s="282"/>
      <c r="HU354" s="287"/>
      <c r="HV354" s="282"/>
      <c r="HW354" s="287"/>
      <c r="HX354" s="282"/>
      <c r="HY354" s="287"/>
      <c r="HZ354" s="282"/>
      <c r="IA354" s="287"/>
      <c r="IB354" s="282"/>
      <c r="IC354" s="287"/>
      <c r="ID354" s="282"/>
      <c r="IE354" s="287"/>
      <c r="IF354" s="282"/>
      <c r="IG354" s="287"/>
      <c r="IH354" s="282"/>
      <c r="II354" s="287"/>
      <c r="IJ354" s="282"/>
      <c r="IK354" s="287"/>
      <c r="IL354" s="282"/>
      <c r="IM354" s="287"/>
      <c r="IN354" s="282"/>
      <c r="IO354" s="287"/>
      <c r="IP354" s="282"/>
      <c r="IQ354" s="287"/>
      <c r="IR354" s="282"/>
      <c r="IS354" s="287"/>
      <c r="IT354" s="282"/>
      <c r="IU354" s="287"/>
      <c r="IV354" s="282"/>
      <c r="IW354" s="287"/>
      <c r="IX354" s="282"/>
      <c r="IY354" s="287"/>
      <c r="IZ354" s="282"/>
      <c r="JA354" s="287"/>
      <c r="JB354" s="282"/>
      <c r="JC354" s="287"/>
      <c r="JD354" s="282"/>
      <c r="JE354" s="287"/>
      <c r="JF354" s="282"/>
      <c r="JG354" s="287"/>
      <c r="JH354" s="282"/>
      <c r="JI354" s="287"/>
      <c r="JJ354" s="282"/>
      <c r="JK354" s="287"/>
      <c r="JL354" s="282"/>
      <c r="JM354" s="287"/>
      <c r="JN354" s="282"/>
      <c r="JO354" s="287"/>
      <c r="JP354" s="282"/>
      <c r="JQ354" s="287"/>
      <c r="JR354" s="282"/>
      <c r="JS354" s="287"/>
      <c r="JT354" s="282"/>
      <c r="JU354" s="287"/>
      <c r="JV354" s="282"/>
      <c r="JW354" s="287"/>
      <c r="JX354" s="282"/>
      <c r="JY354" s="287"/>
      <c r="JZ354" s="282"/>
      <c r="KA354" s="287"/>
      <c r="KB354" s="282"/>
      <c r="KC354" s="287"/>
      <c r="KD354" s="282"/>
      <c r="KE354" s="287"/>
      <c r="KF354" s="282"/>
      <c r="KG354" s="287"/>
      <c r="KH354" s="282"/>
      <c r="KI354" s="287"/>
      <c r="KJ354" s="282"/>
      <c r="KK354" s="287"/>
      <c r="KL354" s="282"/>
      <c r="KM354" s="287"/>
      <c r="KN354" s="282"/>
      <c r="KO354" s="287"/>
      <c r="KP354" s="282"/>
      <c r="KQ354" s="287"/>
      <c r="KR354" s="282"/>
      <c r="KS354" s="287"/>
      <c r="KT354" s="282"/>
      <c r="KU354" s="287"/>
      <c r="KV354" s="282"/>
      <c r="KW354" s="287"/>
      <c r="KX354" s="282"/>
      <c r="KY354" s="287"/>
      <c r="KZ354" s="282"/>
      <c r="LA354" s="287"/>
      <c r="LB354" s="282"/>
      <c r="LC354" s="287"/>
      <c r="LD354" s="282"/>
      <c r="LE354" s="287"/>
      <c r="LF354" s="282"/>
      <c r="LG354" s="287"/>
      <c r="LH354" s="282"/>
      <c r="LI354" s="287"/>
      <c r="LJ354" s="282"/>
      <c r="LK354" s="287"/>
      <c r="LL354" s="282"/>
      <c r="LM354" s="287"/>
      <c r="LN354" s="282"/>
      <c r="LO354" s="287"/>
      <c r="LP354" s="282"/>
      <c r="LQ354" s="287"/>
      <c r="LR354" s="282"/>
      <c r="LS354" s="287"/>
      <c r="LT354" s="282"/>
      <c r="LU354" s="287"/>
      <c r="LV354" s="282"/>
      <c r="LW354" s="287"/>
      <c r="LX354" s="282"/>
      <c r="LY354" s="287"/>
      <c r="LZ354" s="282"/>
      <c r="MA354" s="287"/>
      <c r="MB354" s="282"/>
      <c r="MC354" s="287"/>
      <c r="MD354" s="282"/>
      <c r="ME354" s="287"/>
      <c r="MF354" s="282"/>
      <c r="MG354" s="287"/>
      <c r="MH354" s="282"/>
      <c r="MI354" s="287"/>
      <c r="MJ354" s="282"/>
      <c r="MK354" s="287"/>
      <c r="ML354" s="282"/>
      <c r="MM354" s="287"/>
      <c r="MN354" s="282"/>
      <c r="MO354" s="287"/>
      <c r="MP354" s="282"/>
      <c r="MQ354" s="287"/>
      <c r="MR354" s="282"/>
      <c r="MS354" s="287"/>
      <c r="MT354" s="282"/>
      <c r="MU354" s="287"/>
      <c r="MV354" s="282"/>
      <c r="MW354" s="287"/>
      <c r="MX354" s="282"/>
      <c r="MY354" s="287"/>
      <c r="MZ354" s="282"/>
      <c r="NA354" s="287"/>
      <c r="NB354" s="282"/>
      <c r="NC354" s="287"/>
      <c r="ND354" s="282"/>
      <c r="NE354" s="287"/>
      <c r="NF354" s="282"/>
      <c r="NG354" s="287"/>
      <c r="NH354" s="282"/>
      <c r="NI354" s="287"/>
      <c r="NJ354" s="282"/>
      <c r="NK354" s="287"/>
      <c r="NL354" s="282"/>
      <c r="NM354" s="287"/>
      <c r="NN354" s="282"/>
      <c r="NO354" s="287"/>
      <c r="NP354" s="282"/>
      <c r="NQ354" s="287"/>
      <c r="NR354" s="282"/>
      <c r="NS354" s="287"/>
      <c r="NT354" s="282"/>
      <c r="NU354" s="287"/>
      <c r="NV354" s="282"/>
      <c r="NW354" s="287"/>
      <c r="NX354" s="282"/>
      <c r="NY354" s="287"/>
      <c r="NZ354" s="282"/>
      <c r="OA354" s="287"/>
      <c r="OB354" s="282"/>
      <c r="OC354" s="287"/>
      <c r="OD354" s="282"/>
      <c r="OE354" s="287"/>
      <c r="OF354" s="282"/>
      <c r="OG354" s="287"/>
      <c r="OH354" s="282"/>
      <c r="OI354" s="287"/>
      <c r="OJ354" s="282"/>
      <c r="OK354" s="287"/>
      <c r="OL354" s="282"/>
      <c r="OM354" s="287"/>
      <c r="ON354" s="282"/>
      <c r="OO354" s="287"/>
      <c r="OP354" s="282"/>
      <c r="OQ354" s="287"/>
      <c r="OR354" s="282"/>
      <c r="OS354" s="287"/>
      <c r="OT354" s="282"/>
      <c r="OU354" s="287"/>
      <c r="OV354" s="282"/>
      <c r="OW354" s="287"/>
      <c r="OX354" s="282"/>
      <c r="OY354" s="287"/>
      <c r="OZ354" s="282"/>
      <c r="PA354" s="287"/>
      <c r="PB354" s="282"/>
      <c r="PC354" s="287"/>
      <c r="PD354" s="282"/>
      <c r="PE354" s="287"/>
      <c r="PF354" s="282"/>
      <c r="PG354" s="287"/>
      <c r="PH354" s="282"/>
      <c r="PI354" s="287"/>
      <c r="PJ354" s="282"/>
      <c r="PK354" s="287"/>
      <c r="PL354" s="282"/>
      <c r="PM354" s="287"/>
      <c r="PN354" s="282"/>
      <c r="PO354" s="287"/>
      <c r="PP354" s="282"/>
      <c r="PQ354" s="287"/>
      <c r="PR354" s="282"/>
      <c r="PS354" s="287"/>
      <c r="PT354" s="282"/>
      <c r="PU354" s="287"/>
      <c r="PV354" s="282"/>
      <c r="PW354" s="287"/>
      <c r="PX354" s="282"/>
      <c r="PY354" s="287"/>
      <c r="PZ354" s="282"/>
      <c r="QA354" s="287"/>
      <c r="QB354" s="282"/>
      <c r="QC354" s="287"/>
      <c r="QD354" s="282"/>
      <c r="QE354" s="287"/>
      <c r="QF354" s="282"/>
      <c r="QG354" s="287"/>
      <c r="QH354" s="282"/>
      <c r="QI354" s="287"/>
      <c r="QJ354" s="282"/>
      <c r="QK354" s="287"/>
      <c r="QL354" s="282"/>
      <c r="QM354" s="287"/>
      <c r="QN354" s="282"/>
      <c r="QO354" s="287"/>
      <c r="QP354" s="282"/>
      <c r="QQ354" s="287"/>
      <c r="QR354" s="282"/>
      <c r="QS354" s="287"/>
      <c r="QT354" s="282"/>
      <c r="QU354" s="287"/>
      <c r="QV354" s="282"/>
      <c r="QW354" s="287"/>
      <c r="QX354" s="282"/>
      <c r="QY354" s="287"/>
      <c r="QZ354" s="282"/>
      <c r="RA354" s="287"/>
      <c r="RB354" s="282"/>
      <c r="RC354" s="287"/>
      <c r="RD354" s="282"/>
      <c r="RE354" s="287"/>
      <c r="RF354" s="282"/>
      <c r="RG354" s="287"/>
      <c r="RH354" s="282"/>
      <c r="RI354" s="287"/>
      <c r="RJ354" s="282"/>
      <c r="RK354" s="287"/>
      <c r="RL354" s="282"/>
      <c r="RM354" s="287"/>
      <c r="RN354" s="282"/>
      <c r="RO354" s="287"/>
      <c r="RP354" s="282"/>
      <c r="RQ354" s="287"/>
      <c r="RR354" s="282"/>
      <c r="RS354" s="287"/>
      <c r="RT354" s="282"/>
      <c r="RU354" s="287"/>
      <c r="RV354" s="282"/>
      <c r="RW354" s="287"/>
      <c r="RX354" s="282"/>
      <c r="RY354" s="287"/>
      <c r="RZ354" s="282"/>
      <c r="SA354" s="287"/>
      <c r="SB354" s="282"/>
      <c r="SC354" s="287"/>
      <c r="SD354" s="282"/>
      <c r="SE354" s="287"/>
      <c r="SF354" s="282"/>
      <c r="SG354" s="287"/>
      <c r="SH354" s="282"/>
      <c r="SI354" s="287"/>
      <c r="SJ354" s="282"/>
      <c r="SK354" s="287"/>
      <c r="SL354" s="282"/>
      <c r="SM354" s="287"/>
      <c r="SN354" s="282"/>
      <c r="SO354" s="287"/>
      <c r="SP354" s="282"/>
      <c r="SQ354" s="287"/>
      <c r="SR354" s="282"/>
      <c r="SS354" s="287"/>
      <c r="ST354" s="282"/>
      <c r="SU354" s="287"/>
      <c r="SV354" s="282"/>
      <c r="SW354" s="287"/>
      <c r="SX354" s="282"/>
      <c r="SY354" s="287"/>
      <c r="SZ354" s="282"/>
      <c r="TA354" s="287"/>
      <c r="TB354" s="282"/>
      <c r="TC354" s="287"/>
      <c r="TD354" s="282"/>
      <c r="TE354" s="287"/>
      <c r="TF354" s="282"/>
      <c r="TG354" s="287"/>
      <c r="TH354" s="282"/>
      <c r="TI354" s="287"/>
      <c r="TJ354" s="282"/>
      <c r="TK354" s="287"/>
      <c r="TL354" s="282"/>
      <c r="TM354" s="287"/>
      <c r="TN354" s="282"/>
      <c r="TO354" s="287"/>
      <c r="TP354" s="282"/>
      <c r="TQ354" s="287"/>
      <c r="TR354" s="282"/>
      <c r="TS354" s="287"/>
      <c r="TT354" s="282"/>
      <c r="TU354" s="287"/>
      <c r="TV354" s="282"/>
      <c r="TW354" s="287"/>
      <c r="TX354" s="282"/>
      <c r="TY354" s="287"/>
      <c r="TZ354" s="282"/>
      <c r="UA354" s="287"/>
      <c r="UB354" s="282"/>
      <c r="UC354" s="287"/>
      <c r="UD354" s="282"/>
      <c r="UE354" s="287"/>
      <c r="UF354" s="282"/>
      <c r="UG354" s="287"/>
      <c r="UH354" s="282"/>
      <c r="UI354" s="287"/>
      <c r="UJ354" s="282"/>
      <c r="UK354" s="287"/>
      <c r="UL354" s="282"/>
      <c r="UM354" s="287"/>
      <c r="UN354" s="282"/>
      <c r="UO354" s="287"/>
      <c r="UP354" s="282"/>
      <c r="UQ354" s="287"/>
      <c r="UR354" s="282"/>
      <c r="US354" s="287"/>
      <c r="UT354" s="282"/>
      <c r="UU354" s="287"/>
      <c r="UV354" s="282"/>
      <c r="UW354" s="287"/>
      <c r="UX354" s="282"/>
      <c r="UY354" s="287"/>
      <c r="UZ354" s="282"/>
      <c r="VA354" s="287"/>
      <c r="VB354" s="282"/>
      <c r="VC354" s="287"/>
      <c r="VD354" s="282"/>
      <c r="VE354" s="287"/>
      <c r="VF354" s="282"/>
      <c r="VG354" s="287"/>
      <c r="VH354" s="282"/>
      <c r="VI354" s="287"/>
      <c r="VJ354" s="282"/>
      <c r="VK354" s="287"/>
      <c r="VL354" s="282"/>
      <c r="VM354" s="287"/>
      <c r="VN354" s="282"/>
      <c r="VO354" s="287"/>
      <c r="VP354" s="282"/>
      <c r="VQ354" s="287"/>
      <c r="VR354" s="282"/>
      <c r="VS354" s="287"/>
      <c r="VT354" s="282"/>
      <c r="VU354" s="287"/>
      <c r="VV354" s="282"/>
      <c r="VW354" s="287"/>
      <c r="VX354" s="282"/>
      <c r="VY354" s="287"/>
      <c r="VZ354" s="282"/>
      <c r="WA354" s="287"/>
      <c r="WB354" s="282"/>
      <c r="WC354" s="287"/>
      <c r="WD354" s="282"/>
      <c r="WE354" s="287"/>
      <c r="WF354" s="282"/>
      <c r="WG354" s="287"/>
      <c r="WH354" s="282"/>
      <c r="WI354" s="287"/>
      <c r="WJ354" s="282"/>
      <c r="WK354" s="287"/>
      <c r="WL354" s="282"/>
      <c r="WM354" s="287"/>
      <c r="WN354" s="282"/>
      <c r="WO354" s="287"/>
      <c r="WP354" s="282"/>
      <c r="WQ354" s="287"/>
      <c r="WR354" s="282"/>
      <c r="WS354" s="287"/>
      <c r="WT354" s="282"/>
      <c r="WU354" s="287"/>
      <c r="WV354" s="282"/>
      <c r="WW354" s="287"/>
      <c r="WX354" s="282"/>
      <c r="WY354" s="287"/>
      <c r="WZ354" s="282"/>
      <c r="XA354" s="287"/>
      <c r="XB354" s="282"/>
      <c r="XC354" s="287"/>
      <c r="XD354" s="282"/>
      <c r="XE354" s="287"/>
      <c r="XF354" s="282"/>
      <c r="XG354" s="287"/>
      <c r="XH354" s="282"/>
      <c r="XI354" s="287"/>
      <c r="XJ354" s="282"/>
      <c r="XK354" s="287"/>
      <c r="XL354" s="282"/>
      <c r="XM354" s="287"/>
      <c r="XN354" s="282"/>
      <c r="XO354" s="287"/>
      <c r="XP354" s="282"/>
      <c r="XQ354" s="287"/>
      <c r="XR354" s="282"/>
      <c r="XS354" s="287"/>
      <c r="XT354" s="282"/>
      <c r="XU354" s="287"/>
      <c r="XV354" s="282"/>
      <c r="XW354" s="287"/>
      <c r="XX354" s="282"/>
      <c r="XY354" s="287"/>
      <c r="XZ354" s="282"/>
      <c r="YA354" s="287"/>
      <c r="YB354" s="282"/>
      <c r="YC354" s="287"/>
      <c r="YD354" s="282"/>
      <c r="YE354" s="287"/>
      <c r="YF354" s="282"/>
      <c r="YG354" s="287"/>
      <c r="YH354" s="282"/>
      <c r="YI354" s="287"/>
      <c r="YJ354" s="282"/>
      <c r="YK354" s="287"/>
      <c r="YL354" s="282"/>
      <c r="YM354" s="287"/>
      <c r="YN354" s="282"/>
      <c r="YO354" s="287"/>
      <c r="YP354" s="282"/>
      <c r="YQ354" s="287"/>
      <c r="YR354" s="282"/>
      <c r="YS354" s="287"/>
      <c r="YT354" s="282"/>
      <c r="YU354" s="287"/>
      <c r="YV354" s="282"/>
      <c r="YW354" s="287"/>
      <c r="YX354" s="282"/>
      <c r="YY354" s="287"/>
      <c r="YZ354" s="282"/>
      <c r="ZA354" s="287"/>
      <c r="ZB354" s="282"/>
      <c r="ZC354" s="287"/>
      <c r="ZD354" s="282"/>
      <c r="ZE354" s="287"/>
      <c r="ZF354" s="282"/>
      <c r="ZG354" s="287"/>
      <c r="ZH354" s="282"/>
      <c r="ZI354" s="287"/>
      <c r="ZJ354" s="282"/>
      <c r="ZK354" s="287"/>
      <c r="ZL354" s="282"/>
      <c r="ZM354" s="287"/>
      <c r="ZN354" s="282"/>
      <c r="ZO354" s="287"/>
      <c r="ZP354" s="282"/>
      <c r="ZQ354" s="287"/>
      <c r="ZR354" s="282"/>
      <c r="ZS354" s="287"/>
      <c r="ZT354" s="282"/>
      <c r="ZU354" s="287"/>
      <c r="ZV354" s="282"/>
      <c r="ZW354" s="287"/>
      <c r="ZX354" s="282"/>
      <c r="ZY354" s="287"/>
      <c r="ZZ354" s="282"/>
      <c r="AAA354" s="287"/>
      <c r="AAB354" s="282"/>
      <c r="AAC354" s="287"/>
      <c r="AAD354" s="282"/>
      <c r="AAE354" s="287"/>
      <c r="AAF354" s="282"/>
      <c r="AAG354" s="287"/>
      <c r="AAH354" s="282"/>
      <c r="AAI354" s="287"/>
      <c r="AAJ354" s="282"/>
      <c r="AAK354" s="287"/>
      <c r="AAL354" s="282"/>
      <c r="AAM354" s="287"/>
      <c r="AAN354" s="282"/>
      <c r="AAO354" s="287"/>
      <c r="AAP354" s="282"/>
      <c r="AAQ354" s="287"/>
      <c r="AAR354" s="282"/>
      <c r="AAS354" s="287"/>
      <c r="AAT354" s="282"/>
      <c r="AAU354" s="287"/>
      <c r="AAV354" s="282"/>
      <c r="AAW354" s="287"/>
      <c r="AAX354" s="282"/>
      <c r="AAY354" s="287"/>
      <c r="AAZ354" s="282"/>
      <c r="ABA354" s="287"/>
      <c r="ABB354" s="282"/>
      <c r="ABC354" s="287"/>
      <c r="ABD354" s="282"/>
      <c r="ABE354" s="287"/>
      <c r="ABF354" s="282"/>
      <c r="ABG354" s="287"/>
      <c r="ABH354" s="282"/>
      <c r="ABI354" s="287"/>
      <c r="ABJ354" s="282"/>
      <c r="ABK354" s="287"/>
      <c r="ABL354" s="282"/>
      <c r="ABM354" s="287"/>
      <c r="ABN354" s="282"/>
      <c r="ABO354" s="287"/>
      <c r="ABP354" s="282"/>
      <c r="ABQ354" s="287"/>
      <c r="ABR354" s="282"/>
      <c r="ABS354" s="287"/>
      <c r="ABT354" s="282"/>
      <c r="ABU354" s="287"/>
      <c r="ABV354" s="282"/>
      <c r="ABW354" s="287"/>
      <c r="ABX354" s="282"/>
      <c r="ABY354" s="287"/>
      <c r="ABZ354" s="282"/>
      <c r="ACA354" s="287"/>
      <c r="ACB354" s="282"/>
      <c r="ACC354" s="287"/>
      <c r="ACD354" s="282"/>
      <c r="ACE354" s="287"/>
      <c r="ACF354" s="282"/>
      <c r="ACG354" s="287"/>
      <c r="ACH354" s="282"/>
      <c r="ACI354" s="287"/>
      <c r="ACJ354" s="282"/>
      <c r="ACK354" s="287"/>
      <c r="ACL354" s="282"/>
      <c r="ACM354" s="287"/>
      <c r="ACN354" s="282"/>
      <c r="ACO354" s="287"/>
      <c r="ACP354" s="282"/>
      <c r="ACQ354" s="287"/>
      <c r="ACR354" s="282"/>
      <c r="ACS354" s="287"/>
      <c r="ACT354" s="282"/>
      <c r="ACU354" s="287"/>
      <c r="ACV354" s="282"/>
      <c r="ACW354" s="287"/>
      <c r="ACX354" s="282"/>
      <c r="ACY354" s="287"/>
      <c r="ACZ354" s="282"/>
      <c r="ADA354" s="287"/>
      <c r="ADB354" s="282"/>
      <c r="ADC354" s="287"/>
      <c r="ADD354" s="282"/>
      <c r="ADE354" s="287"/>
      <c r="ADF354" s="282"/>
      <c r="ADG354" s="287"/>
      <c r="ADH354" s="282"/>
      <c r="ADI354" s="287"/>
      <c r="ADJ354" s="282"/>
      <c r="ADK354" s="287"/>
      <c r="ADL354" s="282"/>
      <c r="ADM354" s="287"/>
      <c r="ADN354" s="282"/>
      <c r="ADO354" s="287"/>
      <c r="ADP354" s="282"/>
      <c r="ADQ354" s="287"/>
      <c r="ADR354" s="282"/>
      <c r="ADS354" s="287"/>
      <c r="ADT354" s="282"/>
      <c r="ADU354" s="287"/>
      <c r="ADV354" s="282"/>
      <c r="ADW354" s="287"/>
      <c r="ADX354" s="282"/>
      <c r="ADY354" s="287"/>
      <c r="ADZ354" s="282"/>
      <c r="AEA354" s="287"/>
      <c r="AEB354" s="282"/>
      <c r="AEC354" s="287"/>
      <c r="AED354" s="282"/>
      <c r="AEE354" s="287"/>
      <c r="AEF354" s="282"/>
      <c r="AEG354" s="287"/>
      <c r="AEH354" s="282"/>
      <c r="AEI354" s="287"/>
      <c r="AEJ354" s="282"/>
      <c r="AEK354" s="287"/>
      <c r="AEL354" s="282"/>
      <c r="AEM354" s="287"/>
      <c r="AEN354" s="282"/>
      <c r="AEO354" s="287"/>
      <c r="AEP354" s="282"/>
      <c r="AEQ354" s="287"/>
      <c r="AER354" s="282"/>
      <c r="AES354" s="287"/>
      <c r="AET354" s="282"/>
      <c r="AEU354" s="287"/>
      <c r="AEV354" s="282"/>
      <c r="AEW354" s="287"/>
      <c r="AEX354" s="282"/>
      <c r="AEY354" s="287"/>
      <c r="AEZ354" s="282"/>
      <c r="AFA354" s="287"/>
      <c r="AFB354" s="282"/>
      <c r="AFC354" s="287"/>
      <c r="AFD354" s="282"/>
      <c r="AFE354" s="287"/>
      <c r="AFF354" s="282"/>
      <c r="AFG354" s="287"/>
      <c r="AFH354" s="282"/>
      <c r="AFI354" s="287"/>
      <c r="AFJ354" s="282"/>
      <c r="AFK354" s="287"/>
      <c r="AFL354" s="282"/>
      <c r="AFM354" s="287"/>
      <c r="AFN354" s="282"/>
      <c r="AFO354" s="287"/>
      <c r="AFP354" s="282"/>
      <c r="AFQ354" s="287"/>
      <c r="AFR354" s="282"/>
      <c r="AFS354" s="287"/>
      <c r="AFT354" s="282"/>
      <c r="AFU354" s="287"/>
      <c r="AFV354" s="282"/>
      <c r="AFW354" s="287"/>
      <c r="AFX354" s="282"/>
      <c r="AFY354" s="287"/>
      <c r="AFZ354" s="282"/>
      <c r="AGA354" s="287"/>
      <c r="AGB354" s="282"/>
      <c r="AGC354" s="287"/>
      <c r="AGD354" s="282"/>
      <c r="AGE354" s="287"/>
      <c r="AGF354" s="282"/>
      <c r="AGG354" s="287"/>
      <c r="AGH354" s="282"/>
      <c r="AGI354" s="287"/>
      <c r="AGJ354" s="282"/>
      <c r="AGK354" s="287"/>
      <c r="AGL354" s="282"/>
      <c r="AGM354" s="287"/>
      <c r="AGN354" s="282"/>
      <c r="AGO354" s="287"/>
      <c r="AGP354" s="282"/>
      <c r="AGQ354" s="287"/>
      <c r="AGR354" s="282"/>
      <c r="AGS354" s="287"/>
      <c r="AGT354" s="282"/>
      <c r="AGU354" s="287"/>
      <c r="AGV354" s="282"/>
      <c r="AGW354" s="287"/>
      <c r="AGX354" s="282"/>
      <c r="AGY354" s="287"/>
      <c r="AGZ354" s="282"/>
      <c r="AHA354" s="287"/>
      <c r="AHB354" s="282"/>
      <c r="AHC354" s="287"/>
      <c r="AHD354" s="282"/>
      <c r="AHE354" s="287"/>
      <c r="AHF354" s="282"/>
      <c r="AHG354" s="287"/>
      <c r="AHH354" s="282"/>
      <c r="AHI354" s="287"/>
      <c r="AHJ354" s="282"/>
      <c r="AHK354" s="287"/>
      <c r="AHL354" s="282"/>
      <c r="AHM354" s="287"/>
      <c r="AHN354" s="282"/>
      <c r="AHO354" s="287"/>
      <c r="AHP354" s="282"/>
      <c r="AHQ354" s="287"/>
      <c r="AHR354" s="282"/>
      <c r="AHS354" s="287"/>
      <c r="AHT354" s="282"/>
      <c r="AHU354" s="287"/>
      <c r="AHV354" s="282"/>
      <c r="AHW354" s="287"/>
      <c r="AHX354" s="282"/>
      <c r="AHY354" s="287"/>
      <c r="AHZ354" s="282"/>
      <c r="AIA354" s="287"/>
      <c r="AIB354" s="282"/>
      <c r="AIC354" s="287"/>
      <c r="AID354" s="282"/>
      <c r="AIE354" s="287"/>
      <c r="AIF354" s="282"/>
      <c r="AIG354" s="287"/>
      <c r="AIH354" s="282"/>
      <c r="AII354" s="287"/>
      <c r="AIJ354" s="282"/>
      <c r="AIK354" s="287"/>
      <c r="AIL354" s="282"/>
      <c r="AIM354" s="287"/>
      <c r="AIN354" s="282"/>
      <c r="AIO354" s="287"/>
      <c r="AIP354" s="282"/>
      <c r="AIQ354" s="287"/>
      <c r="AIR354" s="282"/>
      <c r="AIS354" s="287"/>
      <c r="AIT354" s="282"/>
      <c r="AIU354" s="287"/>
      <c r="AIV354" s="282"/>
      <c r="AIW354" s="287"/>
      <c r="AIX354" s="282"/>
      <c r="AIY354" s="287"/>
      <c r="AIZ354" s="282"/>
      <c r="AJA354" s="287"/>
      <c r="AJB354" s="282"/>
      <c r="AJC354" s="287"/>
      <c r="AJD354" s="282"/>
      <c r="AJE354" s="287"/>
      <c r="AJF354" s="282"/>
      <c r="AJG354" s="287"/>
      <c r="AJH354" s="282"/>
      <c r="AJI354" s="287"/>
      <c r="AJJ354" s="282"/>
      <c r="AJK354" s="287"/>
      <c r="AJL354" s="282"/>
      <c r="AJM354" s="287"/>
      <c r="AJN354" s="282"/>
      <c r="AJO354" s="287"/>
      <c r="AJP354" s="282"/>
      <c r="AJQ354" s="287"/>
      <c r="AJR354" s="282"/>
      <c r="AJS354" s="287"/>
      <c r="AJT354" s="282"/>
      <c r="AJU354" s="287"/>
      <c r="AJV354" s="282"/>
      <c r="AJW354" s="287"/>
      <c r="AJX354" s="282"/>
      <c r="AJY354" s="287"/>
      <c r="AJZ354" s="282"/>
      <c r="AKA354" s="287"/>
      <c r="AKB354" s="282"/>
      <c r="AKC354" s="287"/>
      <c r="AKD354" s="282"/>
      <c r="AKE354" s="287"/>
      <c r="AKF354" s="282"/>
      <c r="AKG354" s="287"/>
      <c r="AKH354" s="282"/>
      <c r="AKI354" s="287"/>
      <c r="AKJ354" s="282"/>
      <c r="AKK354" s="287"/>
      <c r="AKL354" s="282"/>
      <c r="AKM354" s="287"/>
      <c r="AKN354" s="282"/>
      <c r="AKO354" s="287"/>
      <c r="AKP354" s="282"/>
      <c r="AKQ354" s="287"/>
      <c r="AKR354" s="282"/>
      <c r="AKS354" s="287"/>
      <c r="AKT354" s="282"/>
      <c r="AKU354" s="287"/>
      <c r="AKV354" s="282"/>
      <c r="AKW354" s="287"/>
      <c r="AKX354" s="282"/>
      <c r="AKY354" s="287"/>
      <c r="AKZ354" s="282"/>
      <c r="ALA354" s="287"/>
      <c r="ALB354" s="282"/>
      <c r="ALC354" s="287"/>
      <c r="ALD354" s="282"/>
      <c r="ALE354" s="287"/>
      <c r="ALF354" s="282"/>
      <c r="ALG354" s="287"/>
      <c r="ALH354" s="282"/>
      <c r="ALI354" s="287"/>
      <c r="ALJ354" s="282"/>
      <c r="ALK354" s="287"/>
      <c r="ALL354" s="282"/>
      <c r="ALM354" s="287"/>
      <c r="ALN354" s="282"/>
      <c r="ALO354" s="287"/>
      <c r="ALP354" s="282"/>
      <c r="ALQ354" s="287"/>
      <c r="ALR354" s="282"/>
      <c r="ALS354" s="287"/>
      <c r="ALT354" s="282"/>
      <c r="ALU354" s="287"/>
      <c r="ALV354" s="282"/>
      <c r="ALW354" s="287"/>
      <c r="ALX354" s="282"/>
      <c r="ALY354" s="287"/>
      <c r="ALZ354" s="282"/>
      <c r="AMA354" s="287"/>
      <c r="AMB354" s="282"/>
      <c r="AMC354" s="287"/>
      <c r="AMD354" s="282"/>
      <c r="AME354" s="287"/>
      <c r="AMF354" s="282"/>
      <c r="AMG354" s="287"/>
      <c r="AMH354" s="282"/>
      <c r="AMI354" s="287"/>
      <c r="AMJ354" s="282"/>
      <c r="AMK354" s="287"/>
      <c r="AML354" s="282"/>
      <c r="AMM354" s="287"/>
      <c r="AMN354" s="282"/>
      <c r="AMO354" s="287"/>
      <c r="AMP354" s="282"/>
      <c r="AMQ354" s="287"/>
      <c r="AMR354" s="282"/>
      <c r="AMS354" s="287"/>
      <c r="AMT354" s="282"/>
      <c r="AMU354" s="287"/>
      <c r="AMV354" s="282"/>
      <c r="AMW354" s="287"/>
      <c r="AMX354" s="282"/>
      <c r="AMY354" s="287"/>
      <c r="AMZ354" s="282"/>
      <c r="ANA354" s="287"/>
      <c r="ANB354" s="282"/>
      <c r="ANC354" s="287"/>
      <c r="AND354" s="282"/>
      <c r="ANE354" s="287"/>
      <c r="ANF354" s="282"/>
      <c r="ANG354" s="287"/>
      <c r="ANH354" s="282"/>
      <c r="ANI354" s="287"/>
      <c r="ANJ354" s="282"/>
      <c r="ANK354" s="287"/>
      <c r="ANL354" s="282"/>
      <c r="ANM354" s="287"/>
      <c r="ANN354" s="282"/>
      <c r="ANO354" s="287"/>
      <c r="ANP354" s="282"/>
      <c r="ANQ354" s="287"/>
      <c r="ANR354" s="282"/>
      <c r="ANS354" s="287"/>
      <c r="ANT354" s="282"/>
      <c r="ANU354" s="287"/>
      <c r="ANV354" s="282"/>
      <c r="ANW354" s="287"/>
      <c r="ANX354" s="282"/>
      <c r="ANY354" s="287"/>
      <c r="ANZ354" s="282"/>
      <c r="AOA354" s="287"/>
      <c r="AOB354" s="282"/>
      <c r="AOC354" s="287"/>
      <c r="AOD354" s="282"/>
      <c r="AOE354" s="287"/>
      <c r="AOF354" s="282"/>
      <c r="AOG354" s="287"/>
      <c r="AOH354" s="282"/>
      <c r="AOI354" s="287"/>
      <c r="AOJ354" s="282"/>
      <c r="AOK354" s="287"/>
      <c r="AOL354" s="282"/>
      <c r="AOM354" s="287"/>
      <c r="AON354" s="282"/>
      <c r="AOO354" s="287"/>
      <c r="AOP354" s="282"/>
      <c r="AOQ354" s="287"/>
      <c r="AOR354" s="282"/>
      <c r="AOS354" s="287"/>
      <c r="AOT354" s="282"/>
      <c r="AOU354" s="287"/>
      <c r="AOV354" s="282"/>
      <c r="AOW354" s="287"/>
      <c r="AOX354" s="282"/>
      <c r="AOY354" s="287"/>
      <c r="AOZ354" s="282"/>
      <c r="APA354" s="287"/>
      <c r="APB354" s="282"/>
      <c r="APC354" s="287"/>
      <c r="APD354" s="282"/>
      <c r="APE354" s="287"/>
      <c r="APF354" s="282"/>
      <c r="APG354" s="287"/>
      <c r="APH354" s="282"/>
      <c r="API354" s="287"/>
      <c r="APJ354" s="282"/>
      <c r="APK354" s="287"/>
      <c r="APL354" s="282"/>
      <c r="APM354" s="287"/>
      <c r="APN354" s="282"/>
      <c r="APO354" s="287"/>
      <c r="APP354" s="282"/>
      <c r="APQ354" s="287"/>
      <c r="APR354" s="282"/>
      <c r="APS354" s="287"/>
      <c r="APT354" s="282"/>
      <c r="APU354" s="287"/>
      <c r="APV354" s="282"/>
      <c r="APW354" s="287"/>
      <c r="APX354" s="282"/>
      <c r="APY354" s="287"/>
      <c r="APZ354" s="282"/>
      <c r="AQA354" s="287"/>
      <c r="AQB354" s="282"/>
      <c r="AQC354" s="287"/>
      <c r="AQD354" s="282"/>
      <c r="AQE354" s="287"/>
      <c r="AQF354" s="282"/>
      <c r="AQG354" s="287"/>
      <c r="AQH354" s="282"/>
      <c r="AQI354" s="287"/>
      <c r="AQJ354" s="282"/>
      <c r="AQK354" s="287"/>
      <c r="AQL354" s="282"/>
      <c r="AQM354" s="287"/>
      <c r="AQN354" s="282"/>
      <c r="AQO354" s="287"/>
      <c r="AQP354" s="282"/>
      <c r="AQQ354" s="287"/>
      <c r="AQR354" s="282"/>
      <c r="AQS354" s="287"/>
      <c r="AQT354" s="282"/>
      <c r="AQU354" s="287"/>
      <c r="AQV354" s="282"/>
      <c r="AQW354" s="287"/>
      <c r="AQX354" s="282"/>
      <c r="AQY354" s="287"/>
      <c r="AQZ354" s="282"/>
      <c r="ARA354" s="287"/>
      <c r="ARB354" s="282"/>
      <c r="ARC354" s="287"/>
      <c r="ARD354" s="282"/>
      <c r="ARE354" s="287"/>
      <c r="ARF354" s="282"/>
      <c r="ARG354" s="287"/>
      <c r="ARH354" s="282"/>
      <c r="ARI354" s="287"/>
      <c r="ARJ354" s="282"/>
      <c r="ARK354" s="287"/>
      <c r="ARL354" s="282"/>
      <c r="ARM354" s="287"/>
      <c r="ARN354" s="282"/>
      <c r="ARO354" s="287"/>
      <c r="ARP354" s="282"/>
      <c r="ARQ354" s="287"/>
      <c r="ARR354" s="282"/>
      <c r="ARS354" s="287"/>
      <c r="ART354" s="282"/>
      <c r="ARU354" s="287"/>
      <c r="ARV354" s="282"/>
      <c r="ARW354" s="287"/>
      <c r="ARX354" s="282"/>
      <c r="ARY354" s="287"/>
      <c r="ARZ354" s="282"/>
      <c r="ASA354" s="287"/>
      <c r="ASB354" s="282"/>
      <c r="ASC354" s="287"/>
      <c r="ASD354" s="282"/>
      <c r="ASE354" s="287"/>
      <c r="ASF354" s="282"/>
      <c r="ASG354" s="287"/>
      <c r="ASH354" s="282"/>
      <c r="ASI354" s="287"/>
      <c r="ASJ354" s="282"/>
      <c r="ASK354" s="287"/>
      <c r="ASL354" s="282"/>
      <c r="ASM354" s="287"/>
      <c r="ASN354" s="282"/>
      <c r="ASO354" s="287"/>
      <c r="ASP354" s="282"/>
      <c r="ASQ354" s="287"/>
      <c r="ASR354" s="282"/>
      <c r="ASS354" s="287"/>
      <c r="AST354" s="282"/>
      <c r="ASU354" s="287"/>
      <c r="ASV354" s="282"/>
      <c r="ASW354" s="287"/>
      <c r="ASX354" s="282"/>
      <c r="ASY354" s="287"/>
      <c r="ASZ354" s="282"/>
      <c r="ATA354" s="287"/>
      <c r="ATB354" s="282"/>
      <c r="ATC354" s="287"/>
      <c r="ATD354" s="282"/>
      <c r="ATE354" s="287"/>
      <c r="ATF354" s="282"/>
      <c r="ATG354" s="287"/>
      <c r="ATH354" s="282"/>
      <c r="ATI354" s="287"/>
      <c r="ATJ354" s="282"/>
      <c r="ATK354" s="287"/>
      <c r="ATL354" s="282"/>
      <c r="ATM354" s="287"/>
      <c r="ATN354" s="282"/>
      <c r="ATO354" s="287"/>
      <c r="ATP354" s="282"/>
      <c r="ATQ354" s="287"/>
      <c r="ATR354" s="282"/>
      <c r="ATS354" s="287"/>
      <c r="ATT354" s="282"/>
      <c r="ATU354" s="287"/>
      <c r="ATV354" s="282"/>
      <c r="ATW354" s="287"/>
      <c r="ATX354" s="282"/>
      <c r="ATY354" s="287"/>
      <c r="ATZ354" s="282"/>
      <c r="AUA354" s="287"/>
      <c r="AUB354" s="282"/>
      <c r="AUC354" s="287"/>
      <c r="AUD354" s="282"/>
      <c r="AUE354" s="287"/>
      <c r="AUF354" s="282"/>
      <c r="AUG354" s="287"/>
      <c r="AUH354" s="282"/>
      <c r="AUI354" s="287"/>
      <c r="AUJ354" s="282"/>
      <c r="AUK354" s="287"/>
      <c r="AUL354" s="282"/>
      <c r="AUM354" s="287"/>
      <c r="AUN354" s="282"/>
      <c r="AUO354" s="287"/>
      <c r="AUP354" s="282"/>
      <c r="AUQ354" s="287"/>
      <c r="AUR354" s="282"/>
      <c r="AUS354" s="287"/>
      <c r="AUT354" s="282"/>
      <c r="AUU354" s="287"/>
      <c r="AUV354" s="282"/>
      <c r="AUW354" s="287"/>
      <c r="AUX354" s="282"/>
      <c r="AUY354" s="287"/>
      <c r="AUZ354" s="282"/>
      <c r="AVA354" s="287"/>
      <c r="AVB354" s="282"/>
      <c r="AVC354" s="287"/>
      <c r="AVD354" s="282"/>
      <c r="AVE354" s="287"/>
      <c r="AVF354" s="282"/>
      <c r="AVG354" s="287"/>
      <c r="AVH354" s="282"/>
      <c r="AVI354" s="287"/>
      <c r="AVJ354" s="282"/>
      <c r="AVK354" s="287"/>
      <c r="AVL354" s="282"/>
      <c r="AVM354" s="287"/>
      <c r="AVN354" s="282"/>
      <c r="AVO354" s="287"/>
      <c r="AVP354" s="282"/>
      <c r="AVQ354" s="287"/>
      <c r="AVR354" s="282"/>
      <c r="AVS354" s="287"/>
      <c r="AVT354" s="282"/>
      <c r="AVU354" s="287"/>
      <c r="AVV354" s="282"/>
      <c r="AVW354" s="287"/>
      <c r="AVX354" s="282"/>
      <c r="AVY354" s="287"/>
      <c r="AVZ354" s="282"/>
      <c r="AWA354" s="287"/>
      <c r="AWB354" s="282"/>
      <c r="AWC354" s="287"/>
      <c r="AWD354" s="282"/>
      <c r="AWE354" s="287"/>
      <c r="AWF354" s="282"/>
      <c r="AWG354" s="287"/>
      <c r="AWH354" s="282"/>
      <c r="AWI354" s="287"/>
      <c r="AWJ354" s="282"/>
      <c r="AWK354" s="287"/>
      <c r="AWL354" s="282"/>
      <c r="AWM354" s="287"/>
      <c r="AWN354" s="282"/>
      <c r="AWO354" s="287"/>
      <c r="AWP354" s="282"/>
      <c r="AWQ354" s="287"/>
      <c r="AWR354" s="282"/>
      <c r="AWS354" s="287"/>
      <c r="AWT354" s="282"/>
      <c r="AWU354" s="287"/>
      <c r="AWV354" s="282"/>
      <c r="AWW354" s="287"/>
      <c r="AWX354" s="282"/>
      <c r="AWY354" s="287"/>
      <c r="AWZ354" s="282"/>
      <c r="AXA354" s="287"/>
      <c r="AXB354" s="282"/>
      <c r="AXC354" s="287"/>
      <c r="AXD354" s="282"/>
      <c r="AXE354" s="287"/>
      <c r="AXF354" s="282"/>
      <c r="AXG354" s="287"/>
      <c r="AXH354" s="282"/>
      <c r="AXI354" s="287"/>
      <c r="AXJ354" s="282"/>
      <c r="AXK354" s="287"/>
      <c r="AXL354" s="282"/>
      <c r="AXM354" s="287"/>
      <c r="AXN354" s="282"/>
      <c r="AXO354" s="287"/>
      <c r="AXP354" s="282"/>
      <c r="AXQ354" s="287"/>
      <c r="AXR354" s="282"/>
      <c r="AXS354" s="287"/>
      <c r="AXT354" s="282"/>
      <c r="AXU354" s="287"/>
      <c r="AXV354" s="282"/>
      <c r="AXW354" s="287"/>
      <c r="AXX354" s="282"/>
      <c r="AXY354" s="287"/>
      <c r="AXZ354" s="282"/>
      <c r="AYA354" s="287"/>
      <c r="AYB354" s="282"/>
      <c r="AYC354" s="287"/>
      <c r="AYD354" s="282"/>
      <c r="AYE354" s="287"/>
      <c r="AYF354" s="282"/>
      <c r="AYG354" s="287"/>
      <c r="AYH354" s="282"/>
      <c r="AYI354" s="287"/>
      <c r="AYJ354" s="282"/>
      <c r="AYK354" s="287"/>
      <c r="AYL354" s="282"/>
      <c r="AYM354" s="287"/>
      <c r="AYN354" s="282"/>
      <c r="AYO354" s="287"/>
      <c r="AYP354" s="282"/>
      <c r="AYQ354" s="287"/>
      <c r="AYR354" s="282"/>
      <c r="AYS354" s="287"/>
      <c r="AYT354" s="282"/>
      <c r="AYU354" s="287"/>
      <c r="AYV354" s="282"/>
      <c r="AYW354" s="287"/>
      <c r="AYX354" s="282"/>
      <c r="AYY354" s="287"/>
      <c r="AYZ354" s="282"/>
      <c r="AZA354" s="287"/>
      <c r="AZB354" s="282"/>
      <c r="AZC354" s="287"/>
      <c r="AZD354" s="282"/>
      <c r="AZE354" s="287"/>
      <c r="AZF354" s="282"/>
      <c r="AZG354" s="287"/>
      <c r="AZH354" s="282"/>
      <c r="AZI354" s="287"/>
      <c r="AZJ354" s="282"/>
      <c r="AZK354" s="287"/>
      <c r="AZL354" s="282"/>
      <c r="AZM354" s="287"/>
      <c r="AZN354" s="282"/>
      <c r="AZO354" s="287"/>
      <c r="AZP354" s="282"/>
      <c r="AZQ354" s="287"/>
      <c r="AZR354" s="282"/>
      <c r="AZS354" s="287"/>
      <c r="AZT354" s="282"/>
      <c r="AZU354" s="287"/>
      <c r="AZV354" s="282"/>
      <c r="AZW354" s="287"/>
      <c r="AZX354" s="282"/>
      <c r="AZY354" s="287"/>
      <c r="AZZ354" s="282"/>
      <c r="BAA354" s="287"/>
      <c r="BAB354" s="282"/>
      <c r="BAC354" s="287"/>
      <c r="BAD354" s="282"/>
      <c r="BAE354" s="287"/>
      <c r="BAF354" s="282"/>
      <c r="BAG354" s="287"/>
      <c r="BAH354" s="282"/>
      <c r="BAI354" s="287"/>
      <c r="BAJ354" s="282"/>
      <c r="BAK354" s="287"/>
      <c r="BAL354" s="282"/>
      <c r="BAM354" s="287"/>
      <c r="BAN354" s="282"/>
      <c r="BAO354" s="287"/>
      <c r="BAP354" s="282"/>
      <c r="BAQ354" s="287"/>
      <c r="BAR354" s="282"/>
      <c r="BAS354" s="287"/>
      <c r="BAT354" s="282"/>
      <c r="BAU354" s="287"/>
      <c r="BAV354" s="282"/>
      <c r="BAW354" s="287"/>
      <c r="BAX354" s="282"/>
      <c r="BAY354" s="287"/>
      <c r="BAZ354" s="282"/>
      <c r="BBA354" s="287"/>
      <c r="BBB354" s="282"/>
      <c r="BBC354" s="287"/>
      <c r="BBD354" s="282"/>
      <c r="BBE354" s="287"/>
      <c r="BBF354" s="282"/>
      <c r="BBG354" s="287"/>
      <c r="BBH354" s="282"/>
      <c r="BBI354" s="287"/>
      <c r="BBJ354" s="282"/>
      <c r="BBK354" s="287"/>
      <c r="BBL354" s="282"/>
      <c r="BBM354" s="287"/>
      <c r="BBN354" s="282"/>
      <c r="BBO354" s="287"/>
      <c r="BBP354" s="282"/>
      <c r="BBQ354" s="287"/>
      <c r="BBR354" s="282"/>
      <c r="BBS354" s="287"/>
      <c r="BBT354" s="282"/>
      <c r="BBU354" s="287"/>
      <c r="BBV354" s="282"/>
      <c r="BBW354" s="287"/>
      <c r="BBX354" s="282"/>
      <c r="BBY354" s="287"/>
      <c r="BBZ354" s="282"/>
      <c r="BCA354" s="287"/>
      <c r="BCB354" s="282"/>
      <c r="BCC354" s="287"/>
      <c r="BCD354" s="282"/>
      <c r="BCE354" s="287"/>
      <c r="BCF354" s="282"/>
      <c r="BCG354" s="287"/>
      <c r="BCH354" s="282"/>
      <c r="BCI354" s="287"/>
      <c r="BCJ354" s="282"/>
      <c r="BCK354" s="287"/>
      <c r="BCL354" s="282"/>
      <c r="BCM354" s="287"/>
      <c r="BCN354" s="282"/>
      <c r="BCO354" s="287"/>
      <c r="BCP354" s="282"/>
      <c r="BCQ354" s="287"/>
      <c r="BCR354" s="282"/>
      <c r="BCS354" s="287"/>
      <c r="BCT354" s="282"/>
      <c r="BCU354" s="287"/>
      <c r="BCV354" s="282"/>
      <c r="BCW354" s="287"/>
      <c r="BCX354" s="282"/>
      <c r="BCY354" s="287"/>
      <c r="BCZ354" s="282"/>
      <c r="BDA354" s="287"/>
      <c r="BDB354" s="282"/>
      <c r="BDC354" s="287"/>
      <c r="BDD354" s="282"/>
      <c r="BDE354" s="287"/>
      <c r="BDF354" s="282"/>
      <c r="BDG354" s="287"/>
      <c r="BDH354" s="282"/>
      <c r="BDI354" s="287"/>
      <c r="BDJ354" s="282"/>
      <c r="BDK354" s="287"/>
      <c r="BDL354" s="282"/>
      <c r="BDM354" s="287"/>
      <c r="BDN354" s="282"/>
      <c r="BDO354" s="287"/>
      <c r="BDP354" s="282"/>
      <c r="BDQ354" s="287"/>
      <c r="BDR354" s="282"/>
      <c r="BDS354" s="287"/>
      <c r="BDT354" s="282"/>
      <c r="BDU354" s="287"/>
      <c r="BDV354" s="282"/>
      <c r="BDW354" s="287"/>
      <c r="BDX354" s="282"/>
      <c r="BDY354" s="287"/>
      <c r="BDZ354" s="282"/>
      <c r="BEA354" s="287"/>
      <c r="BEB354" s="282"/>
      <c r="BEC354" s="287"/>
      <c r="BED354" s="282"/>
      <c r="BEE354" s="287"/>
      <c r="BEF354" s="282"/>
      <c r="BEG354" s="287"/>
      <c r="BEH354" s="282"/>
      <c r="BEI354" s="287"/>
      <c r="BEJ354" s="282"/>
      <c r="BEK354" s="287"/>
      <c r="BEL354" s="282"/>
      <c r="BEM354" s="287"/>
      <c r="BEN354" s="282"/>
      <c r="BEO354" s="287"/>
      <c r="BEP354" s="282"/>
      <c r="BEQ354" s="287"/>
      <c r="BER354" s="282"/>
      <c r="BES354" s="287"/>
      <c r="BET354" s="282"/>
      <c r="BEU354" s="287"/>
      <c r="BEV354" s="282"/>
      <c r="BEW354" s="287"/>
      <c r="BEX354" s="282"/>
      <c r="BEY354" s="287"/>
      <c r="BEZ354" s="282"/>
      <c r="BFA354" s="287"/>
      <c r="BFB354" s="282"/>
      <c r="BFC354" s="287"/>
      <c r="BFD354" s="282"/>
      <c r="BFE354" s="287"/>
      <c r="BFF354" s="282"/>
      <c r="BFG354" s="287"/>
      <c r="BFH354" s="282"/>
      <c r="BFI354" s="287"/>
      <c r="BFJ354" s="282"/>
      <c r="BFK354" s="287"/>
      <c r="BFL354" s="282"/>
      <c r="BFM354" s="287"/>
      <c r="BFN354" s="282"/>
      <c r="BFO354" s="287"/>
      <c r="BFP354" s="282"/>
      <c r="BFQ354" s="287"/>
      <c r="BFR354" s="282"/>
      <c r="BFS354" s="287"/>
      <c r="BFT354" s="282"/>
      <c r="BFU354" s="287"/>
      <c r="BFV354" s="282"/>
      <c r="BFW354" s="287"/>
      <c r="BFX354" s="282"/>
      <c r="BFY354" s="287"/>
      <c r="BFZ354" s="282"/>
      <c r="BGA354" s="287"/>
      <c r="BGB354" s="282"/>
      <c r="BGC354" s="287"/>
      <c r="BGD354" s="282"/>
      <c r="BGE354" s="287"/>
      <c r="BGF354" s="282"/>
      <c r="BGG354" s="287"/>
      <c r="BGH354" s="282"/>
      <c r="BGI354" s="287"/>
      <c r="BGJ354" s="282"/>
      <c r="BGK354" s="287"/>
      <c r="BGL354" s="282"/>
      <c r="BGM354" s="287"/>
      <c r="BGN354" s="282"/>
      <c r="BGO354" s="287"/>
      <c r="BGP354" s="282"/>
      <c r="BGQ354" s="287"/>
      <c r="BGR354" s="282"/>
      <c r="BGS354" s="287"/>
      <c r="BGT354" s="282"/>
      <c r="BGU354" s="287"/>
      <c r="BGV354" s="282"/>
      <c r="BGW354" s="287"/>
      <c r="BGX354" s="282"/>
      <c r="BGY354" s="287"/>
      <c r="BGZ354" s="282"/>
      <c r="BHA354" s="287"/>
      <c r="BHB354" s="282"/>
      <c r="BHC354" s="287"/>
      <c r="BHD354" s="282"/>
      <c r="BHE354" s="287"/>
      <c r="BHF354" s="282"/>
      <c r="BHG354" s="287"/>
      <c r="BHH354" s="282"/>
      <c r="BHI354" s="287"/>
      <c r="BHJ354" s="282"/>
      <c r="BHK354" s="287"/>
      <c r="BHL354" s="282"/>
      <c r="BHM354" s="287"/>
      <c r="BHN354" s="282"/>
      <c r="BHO354" s="287"/>
      <c r="BHP354" s="282"/>
      <c r="BHQ354" s="287"/>
      <c r="BHR354" s="282"/>
      <c r="BHS354" s="287"/>
      <c r="BHT354" s="282"/>
      <c r="BHU354" s="287"/>
      <c r="BHV354" s="282"/>
      <c r="BHW354" s="287"/>
      <c r="BHX354" s="282"/>
      <c r="BHY354" s="287"/>
      <c r="BHZ354" s="282"/>
      <c r="BIA354" s="287"/>
      <c r="BIB354" s="282"/>
      <c r="BIC354" s="287"/>
      <c r="BID354" s="282"/>
      <c r="BIE354" s="287"/>
      <c r="BIF354" s="282"/>
      <c r="BIG354" s="287"/>
      <c r="BIH354" s="282"/>
      <c r="BII354" s="287"/>
      <c r="BIJ354" s="282"/>
      <c r="BIK354" s="287"/>
      <c r="BIL354" s="282"/>
      <c r="BIM354" s="287"/>
      <c r="BIN354" s="282"/>
      <c r="BIO354" s="287"/>
      <c r="BIP354" s="282"/>
      <c r="BIQ354" s="287"/>
      <c r="BIR354" s="282"/>
      <c r="BIS354" s="287"/>
      <c r="BIT354" s="282"/>
      <c r="BIU354" s="287"/>
      <c r="BIV354" s="282"/>
      <c r="BIW354" s="287"/>
      <c r="BIX354" s="282"/>
      <c r="BIY354" s="287"/>
      <c r="BIZ354" s="282"/>
      <c r="BJA354" s="287"/>
      <c r="BJB354" s="282"/>
      <c r="BJC354" s="287"/>
      <c r="BJD354" s="282"/>
      <c r="BJE354" s="287"/>
      <c r="BJF354" s="282"/>
      <c r="BJG354" s="287"/>
      <c r="BJH354" s="282"/>
      <c r="BJI354" s="287"/>
      <c r="BJJ354" s="282"/>
      <c r="BJK354" s="287"/>
      <c r="BJL354" s="282"/>
      <c r="BJM354" s="287"/>
      <c r="BJN354" s="282"/>
      <c r="BJO354" s="287"/>
      <c r="BJP354" s="282"/>
      <c r="BJQ354" s="287"/>
      <c r="BJR354" s="282"/>
      <c r="BJS354" s="287"/>
      <c r="BJT354" s="282"/>
      <c r="BJU354" s="287"/>
      <c r="BJV354" s="282"/>
      <c r="BJW354" s="287"/>
      <c r="BJX354" s="282"/>
      <c r="BJY354" s="287"/>
      <c r="BJZ354" s="282"/>
      <c r="BKA354" s="287"/>
      <c r="BKB354" s="282"/>
      <c r="BKC354" s="287"/>
      <c r="BKD354" s="282"/>
      <c r="BKE354" s="287"/>
      <c r="BKF354" s="282"/>
      <c r="BKG354" s="287"/>
      <c r="BKH354" s="282"/>
      <c r="BKI354" s="287"/>
      <c r="BKJ354" s="282"/>
      <c r="BKK354" s="287"/>
      <c r="BKL354" s="282"/>
      <c r="BKM354" s="287"/>
      <c r="BKN354" s="282"/>
      <c r="BKO354" s="287"/>
      <c r="BKP354" s="282"/>
      <c r="BKQ354" s="287"/>
      <c r="BKR354" s="282"/>
      <c r="BKS354" s="287"/>
      <c r="BKT354" s="282"/>
      <c r="BKU354" s="287"/>
      <c r="BKV354" s="282"/>
      <c r="BKW354" s="287"/>
      <c r="BKX354" s="282"/>
      <c r="BKY354" s="287"/>
      <c r="BKZ354" s="282"/>
      <c r="BLA354" s="287"/>
      <c r="BLB354" s="282"/>
      <c r="BLC354" s="287"/>
      <c r="BLD354" s="282"/>
      <c r="BLE354" s="287"/>
      <c r="BLF354" s="282"/>
      <c r="BLG354" s="287"/>
      <c r="BLH354" s="282"/>
      <c r="BLI354" s="287"/>
      <c r="BLJ354" s="282"/>
      <c r="BLK354" s="287"/>
      <c r="BLL354" s="282"/>
      <c r="BLM354" s="287"/>
      <c r="BLN354" s="282"/>
      <c r="BLO354" s="287"/>
      <c r="BLP354" s="282"/>
      <c r="BLQ354" s="287"/>
      <c r="BLR354" s="282"/>
      <c r="BLS354" s="287"/>
      <c r="BLT354" s="282"/>
      <c r="BLU354" s="287"/>
      <c r="BLV354" s="282"/>
      <c r="BLW354" s="287"/>
      <c r="BLX354" s="282"/>
      <c r="BLY354" s="287"/>
      <c r="BLZ354" s="282"/>
      <c r="BMA354" s="287"/>
      <c r="BMB354" s="282"/>
      <c r="BMC354" s="287"/>
      <c r="BMD354" s="282"/>
      <c r="BME354" s="287"/>
      <c r="BMF354" s="282"/>
      <c r="BMG354" s="287"/>
      <c r="BMH354" s="282"/>
      <c r="BMI354" s="287"/>
      <c r="BMJ354" s="282"/>
      <c r="BMK354" s="287"/>
      <c r="BML354" s="282"/>
      <c r="BMM354" s="287"/>
      <c r="BMN354" s="282"/>
      <c r="BMO354" s="287"/>
      <c r="BMP354" s="282"/>
      <c r="BMQ354" s="287"/>
      <c r="BMR354" s="282"/>
      <c r="BMS354" s="287"/>
      <c r="BMT354" s="282"/>
      <c r="BMU354" s="287"/>
      <c r="BMV354" s="282"/>
      <c r="BMW354" s="287"/>
      <c r="BMX354" s="282"/>
      <c r="BMY354" s="287"/>
      <c r="BMZ354" s="282"/>
      <c r="BNA354" s="287"/>
      <c r="BNB354" s="282"/>
      <c r="BNC354" s="287"/>
      <c r="BND354" s="282"/>
      <c r="BNE354" s="287"/>
      <c r="BNF354" s="282"/>
      <c r="BNG354" s="287"/>
      <c r="BNH354" s="282"/>
      <c r="BNI354" s="287"/>
      <c r="BNJ354" s="282"/>
      <c r="BNK354" s="287"/>
      <c r="BNL354" s="282"/>
      <c r="BNM354" s="287"/>
      <c r="BNN354" s="282"/>
      <c r="BNO354" s="287"/>
      <c r="BNP354" s="282"/>
      <c r="BNQ354" s="287"/>
      <c r="BNR354" s="282"/>
      <c r="BNS354" s="287"/>
      <c r="BNT354" s="282"/>
      <c r="BNU354" s="287"/>
      <c r="BNV354" s="282"/>
      <c r="BNW354" s="287"/>
      <c r="BNX354" s="282"/>
      <c r="BNY354" s="287"/>
      <c r="BNZ354" s="282"/>
      <c r="BOA354" s="287"/>
      <c r="BOB354" s="282"/>
      <c r="BOC354" s="287"/>
      <c r="BOD354" s="282"/>
      <c r="BOE354" s="287"/>
      <c r="BOF354" s="282"/>
      <c r="BOG354" s="287"/>
      <c r="BOH354" s="282"/>
      <c r="BOI354" s="287"/>
      <c r="BOJ354" s="282"/>
      <c r="BOK354" s="287"/>
      <c r="BOL354" s="282"/>
      <c r="BOM354" s="287"/>
      <c r="BON354" s="282"/>
      <c r="BOO354" s="287"/>
      <c r="BOP354" s="282"/>
      <c r="BOQ354" s="287"/>
      <c r="BOR354" s="282"/>
      <c r="BOS354" s="287"/>
      <c r="BOT354" s="282"/>
      <c r="BOU354" s="287"/>
      <c r="BOV354" s="282"/>
      <c r="BOW354" s="287"/>
      <c r="BOX354" s="282"/>
      <c r="BOY354" s="287"/>
      <c r="BOZ354" s="282"/>
      <c r="BPA354" s="287"/>
      <c r="BPB354" s="282"/>
      <c r="BPC354" s="287"/>
      <c r="BPD354" s="282"/>
      <c r="BPE354" s="287"/>
      <c r="BPF354" s="282"/>
      <c r="BPG354" s="287"/>
      <c r="BPH354" s="282"/>
      <c r="BPI354" s="287"/>
      <c r="BPJ354" s="282"/>
      <c r="BPK354" s="287"/>
      <c r="BPL354" s="282"/>
      <c r="BPM354" s="287"/>
      <c r="BPN354" s="282"/>
      <c r="BPO354" s="287"/>
      <c r="BPP354" s="282"/>
      <c r="BPQ354" s="287"/>
      <c r="BPR354" s="282"/>
      <c r="BPS354" s="287"/>
      <c r="BPT354" s="282"/>
      <c r="BPU354" s="287"/>
      <c r="BPV354" s="282"/>
      <c r="BPW354" s="287"/>
      <c r="BPX354" s="282"/>
      <c r="BPY354" s="287"/>
      <c r="BPZ354" s="282"/>
      <c r="BQA354" s="287"/>
      <c r="BQB354" s="282"/>
      <c r="BQC354" s="287"/>
      <c r="BQD354" s="282"/>
      <c r="BQE354" s="287"/>
      <c r="BQF354" s="282"/>
      <c r="BQG354" s="287"/>
      <c r="BQH354" s="282"/>
      <c r="BQI354" s="287"/>
      <c r="BQJ354" s="282"/>
      <c r="BQK354" s="287"/>
      <c r="BQL354" s="282"/>
      <c r="BQM354" s="287"/>
      <c r="BQN354" s="282"/>
      <c r="BQO354" s="287"/>
      <c r="BQP354" s="282"/>
      <c r="BQQ354" s="287"/>
      <c r="BQR354" s="282"/>
      <c r="BQS354" s="287"/>
      <c r="BQT354" s="282"/>
      <c r="BQU354" s="287"/>
      <c r="BQV354" s="282"/>
      <c r="BQW354" s="287"/>
      <c r="BQX354" s="282"/>
      <c r="BQY354" s="287"/>
      <c r="BQZ354" s="282"/>
      <c r="BRA354" s="287"/>
      <c r="BRB354" s="282"/>
      <c r="BRC354" s="287"/>
      <c r="BRD354" s="282"/>
      <c r="BRE354" s="287"/>
      <c r="BRF354" s="282"/>
      <c r="BRG354" s="287"/>
      <c r="BRH354" s="282"/>
      <c r="BRI354" s="287"/>
      <c r="BRJ354" s="282"/>
      <c r="BRK354" s="287"/>
      <c r="BRL354" s="282"/>
      <c r="BRM354" s="287"/>
      <c r="BRN354" s="282"/>
      <c r="BRO354" s="287"/>
      <c r="BRP354" s="282"/>
      <c r="BRQ354" s="287"/>
      <c r="BRR354" s="282"/>
      <c r="BRS354" s="287"/>
      <c r="BRT354" s="282"/>
      <c r="BRU354" s="287"/>
      <c r="BRV354" s="282"/>
      <c r="BRW354" s="287"/>
      <c r="BRX354" s="282"/>
      <c r="BRY354" s="287"/>
      <c r="BRZ354" s="282"/>
      <c r="BSA354" s="287"/>
      <c r="BSB354" s="282"/>
      <c r="BSC354" s="287"/>
      <c r="BSD354" s="282"/>
      <c r="BSE354" s="287"/>
      <c r="BSF354" s="282"/>
      <c r="BSG354" s="287"/>
      <c r="BSH354" s="282"/>
      <c r="BSI354" s="287"/>
      <c r="BSJ354" s="282"/>
      <c r="BSK354" s="287"/>
      <c r="BSL354" s="282"/>
      <c r="BSM354" s="287"/>
      <c r="BSN354" s="282"/>
      <c r="BSO354" s="287"/>
      <c r="BSP354" s="282"/>
      <c r="BSQ354" s="287"/>
      <c r="BSR354" s="282"/>
      <c r="BSS354" s="287"/>
      <c r="BST354" s="282"/>
      <c r="BSU354" s="287"/>
      <c r="BSV354" s="282"/>
      <c r="BSW354" s="287"/>
      <c r="BSX354" s="282"/>
      <c r="BSY354" s="287"/>
      <c r="BSZ354" s="282"/>
      <c r="BTA354" s="287"/>
      <c r="BTB354" s="282"/>
      <c r="BTC354" s="287"/>
      <c r="BTD354" s="282"/>
      <c r="BTE354" s="287"/>
      <c r="BTF354" s="282"/>
      <c r="BTG354" s="287"/>
      <c r="BTH354" s="282"/>
      <c r="BTI354" s="287"/>
      <c r="BTJ354" s="282"/>
      <c r="BTK354" s="287"/>
      <c r="BTL354" s="282"/>
      <c r="BTM354" s="287"/>
      <c r="BTN354" s="282"/>
      <c r="BTO354" s="287"/>
      <c r="BTP354" s="282"/>
      <c r="BTQ354" s="287"/>
      <c r="BTR354" s="282"/>
      <c r="BTS354" s="287"/>
      <c r="BTT354" s="282"/>
      <c r="BTU354" s="287"/>
      <c r="BTV354" s="282"/>
      <c r="BTW354" s="287"/>
      <c r="BTX354" s="282"/>
      <c r="BTY354" s="287"/>
      <c r="BTZ354" s="282"/>
      <c r="BUA354" s="287"/>
      <c r="BUB354" s="282"/>
      <c r="BUC354" s="287"/>
      <c r="BUD354" s="282"/>
      <c r="BUE354" s="287"/>
      <c r="BUF354" s="282"/>
      <c r="BUG354" s="287"/>
      <c r="BUH354" s="282"/>
      <c r="BUI354" s="287"/>
      <c r="BUJ354" s="282"/>
      <c r="BUK354" s="287"/>
      <c r="BUL354" s="282"/>
      <c r="BUM354" s="287"/>
      <c r="BUN354" s="282"/>
      <c r="BUO354" s="287"/>
      <c r="BUP354" s="282"/>
      <c r="BUQ354" s="287"/>
      <c r="BUR354" s="282"/>
      <c r="BUS354" s="287"/>
      <c r="BUT354" s="282"/>
      <c r="BUU354" s="287"/>
      <c r="BUV354" s="282"/>
      <c r="BUW354" s="287"/>
      <c r="BUX354" s="282"/>
      <c r="BUY354" s="287"/>
      <c r="BUZ354" s="282"/>
      <c r="BVA354" s="287"/>
      <c r="BVB354" s="282"/>
      <c r="BVC354" s="287"/>
      <c r="BVD354" s="282"/>
      <c r="BVE354" s="287"/>
      <c r="BVF354" s="282"/>
      <c r="BVG354" s="287"/>
      <c r="BVH354" s="282"/>
      <c r="BVI354" s="287"/>
      <c r="BVJ354" s="282"/>
      <c r="BVK354" s="287"/>
      <c r="BVL354" s="282"/>
      <c r="BVM354" s="287"/>
      <c r="BVN354" s="282"/>
      <c r="BVO354" s="287"/>
      <c r="BVP354" s="282"/>
      <c r="BVQ354" s="287"/>
      <c r="BVR354" s="282"/>
      <c r="BVS354" s="287"/>
      <c r="BVT354" s="282"/>
      <c r="BVU354" s="287"/>
      <c r="BVV354" s="282"/>
      <c r="BVW354" s="287"/>
      <c r="BVX354" s="282"/>
      <c r="BVY354" s="287"/>
      <c r="BVZ354" s="282"/>
      <c r="BWA354" s="287"/>
      <c r="BWB354" s="282"/>
      <c r="BWC354" s="287"/>
      <c r="BWD354" s="282"/>
      <c r="BWE354" s="287"/>
      <c r="BWF354" s="282"/>
      <c r="BWG354" s="287"/>
      <c r="BWH354" s="282"/>
      <c r="BWI354" s="287"/>
      <c r="BWJ354" s="282"/>
      <c r="BWK354" s="287"/>
      <c r="BWL354" s="282"/>
      <c r="BWM354" s="287"/>
      <c r="BWN354" s="282"/>
      <c r="BWO354" s="287"/>
      <c r="BWP354" s="282"/>
      <c r="BWQ354" s="287"/>
      <c r="BWR354" s="282"/>
      <c r="BWS354" s="287"/>
      <c r="BWT354" s="282"/>
      <c r="BWU354" s="287"/>
      <c r="BWV354" s="282"/>
      <c r="BWW354" s="287"/>
      <c r="BWX354" s="282"/>
      <c r="BWY354" s="287"/>
      <c r="BWZ354" s="282"/>
      <c r="BXA354" s="287"/>
      <c r="BXB354" s="282"/>
      <c r="BXC354" s="287"/>
      <c r="BXD354" s="282"/>
      <c r="BXE354" s="287"/>
      <c r="BXF354" s="282"/>
      <c r="BXG354" s="287"/>
      <c r="BXH354" s="282"/>
      <c r="BXI354" s="287"/>
      <c r="BXJ354" s="282"/>
      <c r="BXK354" s="287"/>
      <c r="BXL354" s="282"/>
      <c r="BXM354" s="287"/>
      <c r="BXN354" s="282"/>
      <c r="BXO354" s="287"/>
      <c r="BXP354" s="282"/>
      <c r="BXQ354" s="287"/>
      <c r="BXR354" s="282"/>
      <c r="BXS354" s="287"/>
      <c r="BXT354" s="282"/>
      <c r="BXU354" s="287"/>
      <c r="BXV354" s="282"/>
      <c r="BXW354" s="287"/>
      <c r="BXX354" s="282"/>
      <c r="BXY354" s="287"/>
      <c r="BXZ354" s="282"/>
      <c r="BYA354" s="287"/>
      <c r="BYB354" s="282"/>
      <c r="BYC354" s="287"/>
      <c r="BYD354" s="282"/>
      <c r="BYE354" s="287"/>
      <c r="BYF354" s="282"/>
      <c r="BYG354" s="287"/>
      <c r="BYH354" s="282"/>
      <c r="BYI354" s="287"/>
      <c r="BYJ354" s="282"/>
      <c r="BYK354" s="287"/>
      <c r="BYL354" s="282"/>
      <c r="BYM354" s="287"/>
      <c r="BYN354" s="282"/>
      <c r="BYO354" s="287"/>
      <c r="BYP354" s="282"/>
      <c r="BYQ354" s="287"/>
      <c r="BYR354" s="282"/>
      <c r="BYS354" s="287"/>
      <c r="BYT354" s="282"/>
      <c r="BYU354" s="287"/>
      <c r="BYV354" s="282"/>
      <c r="BYW354" s="287"/>
      <c r="BYX354" s="282"/>
      <c r="BYY354" s="287"/>
      <c r="BYZ354" s="282"/>
      <c r="BZA354" s="287"/>
      <c r="BZB354" s="282"/>
      <c r="BZC354" s="287"/>
      <c r="BZD354" s="282"/>
      <c r="BZE354" s="287"/>
      <c r="BZF354" s="282"/>
      <c r="BZG354" s="287"/>
      <c r="BZH354" s="282"/>
      <c r="BZI354" s="287"/>
      <c r="BZJ354" s="282"/>
      <c r="BZK354" s="287"/>
      <c r="BZL354" s="282"/>
      <c r="BZM354" s="287"/>
      <c r="BZN354" s="282"/>
      <c r="BZO354" s="287"/>
      <c r="BZP354" s="282"/>
      <c r="BZQ354" s="287"/>
      <c r="BZR354" s="282"/>
      <c r="BZS354" s="287"/>
      <c r="BZT354" s="282"/>
      <c r="BZU354" s="287"/>
      <c r="BZV354" s="282"/>
      <c r="BZW354" s="287"/>
      <c r="BZX354" s="282"/>
      <c r="BZY354" s="287"/>
      <c r="BZZ354" s="282"/>
      <c r="CAA354" s="287"/>
      <c r="CAB354" s="282"/>
      <c r="CAC354" s="287"/>
      <c r="CAD354" s="282"/>
      <c r="CAE354" s="287"/>
      <c r="CAF354" s="282"/>
      <c r="CAG354" s="287"/>
      <c r="CAH354" s="282"/>
      <c r="CAI354" s="287"/>
      <c r="CAJ354" s="282"/>
      <c r="CAK354" s="287"/>
      <c r="CAL354" s="282"/>
      <c r="CAM354" s="287"/>
      <c r="CAN354" s="282"/>
      <c r="CAO354" s="287"/>
      <c r="CAP354" s="282"/>
      <c r="CAQ354" s="287"/>
      <c r="CAR354" s="282"/>
      <c r="CAS354" s="287"/>
      <c r="CAT354" s="282"/>
      <c r="CAU354" s="287"/>
      <c r="CAV354" s="282"/>
      <c r="CAW354" s="287"/>
      <c r="CAX354" s="282"/>
      <c r="CAY354" s="287"/>
      <c r="CAZ354" s="282"/>
      <c r="CBA354" s="287"/>
      <c r="CBB354" s="282"/>
      <c r="CBC354" s="287"/>
      <c r="CBD354" s="282"/>
      <c r="CBE354" s="287"/>
      <c r="CBF354" s="282"/>
      <c r="CBG354" s="287"/>
      <c r="CBH354" s="282"/>
      <c r="CBI354" s="287"/>
      <c r="CBJ354" s="282"/>
      <c r="CBK354" s="287"/>
      <c r="CBL354" s="282"/>
      <c r="CBM354" s="287"/>
      <c r="CBN354" s="282"/>
      <c r="CBO354" s="287"/>
      <c r="CBP354" s="282"/>
      <c r="CBQ354" s="287"/>
      <c r="CBR354" s="282"/>
      <c r="CBS354" s="287"/>
      <c r="CBT354" s="282"/>
      <c r="CBU354" s="287"/>
      <c r="CBV354" s="282"/>
      <c r="CBW354" s="287"/>
      <c r="CBX354" s="282"/>
      <c r="CBY354" s="287"/>
      <c r="CBZ354" s="282"/>
      <c r="CCA354" s="287"/>
      <c r="CCB354" s="282"/>
      <c r="CCC354" s="287"/>
      <c r="CCD354" s="282"/>
      <c r="CCE354" s="287"/>
      <c r="CCF354" s="282"/>
      <c r="CCG354" s="287"/>
      <c r="CCH354" s="282"/>
      <c r="CCI354" s="287"/>
      <c r="CCJ354" s="282"/>
      <c r="CCK354" s="287"/>
      <c r="CCL354" s="282"/>
      <c r="CCM354" s="287"/>
      <c r="CCN354" s="282"/>
      <c r="CCO354" s="287"/>
      <c r="CCP354" s="282"/>
      <c r="CCQ354" s="287"/>
      <c r="CCR354" s="282"/>
      <c r="CCS354" s="287"/>
      <c r="CCT354" s="282"/>
      <c r="CCU354" s="287"/>
      <c r="CCV354" s="282"/>
      <c r="CCW354" s="287"/>
      <c r="CCX354" s="282"/>
      <c r="CCY354" s="287"/>
      <c r="CCZ354" s="282"/>
      <c r="CDA354" s="287"/>
      <c r="CDB354" s="282"/>
      <c r="CDC354" s="287"/>
      <c r="CDD354" s="282"/>
      <c r="CDE354" s="287"/>
      <c r="CDF354" s="282"/>
      <c r="CDG354" s="287"/>
      <c r="CDH354" s="282"/>
      <c r="CDI354" s="287"/>
      <c r="CDJ354" s="282"/>
      <c r="CDK354" s="287"/>
      <c r="CDL354" s="282"/>
      <c r="CDM354" s="287"/>
      <c r="CDN354" s="282"/>
      <c r="CDO354" s="287"/>
      <c r="CDP354" s="282"/>
      <c r="CDQ354" s="287"/>
      <c r="CDR354" s="282"/>
      <c r="CDS354" s="287"/>
      <c r="CDT354" s="282"/>
      <c r="CDU354" s="287"/>
      <c r="CDV354" s="282"/>
      <c r="CDW354" s="287"/>
      <c r="CDX354" s="282"/>
      <c r="CDY354" s="287"/>
      <c r="CDZ354" s="282"/>
      <c r="CEA354" s="287"/>
      <c r="CEB354" s="282"/>
      <c r="CEC354" s="287"/>
      <c r="CED354" s="282"/>
      <c r="CEE354" s="287"/>
      <c r="CEF354" s="282"/>
      <c r="CEG354" s="287"/>
      <c r="CEH354" s="282"/>
      <c r="CEI354" s="287"/>
      <c r="CEJ354" s="282"/>
      <c r="CEK354" s="287"/>
      <c r="CEL354" s="282"/>
      <c r="CEM354" s="287"/>
      <c r="CEN354" s="282"/>
      <c r="CEO354" s="287"/>
      <c r="CEP354" s="282"/>
      <c r="CEQ354" s="287"/>
      <c r="CER354" s="282"/>
      <c r="CES354" s="287"/>
      <c r="CET354" s="282"/>
      <c r="CEU354" s="287"/>
      <c r="CEV354" s="282"/>
      <c r="CEW354" s="287"/>
      <c r="CEX354" s="282"/>
      <c r="CEY354" s="287"/>
      <c r="CEZ354" s="282"/>
      <c r="CFA354" s="287"/>
      <c r="CFB354" s="282"/>
      <c r="CFC354" s="287"/>
      <c r="CFD354" s="282"/>
      <c r="CFE354" s="287"/>
      <c r="CFF354" s="282"/>
      <c r="CFG354" s="287"/>
      <c r="CFH354" s="282"/>
      <c r="CFI354" s="287"/>
      <c r="CFJ354" s="282"/>
      <c r="CFK354" s="287"/>
      <c r="CFL354" s="282"/>
      <c r="CFM354" s="287"/>
      <c r="CFN354" s="282"/>
      <c r="CFO354" s="287"/>
      <c r="CFP354" s="282"/>
      <c r="CFQ354" s="287"/>
      <c r="CFR354" s="282"/>
      <c r="CFS354" s="287"/>
      <c r="CFT354" s="282"/>
      <c r="CFU354" s="287"/>
      <c r="CFV354" s="282"/>
      <c r="CFW354" s="287"/>
      <c r="CFX354" s="282"/>
      <c r="CFY354" s="287"/>
      <c r="CFZ354" s="282"/>
      <c r="CGA354" s="287"/>
      <c r="CGB354" s="282"/>
      <c r="CGC354" s="287"/>
      <c r="CGD354" s="282"/>
      <c r="CGE354" s="287"/>
      <c r="CGF354" s="282"/>
      <c r="CGG354" s="287"/>
      <c r="CGH354" s="282"/>
      <c r="CGI354" s="287"/>
      <c r="CGJ354" s="282"/>
      <c r="CGK354" s="287"/>
      <c r="CGL354" s="282"/>
      <c r="CGM354" s="287"/>
      <c r="CGN354" s="282"/>
      <c r="CGO354" s="287"/>
      <c r="CGP354" s="282"/>
      <c r="CGQ354" s="287"/>
      <c r="CGR354" s="282"/>
      <c r="CGS354" s="287"/>
      <c r="CGT354" s="282"/>
      <c r="CGU354" s="287"/>
      <c r="CGV354" s="282"/>
      <c r="CGW354" s="287"/>
      <c r="CGX354" s="282"/>
      <c r="CGY354" s="287"/>
      <c r="CGZ354" s="282"/>
      <c r="CHA354" s="287"/>
      <c r="CHB354" s="282"/>
      <c r="CHC354" s="287"/>
      <c r="CHD354" s="282"/>
      <c r="CHE354" s="287"/>
      <c r="CHF354" s="282"/>
      <c r="CHG354" s="287"/>
      <c r="CHH354" s="282"/>
      <c r="CHI354" s="287"/>
      <c r="CHJ354" s="282"/>
      <c r="CHK354" s="287"/>
      <c r="CHL354" s="282"/>
      <c r="CHM354" s="287"/>
      <c r="CHN354" s="282"/>
      <c r="CHO354" s="287"/>
      <c r="CHP354" s="282"/>
      <c r="CHQ354" s="287"/>
      <c r="CHR354" s="282"/>
      <c r="CHS354" s="287"/>
      <c r="CHT354" s="282"/>
      <c r="CHU354" s="287"/>
      <c r="CHV354" s="282"/>
      <c r="CHW354" s="287"/>
      <c r="CHX354" s="282"/>
      <c r="CHY354" s="287"/>
      <c r="CHZ354" s="282"/>
      <c r="CIA354" s="287"/>
      <c r="CIB354" s="282"/>
      <c r="CIC354" s="287"/>
      <c r="CID354" s="282"/>
      <c r="CIE354" s="287"/>
      <c r="CIF354" s="282"/>
      <c r="CIG354" s="287"/>
      <c r="CIH354" s="282"/>
      <c r="CII354" s="287"/>
      <c r="CIJ354" s="282"/>
      <c r="CIK354" s="287"/>
      <c r="CIL354" s="282"/>
      <c r="CIM354" s="287"/>
      <c r="CIN354" s="282"/>
      <c r="CIO354" s="287"/>
      <c r="CIP354" s="282"/>
      <c r="CIQ354" s="287"/>
      <c r="CIR354" s="282"/>
      <c r="CIS354" s="287"/>
      <c r="CIT354" s="282"/>
      <c r="CIU354" s="287"/>
      <c r="CIV354" s="282"/>
      <c r="CIW354" s="287"/>
      <c r="CIX354" s="282"/>
      <c r="CIY354" s="287"/>
      <c r="CIZ354" s="282"/>
      <c r="CJA354" s="287"/>
      <c r="CJB354" s="282"/>
      <c r="CJC354" s="287"/>
      <c r="CJD354" s="282"/>
      <c r="CJE354" s="287"/>
      <c r="CJF354" s="282"/>
      <c r="CJG354" s="287"/>
      <c r="CJH354" s="282"/>
      <c r="CJI354" s="287"/>
      <c r="CJJ354" s="282"/>
      <c r="CJK354" s="287"/>
      <c r="CJL354" s="282"/>
      <c r="CJM354" s="287"/>
      <c r="CJN354" s="282"/>
      <c r="CJO354" s="287"/>
      <c r="CJP354" s="282"/>
      <c r="CJQ354" s="287"/>
      <c r="CJR354" s="282"/>
      <c r="CJS354" s="287"/>
      <c r="CJT354" s="282"/>
      <c r="CJU354" s="287"/>
      <c r="CJV354" s="282"/>
      <c r="CJW354" s="287"/>
      <c r="CJX354" s="282"/>
      <c r="CJY354" s="287"/>
      <c r="CJZ354" s="282"/>
      <c r="CKA354" s="287"/>
      <c r="CKB354" s="282"/>
      <c r="CKC354" s="287"/>
      <c r="CKD354" s="282"/>
      <c r="CKE354" s="287"/>
      <c r="CKF354" s="282"/>
      <c r="CKG354" s="287"/>
      <c r="CKH354" s="282"/>
      <c r="CKI354" s="287"/>
      <c r="CKJ354" s="282"/>
      <c r="CKK354" s="287"/>
      <c r="CKL354" s="282"/>
      <c r="CKM354" s="287"/>
      <c r="CKN354" s="282"/>
      <c r="CKO354" s="287"/>
      <c r="CKP354" s="282"/>
      <c r="CKQ354" s="287"/>
      <c r="CKR354" s="282"/>
      <c r="CKS354" s="287"/>
      <c r="CKT354" s="282"/>
      <c r="CKU354" s="287"/>
      <c r="CKV354" s="282"/>
      <c r="CKW354" s="287"/>
      <c r="CKX354" s="282"/>
      <c r="CKY354" s="287"/>
      <c r="CKZ354" s="282"/>
      <c r="CLA354" s="287"/>
      <c r="CLB354" s="282"/>
      <c r="CLC354" s="287"/>
      <c r="CLD354" s="282"/>
      <c r="CLE354" s="287"/>
      <c r="CLF354" s="282"/>
      <c r="CLG354" s="287"/>
      <c r="CLH354" s="282"/>
      <c r="CLI354" s="287"/>
      <c r="CLJ354" s="282"/>
      <c r="CLK354" s="287"/>
      <c r="CLL354" s="282"/>
      <c r="CLM354" s="287"/>
      <c r="CLN354" s="282"/>
      <c r="CLO354" s="287"/>
      <c r="CLP354" s="282"/>
      <c r="CLQ354" s="287"/>
      <c r="CLR354" s="282"/>
      <c r="CLS354" s="287"/>
      <c r="CLT354" s="282"/>
      <c r="CLU354" s="287"/>
      <c r="CLV354" s="282"/>
      <c r="CLW354" s="287"/>
      <c r="CLX354" s="282"/>
      <c r="CLY354" s="287"/>
      <c r="CLZ354" s="282"/>
      <c r="CMA354" s="287"/>
      <c r="CMB354" s="282"/>
      <c r="CMC354" s="287"/>
      <c r="CMD354" s="282"/>
      <c r="CME354" s="287"/>
      <c r="CMF354" s="282"/>
      <c r="CMG354" s="287"/>
      <c r="CMH354" s="282"/>
      <c r="CMI354" s="287"/>
      <c r="CMJ354" s="282"/>
      <c r="CMK354" s="287"/>
      <c r="CML354" s="282"/>
      <c r="CMM354" s="287"/>
      <c r="CMN354" s="282"/>
      <c r="CMO354" s="287"/>
      <c r="CMP354" s="282"/>
      <c r="CMQ354" s="287"/>
      <c r="CMR354" s="282"/>
      <c r="CMS354" s="287"/>
      <c r="CMT354" s="282"/>
      <c r="CMU354" s="287"/>
      <c r="CMV354" s="282"/>
      <c r="CMW354" s="287"/>
      <c r="CMX354" s="282"/>
      <c r="CMY354" s="287"/>
      <c r="CMZ354" s="282"/>
      <c r="CNA354" s="287"/>
      <c r="CNB354" s="282"/>
      <c r="CNC354" s="287"/>
      <c r="CND354" s="282"/>
      <c r="CNE354" s="287"/>
      <c r="CNF354" s="282"/>
      <c r="CNG354" s="287"/>
      <c r="CNH354" s="282"/>
      <c r="CNI354" s="287"/>
      <c r="CNJ354" s="282"/>
      <c r="CNK354" s="287"/>
      <c r="CNL354" s="282"/>
      <c r="CNM354" s="287"/>
      <c r="CNN354" s="282"/>
      <c r="CNO354" s="287"/>
      <c r="CNP354" s="282"/>
      <c r="CNQ354" s="287"/>
      <c r="CNR354" s="282"/>
      <c r="CNS354" s="287"/>
      <c r="CNT354" s="282"/>
      <c r="CNU354" s="287"/>
      <c r="CNV354" s="282"/>
      <c r="CNW354" s="287"/>
      <c r="CNX354" s="282"/>
      <c r="CNY354" s="287"/>
      <c r="CNZ354" s="282"/>
      <c r="COA354" s="287"/>
      <c r="COB354" s="282"/>
      <c r="COC354" s="287"/>
      <c r="COD354" s="282"/>
      <c r="COE354" s="287"/>
      <c r="COF354" s="282"/>
      <c r="COG354" s="287"/>
      <c r="COH354" s="282"/>
      <c r="COI354" s="287"/>
      <c r="COJ354" s="282"/>
      <c r="COK354" s="287"/>
      <c r="COL354" s="282"/>
      <c r="COM354" s="287"/>
      <c r="CON354" s="282"/>
      <c r="COO354" s="287"/>
      <c r="COP354" s="282"/>
      <c r="COQ354" s="287"/>
      <c r="COR354" s="282"/>
      <c r="COS354" s="287"/>
      <c r="COT354" s="282"/>
      <c r="COU354" s="287"/>
      <c r="COV354" s="282"/>
      <c r="COW354" s="287"/>
      <c r="COX354" s="282"/>
      <c r="COY354" s="287"/>
      <c r="COZ354" s="282"/>
      <c r="CPA354" s="287"/>
      <c r="CPB354" s="282"/>
      <c r="CPC354" s="287"/>
      <c r="CPD354" s="282"/>
      <c r="CPE354" s="287"/>
      <c r="CPF354" s="282"/>
      <c r="CPG354" s="287"/>
      <c r="CPH354" s="282"/>
      <c r="CPI354" s="287"/>
      <c r="CPJ354" s="282"/>
      <c r="CPK354" s="287"/>
      <c r="CPL354" s="282"/>
      <c r="CPM354" s="287"/>
      <c r="CPN354" s="282"/>
      <c r="CPO354" s="287"/>
      <c r="CPP354" s="282"/>
      <c r="CPQ354" s="287"/>
      <c r="CPR354" s="282"/>
      <c r="CPS354" s="287"/>
      <c r="CPT354" s="282"/>
      <c r="CPU354" s="287"/>
      <c r="CPV354" s="282"/>
      <c r="CPW354" s="287"/>
      <c r="CPX354" s="282"/>
      <c r="CPY354" s="287"/>
      <c r="CPZ354" s="282"/>
      <c r="CQA354" s="287"/>
      <c r="CQB354" s="282"/>
      <c r="CQC354" s="287"/>
      <c r="CQD354" s="282"/>
      <c r="CQE354" s="287"/>
      <c r="CQF354" s="282"/>
      <c r="CQG354" s="287"/>
      <c r="CQH354" s="282"/>
      <c r="CQI354" s="287"/>
      <c r="CQJ354" s="282"/>
      <c r="CQK354" s="287"/>
      <c r="CQL354" s="282"/>
      <c r="CQM354" s="287"/>
      <c r="CQN354" s="282"/>
      <c r="CQO354" s="287"/>
      <c r="CQP354" s="282"/>
      <c r="CQQ354" s="287"/>
      <c r="CQR354" s="282"/>
      <c r="CQS354" s="287"/>
      <c r="CQT354" s="282"/>
      <c r="CQU354" s="287"/>
      <c r="CQV354" s="282"/>
      <c r="CQW354" s="287"/>
      <c r="CQX354" s="282"/>
      <c r="CQY354" s="287"/>
      <c r="CQZ354" s="282"/>
      <c r="CRA354" s="287"/>
      <c r="CRB354" s="282"/>
      <c r="CRC354" s="287"/>
      <c r="CRD354" s="282"/>
      <c r="CRE354" s="287"/>
      <c r="CRF354" s="282"/>
      <c r="CRG354" s="287"/>
      <c r="CRH354" s="282"/>
      <c r="CRI354" s="287"/>
      <c r="CRJ354" s="282"/>
      <c r="CRK354" s="287"/>
      <c r="CRL354" s="282"/>
      <c r="CRM354" s="287"/>
      <c r="CRN354" s="282"/>
      <c r="CRO354" s="287"/>
      <c r="CRP354" s="282"/>
      <c r="CRQ354" s="287"/>
      <c r="CRR354" s="282"/>
      <c r="CRS354" s="287"/>
      <c r="CRT354" s="282"/>
      <c r="CRU354" s="287"/>
      <c r="CRV354" s="282"/>
      <c r="CRW354" s="287"/>
      <c r="CRX354" s="282"/>
      <c r="CRY354" s="287"/>
      <c r="CRZ354" s="282"/>
      <c r="CSA354" s="287"/>
      <c r="CSB354" s="282"/>
      <c r="CSC354" s="287"/>
      <c r="CSD354" s="282"/>
      <c r="CSE354" s="287"/>
      <c r="CSF354" s="282"/>
      <c r="CSG354" s="287"/>
      <c r="CSH354" s="282"/>
      <c r="CSI354" s="287"/>
      <c r="CSJ354" s="282"/>
      <c r="CSK354" s="287"/>
      <c r="CSL354" s="282"/>
      <c r="CSM354" s="287"/>
      <c r="CSN354" s="282"/>
      <c r="CSO354" s="287"/>
      <c r="CSP354" s="282"/>
      <c r="CSQ354" s="287"/>
      <c r="CSR354" s="282"/>
      <c r="CSS354" s="287"/>
      <c r="CST354" s="282"/>
      <c r="CSU354" s="287"/>
      <c r="CSV354" s="282"/>
      <c r="CSW354" s="287"/>
      <c r="CSX354" s="282"/>
      <c r="CSY354" s="287"/>
      <c r="CSZ354" s="282"/>
      <c r="CTA354" s="287"/>
      <c r="CTB354" s="282"/>
      <c r="CTC354" s="287"/>
      <c r="CTD354" s="282"/>
      <c r="CTE354" s="287"/>
      <c r="CTF354" s="282"/>
      <c r="CTG354" s="287"/>
      <c r="CTH354" s="282"/>
      <c r="CTI354" s="287"/>
      <c r="CTJ354" s="282"/>
      <c r="CTK354" s="287"/>
      <c r="CTL354" s="282"/>
      <c r="CTM354" s="287"/>
      <c r="CTN354" s="282"/>
      <c r="CTO354" s="287"/>
      <c r="CTP354" s="282"/>
      <c r="CTQ354" s="287"/>
      <c r="CTR354" s="282"/>
      <c r="CTS354" s="287"/>
      <c r="CTT354" s="282"/>
      <c r="CTU354" s="287"/>
      <c r="CTV354" s="282"/>
      <c r="CTW354" s="287"/>
      <c r="CTX354" s="282"/>
      <c r="CTY354" s="287"/>
      <c r="CTZ354" s="282"/>
      <c r="CUA354" s="287"/>
      <c r="CUB354" s="282"/>
      <c r="CUC354" s="287"/>
      <c r="CUD354" s="282"/>
      <c r="CUE354" s="287"/>
      <c r="CUF354" s="282"/>
      <c r="CUG354" s="287"/>
      <c r="CUH354" s="282"/>
      <c r="CUI354" s="287"/>
      <c r="CUJ354" s="282"/>
      <c r="CUK354" s="287"/>
      <c r="CUL354" s="282"/>
      <c r="CUM354" s="287"/>
      <c r="CUN354" s="282"/>
      <c r="CUO354" s="287"/>
      <c r="CUP354" s="282"/>
      <c r="CUQ354" s="287"/>
      <c r="CUR354" s="282"/>
      <c r="CUS354" s="287"/>
      <c r="CUT354" s="282"/>
      <c r="CUU354" s="287"/>
      <c r="CUV354" s="282"/>
      <c r="CUW354" s="287"/>
      <c r="CUX354" s="282"/>
      <c r="CUY354" s="287"/>
      <c r="CUZ354" s="282"/>
      <c r="CVA354" s="287"/>
      <c r="CVB354" s="282"/>
      <c r="CVC354" s="287"/>
      <c r="CVD354" s="282"/>
      <c r="CVE354" s="287"/>
      <c r="CVF354" s="282"/>
      <c r="CVG354" s="287"/>
      <c r="CVH354" s="282"/>
      <c r="CVI354" s="287"/>
      <c r="CVJ354" s="282"/>
      <c r="CVK354" s="287"/>
      <c r="CVL354" s="282"/>
      <c r="CVM354" s="287"/>
      <c r="CVN354" s="282"/>
      <c r="CVO354" s="287"/>
      <c r="CVP354" s="282"/>
      <c r="CVQ354" s="287"/>
      <c r="CVR354" s="282"/>
      <c r="CVS354" s="287"/>
      <c r="CVT354" s="282"/>
      <c r="CVU354" s="287"/>
      <c r="CVV354" s="282"/>
      <c r="CVW354" s="287"/>
      <c r="CVX354" s="282"/>
      <c r="CVY354" s="287"/>
      <c r="CVZ354" s="282"/>
      <c r="CWA354" s="287"/>
      <c r="CWB354" s="282"/>
      <c r="CWC354" s="287"/>
      <c r="CWD354" s="282"/>
      <c r="CWE354" s="287"/>
      <c r="CWF354" s="282"/>
      <c r="CWG354" s="287"/>
      <c r="CWH354" s="282"/>
      <c r="CWI354" s="287"/>
      <c r="CWJ354" s="282"/>
      <c r="CWK354" s="287"/>
      <c r="CWL354" s="282"/>
      <c r="CWM354" s="287"/>
      <c r="CWN354" s="282"/>
      <c r="CWO354" s="287"/>
      <c r="CWP354" s="282"/>
      <c r="CWQ354" s="287"/>
      <c r="CWR354" s="282"/>
      <c r="CWS354" s="287"/>
      <c r="CWT354" s="282"/>
      <c r="CWU354" s="287"/>
      <c r="CWV354" s="282"/>
      <c r="CWW354" s="287"/>
      <c r="CWX354" s="282"/>
      <c r="CWY354" s="287"/>
      <c r="CWZ354" s="282"/>
      <c r="CXA354" s="287"/>
      <c r="CXB354" s="282"/>
      <c r="CXC354" s="287"/>
      <c r="CXD354" s="282"/>
      <c r="CXE354" s="287"/>
      <c r="CXF354" s="282"/>
      <c r="CXG354" s="287"/>
      <c r="CXH354" s="282"/>
      <c r="CXI354" s="287"/>
      <c r="CXJ354" s="282"/>
      <c r="CXK354" s="287"/>
      <c r="CXL354" s="282"/>
      <c r="CXM354" s="287"/>
      <c r="CXN354" s="282"/>
      <c r="CXO354" s="287"/>
      <c r="CXP354" s="282"/>
      <c r="CXQ354" s="287"/>
      <c r="CXR354" s="282"/>
      <c r="CXS354" s="287"/>
      <c r="CXT354" s="282"/>
      <c r="CXU354" s="287"/>
      <c r="CXV354" s="282"/>
      <c r="CXW354" s="287"/>
      <c r="CXX354" s="282"/>
      <c r="CXY354" s="287"/>
      <c r="CXZ354" s="282"/>
      <c r="CYA354" s="287"/>
      <c r="CYB354" s="282"/>
      <c r="CYC354" s="287"/>
      <c r="CYD354" s="282"/>
      <c r="CYE354" s="287"/>
      <c r="CYF354" s="282"/>
      <c r="CYG354" s="287"/>
      <c r="CYH354" s="282"/>
      <c r="CYI354" s="287"/>
      <c r="CYJ354" s="282"/>
      <c r="CYK354" s="287"/>
      <c r="CYL354" s="282"/>
      <c r="CYM354" s="287"/>
      <c r="CYN354" s="282"/>
      <c r="CYO354" s="287"/>
      <c r="CYP354" s="282"/>
      <c r="CYQ354" s="287"/>
      <c r="CYR354" s="282"/>
      <c r="CYS354" s="287"/>
      <c r="CYT354" s="282"/>
      <c r="CYU354" s="287"/>
      <c r="CYV354" s="282"/>
      <c r="CYW354" s="287"/>
      <c r="CYX354" s="282"/>
      <c r="CYY354" s="287"/>
      <c r="CYZ354" s="282"/>
      <c r="CZA354" s="287"/>
      <c r="CZB354" s="282"/>
      <c r="CZC354" s="287"/>
      <c r="CZD354" s="282"/>
      <c r="CZE354" s="287"/>
      <c r="CZF354" s="282"/>
      <c r="CZG354" s="287"/>
      <c r="CZH354" s="282"/>
      <c r="CZI354" s="287"/>
      <c r="CZJ354" s="282"/>
      <c r="CZK354" s="287"/>
      <c r="CZL354" s="282"/>
      <c r="CZM354" s="287"/>
      <c r="CZN354" s="282"/>
      <c r="CZO354" s="287"/>
      <c r="CZP354" s="282"/>
      <c r="CZQ354" s="287"/>
      <c r="CZR354" s="282"/>
      <c r="CZS354" s="287"/>
      <c r="CZT354" s="282"/>
      <c r="CZU354" s="287"/>
      <c r="CZV354" s="282"/>
      <c r="CZW354" s="287"/>
      <c r="CZX354" s="282"/>
      <c r="CZY354" s="287"/>
      <c r="CZZ354" s="282"/>
      <c r="DAA354" s="287"/>
      <c r="DAB354" s="282"/>
      <c r="DAC354" s="287"/>
      <c r="DAD354" s="282"/>
      <c r="DAE354" s="287"/>
      <c r="DAF354" s="282"/>
      <c r="DAG354" s="287"/>
      <c r="DAH354" s="282"/>
      <c r="DAI354" s="287"/>
      <c r="DAJ354" s="282"/>
      <c r="DAK354" s="287"/>
      <c r="DAL354" s="282"/>
      <c r="DAM354" s="287"/>
      <c r="DAN354" s="282"/>
      <c r="DAO354" s="287"/>
      <c r="DAP354" s="282"/>
      <c r="DAQ354" s="287"/>
      <c r="DAR354" s="282"/>
      <c r="DAS354" s="287"/>
      <c r="DAT354" s="282"/>
      <c r="DAU354" s="287"/>
      <c r="DAV354" s="282"/>
      <c r="DAW354" s="287"/>
      <c r="DAX354" s="282"/>
      <c r="DAY354" s="287"/>
      <c r="DAZ354" s="282"/>
      <c r="DBA354" s="287"/>
      <c r="DBB354" s="282"/>
      <c r="DBC354" s="287"/>
      <c r="DBD354" s="282"/>
      <c r="DBE354" s="287"/>
      <c r="DBF354" s="282"/>
      <c r="DBG354" s="287"/>
      <c r="DBH354" s="282"/>
      <c r="DBI354" s="287"/>
      <c r="DBJ354" s="282"/>
      <c r="DBK354" s="287"/>
      <c r="DBL354" s="282"/>
      <c r="DBM354" s="287"/>
      <c r="DBN354" s="282"/>
      <c r="DBO354" s="287"/>
      <c r="DBP354" s="282"/>
      <c r="DBQ354" s="287"/>
      <c r="DBR354" s="282"/>
      <c r="DBS354" s="287"/>
      <c r="DBT354" s="282"/>
      <c r="DBU354" s="287"/>
      <c r="DBV354" s="282"/>
      <c r="DBW354" s="287"/>
      <c r="DBX354" s="282"/>
      <c r="DBY354" s="287"/>
      <c r="DBZ354" s="282"/>
      <c r="DCA354" s="287"/>
      <c r="DCB354" s="282"/>
      <c r="DCC354" s="287"/>
      <c r="DCD354" s="282"/>
      <c r="DCE354" s="287"/>
      <c r="DCF354" s="282"/>
      <c r="DCG354" s="287"/>
      <c r="DCH354" s="282"/>
      <c r="DCI354" s="287"/>
      <c r="DCJ354" s="282"/>
      <c r="DCK354" s="287"/>
      <c r="DCL354" s="282"/>
      <c r="DCM354" s="287"/>
      <c r="DCN354" s="282"/>
      <c r="DCO354" s="287"/>
      <c r="DCP354" s="282"/>
      <c r="DCQ354" s="287"/>
      <c r="DCR354" s="282"/>
      <c r="DCS354" s="287"/>
      <c r="DCT354" s="282"/>
      <c r="DCU354" s="287"/>
      <c r="DCV354" s="282"/>
      <c r="DCW354" s="287"/>
      <c r="DCX354" s="282"/>
      <c r="DCY354" s="287"/>
      <c r="DCZ354" s="282"/>
      <c r="DDA354" s="287"/>
      <c r="DDB354" s="282"/>
      <c r="DDC354" s="287"/>
      <c r="DDD354" s="282"/>
      <c r="DDE354" s="287"/>
      <c r="DDF354" s="282"/>
      <c r="DDG354" s="287"/>
      <c r="DDH354" s="282"/>
      <c r="DDI354" s="287"/>
      <c r="DDJ354" s="282"/>
      <c r="DDK354" s="287"/>
      <c r="DDL354" s="282"/>
      <c r="DDM354" s="287"/>
      <c r="DDN354" s="282"/>
      <c r="DDO354" s="287"/>
      <c r="DDP354" s="282"/>
      <c r="DDQ354" s="287"/>
      <c r="DDR354" s="282"/>
      <c r="DDS354" s="287"/>
      <c r="DDT354" s="282"/>
      <c r="DDU354" s="287"/>
      <c r="DDV354" s="282"/>
      <c r="DDW354" s="287"/>
      <c r="DDX354" s="282"/>
      <c r="DDY354" s="287"/>
      <c r="DDZ354" s="282"/>
      <c r="DEA354" s="287"/>
      <c r="DEB354" s="282"/>
      <c r="DEC354" s="287"/>
      <c r="DED354" s="282"/>
      <c r="DEE354" s="287"/>
      <c r="DEF354" s="282"/>
      <c r="DEG354" s="287"/>
      <c r="DEH354" s="282"/>
      <c r="DEI354" s="287"/>
      <c r="DEJ354" s="282"/>
      <c r="DEK354" s="287"/>
      <c r="DEL354" s="282"/>
      <c r="DEM354" s="287"/>
      <c r="DEN354" s="282"/>
      <c r="DEO354" s="287"/>
      <c r="DEP354" s="282"/>
      <c r="DEQ354" s="287"/>
      <c r="DER354" s="282"/>
      <c r="DES354" s="287"/>
      <c r="DET354" s="282"/>
      <c r="DEU354" s="287"/>
      <c r="DEV354" s="282"/>
      <c r="DEW354" s="287"/>
      <c r="DEX354" s="282"/>
      <c r="DEY354" s="287"/>
      <c r="DEZ354" s="282"/>
      <c r="DFA354" s="287"/>
      <c r="DFB354" s="282"/>
      <c r="DFC354" s="287"/>
      <c r="DFD354" s="282"/>
      <c r="DFE354" s="287"/>
      <c r="DFF354" s="282"/>
      <c r="DFG354" s="287"/>
      <c r="DFH354" s="282"/>
      <c r="DFI354" s="287"/>
      <c r="DFJ354" s="282"/>
      <c r="DFK354" s="287"/>
      <c r="DFL354" s="282"/>
      <c r="DFM354" s="287"/>
      <c r="DFN354" s="282"/>
      <c r="DFO354" s="287"/>
      <c r="DFP354" s="282"/>
      <c r="DFQ354" s="287"/>
      <c r="DFR354" s="282"/>
      <c r="DFS354" s="287"/>
      <c r="DFT354" s="282"/>
      <c r="DFU354" s="287"/>
      <c r="DFV354" s="282"/>
      <c r="DFW354" s="287"/>
      <c r="DFX354" s="282"/>
      <c r="DFY354" s="287"/>
      <c r="DFZ354" s="282"/>
      <c r="DGA354" s="287"/>
      <c r="DGB354" s="282"/>
      <c r="DGC354" s="287"/>
      <c r="DGD354" s="282"/>
      <c r="DGE354" s="287"/>
      <c r="DGF354" s="282"/>
      <c r="DGG354" s="287"/>
      <c r="DGH354" s="282"/>
      <c r="DGI354" s="287"/>
      <c r="DGJ354" s="282"/>
      <c r="DGK354" s="287"/>
      <c r="DGL354" s="282"/>
      <c r="DGM354" s="287"/>
      <c r="DGN354" s="282"/>
      <c r="DGO354" s="287"/>
      <c r="DGP354" s="282"/>
      <c r="DGQ354" s="287"/>
      <c r="DGR354" s="282"/>
      <c r="DGS354" s="287"/>
      <c r="DGT354" s="282"/>
      <c r="DGU354" s="287"/>
      <c r="DGV354" s="282"/>
      <c r="DGW354" s="287"/>
      <c r="DGX354" s="282"/>
      <c r="DGY354" s="287"/>
      <c r="DGZ354" s="282"/>
      <c r="DHA354" s="287"/>
      <c r="DHB354" s="282"/>
      <c r="DHC354" s="287"/>
      <c r="DHD354" s="282"/>
      <c r="DHE354" s="287"/>
      <c r="DHF354" s="282"/>
      <c r="DHG354" s="287"/>
      <c r="DHH354" s="282"/>
      <c r="DHI354" s="287"/>
      <c r="DHJ354" s="282"/>
      <c r="DHK354" s="287"/>
      <c r="DHL354" s="282"/>
      <c r="DHM354" s="287"/>
      <c r="DHN354" s="282"/>
      <c r="DHO354" s="287"/>
      <c r="DHP354" s="282"/>
      <c r="DHQ354" s="287"/>
      <c r="DHR354" s="282"/>
      <c r="DHS354" s="287"/>
      <c r="DHT354" s="282"/>
      <c r="DHU354" s="287"/>
      <c r="DHV354" s="282"/>
      <c r="DHW354" s="287"/>
      <c r="DHX354" s="282"/>
      <c r="DHY354" s="287"/>
      <c r="DHZ354" s="282"/>
      <c r="DIA354" s="287"/>
      <c r="DIB354" s="282"/>
      <c r="DIC354" s="287"/>
      <c r="DID354" s="282"/>
      <c r="DIE354" s="287"/>
      <c r="DIF354" s="282"/>
      <c r="DIG354" s="287"/>
      <c r="DIH354" s="282"/>
      <c r="DII354" s="287"/>
      <c r="DIJ354" s="282"/>
      <c r="DIK354" s="287"/>
      <c r="DIL354" s="282"/>
      <c r="DIM354" s="287"/>
      <c r="DIN354" s="282"/>
      <c r="DIO354" s="287"/>
      <c r="DIP354" s="282"/>
      <c r="DIQ354" s="287"/>
      <c r="DIR354" s="282"/>
      <c r="DIS354" s="287"/>
      <c r="DIT354" s="282"/>
      <c r="DIU354" s="287"/>
      <c r="DIV354" s="282"/>
      <c r="DIW354" s="287"/>
      <c r="DIX354" s="282"/>
      <c r="DIY354" s="287"/>
      <c r="DIZ354" s="282"/>
      <c r="DJA354" s="287"/>
      <c r="DJB354" s="282"/>
      <c r="DJC354" s="287"/>
      <c r="DJD354" s="282"/>
      <c r="DJE354" s="287"/>
      <c r="DJF354" s="282"/>
      <c r="DJG354" s="287"/>
      <c r="DJH354" s="282"/>
      <c r="DJI354" s="287"/>
      <c r="DJJ354" s="282"/>
      <c r="DJK354" s="287"/>
      <c r="DJL354" s="282"/>
      <c r="DJM354" s="287"/>
      <c r="DJN354" s="282"/>
      <c r="DJO354" s="287"/>
      <c r="DJP354" s="282"/>
      <c r="DJQ354" s="287"/>
      <c r="DJR354" s="282"/>
      <c r="DJS354" s="287"/>
      <c r="DJT354" s="282"/>
      <c r="DJU354" s="287"/>
      <c r="DJV354" s="282"/>
      <c r="DJW354" s="287"/>
      <c r="DJX354" s="282"/>
      <c r="DJY354" s="287"/>
      <c r="DJZ354" s="282"/>
      <c r="DKA354" s="287"/>
      <c r="DKB354" s="282"/>
      <c r="DKC354" s="287"/>
      <c r="DKD354" s="282"/>
      <c r="DKE354" s="287"/>
      <c r="DKF354" s="282"/>
      <c r="DKG354" s="287"/>
      <c r="DKH354" s="282"/>
      <c r="DKI354" s="287"/>
      <c r="DKJ354" s="282"/>
      <c r="DKK354" s="287"/>
      <c r="DKL354" s="282"/>
      <c r="DKM354" s="287"/>
      <c r="DKN354" s="282"/>
      <c r="DKO354" s="287"/>
      <c r="DKP354" s="282"/>
      <c r="DKQ354" s="287"/>
      <c r="DKR354" s="282"/>
      <c r="DKS354" s="287"/>
      <c r="DKT354" s="282"/>
      <c r="DKU354" s="287"/>
      <c r="DKV354" s="282"/>
      <c r="DKW354" s="287"/>
      <c r="DKX354" s="282"/>
      <c r="DKY354" s="287"/>
      <c r="DKZ354" s="282"/>
      <c r="DLA354" s="287"/>
      <c r="DLB354" s="282"/>
      <c r="DLC354" s="287"/>
      <c r="DLD354" s="282"/>
      <c r="DLE354" s="287"/>
      <c r="DLF354" s="282"/>
      <c r="DLG354" s="287"/>
      <c r="DLH354" s="282"/>
      <c r="DLI354" s="287"/>
      <c r="DLJ354" s="282"/>
      <c r="DLK354" s="287"/>
      <c r="DLL354" s="282"/>
      <c r="DLM354" s="287"/>
      <c r="DLN354" s="282"/>
      <c r="DLO354" s="287"/>
      <c r="DLP354" s="282"/>
      <c r="DLQ354" s="287"/>
      <c r="DLR354" s="282"/>
      <c r="DLS354" s="287"/>
      <c r="DLT354" s="282"/>
      <c r="DLU354" s="287"/>
      <c r="DLV354" s="282"/>
      <c r="DLW354" s="287"/>
      <c r="DLX354" s="282"/>
      <c r="DLY354" s="287"/>
      <c r="DLZ354" s="282"/>
      <c r="DMA354" s="287"/>
      <c r="DMB354" s="282"/>
      <c r="DMC354" s="287"/>
      <c r="DMD354" s="282"/>
      <c r="DME354" s="287"/>
      <c r="DMF354" s="282"/>
      <c r="DMG354" s="287"/>
      <c r="DMH354" s="282"/>
      <c r="DMI354" s="287"/>
      <c r="DMJ354" s="282"/>
      <c r="DMK354" s="287"/>
      <c r="DML354" s="282"/>
      <c r="DMM354" s="287"/>
      <c r="DMN354" s="282"/>
      <c r="DMO354" s="287"/>
      <c r="DMP354" s="282"/>
      <c r="DMQ354" s="287"/>
      <c r="DMR354" s="282"/>
      <c r="DMS354" s="287"/>
      <c r="DMT354" s="282"/>
      <c r="DMU354" s="287"/>
      <c r="DMV354" s="282"/>
      <c r="DMW354" s="287"/>
      <c r="DMX354" s="282"/>
      <c r="DMY354" s="287"/>
      <c r="DMZ354" s="282"/>
      <c r="DNA354" s="287"/>
      <c r="DNB354" s="282"/>
      <c r="DNC354" s="287"/>
      <c r="DND354" s="282"/>
      <c r="DNE354" s="287"/>
      <c r="DNF354" s="282"/>
      <c r="DNG354" s="287"/>
      <c r="DNH354" s="282"/>
      <c r="DNI354" s="287"/>
      <c r="DNJ354" s="282"/>
      <c r="DNK354" s="287"/>
      <c r="DNL354" s="282"/>
      <c r="DNM354" s="287"/>
      <c r="DNN354" s="282"/>
      <c r="DNO354" s="287"/>
      <c r="DNP354" s="282"/>
      <c r="DNQ354" s="287"/>
      <c r="DNR354" s="282"/>
      <c r="DNS354" s="287"/>
      <c r="DNT354" s="282"/>
      <c r="DNU354" s="287"/>
      <c r="DNV354" s="282"/>
      <c r="DNW354" s="287"/>
      <c r="DNX354" s="282"/>
      <c r="DNY354" s="287"/>
      <c r="DNZ354" s="282"/>
      <c r="DOA354" s="287"/>
      <c r="DOB354" s="282"/>
      <c r="DOC354" s="287"/>
      <c r="DOD354" s="282"/>
      <c r="DOE354" s="287"/>
      <c r="DOF354" s="282"/>
      <c r="DOG354" s="287"/>
      <c r="DOH354" s="282"/>
      <c r="DOI354" s="287"/>
      <c r="DOJ354" s="282"/>
      <c r="DOK354" s="287"/>
      <c r="DOL354" s="282"/>
      <c r="DOM354" s="287"/>
      <c r="DON354" s="282"/>
      <c r="DOO354" s="287"/>
      <c r="DOP354" s="282"/>
      <c r="DOQ354" s="287"/>
      <c r="DOR354" s="282"/>
      <c r="DOS354" s="287"/>
      <c r="DOT354" s="282"/>
      <c r="DOU354" s="287"/>
      <c r="DOV354" s="282"/>
      <c r="DOW354" s="287"/>
      <c r="DOX354" s="282"/>
      <c r="DOY354" s="287"/>
      <c r="DOZ354" s="282"/>
      <c r="DPA354" s="287"/>
      <c r="DPB354" s="282"/>
      <c r="DPC354" s="287"/>
      <c r="DPD354" s="282"/>
      <c r="DPE354" s="287"/>
      <c r="DPF354" s="282"/>
      <c r="DPG354" s="287"/>
      <c r="DPH354" s="282"/>
      <c r="DPI354" s="287"/>
      <c r="DPJ354" s="282"/>
      <c r="DPK354" s="287"/>
      <c r="DPL354" s="282"/>
      <c r="DPM354" s="287"/>
      <c r="DPN354" s="282"/>
      <c r="DPO354" s="287"/>
      <c r="DPP354" s="282"/>
      <c r="DPQ354" s="287"/>
      <c r="DPR354" s="282"/>
      <c r="DPS354" s="287"/>
      <c r="DPT354" s="282"/>
      <c r="DPU354" s="287"/>
      <c r="DPV354" s="282"/>
      <c r="DPW354" s="287"/>
      <c r="DPX354" s="282"/>
      <c r="DPY354" s="287"/>
      <c r="DPZ354" s="282"/>
      <c r="DQA354" s="287"/>
      <c r="DQB354" s="282"/>
      <c r="DQC354" s="287"/>
      <c r="DQD354" s="282"/>
      <c r="DQE354" s="287"/>
      <c r="DQF354" s="282"/>
      <c r="DQG354" s="287"/>
      <c r="DQH354" s="282"/>
      <c r="DQI354" s="287"/>
      <c r="DQJ354" s="282"/>
      <c r="DQK354" s="287"/>
      <c r="DQL354" s="282"/>
      <c r="DQM354" s="287"/>
      <c r="DQN354" s="282"/>
      <c r="DQO354" s="287"/>
      <c r="DQP354" s="282"/>
      <c r="DQQ354" s="287"/>
      <c r="DQR354" s="282"/>
      <c r="DQS354" s="287"/>
      <c r="DQT354" s="282"/>
      <c r="DQU354" s="287"/>
      <c r="DQV354" s="282"/>
      <c r="DQW354" s="287"/>
      <c r="DQX354" s="282"/>
      <c r="DQY354" s="287"/>
      <c r="DQZ354" s="282"/>
      <c r="DRA354" s="287"/>
      <c r="DRB354" s="282"/>
      <c r="DRC354" s="287"/>
      <c r="DRD354" s="282"/>
      <c r="DRE354" s="287"/>
      <c r="DRF354" s="282"/>
      <c r="DRG354" s="287"/>
      <c r="DRH354" s="282"/>
      <c r="DRI354" s="287"/>
      <c r="DRJ354" s="282"/>
      <c r="DRK354" s="287"/>
      <c r="DRL354" s="282"/>
      <c r="DRM354" s="287"/>
      <c r="DRN354" s="282"/>
      <c r="DRO354" s="287"/>
      <c r="DRP354" s="282"/>
      <c r="DRQ354" s="287"/>
      <c r="DRR354" s="282"/>
      <c r="DRS354" s="287"/>
      <c r="DRT354" s="282"/>
      <c r="DRU354" s="287"/>
      <c r="DRV354" s="282"/>
      <c r="DRW354" s="287"/>
      <c r="DRX354" s="282"/>
      <c r="DRY354" s="287"/>
      <c r="DRZ354" s="282"/>
      <c r="DSA354" s="287"/>
      <c r="DSB354" s="282"/>
      <c r="DSC354" s="287"/>
      <c r="DSD354" s="282"/>
      <c r="DSE354" s="287"/>
      <c r="DSF354" s="282"/>
      <c r="DSG354" s="287"/>
      <c r="DSH354" s="282"/>
      <c r="DSI354" s="287"/>
      <c r="DSJ354" s="282"/>
      <c r="DSK354" s="287"/>
      <c r="DSL354" s="282"/>
      <c r="DSM354" s="287"/>
      <c r="DSN354" s="282"/>
      <c r="DSO354" s="287"/>
      <c r="DSP354" s="282"/>
      <c r="DSQ354" s="287"/>
      <c r="DSR354" s="282"/>
      <c r="DSS354" s="287"/>
      <c r="DST354" s="282"/>
      <c r="DSU354" s="287"/>
      <c r="DSV354" s="282"/>
      <c r="DSW354" s="287"/>
      <c r="DSX354" s="282"/>
      <c r="DSY354" s="287"/>
      <c r="DSZ354" s="282"/>
      <c r="DTA354" s="287"/>
      <c r="DTB354" s="282"/>
      <c r="DTC354" s="287"/>
      <c r="DTD354" s="282"/>
      <c r="DTE354" s="287"/>
      <c r="DTF354" s="282"/>
      <c r="DTG354" s="287"/>
      <c r="DTH354" s="282"/>
      <c r="DTI354" s="287"/>
      <c r="DTJ354" s="282"/>
      <c r="DTK354" s="287"/>
      <c r="DTL354" s="282"/>
      <c r="DTM354" s="287"/>
      <c r="DTN354" s="282"/>
      <c r="DTO354" s="287"/>
      <c r="DTP354" s="282"/>
      <c r="DTQ354" s="287"/>
      <c r="DTR354" s="282"/>
      <c r="DTS354" s="287"/>
      <c r="DTT354" s="282"/>
      <c r="DTU354" s="287"/>
      <c r="DTV354" s="282"/>
      <c r="DTW354" s="287"/>
      <c r="DTX354" s="282"/>
      <c r="DTY354" s="287"/>
      <c r="DTZ354" s="282"/>
      <c r="DUA354" s="287"/>
      <c r="DUB354" s="282"/>
      <c r="DUC354" s="287"/>
      <c r="DUD354" s="282"/>
      <c r="DUE354" s="287"/>
      <c r="DUF354" s="282"/>
      <c r="DUG354" s="287"/>
      <c r="DUH354" s="282"/>
      <c r="DUI354" s="287"/>
      <c r="DUJ354" s="282"/>
      <c r="DUK354" s="287"/>
      <c r="DUL354" s="282"/>
      <c r="DUM354" s="287"/>
      <c r="DUN354" s="282"/>
      <c r="DUO354" s="287"/>
      <c r="DUP354" s="282"/>
      <c r="DUQ354" s="287"/>
      <c r="DUR354" s="282"/>
      <c r="DUS354" s="287"/>
      <c r="DUT354" s="282"/>
      <c r="DUU354" s="287"/>
      <c r="DUV354" s="282"/>
      <c r="DUW354" s="287"/>
      <c r="DUX354" s="282"/>
      <c r="DUY354" s="287"/>
      <c r="DUZ354" s="282"/>
      <c r="DVA354" s="287"/>
      <c r="DVB354" s="282"/>
      <c r="DVC354" s="287"/>
      <c r="DVD354" s="282"/>
      <c r="DVE354" s="287"/>
      <c r="DVF354" s="282"/>
      <c r="DVG354" s="287"/>
      <c r="DVH354" s="282"/>
      <c r="DVI354" s="287"/>
      <c r="DVJ354" s="282"/>
      <c r="DVK354" s="287"/>
      <c r="DVL354" s="282"/>
      <c r="DVM354" s="287"/>
      <c r="DVN354" s="282"/>
      <c r="DVO354" s="287"/>
      <c r="DVP354" s="282"/>
      <c r="DVQ354" s="287"/>
      <c r="DVR354" s="282"/>
      <c r="DVS354" s="287"/>
      <c r="DVT354" s="282"/>
      <c r="DVU354" s="287"/>
      <c r="DVV354" s="282"/>
      <c r="DVW354" s="287"/>
      <c r="DVX354" s="282"/>
      <c r="DVY354" s="287"/>
      <c r="DVZ354" s="282"/>
      <c r="DWA354" s="287"/>
      <c r="DWB354" s="282"/>
      <c r="DWC354" s="287"/>
      <c r="DWD354" s="282"/>
      <c r="DWE354" s="287"/>
      <c r="DWF354" s="282"/>
      <c r="DWG354" s="287"/>
      <c r="DWH354" s="282"/>
      <c r="DWI354" s="287"/>
      <c r="DWJ354" s="282"/>
      <c r="DWK354" s="287"/>
      <c r="DWL354" s="282"/>
      <c r="DWM354" s="287"/>
      <c r="DWN354" s="282"/>
      <c r="DWO354" s="287"/>
      <c r="DWP354" s="282"/>
      <c r="DWQ354" s="287"/>
      <c r="DWR354" s="282"/>
      <c r="DWS354" s="287"/>
      <c r="DWT354" s="282"/>
      <c r="DWU354" s="287"/>
      <c r="DWV354" s="282"/>
      <c r="DWW354" s="287"/>
      <c r="DWX354" s="282"/>
      <c r="DWY354" s="287"/>
      <c r="DWZ354" s="282"/>
      <c r="DXA354" s="287"/>
      <c r="DXB354" s="282"/>
      <c r="DXC354" s="287"/>
      <c r="DXD354" s="282"/>
      <c r="DXE354" s="287"/>
      <c r="DXF354" s="282"/>
      <c r="DXG354" s="287"/>
      <c r="DXH354" s="282"/>
      <c r="DXI354" s="287"/>
      <c r="DXJ354" s="282"/>
      <c r="DXK354" s="287"/>
      <c r="DXL354" s="282"/>
      <c r="DXM354" s="287"/>
      <c r="DXN354" s="282"/>
      <c r="DXO354" s="287"/>
      <c r="DXP354" s="282"/>
      <c r="DXQ354" s="287"/>
      <c r="DXR354" s="282"/>
      <c r="DXS354" s="287"/>
      <c r="DXT354" s="282"/>
      <c r="DXU354" s="287"/>
      <c r="DXV354" s="282"/>
      <c r="DXW354" s="287"/>
      <c r="DXX354" s="282"/>
      <c r="DXY354" s="287"/>
      <c r="DXZ354" s="282"/>
      <c r="DYA354" s="287"/>
      <c r="DYB354" s="282"/>
      <c r="DYC354" s="287"/>
      <c r="DYD354" s="282"/>
      <c r="DYE354" s="287"/>
      <c r="DYF354" s="282"/>
      <c r="DYG354" s="287"/>
      <c r="DYH354" s="282"/>
      <c r="DYI354" s="287"/>
      <c r="DYJ354" s="282"/>
      <c r="DYK354" s="287"/>
      <c r="DYL354" s="282"/>
      <c r="DYM354" s="287"/>
      <c r="DYN354" s="282"/>
      <c r="DYO354" s="287"/>
      <c r="DYP354" s="282"/>
      <c r="DYQ354" s="287"/>
      <c r="DYR354" s="282"/>
      <c r="DYS354" s="287"/>
      <c r="DYT354" s="282"/>
      <c r="DYU354" s="287"/>
      <c r="DYV354" s="282"/>
      <c r="DYW354" s="287"/>
      <c r="DYX354" s="282"/>
      <c r="DYY354" s="287"/>
      <c r="DYZ354" s="282"/>
      <c r="DZA354" s="287"/>
      <c r="DZB354" s="282"/>
      <c r="DZC354" s="287"/>
      <c r="DZD354" s="282"/>
      <c r="DZE354" s="287"/>
      <c r="DZF354" s="282"/>
      <c r="DZG354" s="287"/>
      <c r="DZH354" s="282"/>
      <c r="DZI354" s="287"/>
      <c r="DZJ354" s="282"/>
      <c r="DZK354" s="287"/>
      <c r="DZL354" s="282"/>
      <c r="DZM354" s="287"/>
      <c r="DZN354" s="282"/>
      <c r="DZO354" s="287"/>
      <c r="DZP354" s="282"/>
      <c r="DZQ354" s="287"/>
      <c r="DZR354" s="282"/>
      <c r="DZS354" s="287"/>
      <c r="DZT354" s="282"/>
      <c r="DZU354" s="287"/>
      <c r="DZV354" s="282"/>
      <c r="DZW354" s="287"/>
      <c r="DZX354" s="282"/>
      <c r="DZY354" s="287"/>
      <c r="DZZ354" s="282"/>
      <c r="EAA354" s="287"/>
      <c r="EAB354" s="282"/>
      <c r="EAC354" s="287"/>
      <c r="EAD354" s="282"/>
      <c r="EAE354" s="287"/>
      <c r="EAF354" s="282"/>
      <c r="EAG354" s="287"/>
      <c r="EAH354" s="282"/>
      <c r="EAI354" s="287"/>
      <c r="EAJ354" s="282"/>
      <c r="EAK354" s="287"/>
      <c r="EAL354" s="282"/>
      <c r="EAM354" s="287"/>
      <c r="EAN354" s="282"/>
      <c r="EAO354" s="287"/>
      <c r="EAP354" s="282"/>
      <c r="EAQ354" s="287"/>
      <c r="EAR354" s="282"/>
      <c r="EAS354" s="287"/>
      <c r="EAT354" s="282"/>
      <c r="EAU354" s="287"/>
      <c r="EAV354" s="282"/>
      <c r="EAW354" s="287"/>
      <c r="EAX354" s="282"/>
      <c r="EAY354" s="287"/>
      <c r="EAZ354" s="282"/>
      <c r="EBA354" s="287"/>
      <c r="EBB354" s="282"/>
      <c r="EBC354" s="287"/>
      <c r="EBD354" s="282"/>
      <c r="EBE354" s="287"/>
      <c r="EBF354" s="282"/>
      <c r="EBG354" s="287"/>
      <c r="EBH354" s="282"/>
      <c r="EBI354" s="287"/>
      <c r="EBJ354" s="282"/>
      <c r="EBK354" s="287"/>
      <c r="EBL354" s="282"/>
      <c r="EBM354" s="287"/>
      <c r="EBN354" s="282"/>
      <c r="EBO354" s="287"/>
      <c r="EBP354" s="282"/>
      <c r="EBQ354" s="287"/>
      <c r="EBR354" s="282"/>
      <c r="EBS354" s="287"/>
      <c r="EBT354" s="282"/>
      <c r="EBU354" s="287"/>
      <c r="EBV354" s="282"/>
      <c r="EBW354" s="287"/>
      <c r="EBX354" s="282"/>
      <c r="EBY354" s="287"/>
      <c r="EBZ354" s="282"/>
      <c r="ECA354" s="287"/>
      <c r="ECB354" s="282"/>
      <c r="ECC354" s="287"/>
      <c r="ECD354" s="282"/>
      <c r="ECE354" s="287"/>
      <c r="ECF354" s="282"/>
      <c r="ECG354" s="287"/>
      <c r="ECH354" s="282"/>
      <c r="ECI354" s="287"/>
      <c r="ECJ354" s="282"/>
      <c r="ECK354" s="287"/>
      <c r="ECL354" s="282"/>
      <c r="ECM354" s="287"/>
      <c r="ECN354" s="282"/>
      <c r="ECO354" s="287"/>
      <c r="ECP354" s="282"/>
      <c r="ECQ354" s="287"/>
      <c r="ECR354" s="282"/>
      <c r="ECS354" s="287"/>
      <c r="ECT354" s="282"/>
      <c r="ECU354" s="287"/>
      <c r="ECV354" s="282"/>
      <c r="ECW354" s="287"/>
      <c r="ECX354" s="282"/>
      <c r="ECY354" s="287"/>
      <c r="ECZ354" s="282"/>
      <c r="EDA354" s="287"/>
      <c r="EDB354" s="282"/>
      <c r="EDC354" s="287"/>
      <c r="EDD354" s="282"/>
      <c r="EDE354" s="287"/>
      <c r="EDF354" s="282"/>
      <c r="EDG354" s="287"/>
      <c r="EDH354" s="282"/>
      <c r="EDI354" s="287"/>
      <c r="EDJ354" s="282"/>
      <c r="EDK354" s="287"/>
      <c r="EDL354" s="282"/>
      <c r="EDM354" s="287"/>
      <c r="EDN354" s="282"/>
      <c r="EDO354" s="287"/>
      <c r="EDP354" s="282"/>
      <c r="EDQ354" s="287"/>
      <c r="EDR354" s="282"/>
      <c r="EDS354" s="287"/>
      <c r="EDT354" s="282"/>
      <c r="EDU354" s="287"/>
      <c r="EDV354" s="282"/>
      <c r="EDW354" s="287"/>
      <c r="EDX354" s="282"/>
      <c r="EDY354" s="287"/>
      <c r="EDZ354" s="282"/>
      <c r="EEA354" s="287"/>
      <c r="EEB354" s="282"/>
      <c r="EEC354" s="287"/>
      <c r="EED354" s="282"/>
      <c r="EEE354" s="287"/>
      <c r="EEF354" s="282"/>
      <c r="EEG354" s="287"/>
      <c r="EEH354" s="282"/>
      <c r="EEI354" s="287"/>
      <c r="EEJ354" s="282"/>
      <c r="EEK354" s="287"/>
      <c r="EEL354" s="282"/>
      <c r="EEM354" s="287"/>
      <c r="EEN354" s="282"/>
      <c r="EEO354" s="287"/>
      <c r="EEP354" s="282"/>
      <c r="EEQ354" s="287"/>
      <c r="EER354" s="282"/>
      <c r="EES354" s="287"/>
      <c r="EET354" s="282"/>
      <c r="EEU354" s="287"/>
      <c r="EEV354" s="282"/>
      <c r="EEW354" s="287"/>
      <c r="EEX354" s="282"/>
      <c r="EEY354" s="287"/>
      <c r="EEZ354" s="282"/>
      <c r="EFA354" s="287"/>
      <c r="EFB354" s="282"/>
      <c r="EFC354" s="287"/>
      <c r="EFD354" s="282"/>
      <c r="EFE354" s="287"/>
      <c r="EFF354" s="282"/>
      <c r="EFG354" s="287"/>
      <c r="EFH354" s="282"/>
      <c r="EFI354" s="287"/>
      <c r="EFJ354" s="282"/>
      <c r="EFK354" s="287"/>
      <c r="EFL354" s="282"/>
      <c r="EFM354" s="287"/>
      <c r="EFN354" s="282"/>
      <c r="EFO354" s="287"/>
      <c r="EFP354" s="282"/>
      <c r="EFQ354" s="287"/>
      <c r="EFR354" s="282"/>
      <c r="EFS354" s="287"/>
      <c r="EFT354" s="282"/>
      <c r="EFU354" s="287"/>
      <c r="EFV354" s="282"/>
      <c r="EFW354" s="287"/>
      <c r="EFX354" s="282"/>
      <c r="EFY354" s="287"/>
      <c r="EFZ354" s="282"/>
      <c r="EGA354" s="287"/>
      <c r="EGB354" s="282"/>
      <c r="EGC354" s="287"/>
      <c r="EGD354" s="282"/>
      <c r="EGE354" s="287"/>
      <c r="EGF354" s="282"/>
      <c r="EGG354" s="287"/>
      <c r="EGH354" s="282"/>
      <c r="EGI354" s="287"/>
      <c r="EGJ354" s="282"/>
      <c r="EGK354" s="287"/>
      <c r="EGL354" s="282"/>
      <c r="EGM354" s="287"/>
      <c r="EGN354" s="282"/>
      <c r="EGO354" s="287"/>
      <c r="EGP354" s="282"/>
      <c r="EGQ354" s="287"/>
      <c r="EGR354" s="282"/>
      <c r="EGS354" s="287"/>
      <c r="EGT354" s="282"/>
      <c r="EGU354" s="287"/>
      <c r="EGV354" s="282"/>
      <c r="EGW354" s="287"/>
      <c r="EGX354" s="282"/>
      <c r="EGY354" s="287"/>
      <c r="EGZ354" s="282"/>
      <c r="EHA354" s="287"/>
      <c r="EHB354" s="282"/>
      <c r="EHC354" s="287"/>
      <c r="EHD354" s="282"/>
      <c r="EHE354" s="287"/>
      <c r="EHF354" s="282"/>
      <c r="EHG354" s="287"/>
      <c r="EHH354" s="282"/>
      <c r="EHI354" s="287"/>
      <c r="EHJ354" s="282"/>
      <c r="EHK354" s="287"/>
      <c r="EHL354" s="282"/>
      <c r="EHM354" s="287"/>
      <c r="EHN354" s="282"/>
      <c r="EHO354" s="287"/>
      <c r="EHP354" s="282"/>
      <c r="EHQ354" s="287"/>
      <c r="EHR354" s="282"/>
      <c r="EHS354" s="287"/>
      <c r="EHT354" s="282"/>
      <c r="EHU354" s="287"/>
      <c r="EHV354" s="282"/>
      <c r="EHW354" s="287"/>
      <c r="EHX354" s="282"/>
      <c r="EHY354" s="287"/>
      <c r="EHZ354" s="282"/>
      <c r="EIA354" s="287"/>
      <c r="EIB354" s="282"/>
      <c r="EIC354" s="287"/>
      <c r="EID354" s="282"/>
      <c r="EIE354" s="287"/>
      <c r="EIF354" s="282"/>
      <c r="EIG354" s="287"/>
      <c r="EIH354" s="282"/>
      <c r="EII354" s="287"/>
      <c r="EIJ354" s="282"/>
      <c r="EIK354" s="287"/>
      <c r="EIL354" s="282"/>
      <c r="EIM354" s="287"/>
      <c r="EIN354" s="282"/>
      <c r="EIO354" s="287"/>
      <c r="EIP354" s="282"/>
      <c r="EIQ354" s="287"/>
      <c r="EIR354" s="282"/>
      <c r="EIS354" s="287"/>
      <c r="EIT354" s="282"/>
      <c r="EIU354" s="287"/>
      <c r="EIV354" s="282"/>
      <c r="EIW354" s="287"/>
      <c r="EIX354" s="282"/>
      <c r="EIY354" s="287"/>
      <c r="EIZ354" s="282"/>
      <c r="EJA354" s="287"/>
      <c r="EJB354" s="282"/>
      <c r="EJC354" s="287"/>
      <c r="EJD354" s="282"/>
      <c r="EJE354" s="287"/>
      <c r="EJF354" s="282"/>
      <c r="EJG354" s="287"/>
      <c r="EJH354" s="282"/>
      <c r="EJI354" s="287"/>
      <c r="EJJ354" s="282"/>
      <c r="EJK354" s="287"/>
      <c r="EJL354" s="282"/>
      <c r="EJM354" s="287"/>
      <c r="EJN354" s="282"/>
      <c r="EJO354" s="287"/>
      <c r="EJP354" s="282"/>
      <c r="EJQ354" s="287"/>
      <c r="EJR354" s="282"/>
      <c r="EJS354" s="287"/>
      <c r="EJT354" s="282"/>
      <c r="EJU354" s="287"/>
      <c r="EJV354" s="282"/>
      <c r="EJW354" s="287"/>
      <c r="EJX354" s="282"/>
      <c r="EJY354" s="287"/>
      <c r="EJZ354" s="282"/>
      <c r="EKA354" s="287"/>
      <c r="EKB354" s="282"/>
      <c r="EKC354" s="287"/>
      <c r="EKD354" s="282"/>
      <c r="EKE354" s="287"/>
      <c r="EKF354" s="282"/>
      <c r="EKG354" s="287"/>
      <c r="EKH354" s="282"/>
      <c r="EKI354" s="287"/>
      <c r="EKJ354" s="282"/>
      <c r="EKK354" s="287"/>
      <c r="EKL354" s="282"/>
      <c r="EKM354" s="287"/>
      <c r="EKN354" s="282"/>
      <c r="EKO354" s="287"/>
      <c r="EKP354" s="282"/>
      <c r="EKQ354" s="287"/>
      <c r="EKR354" s="282"/>
      <c r="EKS354" s="287"/>
      <c r="EKT354" s="282"/>
      <c r="EKU354" s="287"/>
      <c r="EKV354" s="282"/>
      <c r="EKW354" s="287"/>
      <c r="EKX354" s="282"/>
      <c r="EKY354" s="287"/>
      <c r="EKZ354" s="282"/>
      <c r="ELA354" s="287"/>
      <c r="ELB354" s="282"/>
      <c r="ELC354" s="287"/>
      <c r="ELD354" s="282"/>
      <c r="ELE354" s="287"/>
      <c r="ELF354" s="282"/>
      <c r="ELG354" s="287"/>
      <c r="ELH354" s="282"/>
      <c r="ELI354" s="287"/>
      <c r="ELJ354" s="282"/>
      <c r="ELK354" s="287"/>
      <c r="ELL354" s="282"/>
      <c r="ELM354" s="287"/>
      <c r="ELN354" s="282"/>
      <c r="ELO354" s="287"/>
      <c r="ELP354" s="282"/>
      <c r="ELQ354" s="287"/>
      <c r="ELR354" s="282"/>
      <c r="ELS354" s="287"/>
      <c r="ELT354" s="282"/>
      <c r="ELU354" s="287"/>
      <c r="ELV354" s="282"/>
      <c r="ELW354" s="287"/>
      <c r="ELX354" s="282"/>
      <c r="ELY354" s="287"/>
      <c r="ELZ354" s="282"/>
      <c r="EMA354" s="287"/>
      <c r="EMB354" s="282"/>
      <c r="EMC354" s="287"/>
      <c r="EMD354" s="282"/>
      <c r="EME354" s="287"/>
      <c r="EMF354" s="282"/>
      <c r="EMG354" s="287"/>
      <c r="EMH354" s="282"/>
      <c r="EMI354" s="287"/>
      <c r="EMJ354" s="282"/>
      <c r="EMK354" s="287"/>
      <c r="EML354" s="282"/>
      <c r="EMM354" s="287"/>
      <c r="EMN354" s="282"/>
      <c r="EMO354" s="287"/>
      <c r="EMP354" s="282"/>
      <c r="EMQ354" s="287"/>
      <c r="EMR354" s="282"/>
      <c r="EMS354" s="287"/>
      <c r="EMT354" s="282"/>
      <c r="EMU354" s="287"/>
      <c r="EMV354" s="282"/>
      <c r="EMW354" s="287"/>
      <c r="EMX354" s="282"/>
      <c r="EMY354" s="287"/>
      <c r="EMZ354" s="282"/>
      <c r="ENA354" s="287"/>
      <c r="ENB354" s="282"/>
      <c r="ENC354" s="287"/>
      <c r="END354" s="282"/>
      <c r="ENE354" s="287"/>
      <c r="ENF354" s="282"/>
      <c r="ENG354" s="287"/>
      <c r="ENH354" s="282"/>
      <c r="ENI354" s="287"/>
      <c r="ENJ354" s="282"/>
      <c r="ENK354" s="287"/>
      <c r="ENL354" s="282"/>
      <c r="ENM354" s="287"/>
      <c r="ENN354" s="282"/>
      <c r="ENO354" s="287"/>
      <c r="ENP354" s="282"/>
      <c r="ENQ354" s="287"/>
      <c r="ENR354" s="282"/>
      <c r="ENS354" s="287"/>
      <c r="ENT354" s="282"/>
      <c r="ENU354" s="287"/>
      <c r="ENV354" s="282"/>
      <c r="ENW354" s="287"/>
      <c r="ENX354" s="282"/>
      <c r="ENY354" s="287"/>
      <c r="ENZ354" s="282"/>
      <c r="EOA354" s="287"/>
      <c r="EOB354" s="282"/>
      <c r="EOC354" s="287"/>
      <c r="EOD354" s="282"/>
      <c r="EOE354" s="287"/>
      <c r="EOF354" s="282"/>
      <c r="EOG354" s="287"/>
      <c r="EOH354" s="282"/>
      <c r="EOI354" s="287"/>
      <c r="EOJ354" s="282"/>
      <c r="EOK354" s="287"/>
      <c r="EOL354" s="282"/>
      <c r="EOM354" s="287"/>
      <c r="EON354" s="282"/>
      <c r="EOO354" s="287"/>
      <c r="EOP354" s="282"/>
      <c r="EOQ354" s="287"/>
      <c r="EOR354" s="282"/>
      <c r="EOS354" s="287"/>
      <c r="EOT354" s="282"/>
      <c r="EOU354" s="287"/>
      <c r="EOV354" s="282"/>
      <c r="EOW354" s="287"/>
      <c r="EOX354" s="282"/>
      <c r="EOY354" s="287"/>
      <c r="EOZ354" s="282"/>
      <c r="EPA354" s="287"/>
      <c r="EPB354" s="282"/>
      <c r="EPC354" s="287"/>
      <c r="EPD354" s="282"/>
      <c r="EPE354" s="287"/>
      <c r="EPF354" s="282"/>
      <c r="EPG354" s="287"/>
      <c r="EPH354" s="282"/>
      <c r="EPI354" s="287"/>
      <c r="EPJ354" s="282"/>
      <c r="EPK354" s="287"/>
      <c r="EPL354" s="282"/>
      <c r="EPM354" s="287"/>
      <c r="EPN354" s="282"/>
      <c r="EPO354" s="287"/>
      <c r="EPP354" s="282"/>
      <c r="EPQ354" s="287"/>
      <c r="EPR354" s="282"/>
      <c r="EPS354" s="287"/>
      <c r="EPT354" s="282"/>
      <c r="EPU354" s="287"/>
      <c r="EPV354" s="282"/>
      <c r="EPW354" s="287"/>
      <c r="EPX354" s="282"/>
      <c r="EPY354" s="287"/>
      <c r="EPZ354" s="282"/>
      <c r="EQA354" s="287"/>
      <c r="EQB354" s="282"/>
      <c r="EQC354" s="287"/>
      <c r="EQD354" s="282"/>
      <c r="EQE354" s="287"/>
      <c r="EQF354" s="282"/>
      <c r="EQG354" s="287"/>
      <c r="EQH354" s="282"/>
      <c r="EQI354" s="287"/>
      <c r="EQJ354" s="282"/>
      <c r="EQK354" s="287"/>
      <c r="EQL354" s="282"/>
      <c r="EQM354" s="287"/>
      <c r="EQN354" s="282"/>
      <c r="EQO354" s="287"/>
      <c r="EQP354" s="282"/>
      <c r="EQQ354" s="287"/>
      <c r="EQR354" s="282"/>
      <c r="EQS354" s="287"/>
      <c r="EQT354" s="282"/>
      <c r="EQU354" s="287"/>
      <c r="EQV354" s="282"/>
      <c r="EQW354" s="287"/>
      <c r="EQX354" s="282"/>
      <c r="EQY354" s="287"/>
      <c r="EQZ354" s="282"/>
      <c r="ERA354" s="287"/>
      <c r="ERB354" s="282"/>
      <c r="ERC354" s="287"/>
      <c r="ERD354" s="282"/>
      <c r="ERE354" s="287"/>
      <c r="ERF354" s="282"/>
      <c r="ERG354" s="287"/>
      <c r="ERH354" s="282"/>
      <c r="ERI354" s="287"/>
      <c r="ERJ354" s="282"/>
      <c r="ERK354" s="287"/>
      <c r="ERL354" s="282"/>
      <c r="ERM354" s="287"/>
      <c r="ERN354" s="282"/>
      <c r="ERO354" s="287"/>
      <c r="ERP354" s="282"/>
      <c r="ERQ354" s="287"/>
      <c r="ERR354" s="282"/>
      <c r="ERS354" s="287"/>
      <c r="ERT354" s="282"/>
      <c r="ERU354" s="287"/>
      <c r="ERV354" s="282"/>
      <c r="ERW354" s="287"/>
      <c r="ERX354" s="282"/>
      <c r="ERY354" s="287"/>
      <c r="ERZ354" s="282"/>
      <c r="ESA354" s="287"/>
      <c r="ESB354" s="282"/>
      <c r="ESC354" s="287"/>
      <c r="ESD354" s="282"/>
      <c r="ESE354" s="287"/>
      <c r="ESF354" s="282"/>
      <c r="ESG354" s="287"/>
      <c r="ESH354" s="282"/>
      <c r="ESI354" s="287"/>
      <c r="ESJ354" s="282"/>
      <c r="ESK354" s="287"/>
      <c r="ESL354" s="282"/>
      <c r="ESM354" s="287"/>
      <c r="ESN354" s="282"/>
      <c r="ESO354" s="287"/>
      <c r="ESP354" s="282"/>
      <c r="ESQ354" s="287"/>
      <c r="ESR354" s="282"/>
      <c r="ESS354" s="287"/>
      <c r="EST354" s="282"/>
      <c r="ESU354" s="287"/>
      <c r="ESV354" s="282"/>
      <c r="ESW354" s="287"/>
      <c r="ESX354" s="282"/>
      <c r="ESY354" s="287"/>
      <c r="ESZ354" s="282"/>
      <c r="ETA354" s="287"/>
      <c r="ETB354" s="282"/>
      <c r="ETC354" s="287"/>
      <c r="ETD354" s="282"/>
      <c r="ETE354" s="287"/>
      <c r="ETF354" s="282"/>
      <c r="ETG354" s="287"/>
      <c r="ETH354" s="282"/>
      <c r="ETI354" s="287"/>
      <c r="ETJ354" s="282"/>
      <c r="ETK354" s="287"/>
      <c r="ETL354" s="282"/>
      <c r="ETM354" s="287"/>
      <c r="ETN354" s="282"/>
      <c r="ETO354" s="287"/>
      <c r="ETP354" s="282"/>
      <c r="ETQ354" s="287"/>
      <c r="ETR354" s="282"/>
      <c r="ETS354" s="287"/>
      <c r="ETT354" s="282"/>
      <c r="ETU354" s="287"/>
      <c r="ETV354" s="282"/>
      <c r="ETW354" s="287"/>
      <c r="ETX354" s="282"/>
      <c r="ETY354" s="287"/>
      <c r="ETZ354" s="282"/>
      <c r="EUA354" s="287"/>
      <c r="EUB354" s="282"/>
      <c r="EUC354" s="287"/>
      <c r="EUD354" s="282"/>
      <c r="EUE354" s="287"/>
      <c r="EUF354" s="282"/>
      <c r="EUG354" s="287"/>
      <c r="EUH354" s="282"/>
      <c r="EUI354" s="287"/>
      <c r="EUJ354" s="282"/>
      <c r="EUK354" s="287"/>
      <c r="EUL354" s="282"/>
      <c r="EUM354" s="287"/>
      <c r="EUN354" s="282"/>
      <c r="EUO354" s="287"/>
      <c r="EUP354" s="282"/>
      <c r="EUQ354" s="287"/>
      <c r="EUR354" s="282"/>
      <c r="EUS354" s="287"/>
      <c r="EUT354" s="282"/>
      <c r="EUU354" s="287"/>
      <c r="EUV354" s="282"/>
      <c r="EUW354" s="287"/>
      <c r="EUX354" s="282"/>
      <c r="EUY354" s="287"/>
      <c r="EUZ354" s="282"/>
      <c r="EVA354" s="287"/>
      <c r="EVB354" s="282"/>
      <c r="EVC354" s="287"/>
      <c r="EVD354" s="282"/>
      <c r="EVE354" s="287"/>
      <c r="EVF354" s="282"/>
      <c r="EVG354" s="287"/>
      <c r="EVH354" s="282"/>
      <c r="EVI354" s="287"/>
      <c r="EVJ354" s="282"/>
      <c r="EVK354" s="287"/>
      <c r="EVL354" s="282"/>
      <c r="EVM354" s="287"/>
      <c r="EVN354" s="282"/>
      <c r="EVO354" s="287"/>
      <c r="EVP354" s="282"/>
      <c r="EVQ354" s="287"/>
      <c r="EVR354" s="282"/>
      <c r="EVS354" s="287"/>
      <c r="EVT354" s="282"/>
      <c r="EVU354" s="287"/>
      <c r="EVV354" s="282"/>
      <c r="EVW354" s="287"/>
      <c r="EVX354" s="282"/>
      <c r="EVY354" s="287"/>
      <c r="EVZ354" s="282"/>
      <c r="EWA354" s="287"/>
      <c r="EWB354" s="282"/>
      <c r="EWC354" s="287"/>
      <c r="EWD354" s="282"/>
      <c r="EWE354" s="287"/>
      <c r="EWF354" s="282"/>
      <c r="EWG354" s="287"/>
      <c r="EWH354" s="282"/>
      <c r="EWI354" s="287"/>
      <c r="EWJ354" s="282"/>
      <c r="EWK354" s="287"/>
      <c r="EWL354" s="282"/>
      <c r="EWM354" s="287"/>
      <c r="EWN354" s="282"/>
      <c r="EWO354" s="287"/>
      <c r="EWP354" s="282"/>
      <c r="EWQ354" s="287"/>
      <c r="EWR354" s="282"/>
      <c r="EWS354" s="287"/>
      <c r="EWT354" s="282"/>
      <c r="EWU354" s="287"/>
      <c r="EWV354" s="282"/>
      <c r="EWW354" s="287"/>
      <c r="EWX354" s="282"/>
      <c r="EWY354" s="287"/>
      <c r="EWZ354" s="282"/>
      <c r="EXA354" s="287"/>
      <c r="EXB354" s="282"/>
      <c r="EXC354" s="287"/>
      <c r="EXD354" s="282"/>
      <c r="EXE354" s="287"/>
      <c r="EXF354" s="282"/>
      <c r="EXG354" s="287"/>
      <c r="EXH354" s="282"/>
      <c r="EXI354" s="287"/>
      <c r="EXJ354" s="282"/>
      <c r="EXK354" s="287"/>
      <c r="EXL354" s="282"/>
      <c r="EXM354" s="287"/>
      <c r="EXN354" s="282"/>
      <c r="EXO354" s="287"/>
      <c r="EXP354" s="282"/>
      <c r="EXQ354" s="287"/>
      <c r="EXR354" s="282"/>
      <c r="EXS354" s="287"/>
      <c r="EXT354" s="282"/>
      <c r="EXU354" s="287"/>
      <c r="EXV354" s="282"/>
      <c r="EXW354" s="287"/>
      <c r="EXX354" s="282"/>
      <c r="EXY354" s="287"/>
      <c r="EXZ354" s="282"/>
      <c r="EYA354" s="287"/>
      <c r="EYB354" s="282"/>
      <c r="EYC354" s="287"/>
      <c r="EYD354" s="282"/>
      <c r="EYE354" s="287"/>
      <c r="EYF354" s="282"/>
      <c r="EYG354" s="287"/>
      <c r="EYH354" s="282"/>
      <c r="EYI354" s="287"/>
      <c r="EYJ354" s="282"/>
      <c r="EYK354" s="287"/>
      <c r="EYL354" s="282"/>
      <c r="EYM354" s="287"/>
      <c r="EYN354" s="282"/>
      <c r="EYO354" s="287"/>
      <c r="EYP354" s="282"/>
      <c r="EYQ354" s="287"/>
      <c r="EYR354" s="282"/>
      <c r="EYS354" s="287"/>
      <c r="EYT354" s="282"/>
      <c r="EYU354" s="287"/>
      <c r="EYV354" s="282"/>
      <c r="EYW354" s="287"/>
      <c r="EYX354" s="282"/>
      <c r="EYY354" s="287"/>
      <c r="EYZ354" s="282"/>
      <c r="EZA354" s="287"/>
      <c r="EZB354" s="282"/>
      <c r="EZC354" s="287"/>
      <c r="EZD354" s="282"/>
      <c r="EZE354" s="287"/>
      <c r="EZF354" s="282"/>
      <c r="EZG354" s="287"/>
      <c r="EZH354" s="282"/>
      <c r="EZI354" s="287"/>
      <c r="EZJ354" s="282"/>
      <c r="EZK354" s="287"/>
      <c r="EZL354" s="282"/>
      <c r="EZM354" s="287"/>
      <c r="EZN354" s="282"/>
      <c r="EZO354" s="287"/>
      <c r="EZP354" s="282"/>
      <c r="EZQ354" s="287"/>
      <c r="EZR354" s="282"/>
      <c r="EZS354" s="287"/>
      <c r="EZT354" s="282"/>
      <c r="EZU354" s="287"/>
      <c r="EZV354" s="282"/>
      <c r="EZW354" s="287"/>
      <c r="EZX354" s="282"/>
      <c r="EZY354" s="287"/>
      <c r="EZZ354" s="282"/>
      <c r="FAA354" s="287"/>
      <c r="FAB354" s="282"/>
      <c r="FAC354" s="287"/>
      <c r="FAD354" s="282"/>
      <c r="FAE354" s="287"/>
      <c r="FAF354" s="282"/>
      <c r="FAG354" s="287"/>
      <c r="FAH354" s="282"/>
      <c r="FAI354" s="287"/>
      <c r="FAJ354" s="282"/>
      <c r="FAK354" s="287"/>
      <c r="FAL354" s="282"/>
      <c r="FAM354" s="287"/>
      <c r="FAN354" s="282"/>
      <c r="FAO354" s="287"/>
      <c r="FAP354" s="282"/>
      <c r="FAQ354" s="287"/>
      <c r="FAR354" s="282"/>
      <c r="FAS354" s="287"/>
      <c r="FAT354" s="282"/>
      <c r="FAU354" s="287"/>
      <c r="FAV354" s="282"/>
      <c r="FAW354" s="287"/>
      <c r="FAX354" s="282"/>
      <c r="FAY354" s="287"/>
      <c r="FAZ354" s="282"/>
      <c r="FBA354" s="287"/>
      <c r="FBB354" s="282"/>
      <c r="FBC354" s="287"/>
      <c r="FBD354" s="282"/>
      <c r="FBE354" s="287"/>
      <c r="FBF354" s="282"/>
      <c r="FBG354" s="287"/>
      <c r="FBH354" s="282"/>
      <c r="FBI354" s="287"/>
      <c r="FBJ354" s="282"/>
      <c r="FBK354" s="287"/>
      <c r="FBL354" s="282"/>
      <c r="FBM354" s="287"/>
      <c r="FBN354" s="282"/>
      <c r="FBO354" s="287"/>
      <c r="FBP354" s="282"/>
      <c r="FBQ354" s="287"/>
      <c r="FBR354" s="282"/>
      <c r="FBS354" s="287"/>
      <c r="FBT354" s="282"/>
      <c r="FBU354" s="287"/>
      <c r="FBV354" s="282"/>
      <c r="FBW354" s="287"/>
      <c r="FBX354" s="282"/>
      <c r="FBY354" s="287"/>
      <c r="FBZ354" s="282"/>
      <c r="FCA354" s="287"/>
      <c r="FCB354" s="282"/>
      <c r="FCC354" s="287"/>
      <c r="FCD354" s="282"/>
      <c r="FCE354" s="287"/>
      <c r="FCF354" s="282"/>
      <c r="FCG354" s="287"/>
      <c r="FCH354" s="282"/>
      <c r="FCI354" s="287"/>
      <c r="FCJ354" s="282"/>
      <c r="FCK354" s="287"/>
      <c r="FCL354" s="282"/>
      <c r="FCM354" s="287"/>
      <c r="FCN354" s="282"/>
      <c r="FCO354" s="287"/>
      <c r="FCP354" s="282"/>
      <c r="FCQ354" s="287"/>
      <c r="FCR354" s="282"/>
      <c r="FCS354" s="287"/>
      <c r="FCT354" s="282"/>
      <c r="FCU354" s="287"/>
      <c r="FCV354" s="282"/>
      <c r="FCW354" s="287"/>
      <c r="FCX354" s="282"/>
      <c r="FCY354" s="287"/>
      <c r="FCZ354" s="282"/>
      <c r="FDA354" s="287"/>
      <c r="FDB354" s="282"/>
      <c r="FDC354" s="287"/>
      <c r="FDD354" s="282"/>
      <c r="FDE354" s="287"/>
      <c r="FDF354" s="282"/>
      <c r="FDG354" s="287"/>
      <c r="FDH354" s="282"/>
      <c r="FDI354" s="287"/>
      <c r="FDJ354" s="282"/>
      <c r="FDK354" s="287"/>
      <c r="FDL354" s="282"/>
      <c r="FDM354" s="287"/>
      <c r="FDN354" s="282"/>
      <c r="FDO354" s="287"/>
      <c r="FDP354" s="282"/>
      <c r="FDQ354" s="287"/>
      <c r="FDR354" s="282"/>
      <c r="FDS354" s="287"/>
      <c r="FDT354" s="282"/>
      <c r="FDU354" s="287"/>
      <c r="FDV354" s="282"/>
      <c r="FDW354" s="287"/>
      <c r="FDX354" s="282"/>
      <c r="FDY354" s="287"/>
      <c r="FDZ354" s="282"/>
      <c r="FEA354" s="287"/>
      <c r="FEB354" s="282"/>
      <c r="FEC354" s="287"/>
      <c r="FED354" s="282"/>
      <c r="FEE354" s="287"/>
      <c r="FEF354" s="282"/>
      <c r="FEG354" s="287"/>
      <c r="FEH354" s="282"/>
      <c r="FEI354" s="287"/>
      <c r="FEJ354" s="282"/>
      <c r="FEK354" s="287"/>
      <c r="FEL354" s="282"/>
      <c r="FEM354" s="287"/>
      <c r="FEN354" s="282"/>
      <c r="FEO354" s="287"/>
      <c r="FEP354" s="282"/>
      <c r="FEQ354" s="287"/>
      <c r="FER354" s="282"/>
      <c r="FES354" s="287"/>
      <c r="FET354" s="282"/>
      <c r="FEU354" s="287"/>
      <c r="FEV354" s="282"/>
      <c r="FEW354" s="287"/>
      <c r="FEX354" s="282"/>
      <c r="FEY354" s="287"/>
      <c r="FEZ354" s="282"/>
      <c r="FFA354" s="287"/>
      <c r="FFB354" s="282"/>
      <c r="FFC354" s="287"/>
      <c r="FFD354" s="282"/>
      <c r="FFE354" s="287"/>
      <c r="FFF354" s="282"/>
      <c r="FFG354" s="287"/>
      <c r="FFH354" s="282"/>
      <c r="FFI354" s="287"/>
      <c r="FFJ354" s="282"/>
      <c r="FFK354" s="287"/>
      <c r="FFL354" s="282"/>
      <c r="FFM354" s="287"/>
      <c r="FFN354" s="282"/>
      <c r="FFO354" s="287"/>
      <c r="FFP354" s="282"/>
      <c r="FFQ354" s="287"/>
      <c r="FFR354" s="282"/>
      <c r="FFS354" s="287"/>
      <c r="FFT354" s="282"/>
      <c r="FFU354" s="287"/>
      <c r="FFV354" s="282"/>
      <c r="FFW354" s="287"/>
      <c r="FFX354" s="282"/>
      <c r="FFY354" s="287"/>
      <c r="FFZ354" s="282"/>
      <c r="FGA354" s="287"/>
      <c r="FGB354" s="282"/>
      <c r="FGC354" s="287"/>
      <c r="FGD354" s="282"/>
      <c r="FGE354" s="287"/>
      <c r="FGF354" s="282"/>
      <c r="FGG354" s="287"/>
      <c r="FGH354" s="282"/>
      <c r="FGI354" s="287"/>
      <c r="FGJ354" s="282"/>
      <c r="FGK354" s="287"/>
      <c r="FGL354" s="282"/>
      <c r="FGM354" s="287"/>
      <c r="FGN354" s="282"/>
      <c r="FGO354" s="287"/>
      <c r="FGP354" s="282"/>
      <c r="FGQ354" s="287"/>
      <c r="FGR354" s="282"/>
      <c r="FGS354" s="287"/>
      <c r="FGT354" s="282"/>
      <c r="FGU354" s="287"/>
      <c r="FGV354" s="282"/>
      <c r="FGW354" s="287"/>
      <c r="FGX354" s="282"/>
      <c r="FGY354" s="287"/>
      <c r="FGZ354" s="282"/>
      <c r="FHA354" s="287"/>
      <c r="FHB354" s="282"/>
      <c r="FHC354" s="287"/>
      <c r="FHD354" s="282"/>
      <c r="FHE354" s="287"/>
      <c r="FHF354" s="282"/>
      <c r="FHG354" s="287"/>
      <c r="FHH354" s="282"/>
      <c r="FHI354" s="287"/>
      <c r="FHJ354" s="282"/>
      <c r="FHK354" s="287"/>
      <c r="FHL354" s="282"/>
      <c r="FHM354" s="287"/>
      <c r="FHN354" s="282"/>
      <c r="FHO354" s="287"/>
      <c r="FHP354" s="282"/>
      <c r="FHQ354" s="287"/>
      <c r="FHR354" s="282"/>
      <c r="FHS354" s="287"/>
      <c r="FHT354" s="282"/>
      <c r="FHU354" s="287"/>
      <c r="FHV354" s="282"/>
      <c r="FHW354" s="287"/>
      <c r="FHX354" s="282"/>
      <c r="FHY354" s="287"/>
      <c r="FHZ354" s="282"/>
      <c r="FIA354" s="287"/>
      <c r="FIB354" s="282"/>
      <c r="FIC354" s="287"/>
      <c r="FID354" s="282"/>
      <c r="FIE354" s="287"/>
      <c r="FIF354" s="282"/>
      <c r="FIG354" s="287"/>
      <c r="FIH354" s="282"/>
      <c r="FII354" s="287"/>
      <c r="FIJ354" s="282"/>
      <c r="FIK354" s="287"/>
      <c r="FIL354" s="282"/>
      <c r="FIM354" s="287"/>
      <c r="FIN354" s="282"/>
      <c r="FIO354" s="287"/>
      <c r="FIP354" s="282"/>
      <c r="FIQ354" s="287"/>
      <c r="FIR354" s="282"/>
      <c r="FIS354" s="287"/>
      <c r="FIT354" s="282"/>
      <c r="FIU354" s="287"/>
      <c r="FIV354" s="282"/>
      <c r="FIW354" s="287"/>
      <c r="FIX354" s="282"/>
      <c r="FIY354" s="287"/>
      <c r="FIZ354" s="282"/>
      <c r="FJA354" s="287"/>
      <c r="FJB354" s="282"/>
      <c r="FJC354" s="287"/>
      <c r="FJD354" s="282"/>
      <c r="FJE354" s="287"/>
      <c r="FJF354" s="282"/>
      <c r="FJG354" s="287"/>
      <c r="FJH354" s="282"/>
      <c r="FJI354" s="287"/>
      <c r="FJJ354" s="282"/>
      <c r="FJK354" s="287"/>
      <c r="FJL354" s="282"/>
      <c r="FJM354" s="287"/>
      <c r="FJN354" s="282"/>
      <c r="FJO354" s="287"/>
      <c r="FJP354" s="282"/>
      <c r="FJQ354" s="287"/>
      <c r="FJR354" s="282"/>
      <c r="FJS354" s="287"/>
      <c r="FJT354" s="282"/>
      <c r="FJU354" s="287"/>
      <c r="FJV354" s="282"/>
      <c r="FJW354" s="287"/>
      <c r="FJX354" s="282"/>
      <c r="FJY354" s="287"/>
      <c r="FJZ354" s="282"/>
      <c r="FKA354" s="287"/>
      <c r="FKB354" s="282"/>
      <c r="FKC354" s="287"/>
      <c r="FKD354" s="282"/>
      <c r="FKE354" s="287"/>
      <c r="FKF354" s="282"/>
      <c r="FKG354" s="287"/>
      <c r="FKH354" s="282"/>
      <c r="FKI354" s="287"/>
      <c r="FKJ354" s="282"/>
      <c r="FKK354" s="287"/>
      <c r="FKL354" s="282"/>
      <c r="FKM354" s="287"/>
      <c r="FKN354" s="282"/>
      <c r="FKO354" s="287"/>
      <c r="FKP354" s="282"/>
      <c r="FKQ354" s="287"/>
      <c r="FKR354" s="282"/>
      <c r="FKS354" s="287"/>
      <c r="FKT354" s="282"/>
      <c r="FKU354" s="287"/>
      <c r="FKV354" s="282"/>
      <c r="FKW354" s="287"/>
      <c r="FKX354" s="282"/>
      <c r="FKY354" s="287"/>
      <c r="FKZ354" s="282"/>
      <c r="FLA354" s="287"/>
      <c r="FLB354" s="282"/>
      <c r="FLC354" s="287"/>
      <c r="FLD354" s="282"/>
      <c r="FLE354" s="287"/>
      <c r="FLF354" s="282"/>
      <c r="FLG354" s="287"/>
      <c r="FLH354" s="282"/>
      <c r="FLI354" s="287"/>
      <c r="FLJ354" s="282"/>
      <c r="FLK354" s="287"/>
      <c r="FLL354" s="282"/>
      <c r="FLM354" s="287"/>
      <c r="FLN354" s="282"/>
      <c r="FLO354" s="287"/>
      <c r="FLP354" s="282"/>
      <c r="FLQ354" s="287"/>
      <c r="FLR354" s="282"/>
      <c r="FLS354" s="287"/>
      <c r="FLT354" s="282"/>
      <c r="FLU354" s="287"/>
      <c r="FLV354" s="282"/>
      <c r="FLW354" s="287"/>
      <c r="FLX354" s="282"/>
      <c r="FLY354" s="287"/>
      <c r="FLZ354" s="282"/>
      <c r="FMA354" s="287"/>
      <c r="FMB354" s="282"/>
      <c r="FMC354" s="287"/>
      <c r="FMD354" s="282"/>
      <c r="FME354" s="287"/>
      <c r="FMF354" s="282"/>
      <c r="FMG354" s="287"/>
      <c r="FMH354" s="282"/>
      <c r="FMI354" s="287"/>
      <c r="FMJ354" s="282"/>
      <c r="FMK354" s="287"/>
      <c r="FML354" s="282"/>
      <c r="FMM354" s="287"/>
      <c r="FMN354" s="282"/>
      <c r="FMO354" s="287"/>
      <c r="FMP354" s="282"/>
      <c r="FMQ354" s="287"/>
      <c r="FMR354" s="282"/>
      <c r="FMS354" s="287"/>
      <c r="FMT354" s="282"/>
      <c r="FMU354" s="287"/>
      <c r="FMV354" s="282"/>
      <c r="FMW354" s="287"/>
      <c r="FMX354" s="282"/>
      <c r="FMY354" s="287"/>
      <c r="FMZ354" s="282"/>
      <c r="FNA354" s="287"/>
      <c r="FNB354" s="282"/>
      <c r="FNC354" s="287"/>
      <c r="FND354" s="282"/>
      <c r="FNE354" s="287"/>
      <c r="FNF354" s="282"/>
      <c r="FNG354" s="287"/>
      <c r="FNH354" s="282"/>
      <c r="FNI354" s="287"/>
      <c r="FNJ354" s="282"/>
      <c r="FNK354" s="287"/>
      <c r="FNL354" s="282"/>
      <c r="FNM354" s="287"/>
      <c r="FNN354" s="282"/>
      <c r="FNO354" s="287"/>
      <c r="FNP354" s="282"/>
      <c r="FNQ354" s="287"/>
      <c r="FNR354" s="282"/>
      <c r="FNS354" s="287"/>
      <c r="FNT354" s="282"/>
      <c r="FNU354" s="287"/>
      <c r="FNV354" s="282"/>
      <c r="FNW354" s="287"/>
      <c r="FNX354" s="282"/>
      <c r="FNY354" s="287"/>
      <c r="FNZ354" s="282"/>
      <c r="FOA354" s="287"/>
      <c r="FOB354" s="282"/>
      <c r="FOC354" s="287"/>
      <c r="FOD354" s="282"/>
      <c r="FOE354" s="287"/>
      <c r="FOF354" s="282"/>
      <c r="FOG354" s="287"/>
      <c r="FOH354" s="282"/>
      <c r="FOI354" s="287"/>
      <c r="FOJ354" s="282"/>
      <c r="FOK354" s="287"/>
      <c r="FOL354" s="282"/>
      <c r="FOM354" s="287"/>
      <c r="FON354" s="282"/>
      <c r="FOO354" s="287"/>
      <c r="FOP354" s="282"/>
      <c r="FOQ354" s="287"/>
      <c r="FOR354" s="282"/>
      <c r="FOS354" s="287"/>
      <c r="FOT354" s="282"/>
      <c r="FOU354" s="287"/>
      <c r="FOV354" s="282"/>
      <c r="FOW354" s="287"/>
      <c r="FOX354" s="282"/>
      <c r="FOY354" s="287"/>
      <c r="FOZ354" s="282"/>
      <c r="FPA354" s="287"/>
      <c r="FPB354" s="282"/>
      <c r="FPC354" s="287"/>
      <c r="FPD354" s="282"/>
      <c r="FPE354" s="287"/>
      <c r="FPF354" s="282"/>
      <c r="FPG354" s="287"/>
      <c r="FPH354" s="282"/>
      <c r="FPI354" s="287"/>
      <c r="FPJ354" s="282"/>
      <c r="FPK354" s="287"/>
      <c r="FPL354" s="282"/>
      <c r="FPM354" s="287"/>
      <c r="FPN354" s="282"/>
      <c r="FPO354" s="287"/>
      <c r="FPP354" s="282"/>
      <c r="FPQ354" s="287"/>
      <c r="FPR354" s="282"/>
      <c r="FPS354" s="287"/>
      <c r="FPT354" s="282"/>
      <c r="FPU354" s="287"/>
      <c r="FPV354" s="282"/>
      <c r="FPW354" s="287"/>
      <c r="FPX354" s="282"/>
      <c r="FPY354" s="287"/>
      <c r="FPZ354" s="282"/>
      <c r="FQA354" s="287"/>
      <c r="FQB354" s="282"/>
      <c r="FQC354" s="287"/>
      <c r="FQD354" s="282"/>
      <c r="FQE354" s="287"/>
      <c r="FQF354" s="282"/>
      <c r="FQG354" s="287"/>
      <c r="FQH354" s="282"/>
      <c r="FQI354" s="287"/>
      <c r="FQJ354" s="282"/>
      <c r="FQK354" s="287"/>
      <c r="FQL354" s="282"/>
      <c r="FQM354" s="287"/>
      <c r="FQN354" s="282"/>
      <c r="FQO354" s="287"/>
      <c r="FQP354" s="282"/>
      <c r="FQQ354" s="287"/>
      <c r="FQR354" s="282"/>
      <c r="FQS354" s="287"/>
      <c r="FQT354" s="282"/>
      <c r="FQU354" s="287"/>
      <c r="FQV354" s="282"/>
      <c r="FQW354" s="287"/>
      <c r="FQX354" s="282"/>
      <c r="FQY354" s="287"/>
      <c r="FQZ354" s="282"/>
      <c r="FRA354" s="287"/>
      <c r="FRB354" s="282"/>
      <c r="FRC354" s="287"/>
      <c r="FRD354" s="282"/>
      <c r="FRE354" s="287"/>
      <c r="FRF354" s="282"/>
      <c r="FRG354" s="287"/>
      <c r="FRH354" s="282"/>
      <c r="FRI354" s="287"/>
      <c r="FRJ354" s="282"/>
      <c r="FRK354" s="287"/>
      <c r="FRL354" s="282"/>
      <c r="FRM354" s="287"/>
      <c r="FRN354" s="282"/>
      <c r="FRO354" s="287"/>
      <c r="FRP354" s="282"/>
      <c r="FRQ354" s="287"/>
      <c r="FRR354" s="282"/>
      <c r="FRS354" s="287"/>
      <c r="FRT354" s="282"/>
      <c r="FRU354" s="287"/>
      <c r="FRV354" s="282"/>
      <c r="FRW354" s="287"/>
      <c r="FRX354" s="282"/>
      <c r="FRY354" s="287"/>
      <c r="FRZ354" s="282"/>
      <c r="FSA354" s="287"/>
      <c r="FSB354" s="282"/>
      <c r="FSC354" s="287"/>
      <c r="FSD354" s="282"/>
      <c r="FSE354" s="287"/>
      <c r="FSF354" s="282"/>
      <c r="FSG354" s="287"/>
      <c r="FSH354" s="282"/>
      <c r="FSI354" s="287"/>
      <c r="FSJ354" s="282"/>
      <c r="FSK354" s="287"/>
      <c r="FSL354" s="282"/>
      <c r="FSM354" s="287"/>
      <c r="FSN354" s="282"/>
      <c r="FSO354" s="287"/>
      <c r="FSP354" s="282"/>
      <c r="FSQ354" s="287"/>
      <c r="FSR354" s="282"/>
      <c r="FSS354" s="287"/>
      <c r="FST354" s="282"/>
      <c r="FSU354" s="287"/>
      <c r="FSV354" s="282"/>
      <c r="FSW354" s="287"/>
      <c r="FSX354" s="282"/>
      <c r="FSY354" s="287"/>
      <c r="FSZ354" s="282"/>
      <c r="FTA354" s="287"/>
      <c r="FTB354" s="282"/>
      <c r="FTC354" s="287"/>
      <c r="FTD354" s="282"/>
      <c r="FTE354" s="287"/>
      <c r="FTF354" s="282"/>
      <c r="FTG354" s="287"/>
      <c r="FTH354" s="282"/>
      <c r="FTI354" s="287"/>
      <c r="FTJ354" s="282"/>
      <c r="FTK354" s="287"/>
      <c r="FTL354" s="282"/>
      <c r="FTM354" s="287"/>
      <c r="FTN354" s="282"/>
      <c r="FTO354" s="287"/>
      <c r="FTP354" s="282"/>
      <c r="FTQ354" s="287"/>
      <c r="FTR354" s="282"/>
      <c r="FTS354" s="287"/>
      <c r="FTT354" s="282"/>
      <c r="FTU354" s="287"/>
      <c r="FTV354" s="282"/>
      <c r="FTW354" s="287"/>
      <c r="FTX354" s="282"/>
      <c r="FTY354" s="287"/>
      <c r="FTZ354" s="282"/>
      <c r="FUA354" s="287"/>
      <c r="FUB354" s="282"/>
      <c r="FUC354" s="287"/>
      <c r="FUD354" s="282"/>
      <c r="FUE354" s="287"/>
      <c r="FUF354" s="282"/>
      <c r="FUG354" s="287"/>
      <c r="FUH354" s="282"/>
      <c r="FUI354" s="287"/>
      <c r="FUJ354" s="282"/>
      <c r="FUK354" s="287"/>
      <c r="FUL354" s="282"/>
      <c r="FUM354" s="287"/>
      <c r="FUN354" s="282"/>
      <c r="FUO354" s="287"/>
      <c r="FUP354" s="282"/>
      <c r="FUQ354" s="287"/>
      <c r="FUR354" s="282"/>
      <c r="FUS354" s="287"/>
      <c r="FUT354" s="282"/>
      <c r="FUU354" s="287"/>
      <c r="FUV354" s="282"/>
      <c r="FUW354" s="287"/>
      <c r="FUX354" s="282"/>
      <c r="FUY354" s="287"/>
      <c r="FUZ354" s="282"/>
      <c r="FVA354" s="287"/>
      <c r="FVB354" s="282"/>
      <c r="FVC354" s="287"/>
      <c r="FVD354" s="282"/>
      <c r="FVE354" s="287"/>
      <c r="FVF354" s="282"/>
      <c r="FVG354" s="287"/>
      <c r="FVH354" s="282"/>
      <c r="FVI354" s="287"/>
      <c r="FVJ354" s="282"/>
      <c r="FVK354" s="287"/>
      <c r="FVL354" s="282"/>
      <c r="FVM354" s="287"/>
      <c r="FVN354" s="282"/>
      <c r="FVO354" s="287"/>
      <c r="FVP354" s="282"/>
      <c r="FVQ354" s="287"/>
      <c r="FVR354" s="282"/>
      <c r="FVS354" s="287"/>
      <c r="FVT354" s="282"/>
      <c r="FVU354" s="287"/>
      <c r="FVV354" s="282"/>
      <c r="FVW354" s="287"/>
      <c r="FVX354" s="282"/>
      <c r="FVY354" s="287"/>
      <c r="FVZ354" s="282"/>
      <c r="FWA354" s="287"/>
      <c r="FWB354" s="282"/>
      <c r="FWC354" s="287"/>
      <c r="FWD354" s="282"/>
      <c r="FWE354" s="287"/>
      <c r="FWF354" s="282"/>
      <c r="FWG354" s="287"/>
      <c r="FWH354" s="282"/>
      <c r="FWI354" s="287"/>
      <c r="FWJ354" s="282"/>
      <c r="FWK354" s="287"/>
      <c r="FWL354" s="282"/>
      <c r="FWM354" s="287"/>
      <c r="FWN354" s="282"/>
      <c r="FWO354" s="287"/>
      <c r="FWP354" s="282"/>
      <c r="FWQ354" s="287"/>
      <c r="FWR354" s="282"/>
      <c r="FWS354" s="287"/>
      <c r="FWT354" s="282"/>
      <c r="FWU354" s="287"/>
      <c r="FWV354" s="282"/>
      <c r="FWW354" s="287"/>
      <c r="FWX354" s="282"/>
      <c r="FWY354" s="287"/>
      <c r="FWZ354" s="282"/>
      <c r="FXA354" s="287"/>
      <c r="FXB354" s="282"/>
      <c r="FXC354" s="287"/>
      <c r="FXD354" s="282"/>
      <c r="FXE354" s="287"/>
      <c r="FXF354" s="282"/>
      <c r="FXG354" s="287"/>
      <c r="FXH354" s="282"/>
      <c r="FXI354" s="287"/>
      <c r="FXJ354" s="282"/>
      <c r="FXK354" s="287"/>
      <c r="FXL354" s="282"/>
      <c r="FXM354" s="287"/>
      <c r="FXN354" s="282"/>
      <c r="FXO354" s="287"/>
      <c r="FXP354" s="282"/>
      <c r="FXQ354" s="287"/>
      <c r="FXR354" s="282"/>
      <c r="FXS354" s="287"/>
      <c r="FXT354" s="282"/>
      <c r="FXU354" s="287"/>
      <c r="FXV354" s="282"/>
      <c r="FXW354" s="287"/>
      <c r="FXX354" s="282"/>
      <c r="FXY354" s="287"/>
      <c r="FXZ354" s="282"/>
      <c r="FYA354" s="287"/>
      <c r="FYB354" s="282"/>
      <c r="FYC354" s="287"/>
      <c r="FYD354" s="282"/>
      <c r="FYE354" s="287"/>
      <c r="FYF354" s="282"/>
      <c r="FYG354" s="287"/>
      <c r="FYH354" s="282"/>
      <c r="FYI354" s="287"/>
      <c r="FYJ354" s="282"/>
      <c r="FYK354" s="287"/>
      <c r="FYL354" s="282"/>
      <c r="FYM354" s="287"/>
      <c r="FYN354" s="282"/>
      <c r="FYO354" s="287"/>
      <c r="FYP354" s="282"/>
      <c r="FYQ354" s="287"/>
      <c r="FYR354" s="282"/>
      <c r="FYS354" s="287"/>
      <c r="FYT354" s="282"/>
      <c r="FYU354" s="287"/>
      <c r="FYV354" s="282"/>
      <c r="FYW354" s="287"/>
      <c r="FYX354" s="282"/>
      <c r="FYY354" s="287"/>
      <c r="FYZ354" s="282"/>
      <c r="FZA354" s="287"/>
      <c r="FZB354" s="282"/>
      <c r="FZC354" s="287"/>
      <c r="FZD354" s="282"/>
      <c r="FZE354" s="287"/>
      <c r="FZF354" s="282"/>
      <c r="FZG354" s="287"/>
      <c r="FZH354" s="282"/>
      <c r="FZI354" s="287"/>
      <c r="FZJ354" s="282"/>
      <c r="FZK354" s="287"/>
      <c r="FZL354" s="282"/>
      <c r="FZM354" s="287"/>
      <c r="FZN354" s="282"/>
      <c r="FZO354" s="287"/>
      <c r="FZP354" s="282"/>
      <c r="FZQ354" s="287"/>
      <c r="FZR354" s="282"/>
      <c r="FZS354" s="287"/>
      <c r="FZT354" s="282"/>
      <c r="FZU354" s="287"/>
      <c r="FZV354" s="282"/>
      <c r="FZW354" s="287"/>
      <c r="FZX354" s="282"/>
      <c r="FZY354" s="287"/>
      <c r="FZZ354" s="282"/>
      <c r="GAA354" s="287"/>
      <c r="GAB354" s="282"/>
      <c r="GAC354" s="287"/>
      <c r="GAD354" s="282"/>
      <c r="GAE354" s="287"/>
      <c r="GAF354" s="282"/>
      <c r="GAG354" s="287"/>
      <c r="GAH354" s="282"/>
      <c r="GAI354" s="287"/>
      <c r="GAJ354" s="282"/>
      <c r="GAK354" s="287"/>
      <c r="GAL354" s="282"/>
      <c r="GAM354" s="287"/>
      <c r="GAN354" s="282"/>
      <c r="GAO354" s="287"/>
      <c r="GAP354" s="282"/>
      <c r="GAQ354" s="287"/>
      <c r="GAR354" s="282"/>
      <c r="GAS354" s="287"/>
      <c r="GAT354" s="282"/>
      <c r="GAU354" s="287"/>
      <c r="GAV354" s="282"/>
      <c r="GAW354" s="287"/>
      <c r="GAX354" s="282"/>
      <c r="GAY354" s="287"/>
      <c r="GAZ354" s="282"/>
      <c r="GBA354" s="287"/>
      <c r="GBB354" s="282"/>
      <c r="GBC354" s="287"/>
      <c r="GBD354" s="282"/>
      <c r="GBE354" s="287"/>
      <c r="GBF354" s="282"/>
      <c r="GBG354" s="287"/>
      <c r="GBH354" s="282"/>
      <c r="GBI354" s="287"/>
      <c r="GBJ354" s="282"/>
      <c r="GBK354" s="287"/>
      <c r="GBL354" s="282"/>
      <c r="GBM354" s="287"/>
      <c r="GBN354" s="282"/>
      <c r="GBO354" s="287"/>
      <c r="GBP354" s="282"/>
      <c r="GBQ354" s="287"/>
      <c r="GBR354" s="282"/>
      <c r="GBS354" s="287"/>
      <c r="GBT354" s="282"/>
      <c r="GBU354" s="287"/>
      <c r="GBV354" s="282"/>
      <c r="GBW354" s="287"/>
      <c r="GBX354" s="282"/>
      <c r="GBY354" s="287"/>
      <c r="GBZ354" s="282"/>
      <c r="GCA354" s="287"/>
      <c r="GCB354" s="282"/>
      <c r="GCC354" s="287"/>
      <c r="GCD354" s="282"/>
      <c r="GCE354" s="287"/>
      <c r="GCF354" s="282"/>
      <c r="GCG354" s="287"/>
      <c r="GCH354" s="282"/>
      <c r="GCI354" s="287"/>
      <c r="GCJ354" s="282"/>
      <c r="GCK354" s="287"/>
      <c r="GCL354" s="282"/>
      <c r="GCM354" s="287"/>
      <c r="GCN354" s="282"/>
      <c r="GCO354" s="287"/>
      <c r="GCP354" s="282"/>
      <c r="GCQ354" s="287"/>
      <c r="GCR354" s="282"/>
      <c r="GCS354" s="287"/>
      <c r="GCT354" s="282"/>
      <c r="GCU354" s="287"/>
      <c r="GCV354" s="282"/>
      <c r="GCW354" s="287"/>
      <c r="GCX354" s="282"/>
      <c r="GCY354" s="287"/>
      <c r="GCZ354" s="282"/>
      <c r="GDA354" s="287"/>
      <c r="GDB354" s="282"/>
      <c r="GDC354" s="287"/>
      <c r="GDD354" s="282"/>
      <c r="GDE354" s="287"/>
      <c r="GDF354" s="282"/>
      <c r="GDG354" s="287"/>
      <c r="GDH354" s="282"/>
      <c r="GDI354" s="287"/>
      <c r="GDJ354" s="282"/>
      <c r="GDK354" s="287"/>
      <c r="GDL354" s="282"/>
      <c r="GDM354" s="287"/>
      <c r="GDN354" s="282"/>
      <c r="GDO354" s="287"/>
      <c r="GDP354" s="282"/>
      <c r="GDQ354" s="287"/>
      <c r="GDR354" s="282"/>
      <c r="GDS354" s="287"/>
      <c r="GDT354" s="282"/>
      <c r="GDU354" s="287"/>
      <c r="GDV354" s="282"/>
      <c r="GDW354" s="287"/>
      <c r="GDX354" s="282"/>
      <c r="GDY354" s="287"/>
      <c r="GDZ354" s="282"/>
      <c r="GEA354" s="287"/>
      <c r="GEB354" s="282"/>
      <c r="GEC354" s="287"/>
      <c r="GED354" s="282"/>
      <c r="GEE354" s="287"/>
      <c r="GEF354" s="282"/>
      <c r="GEG354" s="287"/>
      <c r="GEH354" s="282"/>
      <c r="GEI354" s="287"/>
      <c r="GEJ354" s="282"/>
      <c r="GEK354" s="287"/>
      <c r="GEL354" s="282"/>
      <c r="GEM354" s="287"/>
      <c r="GEN354" s="282"/>
      <c r="GEO354" s="287"/>
      <c r="GEP354" s="282"/>
      <c r="GEQ354" s="287"/>
      <c r="GER354" s="282"/>
      <c r="GES354" s="287"/>
      <c r="GET354" s="282"/>
      <c r="GEU354" s="287"/>
      <c r="GEV354" s="282"/>
      <c r="GEW354" s="287"/>
      <c r="GEX354" s="282"/>
      <c r="GEY354" s="287"/>
      <c r="GEZ354" s="282"/>
      <c r="GFA354" s="287"/>
      <c r="GFB354" s="282"/>
      <c r="GFC354" s="287"/>
      <c r="GFD354" s="282"/>
      <c r="GFE354" s="287"/>
      <c r="GFF354" s="282"/>
      <c r="GFG354" s="287"/>
      <c r="GFH354" s="282"/>
      <c r="GFI354" s="287"/>
      <c r="GFJ354" s="282"/>
      <c r="GFK354" s="287"/>
      <c r="GFL354" s="282"/>
      <c r="GFM354" s="287"/>
      <c r="GFN354" s="282"/>
      <c r="GFO354" s="287"/>
      <c r="GFP354" s="282"/>
      <c r="GFQ354" s="287"/>
      <c r="GFR354" s="282"/>
      <c r="GFS354" s="287"/>
      <c r="GFT354" s="282"/>
      <c r="GFU354" s="287"/>
      <c r="GFV354" s="282"/>
      <c r="GFW354" s="287"/>
      <c r="GFX354" s="282"/>
      <c r="GFY354" s="287"/>
      <c r="GFZ354" s="282"/>
      <c r="GGA354" s="287"/>
      <c r="GGB354" s="282"/>
      <c r="GGC354" s="287"/>
      <c r="GGD354" s="282"/>
      <c r="GGE354" s="287"/>
      <c r="GGF354" s="282"/>
      <c r="GGG354" s="287"/>
      <c r="GGH354" s="282"/>
      <c r="GGI354" s="287"/>
      <c r="GGJ354" s="282"/>
      <c r="GGK354" s="287"/>
      <c r="GGL354" s="282"/>
      <c r="GGM354" s="287"/>
      <c r="GGN354" s="282"/>
      <c r="GGO354" s="287"/>
      <c r="GGP354" s="282"/>
      <c r="GGQ354" s="287"/>
      <c r="GGR354" s="282"/>
      <c r="GGS354" s="287"/>
      <c r="GGT354" s="282"/>
      <c r="GGU354" s="287"/>
      <c r="GGV354" s="282"/>
      <c r="GGW354" s="287"/>
      <c r="GGX354" s="282"/>
      <c r="GGY354" s="287"/>
      <c r="GGZ354" s="282"/>
      <c r="GHA354" s="287"/>
      <c r="GHB354" s="282"/>
      <c r="GHC354" s="287"/>
      <c r="GHD354" s="282"/>
      <c r="GHE354" s="287"/>
      <c r="GHF354" s="282"/>
      <c r="GHG354" s="287"/>
      <c r="GHH354" s="282"/>
      <c r="GHI354" s="287"/>
      <c r="GHJ354" s="282"/>
      <c r="GHK354" s="287"/>
      <c r="GHL354" s="282"/>
      <c r="GHM354" s="287"/>
      <c r="GHN354" s="282"/>
      <c r="GHO354" s="287"/>
      <c r="GHP354" s="282"/>
      <c r="GHQ354" s="287"/>
      <c r="GHR354" s="282"/>
      <c r="GHS354" s="287"/>
      <c r="GHT354" s="282"/>
      <c r="GHU354" s="287"/>
      <c r="GHV354" s="282"/>
      <c r="GHW354" s="287"/>
      <c r="GHX354" s="282"/>
      <c r="GHY354" s="287"/>
      <c r="GHZ354" s="282"/>
      <c r="GIA354" s="287"/>
      <c r="GIB354" s="282"/>
      <c r="GIC354" s="287"/>
      <c r="GID354" s="282"/>
      <c r="GIE354" s="287"/>
      <c r="GIF354" s="282"/>
      <c r="GIG354" s="287"/>
      <c r="GIH354" s="282"/>
      <c r="GII354" s="287"/>
      <c r="GIJ354" s="282"/>
      <c r="GIK354" s="287"/>
      <c r="GIL354" s="282"/>
      <c r="GIM354" s="287"/>
      <c r="GIN354" s="282"/>
      <c r="GIO354" s="287"/>
      <c r="GIP354" s="282"/>
      <c r="GIQ354" s="287"/>
      <c r="GIR354" s="282"/>
      <c r="GIS354" s="287"/>
      <c r="GIT354" s="282"/>
      <c r="GIU354" s="287"/>
      <c r="GIV354" s="282"/>
      <c r="GIW354" s="287"/>
      <c r="GIX354" s="282"/>
      <c r="GIY354" s="287"/>
      <c r="GIZ354" s="282"/>
      <c r="GJA354" s="287"/>
      <c r="GJB354" s="282"/>
      <c r="GJC354" s="287"/>
      <c r="GJD354" s="282"/>
      <c r="GJE354" s="287"/>
      <c r="GJF354" s="282"/>
      <c r="GJG354" s="287"/>
      <c r="GJH354" s="282"/>
      <c r="GJI354" s="287"/>
      <c r="GJJ354" s="282"/>
      <c r="GJK354" s="287"/>
      <c r="GJL354" s="282"/>
      <c r="GJM354" s="287"/>
      <c r="GJN354" s="282"/>
      <c r="GJO354" s="287"/>
      <c r="GJP354" s="282"/>
      <c r="GJQ354" s="287"/>
      <c r="GJR354" s="282"/>
      <c r="GJS354" s="287"/>
      <c r="GJT354" s="282"/>
      <c r="GJU354" s="287"/>
      <c r="GJV354" s="282"/>
      <c r="GJW354" s="287"/>
      <c r="GJX354" s="282"/>
      <c r="GJY354" s="287"/>
      <c r="GJZ354" s="282"/>
      <c r="GKA354" s="287"/>
      <c r="GKB354" s="282"/>
      <c r="GKC354" s="287"/>
      <c r="GKD354" s="282"/>
      <c r="GKE354" s="287"/>
      <c r="GKF354" s="282"/>
      <c r="GKG354" s="287"/>
      <c r="GKH354" s="282"/>
      <c r="GKI354" s="287"/>
      <c r="GKJ354" s="282"/>
      <c r="GKK354" s="287"/>
      <c r="GKL354" s="282"/>
      <c r="GKM354" s="287"/>
      <c r="GKN354" s="282"/>
      <c r="GKO354" s="287"/>
      <c r="GKP354" s="282"/>
      <c r="GKQ354" s="287"/>
      <c r="GKR354" s="282"/>
      <c r="GKS354" s="287"/>
      <c r="GKT354" s="282"/>
      <c r="GKU354" s="287"/>
      <c r="GKV354" s="282"/>
      <c r="GKW354" s="287"/>
      <c r="GKX354" s="282"/>
      <c r="GKY354" s="287"/>
      <c r="GKZ354" s="282"/>
      <c r="GLA354" s="287"/>
      <c r="GLB354" s="282"/>
      <c r="GLC354" s="287"/>
      <c r="GLD354" s="282"/>
      <c r="GLE354" s="287"/>
      <c r="GLF354" s="282"/>
      <c r="GLG354" s="287"/>
      <c r="GLH354" s="282"/>
      <c r="GLI354" s="287"/>
      <c r="GLJ354" s="282"/>
      <c r="GLK354" s="287"/>
      <c r="GLL354" s="282"/>
      <c r="GLM354" s="287"/>
      <c r="GLN354" s="282"/>
      <c r="GLO354" s="287"/>
      <c r="GLP354" s="282"/>
      <c r="GLQ354" s="287"/>
      <c r="GLR354" s="282"/>
      <c r="GLS354" s="287"/>
      <c r="GLT354" s="282"/>
      <c r="GLU354" s="287"/>
      <c r="GLV354" s="282"/>
      <c r="GLW354" s="287"/>
      <c r="GLX354" s="282"/>
      <c r="GLY354" s="287"/>
      <c r="GLZ354" s="282"/>
      <c r="GMA354" s="287"/>
      <c r="GMB354" s="282"/>
      <c r="GMC354" s="287"/>
      <c r="GMD354" s="282"/>
      <c r="GME354" s="287"/>
      <c r="GMF354" s="282"/>
      <c r="GMG354" s="287"/>
      <c r="GMH354" s="282"/>
      <c r="GMI354" s="287"/>
      <c r="GMJ354" s="282"/>
      <c r="GMK354" s="287"/>
      <c r="GML354" s="282"/>
      <c r="GMM354" s="287"/>
      <c r="GMN354" s="282"/>
      <c r="GMO354" s="287"/>
      <c r="GMP354" s="282"/>
      <c r="GMQ354" s="287"/>
      <c r="GMR354" s="282"/>
      <c r="GMS354" s="287"/>
      <c r="GMT354" s="282"/>
      <c r="GMU354" s="287"/>
      <c r="GMV354" s="282"/>
      <c r="GMW354" s="287"/>
      <c r="GMX354" s="282"/>
      <c r="GMY354" s="287"/>
      <c r="GMZ354" s="282"/>
      <c r="GNA354" s="287"/>
      <c r="GNB354" s="282"/>
      <c r="GNC354" s="287"/>
      <c r="GND354" s="282"/>
      <c r="GNE354" s="287"/>
      <c r="GNF354" s="282"/>
      <c r="GNG354" s="287"/>
      <c r="GNH354" s="282"/>
      <c r="GNI354" s="287"/>
      <c r="GNJ354" s="282"/>
      <c r="GNK354" s="287"/>
      <c r="GNL354" s="282"/>
      <c r="GNM354" s="287"/>
      <c r="GNN354" s="282"/>
      <c r="GNO354" s="287"/>
      <c r="GNP354" s="282"/>
      <c r="GNQ354" s="287"/>
      <c r="GNR354" s="282"/>
      <c r="GNS354" s="287"/>
      <c r="GNT354" s="282"/>
      <c r="GNU354" s="287"/>
      <c r="GNV354" s="282"/>
      <c r="GNW354" s="287"/>
      <c r="GNX354" s="282"/>
      <c r="GNY354" s="287"/>
      <c r="GNZ354" s="282"/>
      <c r="GOA354" s="287"/>
      <c r="GOB354" s="282"/>
      <c r="GOC354" s="287"/>
      <c r="GOD354" s="282"/>
      <c r="GOE354" s="287"/>
      <c r="GOF354" s="282"/>
      <c r="GOG354" s="287"/>
      <c r="GOH354" s="282"/>
      <c r="GOI354" s="287"/>
      <c r="GOJ354" s="282"/>
      <c r="GOK354" s="287"/>
      <c r="GOL354" s="282"/>
      <c r="GOM354" s="287"/>
      <c r="GON354" s="282"/>
      <c r="GOO354" s="287"/>
      <c r="GOP354" s="282"/>
      <c r="GOQ354" s="287"/>
      <c r="GOR354" s="282"/>
      <c r="GOS354" s="287"/>
      <c r="GOT354" s="282"/>
      <c r="GOU354" s="287"/>
      <c r="GOV354" s="282"/>
      <c r="GOW354" s="287"/>
      <c r="GOX354" s="282"/>
      <c r="GOY354" s="287"/>
      <c r="GOZ354" s="282"/>
      <c r="GPA354" s="287"/>
      <c r="GPB354" s="282"/>
      <c r="GPC354" s="287"/>
      <c r="GPD354" s="282"/>
      <c r="GPE354" s="287"/>
      <c r="GPF354" s="282"/>
      <c r="GPG354" s="287"/>
      <c r="GPH354" s="282"/>
      <c r="GPI354" s="287"/>
      <c r="GPJ354" s="282"/>
      <c r="GPK354" s="287"/>
      <c r="GPL354" s="282"/>
      <c r="GPM354" s="287"/>
      <c r="GPN354" s="282"/>
      <c r="GPO354" s="287"/>
      <c r="GPP354" s="282"/>
      <c r="GPQ354" s="287"/>
      <c r="GPR354" s="282"/>
      <c r="GPS354" s="287"/>
      <c r="GPT354" s="282"/>
      <c r="GPU354" s="287"/>
      <c r="GPV354" s="282"/>
      <c r="GPW354" s="287"/>
      <c r="GPX354" s="282"/>
      <c r="GPY354" s="287"/>
      <c r="GPZ354" s="282"/>
      <c r="GQA354" s="287"/>
      <c r="GQB354" s="282"/>
      <c r="GQC354" s="287"/>
      <c r="GQD354" s="282"/>
      <c r="GQE354" s="287"/>
      <c r="GQF354" s="282"/>
      <c r="GQG354" s="287"/>
      <c r="GQH354" s="282"/>
      <c r="GQI354" s="287"/>
      <c r="GQJ354" s="282"/>
      <c r="GQK354" s="287"/>
      <c r="GQL354" s="282"/>
      <c r="GQM354" s="287"/>
      <c r="GQN354" s="282"/>
      <c r="GQO354" s="287"/>
      <c r="GQP354" s="282"/>
      <c r="GQQ354" s="287"/>
      <c r="GQR354" s="282"/>
      <c r="GQS354" s="287"/>
      <c r="GQT354" s="282"/>
      <c r="GQU354" s="287"/>
      <c r="GQV354" s="282"/>
      <c r="GQW354" s="287"/>
      <c r="GQX354" s="282"/>
      <c r="GQY354" s="287"/>
      <c r="GQZ354" s="282"/>
      <c r="GRA354" s="287"/>
      <c r="GRB354" s="282"/>
      <c r="GRC354" s="287"/>
      <c r="GRD354" s="282"/>
      <c r="GRE354" s="287"/>
      <c r="GRF354" s="282"/>
      <c r="GRG354" s="287"/>
      <c r="GRH354" s="282"/>
      <c r="GRI354" s="287"/>
      <c r="GRJ354" s="282"/>
      <c r="GRK354" s="287"/>
      <c r="GRL354" s="282"/>
      <c r="GRM354" s="287"/>
      <c r="GRN354" s="282"/>
      <c r="GRO354" s="287"/>
      <c r="GRP354" s="282"/>
      <c r="GRQ354" s="287"/>
      <c r="GRR354" s="282"/>
      <c r="GRS354" s="287"/>
      <c r="GRT354" s="282"/>
      <c r="GRU354" s="287"/>
      <c r="GRV354" s="282"/>
      <c r="GRW354" s="287"/>
      <c r="GRX354" s="282"/>
      <c r="GRY354" s="287"/>
      <c r="GRZ354" s="282"/>
      <c r="GSA354" s="287"/>
      <c r="GSB354" s="282"/>
      <c r="GSC354" s="287"/>
      <c r="GSD354" s="282"/>
      <c r="GSE354" s="287"/>
      <c r="GSF354" s="282"/>
      <c r="GSG354" s="287"/>
      <c r="GSH354" s="282"/>
      <c r="GSI354" s="287"/>
      <c r="GSJ354" s="282"/>
      <c r="GSK354" s="287"/>
      <c r="GSL354" s="282"/>
      <c r="GSM354" s="287"/>
      <c r="GSN354" s="282"/>
      <c r="GSO354" s="287"/>
      <c r="GSP354" s="282"/>
      <c r="GSQ354" s="287"/>
      <c r="GSR354" s="282"/>
      <c r="GSS354" s="287"/>
      <c r="GST354" s="282"/>
      <c r="GSU354" s="287"/>
      <c r="GSV354" s="282"/>
      <c r="GSW354" s="287"/>
      <c r="GSX354" s="282"/>
      <c r="GSY354" s="287"/>
      <c r="GSZ354" s="282"/>
      <c r="GTA354" s="287"/>
      <c r="GTB354" s="282"/>
      <c r="GTC354" s="287"/>
      <c r="GTD354" s="282"/>
      <c r="GTE354" s="287"/>
      <c r="GTF354" s="282"/>
      <c r="GTG354" s="287"/>
      <c r="GTH354" s="282"/>
      <c r="GTI354" s="287"/>
      <c r="GTJ354" s="282"/>
      <c r="GTK354" s="287"/>
      <c r="GTL354" s="282"/>
      <c r="GTM354" s="287"/>
      <c r="GTN354" s="282"/>
      <c r="GTO354" s="287"/>
      <c r="GTP354" s="282"/>
      <c r="GTQ354" s="287"/>
      <c r="GTR354" s="282"/>
      <c r="GTS354" s="287"/>
      <c r="GTT354" s="282"/>
      <c r="GTU354" s="287"/>
      <c r="GTV354" s="282"/>
      <c r="GTW354" s="287"/>
      <c r="GTX354" s="282"/>
      <c r="GTY354" s="287"/>
      <c r="GTZ354" s="282"/>
      <c r="GUA354" s="287"/>
      <c r="GUB354" s="282"/>
      <c r="GUC354" s="287"/>
      <c r="GUD354" s="282"/>
      <c r="GUE354" s="287"/>
      <c r="GUF354" s="282"/>
      <c r="GUG354" s="287"/>
      <c r="GUH354" s="282"/>
      <c r="GUI354" s="287"/>
      <c r="GUJ354" s="282"/>
      <c r="GUK354" s="287"/>
      <c r="GUL354" s="282"/>
      <c r="GUM354" s="287"/>
      <c r="GUN354" s="282"/>
      <c r="GUO354" s="287"/>
      <c r="GUP354" s="282"/>
      <c r="GUQ354" s="287"/>
      <c r="GUR354" s="282"/>
      <c r="GUS354" s="287"/>
      <c r="GUT354" s="282"/>
      <c r="GUU354" s="287"/>
      <c r="GUV354" s="282"/>
      <c r="GUW354" s="287"/>
      <c r="GUX354" s="282"/>
      <c r="GUY354" s="287"/>
      <c r="GUZ354" s="282"/>
      <c r="GVA354" s="287"/>
      <c r="GVB354" s="282"/>
      <c r="GVC354" s="287"/>
      <c r="GVD354" s="282"/>
      <c r="GVE354" s="287"/>
      <c r="GVF354" s="282"/>
      <c r="GVG354" s="287"/>
      <c r="GVH354" s="282"/>
      <c r="GVI354" s="287"/>
      <c r="GVJ354" s="282"/>
      <c r="GVK354" s="287"/>
      <c r="GVL354" s="282"/>
      <c r="GVM354" s="287"/>
      <c r="GVN354" s="282"/>
      <c r="GVO354" s="287"/>
      <c r="GVP354" s="282"/>
      <c r="GVQ354" s="287"/>
      <c r="GVR354" s="282"/>
      <c r="GVS354" s="287"/>
      <c r="GVT354" s="282"/>
      <c r="GVU354" s="287"/>
      <c r="GVV354" s="282"/>
      <c r="GVW354" s="287"/>
      <c r="GVX354" s="282"/>
      <c r="GVY354" s="287"/>
      <c r="GVZ354" s="282"/>
      <c r="GWA354" s="287"/>
      <c r="GWB354" s="282"/>
      <c r="GWC354" s="287"/>
      <c r="GWD354" s="282"/>
      <c r="GWE354" s="287"/>
      <c r="GWF354" s="282"/>
      <c r="GWG354" s="287"/>
      <c r="GWH354" s="282"/>
      <c r="GWI354" s="287"/>
      <c r="GWJ354" s="282"/>
      <c r="GWK354" s="287"/>
      <c r="GWL354" s="282"/>
      <c r="GWM354" s="287"/>
      <c r="GWN354" s="282"/>
      <c r="GWO354" s="287"/>
      <c r="GWP354" s="282"/>
      <c r="GWQ354" s="287"/>
      <c r="GWR354" s="282"/>
      <c r="GWS354" s="287"/>
      <c r="GWT354" s="282"/>
      <c r="GWU354" s="287"/>
      <c r="GWV354" s="282"/>
      <c r="GWW354" s="287"/>
      <c r="GWX354" s="282"/>
      <c r="GWY354" s="287"/>
      <c r="GWZ354" s="282"/>
      <c r="GXA354" s="287"/>
      <c r="GXB354" s="282"/>
      <c r="GXC354" s="287"/>
      <c r="GXD354" s="282"/>
      <c r="GXE354" s="287"/>
      <c r="GXF354" s="282"/>
      <c r="GXG354" s="287"/>
      <c r="GXH354" s="282"/>
      <c r="GXI354" s="287"/>
      <c r="GXJ354" s="282"/>
      <c r="GXK354" s="287"/>
      <c r="GXL354" s="282"/>
      <c r="GXM354" s="287"/>
      <c r="GXN354" s="282"/>
      <c r="GXO354" s="287"/>
      <c r="GXP354" s="282"/>
      <c r="GXQ354" s="287"/>
      <c r="GXR354" s="282"/>
      <c r="GXS354" s="287"/>
      <c r="GXT354" s="282"/>
      <c r="GXU354" s="287"/>
      <c r="GXV354" s="282"/>
      <c r="GXW354" s="287"/>
      <c r="GXX354" s="282"/>
      <c r="GXY354" s="287"/>
      <c r="GXZ354" s="282"/>
      <c r="GYA354" s="287"/>
      <c r="GYB354" s="282"/>
      <c r="GYC354" s="287"/>
      <c r="GYD354" s="282"/>
      <c r="GYE354" s="287"/>
      <c r="GYF354" s="282"/>
      <c r="GYG354" s="287"/>
      <c r="GYH354" s="282"/>
      <c r="GYI354" s="287"/>
      <c r="GYJ354" s="282"/>
      <c r="GYK354" s="287"/>
      <c r="GYL354" s="282"/>
      <c r="GYM354" s="287"/>
      <c r="GYN354" s="282"/>
      <c r="GYO354" s="287"/>
      <c r="GYP354" s="282"/>
      <c r="GYQ354" s="287"/>
      <c r="GYR354" s="282"/>
      <c r="GYS354" s="287"/>
      <c r="GYT354" s="282"/>
      <c r="GYU354" s="287"/>
      <c r="GYV354" s="282"/>
      <c r="GYW354" s="287"/>
      <c r="GYX354" s="282"/>
      <c r="GYY354" s="287"/>
      <c r="GYZ354" s="282"/>
      <c r="GZA354" s="287"/>
      <c r="GZB354" s="282"/>
      <c r="GZC354" s="287"/>
      <c r="GZD354" s="282"/>
      <c r="GZE354" s="287"/>
      <c r="GZF354" s="282"/>
      <c r="GZG354" s="287"/>
      <c r="GZH354" s="282"/>
      <c r="GZI354" s="287"/>
      <c r="GZJ354" s="282"/>
      <c r="GZK354" s="287"/>
      <c r="GZL354" s="282"/>
      <c r="GZM354" s="287"/>
      <c r="GZN354" s="282"/>
      <c r="GZO354" s="287"/>
      <c r="GZP354" s="282"/>
      <c r="GZQ354" s="287"/>
      <c r="GZR354" s="282"/>
      <c r="GZS354" s="287"/>
      <c r="GZT354" s="282"/>
      <c r="GZU354" s="287"/>
      <c r="GZV354" s="282"/>
      <c r="GZW354" s="287"/>
      <c r="GZX354" s="282"/>
      <c r="GZY354" s="287"/>
      <c r="GZZ354" s="282"/>
      <c r="HAA354" s="287"/>
      <c r="HAB354" s="282"/>
      <c r="HAC354" s="287"/>
      <c r="HAD354" s="282"/>
      <c r="HAE354" s="287"/>
      <c r="HAF354" s="282"/>
      <c r="HAG354" s="287"/>
      <c r="HAH354" s="282"/>
      <c r="HAI354" s="287"/>
      <c r="HAJ354" s="282"/>
      <c r="HAK354" s="287"/>
      <c r="HAL354" s="282"/>
      <c r="HAM354" s="287"/>
      <c r="HAN354" s="282"/>
      <c r="HAO354" s="287"/>
      <c r="HAP354" s="282"/>
      <c r="HAQ354" s="287"/>
      <c r="HAR354" s="282"/>
      <c r="HAS354" s="287"/>
      <c r="HAT354" s="282"/>
      <c r="HAU354" s="287"/>
      <c r="HAV354" s="282"/>
      <c r="HAW354" s="287"/>
      <c r="HAX354" s="282"/>
      <c r="HAY354" s="287"/>
      <c r="HAZ354" s="282"/>
      <c r="HBA354" s="287"/>
      <c r="HBB354" s="282"/>
      <c r="HBC354" s="287"/>
      <c r="HBD354" s="282"/>
      <c r="HBE354" s="287"/>
      <c r="HBF354" s="282"/>
      <c r="HBG354" s="287"/>
      <c r="HBH354" s="282"/>
      <c r="HBI354" s="287"/>
      <c r="HBJ354" s="282"/>
      <c r="HBK354" s="287"/>
      <c r="HBL354" s="282"/>
      <c r="HBM354" s="287"/>
      <c r="HBN354" s="282"/>
      <c r="HBO354" s="287"/>
      <c r="HBP354" s="282"/>
      <c r="HBQ354" s="287"/>
      <c r="HBR354" s="282"/>
      <c r="HBS354" s="287"/>
      <c r="HBT354" s="282"/>
      <c r="HBU354" s="287"/>
      <c r="HBV354" s="282"/>
      <c r="HBW354" s="287"/>
      <c r="HBX354" s="282"/>
      <c r="HBY354" s="287"/>
      <c r="HBZ354" s="282"/>
      <c r="HCA354" s="287"/>
      <c r="HCB354" s="282"/>
      <c r="HCC354" s="287"/>
      <c r="HCD354" s="282"/>
      <c r="HCE354" s="287"/>
      <c r="HCF354" s="282"/>
      <c r="HCG354" s="287"/>
      <c r="HCH354" s="282"/>
      <c r="HCI354" s="287"/>
      <c r="HCJ354" s="282"/>
      <c r="HCK354" s="287"/>
      <c r="HCL354" s="282"/>
      <c r="HCM354" s="287"/>
      <c r="HCN354" s="282"/>
      <c r="HCO354" s="287"/>
      <c r="HCP354" s="282"/>
      <c r="HCQ354" s="287"/>
      <c r="HCR354" s="282"/>
      <c r="HCS354" s="287"/>
      <c r="HCT354" s="282"/>
      <c r="HCU354" s="287"/>
      <c r="HCV354" s="282"/>
      <c r="HCW354" s="287"/>
      <c r="HCX354" s="282"/>
      <c r="HCY354" s="287"/>
      <c r="HCZ354" s="282"/>
      <c r="HDA354" s="287"/>
      <c r="HDB354" s="282"/>
      <c r="HDC354" s="287"/>
      <c r="HDD354" s="282"/>
      <c r="HDE354" s="287"/>
      <c r="HDF354" s="282"/>
      <c r="HDG354" s="287"/>
      <c r="HDH354" s="282"/>
      <c r="HDI354" s="287"/>
      <c r="HDJ354" s="282"/>
      <c r="HDK354" s="287"/>
      <c r="HDL354" s="282"/>
      <c r="HDM354" s="287"/>
      <c r="HDN354" s="282"/>
      <c r="HDO354" s="287"/>
      <c r="HDP354" s="282"/>
      <c r="HDQ354" s="287"/>
      <c r="HDR354" s="282"/>
      <c r="HDS354" s="287"/>
      <c r="HDT354" s="282"/>
      <c r="HDU354" s="287"/>
      <c r="HDV354" s="282"/>
      <c r="HDW354" s="287"/>
      <c r="HDX354" s="282"/>
      <c r="HDY354" s="287"/>
      <c r="HDZ354" s="282"/>
      <c r="HEA354" s="287"/>
      <c r="HEB354" s="282"/>
      <c r="HEC354" s="287"/>
      <c r="HED354" s="282"/>
      <c r="HEE354" s="287"/>
      <c r="HEF354" s="282"/>
      <c r="HEG354" s="287"/>
      <c r="HEH354" s="282"/>
      <c r="HEI354" s="287"/>
      <c r="HEJ354" s="282"/>
      <c r="HEK354" s="287"/>
      <c r="HEL354" s="282"/>
      <c r="HEM354" s="287"/>
      <c r="HEN354" s="282"/>
      <c r="HEO354" s="287"/>
      <c r="HEP354" s="282"/>
      <c r="HEQ354" s="287"/>
      <c r="HER354" s="282"/>
      <c r="HES354" s="287"/>
      <c r="HET354" s="282"/>
      <c r="HEU354" s="287"/>
      <c r="HEV354" s="282"/>
      <c r="HEW354" s="287"/>
      <c r="HEX354" s="282"/>
      <c r="HEY354" s="287"/>
      <c r="HEZ354" s="282"/>
      <c r="HFA354" s="287"/>
      <c r="HFB354" s="282"/>
      <c r="HFC354" s="287"/>
      <c r="HFD354" s="282"/>
      <c r="HFE354" s="287"/>
      <c r="HFF354" s="282"/>
      <c r="HFG354" s="287"/>
      <c r="HFH354" s="282"/>
      <c r="HFI354" s="287"/>
      <c r="HFJ354" s="282"/>
      <c r="HFK354" s="287"/>
      <c r="HFL354" s="282"/>
      <c r="HFM354" s="287"/>
      <c r="HFN354" s="282"/>
      <c r="HFO354" s="287"/>
      <c r="HFP354" s="282"/>
      <c r="HFQ354" s="287"/>
      <c r="HFR354" s="282"/>
      <c r="HFS354" s="287"/>
      <c r="HFT354" s="282"/>
      <c r="HFU354" s="287"/>
      <c r="HFV354" s="282"/>
      <c r="HFW354" s="287"/>
      <c r="HFX354" s="282"/>
      <c r="HFY354" s="287"/>
      <c r="HFZ354" s="282"/>
      <c r="HGA354" s="287"/>
      <c r="HGB354" s="282"/>
      <c r="HGC354" s="287"/>
      <c r="HGD354" s="282"/>
      <c r="HGE354" s="287"/>
      <c r="HGF354" s="282"/>
      <c r="HGG354" s="287"/>
      <c r="HGH354" s="282"/>
      <c r="HGI354" s="287"/>
      <c r="HGJ354" s="282"/>
      <c r="HGK354" s="287"/>
      <c r="HGL354" s="282"/>
      <c r="HGM354" s="287"/>
      <c r="HGN354" s="282"/>
      <c r="HGO354" s="287"/>
      <c r="HGP354" s="282"/>
      <c r="HGQ354" s="287"/>
      <c r="HGR354" s="282"/>
      <c r="HGS354" s="287"/>
      <c r="HGT354" s="282"/>
      <c r="HGU354" s="287"/>
      <c r="HGV354" s="282"/>
      <c r="HGW354" s="287"/>
      <c r="HGX354" s="282"/>
      <c r="HGY354" s="287"/>
      <c r="HGZ354" s="282"/>
      <c r="HHA354" s="287"/>
      <c r="HHB354" s="282"/>
      <c r="HHC354" s="287"/>
      <c r="HHD354" s="282"/>
      <c r="HHE354" s="287"/>
      <c r="HHF354" s="282"/>
      <c r="HHG354" s="287"/>
      <c r="HHH354" s="282"/>
      <c r="HHI354" s="287"/>
      <c r="HHJ354" s="282"/>
      <c r="HHK354" s="287"/>
      <c r="HHL354" s="282"/>
      <c r="HHM354" s="287"/>
      <c r="HHN354" s="282"/>
      <c r="HHO354" s="287"/>
      <c r="HHP354" s="282"/>
      <c r="HHQ354" s="287"/>
      <c r="HHR354" s="282"/>
      <c r="HHS354" s="287"/>
      <c r="HHT354" s="282"/>
      <c r="HHU354" s="287"/>
      <c r="HHV354" s="282"/>
      <c r="HHW354" s="287"/>
      <c r="HHX354" s="282"/>
      <c r="HHY354" s="287"/>
      <c r="HHZ354" s="282"/>
      <c r="HIA354" s="287"/>
      <c r="HIB354" s="282"/>
      <c r="HIC354" s="287"/>
      <c r="HID354" s="282"/>
      <c r="HIE354" s="287"/>
      <c r="HIF354" s="282"/>
      <c r="HIG354" s="287"/>
      <c r="HIH354" s="282"/>
      <c r="HII354" s="287"/>
      <c r="HIJ354" s="282"/>
      <c r="HIK354" s="287"/>
      <c r="HIL354" s="282"/>
      <c r="HIM354" s="287"/>
      <c r="HIN354" s="282"/>
      <c r="HIO354" s="287"/>
      <c r="HIP354" s="282"/>
      <c r="HIQ354" s="287"/>
      <c r="HIR354" s="282"/>
      <c r="HIS354" s="287"/>
      <c r="HIT354" s="282"/>
      <c r="HIU354" s="287"/>
      <c r="HIV354" s="282"/>
      <c r="HIW354" s="287"/>
      <c r="HIX354" s="282"/>
      <c r="HIY354" s="287"/>
      <c r="HIZ354" s="282"/>
      <c r="HJA354" s="287"/>
      <c r="HJB354" s="282"/>
      <c r="HJC354" s="287"/>
      <c r="HJD354" s="282"/>
      <c r="HJE354" s="287"/>
      <c r="HJF354" s="282"/>
      <c r="HJG354" s="287"/>
      <c r="HJH354" s="282"/>
      <c r="HJI354" s="287"/>
      <c r="HJJ354" s="282"/>
      <c r="HJK354" s="287"/>
      <c r="HJL354" s="282"/>
      <c r="HJM354" s="287"/>
      <c r="HJN354" s="282"/>
      <c r="HJO354" s="287"/>
      <c r="HJP354" s="282"/>
      <c r="HJQ354" s="287"/>
      <c r="HJR354" s="282"/>
      <c r="HJS354" s="287"/>
      <c r="HJT354" s="282"/>
      <c r="HJU354" s="287"/>
      <c r="HJV354" s="282"/>
      <c r="HJW354" s="287"/>
      <c r="HJX354" s="282"/>
      <c r="HJY354" s="287"/>
      <c r="HJZ354" s="282"/>
      <c r="HKA354" s="287"/>
      <c r="HKB354" s="282"/>
      <c r="HKC354" s="287"/>
      <c r="HKD354" s="282"/>
      <c r="HKE354" s="287"/>
      <c r="HKF354" s="282"/>
      <c r="HKG354" s="287"/>
      <c r="HKH354" s="282"/>
      <c r="HKI354" s="287"/>
      <c r="HKJ354" s="282"/>
      <c r="HKK354" s="287"/>
      <c r="HKL354" s="282"/>
      <c r="HKM354" s="287"/>
      <c r="HKN354" s="282"/>
      <c r="HKO354" s="287"/>
      <c r="HKP354" s="282"/>
      <c r="HKQ354" s="287"/>
      <c r="HKR354" s="282"/>
      <c r="HKS354" s="287"/>
      <c r="HKT354" s="282"/>
      <c r="HKU354" s="287"/>
      <c r="HKV354" s="282"/>
      <c r="HKW354" s="287"/>
      <c r="HKX354" s="282"/>
      <c r="HKY354" s="287"/>
      <c r="HKZ354" s="282"/>
      <c r="HLA354" s="287"/>
      <c r="HLB354" s="282"/>
      <c r="HLC354" s="287"/>
      <c r="HLD354" s="282"/>
      <c r="HLE354" s="287"/>
      <c r="HLF354" s="282"/>
      <c r="HLG354" s="287"/>
      <c r="HLH354" s="282"/>
      <c r="HLI354" s="287"/>
      <c r="HLJ354" s="282"/>
      <c r="HLK354" s="287"/>
      <c r="HLL354" s="282"/>
      <c r="HLM354" s="287"/>
      <c r="HLN354" s="282"/>
      <c r="HLO354" s="287"/>
      <c r="HLP354" s="282"/>
      <c r="HLQ354" s="287"/>
      <c r="HLR354" s="282"/>
      <c r="HLS354" s="287"/>
      <c r="HLT354" s="282"/>
      <c r="HLU354" s="287"/>
      <c r="HLV354" s="282"/>
      <c r="HLW354" s="287"/>
      <c r="HLX354" s="282"/>
      <c r="HLY354" s="287"/>
      <c r="HLZ354" s="282"/>
      <c r="HMA354" s="287"/>
      <c r="HMB354" s="282"/>
      <c r="HMC354" s="287"/>
      <c r="HMD354" s="282"/>
      <c r="HME354" s="287"/>
      <c r="HMF354" s="282"/>
      <c r="HMG354" s="287"/>
      <c r="HMH354" s="282"/>
      <c r="HMI354" s="287"/>
      <c r="HMJ354" s="282"/>
      <c r="HMK354" s="287"/>
      <c r="HML354" s="282"/>
      <c r="HMM354" s="287"/>
      <c r="HMN354" s="282"/>
      <c r="HMO354" s="287"/>
      <c r="HMP354" s="282"/>
      <c r="HMQ354" s="287"/>
      <c r="HMR354" s="282"/>
      <c r="HMS354" s="287"/>
      <c r="HMT354" s="282"/>
      <c r="HMU354" s="287"/>
      <c r="HMV354" s="282"/>
      <c r="HMW354" s="287"/>
      <c r="HMX354" s="282"/>
      <c r="HMY354" s="287"/>
      <c r="HMZ354" s="282"/>
      <c r="HNA354" s="287"/>
      <c r="HNB354" s="282"/>
      <c r="HNC354" s="287"/>
      <c r="HND354" s="282"/>
      <c r="HNE354" s="287"/>
      <c r="HNF354" s="282"/>
      <c r="HNG354" s="287"/>
      <c r="HNH354" s="282"/>
      <c r="HNI354" s="287"/>
      <c r="HNJ354" s="282"/>
      <c r="HNK354" s="287"/>
      <c r="HNL354" s="282"/>
      <c r="HNM354" s="287"/>
      <c r="HNN354" s="282"/>
      <c r="HNO354" s="287"/>
      <c r="HNP354" s="282"/>
      <c r="HNQ354" s="287"/>
      <c r="HNR354" s="282"/>
      <c r="HNS354" s="287"/>
      <c r="HNT354" s="282"/>
      <c r="HNU354" s="287"/>
      <c r="HNV354" s="282"/>
      <c r="HNW354" s="287"/>
      <c r="HNX354" s="282"/>
      <c r="HNY354" s="287"/>
      <c r="HNZ354" s="282"/>
      <c r="HOA354" s="287"/>
      <c r="HOB354" s="282"/>
      <c r="HOC354" s="287"/>
      <c r="HOD354" s="282"/>
      <c r="HOE354" s="287"/>
      <c r="HOF354" s="282"/>
      <c r="HOG354" s="287"/>
      <c r="HOH354" s="282"/>
      <c r="HOI354" s="287"/>
      <c r="HOJ354" s="282"/>
      <c r="HOK354" s="287"/>
      <c r="HOL354" s="282"/>
      <c r="HOM354" s="287"/>
      <c r="HON354" s="282"/>
      <c r="HOO354" s="287"/>
      <c r="HOP354" s="282"/>
      <c r="HOQ354" s="287"/>
      <c r="HOR354" s="282"/>
      <c r="HOS354" s="287"/>
      <c r="HOT354" s="282"/>
      <c r="HOU354" s="287"/>
      <c r="HOV354" s="282"/>
      <c r="HOW354" s="287"/>
      <c r="HOX354" s="282"/>
      <c r="HOY354" s="287"/>
      <c r="HOZ354" s="282"/>
      <c r="HPA354" s="287"/>
      <c r="HPB354" s="282"/>
      <c r="HPC354" s="287"/>
      <c r="HPD354" s="282"/>
      <c r="HPE354" s="287"/>
      <c r="HPF354" s="282"/>
      <c r="HPG354" s="287"/>
      <c r="HPH354" s="282"/>
      <c r="HPI354" s="287"/>
      <c r="HPJ354" s="282"/>
      <c r="HPK354" s="287"/>
      <c r="HPL354" s="282"/>
      <c r="HPM354" s="287"/>
      <c r="HPN354" s="282"/>
      <c r="HPO354" s="287"/>
      <c r="HPP354" s="282"/>
      <c r="HPQ354" s="287"/>
      <c r="HPR354" s="282"/>
      <c r="HPS354" s="287"/>
      <c r="HPT354" s="282"/>
      <c r="HPU354" s="287"/>
      <c r="HPV354" s="282"/>
      <c r="HPW354" s="287"/>
      <c r="HPX354" s="282"/>
      <c r="HPY354" s="287"/>
      <c r="HPZ354" s="282"/>
      <c r="HQA354" s="287"/>
      <c r="HQB354" s="282"/>
      <c r="HQC354" s="287"/>
      <c r="HQD354" s="282"/>
      <c r="HQE354" s="287"/>
      <c r="HQF354" s="282"/>
      <c r="HQG354" s="287"/>
      <c r="HQH354" s="282"/>
      <c r="HQI354" s="287"/>
      <c r="HQJ354" s="282"/>
      <c r="HQK354" s="287"/>
      <c r="HQL354" s="282"/>
      <c r="HQM354" s="287"/>
      <c r="HQN354" s="282"/>
      <c r="HQO354" s="287"/>
      <c r="HQP354" s="282"/>
      <c r="HQQ354" s="287"/>
      <c r="HQR354" s="282"/>
      <c r="HQS354" s="287"/>
      <c r="HQT354" s="282"/>
      <c r="HQU354" s="287"/>
      <c r="HQV354" s="282"/>
      <c r="HQW354" s="287"/>
      <c r="HQX354" s="282"/>
      <c r="HQY354" s="287"/>
      <c r="HQZ354" s="282"/>
      <c r="HRA354" s="287"/>
      <c r="HRB354" s="282"/>
      <c r="HRC354" s="287"/>
      <c r="HRD354" s="282"/>
      <c r="HRE354" s="287"/>
      <c r="HRF354" s="282"/>
      <c r="HRG354" s="287"/>
      <c r="HRH354" s="282"/>
      <c r="HRI354" s="287"/>
      <c r="HRJ354" s="282"/>
      <c r="HRK354" s="287"/>
      <c r="HRL354" s="282"/>
      <c r="HRM354" s="287"/>
      <c r="HRN354" s="282"/>
      <c r="HRO354" s="287"/>
      <c r="HRP354" s="282"/>
      <c r="HRQ354" s="287"/>
      <c r="HRR354" s="282"/>
      <c r="HRS354" s="287"/>
      <c r="HRT354" s="282"/>
      <c r="HRU354" s="287"/>
      <c r="HRV354" s="282"/>
      <c r="HRW354" s="287"/>
      <c r="HRX354" s="282"/>
      <c r="HRY354" s="287"/>
      <c r="HRZ354" s="282"/>
      <c r="HSA354" s="287"/>
      <c r="HSB354" s="282"/>
      <c r="HSC354" s="287"/>
      <c r="HSD354" s="282"/>
      <c r="HSE354" s="287"/>
      <c r="HSF354" s="282"/>
      <c r="HSG354" s="287"/>
      <c r="HSH354" s="282"/>
      <c r="HSI354" s="287"/>
      <c r="HSJ354" s="282"/>
      <c r="HSK354" s="287"/>
      <c r="HSL354" s="282"/>
      <c r="HSM354" s="287"/>
      <c r="HSN354" s="282"/>
      <c r="HSO354" s="287"/>
      <c r="HSP354" s="282"/>
      <c r="HSQ354" s="287"/>
      <c r="HSR354" s="282"/>
      <c r="HSS354" s="287"/>
      <c r="HST354" s="282"/>
      <c r="HSU354" s="287"/>
      <c r="HSV354" s="282"/>
      <c r="HSW354" s="287"/>
      <c r="HSX354" s="282"/>
      <c r="HSY354" s="287"/>
      <c r="HSZ354" s="282"/>
      <c r="HTA354" s="287"/>
      <c r="HTB354" s="282"/>
      <c r="HTC354" s="287"/>
      <c r="HTD354" s="282"/>
      <c r="HTE354" s="287"/>
      <c r="HTF354" s="282"/>
      <c r="HTG354" s="287"/>
      <c r="HTH354" s="282"/>
      <c r="HTI354" s="287"/>
      <c r="HTJ354" s="282"/>
      <c r="HTK354" s="287"/>
      <c r="HTL354" s="282"/>
      <c r="HTM354" s="287"/>
      <c r="HTN354" s="282"/>
      <c r="HTO354" s="287"/>
      <c r="HTP354" s="282"/>
      <c r="HTQ354" s="287"/>
      <c r="HTR354" s="282"/>
      <c r="HTS354" s="287"/>
      <c r="HTT354" s="282"/>
      <c r="HTU354" s="287"/>
      <c r="HTV354" s="282"/>
      <c r="HTW354" s="287"/>
      <c r="HTX354" s="282"/>
      <c r="HTY354" s="287"/>
      <c r="HTZ354" s="282"/>
      <c r="HUA354" s="287"/>
      <c r="HUB354" s="282"/>
      <c r="HUC354" s="287"/>
      <c r="HUD354" s="282"/>
      <c r="HUE354" s="287"/>
      <c r="HUF354" s="282"/>
      <c r="HUG354" s="287"/>
      <c r="HUH354" s="282"/>
      <c r="HUI354" s="287"/>
      <c r="HUJ354" s="282"/>
      <c r="HUK354" s="287"/>
      <c r="HUL354" s="282"/>
      <c r="HUM354" s="287"/>
      <c r="HUN354" s="282"/>
      <c r="HUO354" s="287"/>
      <c r="HUP354" s="282"/>
      <c r="HUQ354" s="287"/>
      <c r="HUR354" s="282"/>
      <c r="HUS354" s="287"/>
      <c r="HUT354" s="282"/>
      <c r="HUU354" s="287"/>
      <c r="HUV354" s="282"/>
      <c r="HUW354" s="287"/>
      <c r="HUX354" s="282"/>
      <c r="HUY354" s="287"/>
      <c r="HUZ354" s="282"/>
      <c r="HVA354" s="287"/>
      <c r="HVB354" s="282"/>
      <c r="HVC354" s="287"/>
      <c r="HVD354" s="282"/>
      <c r="HVE354" s="287"/>
      <c r="HVF354" s="282"/>
      <c r="HVG354" s="287"/>
      <c r="HVH354" s="282"/>
      <c r="HVI354" s="287"/>
      <c r="HVJ354" s="282"/>
      <c r="HVK354" s="287"/>
      <c r="HVL354" s="282"/>
      <c r="HVM354" s="287"/>
      <c r="HVN354" s="282"/>
      <c r="HVO354" s="287"/>
      <c r="HVP354" s="282"/>
      <c r="HVQ354" s="287"/>
      <c r="HVR354" s="282"/>
      <c r="HVS354" s="287"/>
      <c r="HVT354" s="282"/>
      <c r="HVU354" s="287"/>
      <c r="HVV354" s="282"/>
      <c r="HVW354" s="287"/>
      <c r="HVX354" s="282"/>
      <c r="HVY354" s="287"/>
      <c r="HVZ354" s="282"/>
      <c r="HWA354" s="287"/>
      <c r="HWB354" s="282"/>
      <c r="HWC354" s="287"/>
      <c r="HWD354" s="282"/>
      <c r="HWE354" s="287"/>
      <c r="HWF354" s="282"/>
      <c r="HWG354" s="287"/>
      <c r="HWH354" s="282"/>
      <c r="HWI354" s="287"/>
      <c r="HWJ354" s="282"/>
      <c r="HWK354" s="287"/>
      <c r="HWL354" s="282"/>
      <c r="HWM354" s="287"/>
      <c r="HWN354" s="282"/>
      <c r="HWO354" s="287"/>
      <c r="HWP354" s="282"/>
      <c r="HWQ354" s="287"/>
      <c r="HWR354" s="282"/>
      <c r="HWS354" s="287"/>
      <c r="HWT354" s="282"/>
      <c r="HWU354" s="287"/>
      <c r="HWV354" s="282"/>
      <c r="HWW354" s="287"/>
      <c r="HWX354" s="282"/>
      <c r="HWY354" s="287"/>
      <c r="HWZ354" s="282"/>
      <c r="HXA354" s="287"/>
      <c r="HXB354" s="282"/>
      <c r="HXC354" s="287"/>
      <c r="HXD354" s="282"/>
      <c r="HXE354" s="287"/>
      <c r="HXF354" s="282"/>
      <c r="HXG354" s="287"/>
      <c r="HXH354" s="282"/>
      <c r="HXI354" s="287"/>
      <c r="HXJ354" s="282"/>
      <c r="HXK354" s="287"/>
      <c r="HXL354" s="282"/>
      <c r="HXM354" s="287"/>
      <c r="HXN354" s="282"/>
      <c r="HXO354" s="287"/>
      <c r="HXP354" s="282"/>
      <c r="HXQ354" s="287"/>
      <c r="HXR354" s="282"/>
      <c r="HXS354" s="287"/>
      <c r="HXT354" s="282"/>
      <c r="HXU354" s="287"/>
      <c r="HXV354" s="282"/>
      <c r="HXW354" s="287"/>
      <c r="HXX354" s="282"/>
      <c r="HXY354" s="287"/>
      <c r="HXZ354" s="282"/>
      <c r="HYA354" s="287"/>
      <c r="HYB354" s="282"/>
      <c r="HYC354" s="287"/>
      <c r="HYD354" s="282"/>
      <c r="HYE354" s="287"/>
      <c r="HYF354" s="282"/>
      <c r="HYG354" s="287"/>
      <c r="HYH354" s="282"/>
      <c r="HYI354" s="287"/>
      <c r="HYJ354" s="282"/>
      <c r="HYK354" s="287"/>
      <c r="HYL354" s="282"/>
      <c r="HYM354" s="287"/>
      <c r="HYN354" s="282"/>
      <c r="HYO354" s="287"/>
      <c r="HYP354" s="282"/>
      <c r="HYQ354" s="287"/>
      <c r="HYR354" s="282"/>
      <c r="HYS354" s="287"/>
      <c r="HYT354" s="282"/>
      <c r="HYU354" s="287"/>
      <c r="HYV354" s="282"/>
      <c r="HYW354" s="287"/>
      <c r="HYX354" s="282"/>
      <c r="HYY354" s="287"/>
      <c r="HYZ354" s="282"/>
      <c r="HZA354" s="287"/>
      <c r="HZB354" s="282"/>
      <c r="HZC354" s="287"/>
      <c r="HZD354" s="282"/>
      <c r="HZE354" s="287"/>
      <c r="HZF354" s="282"/>
      <c r="HZG354" s="287"/>
      <c r="HZH354" s="282"/>
      <c r="HZI354" s="287"/>
      <c r="HZJ354" s="282"/>
      <c r="HZK354" s="287"/>
      <c r="HZL354" s="282"/>
      <c r="HZM354" s="287"/>
      <c r="HZN354" s="282"/>
      <c r="HZO354" s="287"/>
      <c r="HZP354" s="282"/>
      <c r="HZQ354" s="287"/>
      <c r="HZR354" s="282"/>
      <c r="HZS354" s="287"/>
      <c r="HZT354" s="282"/>
      <c r="HZU354" s="287"/>
      <c r="HZV354" s="282"/>
      <c r="HZW354" s="287"/>
      <c r="HZX354" s="282"/>
      <c r="HZY354" s="287"/>
      <c r="HZZ354" s="282"/>
      <c r="IAA354" s="287"/>
      <c r="IAB354" s="282"/>
      <c r="IAC354" s="287"/>
      <c r="IAD354" s="282"/>
      <c r="IAE354" s="287"/>
      <c r="IAF354" s="282"/>
      <c r="IAG354" s="287"/>
      <c r="IAH354" s="282"/>
      <c r="IAI354" s="287"/>
      <c r="IAJ354" s="282"/>
      <c r="IAK354" s="287"/>
      <c r="IAL354" s="282"/>
      <c r="IAM354" s="287"/>
      <c r="IAN354" s="282"/>
      <c r="IAO354" s="287"/>
      <c r="IAP354" s="282"/>
      <c r="IAQ354" s="287"/>
      <c r="IAR354" s="282"/>
      <c r="IAS354" s="287"/>
      <c r="IAT354" s="282"/>
      <c r="IAU354" s="287"/>
      <c r="IAV354" s="282"/>
      <c r="IAW354" s="287"/>
      <c r="IAX354" s="282"/>
      <c r="IAY354" s="287"/>
      <c r="IAZ354" s="282"/>
      <c r="IBA354" s="287"/>
      <c r="IBB354" s="282"/>
      <c r="IBC354" s="287"/>
      <c r="IBD354" s="282"/>
      <c r="IBE354" s="287"/>
      <c r="IBF354" s="282"/>
      <c r="IBG354" s="287"/>
      <c r="IBH354" s="282"/>
      <c r="IBI354" s="287"/>
      <c r="IBJ354" s="282"/>
      <c r="IBK354" s="287"/>
      <c r="IBL354" s="282"/>
      <c r="IBM354" s="287"/>
      <c r="IBN354" s="282"/>
      <c r="IBO354" s="287"/>
      <c r="IBP354" s="282"/>
      <c r="IBQ354" s="287"/>
      <c r="IBR354" s="282"/>
      <c r="IBS354" s="287"/>
      <c r="IBT354" s="282"/>
      <c r="IBU354" s="287"/>
      <c r="IBV354" s="282"/>
      <c r="IBW354" s="287"/>
      <c r="IBX354" s="282"/>
      <c r="IBY354" s="287"/>
      <c r="IBZ354" s="282"/>
      <c r="ICA354" s="287"/>
      <c r="ICB354" s="282"/>
      <c r="ICC354" s="287"/>
      <c r="ICD354" s="282"/>
      <c r="ICE354" s="287"/>
      <c r="ICF354" s="282"/>
      <c r="ICG354" s="287"/>
      <c r="ICH354" s="282"/>
      <c r="ICI354" s="287"/>
      <c r="ICJ354" s="282"/>
      <c r="ICK354" s="287"/>
      <c r="ICL354" s="282"/>
      <c r="ICM354" s="287"/>
      <c r="ICN354" s="282"/>
      <c r="ICO354" s="287"/>
      <c r="ICP354" s="282"/>
      <c r="ICQ354" s="287"/>
      <c r="ICR354" s="282"/>
      <c r="ICS354" s="287"/>
      <c r="ICT354" s="282"/>
      <c r="ICU354" s="287"/>
      <c r="ICV354" s="282"/>
      <c r="ICW354" s="287"/>
      <c r="ICX354" s="282"/>
      <c r="ICY354" s="287"/>
      <c r="ICZ354" s="282"/>
      <c r="IDA354" s="287"/>
      <c r="IDB354" s="282"/>
      <c r="IDC354" s="287"/>
      <c r="IDD354" s="282"/>
      <c r="IDE354" s="287"/>
      <c r="IDF354" s="282"/>
      <c r="IDG354" s="287"/>
      <c r="IDH354" s="282"/>
      <c r="IDI354" s="287"/>
      <c r="IDJ354" s="282"/>
      <c r="IDK354" s="287"/>
      <c r="IDL354" s="282"/>
      <c r="IDM354" s="287"/>
      <c r="IDN354" s="282"/>
      <c r="IDO354" s="287"/>
      <c r="IDP354" s="282"/>
      <c r="IDQ354" s="287"/>
      <c r="IDR354" s="282"/>
      <c r="IDS354" s="287"/>
      <c r="IDT354" s="282"/>
      <c r="IDU354" s="287"/>
      <c r="IDV354" s="282"/>
      <c r="IDW354" s="287"/>
      <c r="IDX354" s="282"/>
      <c r="IDY354" s="287"/>
      <c r="IDZ354" s="282"/>
      <c r="IEA354" s="287"/>
      <c r="IEB354" s="282"/>
      <c r="IEC354" s="287"/>
      <c r="IED354" s="282"/>
      <c r="IEE354" s="287"/>
      <c r="IEF354" s="282"/>
      <c r="IEG354" s="287"/>
      <c r="IEH354" s="282"/>
      <c r="IEI354" s="287"/>
      <c r="IEJ354" s="282"/>
      <c r="IEK354" s="287"/>
      <c r="IEL354" s="282"/>
      <c r="IEM354" s="287"/>
      <c r="IEN354" s="282"/>
      <c r="IEO354" s="287"/>
      <c r="IEP354" s="282"/>
      <c r="IEQ354" s="287"/>
      <c r="IER354" s="282"/>
      <c r="IES354" s="287"/>
      <c r="IET354" s="282"/>
      <c r="IEU354" s="287"/>
      <c r="IEV354" s="282"/>
      <c r="IEW354" s="287"/>
      <c r="IEX354" s="282"/>
      <c r="IEY354" s="287"/>
      <c r="IEZ354" s="282"/>
      <c r="IFA354" s="287"/>
      <c r="IFB354" s="282"/>
      <c r="IFC354" s="287"/>
      <c r="IFD354" s="282"/>
      <c r="IFE354" s="287"/>
      <c r="IFF354" s="282"/>
      <c r="IFG354" s="287"/>
      <c r="IFH354" s="282"/>
      <c r="IFI354" s="287"/>
      <c r="IFJ354" s="282"/>
      <c r="IFK354" s="287"/>
      <c r="IFL354" s="282"/>
      <c r="IFM354" s="287"/>
      <c r="IFN354" s="282"/>
      <c r="IFO354" s="287"/>
      <c r="IFP354" s="282"/>
      <c r="IFQ354" s="287"/>
      <c r="IFR354" s="282"/>
      <c r="IFS354" s="287"/>
      <c r="IFT354" s="282"/>
      <c r="IFU354" s="287"/>
      <c r="IFV354" s="282"/>
      <c r="IFW354" s="287"/>
      <c r="IFX354" s="282"/>
      <c r="IFY354" s="287"/>
      <c r="IFZ354" s="282"/>
      <c r="IGA354" s="287"/>
      <c r="IGB354" s="282"/>
      <c r="IGC354" s="287"/>
      <c r="IGD354" s="282"/>
      <c r="IGE354" s="287"/>
      <c r="IGF354" s="282"/>
      <c r="IGG354" s="287"/>
      <c r="IGH354" s="282"/>
      <c r="IGI354" s="287"/>
      <c r="IGJ354" s="282"/>
      <c r="IGK354" s="287"/>
      <c r="IGL354" s="282"/>
      <c r="IGM354" s="287"/>
      <c r="IGN354" s="282"/>
      <c r="IGO354" s="287"/>
      <c r="IGP354" s="282"/>
      <c r="IGQ354" s="287"/>
      <c r="IGR354" s="282"/>
      <c r="IGS354" s="287"/>
      <c r="IGT354" s="282"/>
      <c r="IGU354" s="287"/>
      <c r="IGV354" s="282"/>
      <c r="IGW354" s="287"/>
      <c r="IGX354" s="282"/>
      <c r="IGY354" s="287"/>
      <c r="IGZ354" s="282"/>
      <c r="IHA354" s="287"/>
      <c r="IHB354" s="282"/>
      <c r="IHC354" s="287"/>
      <c r="IHD354" s="282"/>
      <c r="IHE354" s="287"/>
      <c r="IHF354" s="282"/>
      <c r="IHG354" s="287"/>
      <c r="IHH354" s="282"/>
      <c r="IHI354" s="287"/>
      <c r="IHJ354" s="282"/>
      <c r="IHK354" s="287"/>
      <c r="IHL354" s="282"/>
      <c r="IHM354" s="287"/>
      <c r="IHN354" s="282"/>
      <c r="IHO354" s="287"/>
      <c r="IHP354" s="282"/>
      <c r="IHQ354" s="287"/>
      <c r="IHR354" s="282"/>
      <c r="IHS354" s="287"/>
      <c r="IHT354" s="282"/>
      <c r="IHU354" s="287"/>
      <c r="IHV354" s="282"/>
      <c r="IHW354" s="287"/>
      <c r="IHX354" s="282"/>
      <c r="IHY354" s="287"/>
      <c r="IHZ354" s="282"/>
      <c r="IIA354" s="287"/>
      <c r="IIB354" s="282"/>
      <c r="IIC354" s="287"/>
      <c r="IID354" s="282"/>
      <c r="IIE354" s="287"/>
      <c r="IIF354" s="282"/>
      <c r="IIG354" s="287"/>
      <c r="IIH354" s="282"/>
      <c r="III354" s="287"/>
      <c r="IIJ354" s="282"/>
      <c r="IIK354" s="287"/>
      <c r="IIL354" s="282"/>
      <c r="IIM354" s="287"/>
      <c r="IIN354" s="282"/>
      <c r="IIO354" s="287"/>
      <c r="IIP354" s="282"/>
      <c r="IIQ354" s="287"/>
      <c r="IIR354" s="282"/>
      <c r="IIS354" s="287"/>
      <c r="IIT354" s="282"/>
      <c r="IIU354" s="287"/>
      <c r="IIV354" s="282"/>
      <c r="IIW354" s="287"/>
      <c r="IIX354" s="282"/>
      <c r="IIY354" s="287"/>
      <c r="IIZ354" s="282"/>
      <c r="IJA354" s="287"/>
      <c r="IJB354" s="282"/>
      <c r="IJC354" s="287"/>
      <c r="IJD354" s="282"/>
      <c r="IJE354" s="287"/>
      <c r="IJF354" s="282"/>
      <c r="IJG354" s="287"/>
      <c r="IJH354" s="282"/>
      <c r="IJI354" s="287"/>
      <c r="IJJ354" s="282"/>
      <c r="IJK354" s="287"/>
      <c r="IJL354" s="282"/>
      <c r="IJM354" s="287"/>
      <c r="IJN354" s="282"/>
      <c r="IJO354" s="287"/>
      <c r="IJP354" s="282"/>
      <c r="IJQ354" s="287"/>
      <c r="IJR354" s="282"/>
      <c r="IJS354" s="287"/>
      <c r="IJT354" s="282"/>
      <c r="IJU354" s="287"/>
      <c r="IJV354" s="282"/>
      <c r="IJW354" s="287"/>
      <c r="IJX354" s="282"/>
      <c r="IJY354" s="287"/>
      <c r="IJZ354" s="282"/>
      <c r="IKA354" s="287"/>
      <c r="IKB354" s="282"/>
      <c r="IKC354" s="287"/>
      <c r="IKD354" s="282"/>
      <c r="IKE354" s="287"/>
      <c r="IKF354" s="282"/>
      <c r="IKG354" s="287"/>
      <c r="IKH354" s="282"/>
      <c r="IKI354" s="287"/>
      <c r="IKJ354" s="282"/>
      <c r="IKK354" s="287"/>
      <c r="IKL354" s="282"/>
      <c r="IKM354" s="287"/>
      <c r="IKN354" s="282"/>
      <c r="IKO354" s="287"/>
      <c r="IKP354" s="282"/>
      <c r="IKQ354" s="287"/>
      <c r="IKR354" s="282"/>
      <c r="IKS354" s="287"/>
      <c r="IKT354" s="282"/>
      <c r="IKU354" s="287"/>
      <c r="IKV354" s="282"/>
      <c r="IKW354" s="287"/>
      <c r="IKX354" s="282"/>
      <c r="IKY354" s="287"/>
      <c r="IKZ354" s="282"/>
      <c r="ILA354" s="287"/>
      <c r="ILB354" s="282"/>
      <c r="ILC354" s="287"/>
      <c r="ILD354" s="282"/>
      <c r="ILE354" s="287"/>
      <c r="ILF354" s="282"/>
      <c r="ILG354" s="287"/>
      <c r="ILH354" s="282"/>
      <c r="ILI354" s="287"/>
      <c r="ILJ354" s="282"/>
      <c r="ILK354" s="287"/>
      <c r="ILL354" s="282"/>
      <c r="ILM354" s="287"/>
      <c r="ILN354" s="282"/>
      <c r="ILO354" s="287"/>
      <c r="ILP354" s="282"/>
      <c r="ILQ354" s="287"/>
      <c r="ILR354" s="282"/>
      <c r="ILS354" s="287"/>
      <c r="ILT354" s="282"/>
      <c r="ILU354" s="287"/>
      <c r="ILV354" s="282"/>
      <c r="ILW354" s="287"/>
      <c r="ILX354" s="282"/>
      <c r="ILY354" s="287"/>
      <c r="ILZ354" s="282"/>
      <c r="IMA354" s="287"/>
      <c r="IMB354" s="282"/>
      <c r="IMC354" s="287"/>
      <c r="IMD354" s="282"/>
      <c r="IME354" s="287"/>
      <c r="IMF354" s="282"/>
      <c r="IMG354" s="287"/>
      <c r="IMH354" s="282"/>
      <c r="IMI354" s="287"/>
      <c r="IMJ354" s="282"/>
      <c r="IMK354" s="287"/>
      <c r="IML354" s="282"/>
      <c r="IMM354" s="287"/>
      <c r="IMN354" s="282"/>
      <c r="IMO354" s="287"/>
      <c r="IMP354" s="282"/>
      <c r="IMQ354" s="287"/>
      <c r="IMR354" s="282"/>
      <c r="IMS354" s="287"/>
      <c r="IMT354" s="282"/>
      <c r="IMU354" s="287"/>
      <c r="IMV354" s="282"/>
      <c r="IMW354" s="287"/>
      <c r="IMX354" s="282"/>
      <c r="IMY354" s="287"/>
      <c r="IMZ354" s="282"/>
      <c r="INA354" s="287"/>
      <c r="INB354" s="282"/>
      <c r="INC354" s="287"/>
      <c r="IND354" s="282"/>
      <c r="INE354" s="287"/>
      <c r="INF354" s="282"/>
      <c r="ING354" s="287"/>
      <c r="INH354" s="282"/>
      <c r="INI354" s="287"/>
      <c r="INJ354" s="282"/>
      <c r="INK354" s="287"/>
      <c r="INL354" s="282"/>
      <c r="INM354" s="287"/>
      <c r="INN354" s="282"/>
      <c r="INO354" s="287"/>
      <c r="INP354" s="282"/>
      <c r="INQ354" s="287"/>
      <c r="INR354" s="282"/>
      <c r="INS354" s="287"/>
      <c r="INT354" s="282"/>
      <c r="INU354" s="287"/>
      <c r="INV354" s="282"/>
      <c r="INW354" s="287"/>
      <c r="INX354" s="282"/>
      <c r="INY354" s="287"/>
      <c r="INZ354" s="282"/>
      <c r="IOA354" s="287"/>
      <c r="IOB354" s="282"/>
      <c r="IOC354" s="287"/>
      <c r="IOD354" s="282"/>
      <c r="IOE354" s="287"/>
      <c r="IOF354" s="282"/>
      <c r="IOG354" s="287"/>
      <c r="IOH354" s="282"/>
      <c r="IOI354" s="287"/>
      <c r="IOJ354" s="282"/>
      <c r="IOK354" s="287"/>
      <c r="IOL354" s="282"/>
      <c r="IOM354" s="287"/>
      <c r="ION354" s="282"/>
      <c r="IOO354" s="287"/>
      <c r="IOP354" s="282"/>
      <c r="IOQ354" s="287"/>
      <c r="IOR354" s="282"/>
      <c r="IOS354" s="287"/>
      <c r="IOT354" s="282"/>
      <c r="IOU354" s="287"/>
      <c r="IOV354" s="282"/>
      <c r="IOW354" s="287"/>
      <c r="IOX354" s="282"/>
      <c r="IOY354" s="287"/>
      <c r="IOZ354" s="282"/>
      <c r="IPA354" s="287"/>
      <c r="IPB354" s="282"/>
      <c r="IPC354" s="287"/>
      <c r="IPD354" s="282"/>
      <c r="IPE354" s="287"/>
      <c r="IPF354" s="282"/>
      <c r="IPG354" s="287"/>
      <c r="IPH354" s="282"/>
      <c r="IPI354" s="287"/>
      <c r="IPJ354" s="282"/>
      <c r="IPK354" s="287"/>
      <c r="IPL354" s="282"/>
      <c r="IPM354" s="287"/>
      <c r="IPN354" s="282"/>
      <c r="IPO354" s="287"/>
      <c r="IPP354" s="282"/>
      <c r="IPQ354" s="287"/>
      <c r="IPR354" s="282"/>
      <c r="IPS354" s="287"/>
      <c r="IPT354" s="282"/>
      <c r="IPU354" s="287"/>
      <c r="IPV354" s="282"/>
      <c r="IPW354" s="287"/>
      <c r="IPX354" s="282"/>
      <c r="IPY354" s="287"/>
      <c r="IPZ354" s="282"/>
      <c r="IQA354" s="287"/>
      <c r="IQB354" s="282"/>
      <c r="IQC354" s="287"/>
      <c r="IQD354" s="282"/>
      <c r="IQE354" s="287"/>
      <c r="IQF354" s="282"/>
      <c r="IQG354" s="287"/>
      <c r="IQH354" s="282"/>
      <c r="IQI354" s="287"/>
      <c r="IQJ354" s="282"/>
      <c r="IQK354" s="287"/>
      <c r="IQL354" s="282"/>
      <c r="IQM354" s="287"/>
      <c r="IQN354" s="282"/>
      <c r="IQO354" s="287"/>
      <c r="IQP354" s="282"/>
      <c r="IQQ354" s="287"/>
      <c r="IQR354" s="282"/>
      <c r="IQS354" s="287"/>
      <c r="IQT354" s="282"/>
      <c r="IQU354" s="287"/>
      <c r="IQV354" s="282"/>
      <c r="IQW354" s="287"/>
      <c r="IQX354" s="282"/>
      <c r="IQY354" s="287"/>
      <c r="IQZ354" s="282"/>
      <c r="IRA354" s="287"/>
      <c r="IRB354" s="282"/>
      <c r="IRC354" s="287"/>
      <c r="IRD354" s="282"/>
      <c r="IRE354" s="287"/>
      <c r="IRF354" s="282"/>
      <c r="IRG354" s="287"/>
      <c r="IRH354" s="282"/>
      <c r="IRI354" s="287"/>
      <c r="IRJ354" s="282"/>
      <c r="IRK354" s="287"/>
      <c r="IRL354" s="282"/>
      <c r="IRM354" s="287"/>
      <c r="IRN354" s="282"/>
      <c r="IRO354" s="287"/>
      <c r="IRP354" s="282"/>
      <c r="IRQ354" s="287"/>
      <c r="IRR354" s="282"/>
      <c r="IRS354" s="287"/>
      <c r="IRT354" s="282"/>
      <c r="IRU354" s="287"/>
      <c r="IRV354" s="282"/>
      <c r="IRW354" s="287"/>
      <c r="IRX354" s="282"/>
      <c r="IRY354" s="287"/>
      <c r="IRZ354" s="282"/>
      <c r="ISA354" s="287"/>
      <c r="ISB354" s="282"/>
      <c r="ISC354" s="287"/>
      <c r="ISD354" s="282"/>
      <c r="ISE354" s="287"/>
      <c r="ISF354" s="282"/>
      <c r="ISG354" s="287"/>
      <c r="ISH354" s="282"/>
      <c r="ISI354" s="287"/>
      <c r="ISJ354" s="282"/>
      <c r="ISK354" s="287"/>
      <c r="ISL354" s="282"/>
      <c r="ISM354" s="287"/>
      <c r="ISN354" s="282"/>
      <c r="ISO354" s="287"/>
      <c r="ISP354" s="282"/>
      <c r="ISQ354" s="287"/>
      <c r="ISR354" s="282"/>
      <c r="ISS354" s="287"/>
      <c r="IST354" s="282"/>
      <c r="ISU354" s="287"/>
      <c r="ISV354" s="282"/>
      <c r="ISW354" s="287"/>
      <c r="ISX354" s="282"/>
      <c r="ISY354" s="287"/>
      <c r="ISZ354" s="282"/>
      <c r="ITA354" s="287"/>
      <c r="ITB354" s="282"/>
      <c r="ITC354" s="287"/>
      <c r="ITD354" s="282"/>
      <c r="ITE354" s="287"/>
      <c r="ITF354" s="282"/>
      <c r="ITG354" s="287"/>
      <c r="ITH354" s="282"/>
      <c r="ITI354" s="287"/>
      <c r="ITJ354" s="282"/>
      <c r="ITK354" s="287"/>
      <c r="ITL354" s="282"/>
      <c r="ITM354" s="287"/>
      <c r="ITN354" s="282"/>
      <c r="ITO354" s="287"/>
      <c r="ITP354" s="282"/>
      <c r="ITQ354" s="287"/>
      <c r="ITR354" s="282"/>
      <c r="ITS354" s="287"/>
      <c r="ITT354" s="282"/>
      <c r="ITU354" s="287"/>
      <c r="ITV354" s="282"/>
      <c r="ITW354" s="287"/>
      <c r="ITX354" s="282"/>
      <c r="ITY354" s="287"/>
      <c r="ITZ354" s="282"/>
      <c r="IUA354" s="287"/>
      <c r="IUB354" s="282"/>
      <c r="IUC354" s="287"/>
      <c r="IUD354" s="282"/>
      <c r="IUE354" s="287"/>
      <c r="IUF354" s="282"/>
      <c r="IUG354" s="287"/>
      <c r="IUH354" s="282"/>
      <c r="IUI354" s="287"/>
      <c r="IUJ354" s="282"/>
      <c r="IUK354" s="287"/>
      <c r="IUL354" s="282"/>
      <c r="IUM354" s="287"/>
      <c r="IUN354" s="282"/>
      <c r="IUO354" s="287"/>
      <c r="IUP354" s="282"/>
      <c r="IUQ354" s="287"/>
      <c r="IUR354" s="282"/>
      <c r="IUS354" s="287"/>
      <c r="IUT354" s="282"/>
      <c r="IUU354" s="287"/>
      <c r="IUV354" s="282"/>
      <c r="IUW354" s="287"/>
      <c r="IUX354" s="282"/>
      <c r="IUY354" s="287"/>
      <c r="IUZ354" s="282"/>
      <c r="IVA354" s="287"/>
      <c r="IVB354" s="282"/>
      <c r="IVC354" s="287"/>
      <c r="IVD354" s="282"/>
      <c r="IVE354" s="287"/>
      <c r="IVF354" s="282"/>
      <c r="IVG354" s="287"/>
      <c r="IVH354" s="282"/>
      <c r="IVI354" s="287"/>
      <c r="IVJ354" s="282"/>
      <c r="IVK354" s="287"/>
      <c r="IVL354" s="282"/>
      <c r="IVM354" s="287"/>
      <c r="IVN354" s="282"/>
      <c r="IVO354" s="287"/>
      <c r="IVP354" s="282"/>
      <c r="IVQ354" s="287"/>
      <c r="IVR354" s="282"/>
      <c r="IVS354" s="287"/>
      <c r="IVT354" s="282"/>
      <c r="IVU354" s="287"/>
      <c r="IVV354" s="282"/>
      <c r="IVW354" s="287"/>
      <c r="IVX354" s="282"/>
      <c r="IVY354" s="287"/>
      <c r="IVZ354" s="282"/>
      <c r="IWA354" s="287"/>
      <c r="IWB354" s="282"/>
      <c r="IWC354" s="287"/>
      <c r="IWD354" s="282"/>
      <c r="IWE354" s="287"/>
      <c r="IWF354" s="282"/>
      <c r="IWG354" s="287"/>
      <c r="IWH354" s="282"/>
      <c r="IWI354" s="287"/>
      <c r="IWJ354" s="282"/>
      <c r="IWK354" s="287"/>
      <c r="IWL354" s="282"/>
      <c r="IWM354" s="287"/>
      <c r="IWN354" s="282"/>
      <c r="IWO354" s="287"/>
      <c r="IWP354" s="282"/>
      <c r="IWQ354" s="287"/>
      <c r="IWR354" s="282"/>
      <c r="IWS354" s="287"/>
      <c r="IWT354" s="282"/>
      <c r="IWU354" s="287"/>
      <c r="IWV354" s="282"/>
      <c r="IWW354" s="287"/>
      <c r="IWX354" s="282"/>
      <c r="IWY354" s="287"/>
      <c r="IWZ354" s="282"/>
      <c r="IXA354" s="287"/>
      <c r="IXB354" s="282"/>
      <c r="IXC354" s="287"/>
      <c r="IXD354" s="282"/>
      <c r="IXE354" s="287"/>
      <c r="IXF354" s="282"/>
      <c r="IXG354" s="287"/>
      <c r="IXH354" s="282"/>
      <c r="IXI354" s="287"/>
      <c r="IXJ354" s="282"/>
      <c r="IXK354" s="287"/>
      <c r="IXL354" s="282"/>
      <c r="IXM354" s="287"/>
      <c r="IXN354" s="282"/>
      <c r="IXO354" s="287"/>
      <c r="IXP354" s="282"/>
      <c r="IXQ354" s="287"/>
      <c r="IXR354" s="282"/>
      <c r="IXS354" s="287"/>
      <c r="IXT354" s="282"/>
      <c r="IXU354" s="287"/>
      <c r="IXV354" s="282"/>
      <c r="IXW354" s="287"/>
      <c r="IXX354" s="282"/>
      <c r="IXY354" s="287"/>
      <c r="IXZ354" s="282"/>
      <c r="IYA354" s="287"/>
      <c r="IYB354" s="282"/>
      <c r="IYC354" s="287"/>
      <c r="IYD354" s="282"/>
      <c r="IYE354" s="287"/>
      <c r="IYF354" s="282"/>
      <c r="IYG354" s="287"/>
      <c r="IYH354" s="282"/>
      <c r="IYI354" s="287"/>
      <c r="IYJ354" s="282"/>
      <c r="IYK354" s="287"/>
      <c r="IYL354" s="282"/>
      <c r="IYM354" s="287"/>
      <c r="IYN354" s="282"/>
      <c r="IYO354" s="287"/>
      <c r="IYP354" s="282"/>
      <c r="IYQ354" s="287"/>
      <c r="IYR354" s="282"/>
      <c r="IYS354" s="287"/>
      <c r="IYT354" s="282"/>
      <c r="IYU354" s="287"/>
      <c r="IYV354" s="282"/>
      <c r="IYW354" s="287"/>
      <c r="IYX354" s="282"/>
      <c r="IYY354" s="287"/>
      <c r="IYZ354" s="282"/>
      <c r="IZA354" s="287"/>
      <c r="IZB354" s="282"/>
      <c r="IZC354" s="287"/>
      <c r="IZD354" s="282"/>
      <c r="IZE354" s="287"/>
      <c r="IZF354" s="282"/>
      <c r="IZG354" s="287"/>
      <c r="IZH354" s="282"/>
      <c r="IZI354" s="287"/>
      <c r="IZJ354" s="282"/>
      <c r="IZK354" s="287"/>
      <c r="IZL354" s="282"/>
      <c r="IZM354" s="287"/>
      <c r="IZN354" s="282"/>
      <c r="IZO354" s="287"/>
      <c r="IZP354" s="282"/>
      <c r="IZQ354" s="287"/>
      <c r="IZR354" s="282"/>
      <c r="IZS354" s="287"/>
      <c r="IZT354" s="282"/>
      <c r="IZU354" s="287"/>
      <c r="IZV354" s="282"/>
      <c r="IZW354" s="287"/>
      <c r="IZX354" s="282"/>
      <c r="IZY354" s="287"/>
      <c r="IZZ354" s="282"/>
      <c r="JAA354" s="287"/>
      <c r="JAB354" s="282"/>
      <c r="JAC354" s="287"/>
      <c r="JAD354" s="282"/>
      <c r="JAE354" s="287"/>
      <c r="JAF354" s="282"/>
      <c r="JAG354" s="287"/>
      <c r="JAH354" s="282"/>
      <c r="JAI354" s="287"/>
      <c r="JAJ354" s="282"/>
      <c r="JAK354" s="287"/>
      <c r="JAL354" s="282"/>
      <c r="JAM354" s="287"/>
      <c r="JAN354" s="282"/>
      <c r="JAO354" s="287"/>
      <c r="JAP354" s="282"/>
      <c r="JAQ354" s="287"/>
      <c r="JAR354" s="282"/>
      <c r="JAS354" s="287"/>
      <c r="JAT354" s="282"/>
      <c r="JAU354" s="287"/>
      <c r="JAV354" s="282"/>
      <c r="JAW354" s="287"/>
      <c r="JAX354" s="282"/>
      <c r="JAY354" s="287"/>
      <c r="JAZ354" s="282"/>
      <c r="JBA354" s="287"/>
      <c r="JBB354" s="282"/>
      <c r="JBC354" s="287"/>
      <c r="JBD354" s="282"/>
      <c r="JBE354" s="287"/>
      <c r="JBF354" s="282"/>
      <c r="JBG354" s="287"/>
      <c r="JBH354" s="282"/>
      <c r="JBI354" s="287"/>
      <c r="JBJ354" s="282"/>
      <c r="JBK354" s="287"/>
      <c r="JBL354" s="282"/>
      <c r="JBM354" s="287"/>
      <c r="JBN354" s="282"/>
      <c r="JBO354" s="287"/>
      <c r="JBP354" s="282"/>
      <c r="JBQ354" s="287"/>
      <c r="JBR354" s="282"/>
      <c r="JBS354" s="287"/>
      <c r="JBT354" s="282"/>
      <c r="JBU354" s="287"/>
      <c r="JBV354" s="282"/>
      <c r="JBW354" s="287"/>
      <c r="JBX354" s="282"/>
      <c r="JBY354" s="287"/>
      <c r="JBZ354" s="282"/>
      <c r="JCA354" s="287"/>
      <c r="JCB354" s="282"/>
      <c r="JCC354" s="287"/>
      <c r="JCD354" s="282"/>
      <c r="JCE354" s="287"/>
      <c r="JCF354" s="282"/>
      <c r="JCG354" s="287"/>
      <c r="JCH354" s="282"/>
      <c r="JCI354" s="287"/>
      <c r="JCJ354" s="282"/>
      <c r="JCK354" s="287"/>
      <c r="JCL354" s="282"/>
      <c r="JCM354" s="287"/>
      <c r="JCN354" s="282"/>
      <c r="JCO354" s="287"/>
      <c r="JCP354" s="282"/>
      <c r="JCQ354" s="287"/>
      <c r="JCR354" s="282"/>
      <c r="JCS354" s="287"/>
      <c r="JCT354" s="282"/>
      <c r="JCU354" s="287"/>
      <c r="JCV354" s="282"/>
      <c r="JCW354" s="287"/>
      <c r="JCX354" s="282"/>
      <c r="JCY354" s="287"/>
      <c r="JCZ354" s="282"/>
      <c r="JDA354" s="287"/>
      <c r="JDB354" s="282"/>
      <c r="JDC354" s="287"/>
      <c r="JDD354" s="282"/>
      <c r="JDE354" s="287"/>
      <c r="JDF354" s="282"/>
      <c r="JDG354" s="287"/>
      <c r="JDH354" s="282"/>
      <c r="JDI354" s="287"/>
      <c r="JDJ354" s="282"/>
      <c r="JDK354" s="287"/>
      <c r="JDL354" s="282"/>
      <c r="JDM354" s="287"/>
      <c r="JDN354" s="282"/>
      <c r="JDO354" s="287"/>
      <c r="JDP354" s="282"/>
      <c r="JDQ354" s="287"/>
      <c r="JDR354" s="282"/>
      <c r="JDS354" s="287"/>
      <c r="JDT354" s="282"/>
      <c r="JDU354" s="287"/>
      <c r="JDV354" s="282"/>
      <c r="JDW354" s="287"/>
      <c r="JDX354" s="282"/>
      <c r="JDY354" s="287"/>
      <c r="JDZ354" s="282"/>
      <c r="JEA354" s="287"/>
      <c r="JEB354" s="282"/>
      <c r="JEC354" s="287"/>
      <c r="JED354" s="282"/>
      <c r="JEE354" s="287"/>
      <c r="JEF354" s="282"/>
      <c r="JEG354" s="287"/>
      <c r="JEH354" s="282"/>
      <c r="JEI354" s="287"/>
      <c r="JEJ354" s="282"/>
      <c r="JEK354" s="287"/>
      <c r="JEL354" s="282"/>
      <c r="JEM354" s="287"/>
      <c r="JEN354" s="282"/>
      <c r="JEO354" s="287"/>
      <c r="JEP354" s="282"/>
      <c r="JEQ354" s="287"/>
      <c r="JER354" s="282"/>
      <c r="JES354" s="287"/>
      <c r="JET354" s="282"/>
      <c r="JEU354" s="287"/>
      <c r="JEV354" s="282"/>
      <c r="JEW354" s="287"/>
      <c r="JEX354" s="282"/>
      <c r="JEY354" s="287"/>
      <c r="JEZ354" s="282"/>
      <c r="JFA354" s="287"/>
      <c r="JFB354" s="282"/>
      <c r="JFC354" s="287"/>
      <c r="JFD354" s="282"/>
      <c r="JFE354" s="287"/>
      <c r="JFF354" s="282"/>
      <c r="JFG354" s="287"/>
      <c r="JFH354" s="282"/>
      <c r="JFI354" s="287"/>
      <c r="JFJ354" s="282"/>
      <c r="JFK354" s="287"/>
      <c r="JFL354" s="282"/>
      <c r="JFM354" s="287"/>
      <c r="JFN354" s="282"/>
      <c r="JFO354" s="287"/>
      <c r="JFP354" s="282"/>
      <c r="JFQ354" s="287"/>
      <c r="JFR354" s="282"/>
      <c r="JFS354" s="287"/>
      <c r="JFT354" s="282"/>
      <c r="JFU354" s="287"/>
      <c r="JFV354" s="282"/>
      <c r="JFW354" s="287"/>
      <c r="JFX354" s="282"/>
      <c r="JFY354" s="287"/>
      <c r="JFZ354" s="282"/>
      <c r="JGA354" s="287"/>
      <c r="JGB354" s="282"/>
      <c r="JGC354" s="287"/>
      <c r="JGD354" s="282"/>
      <c r="JGE354" s="287"/>
      <c r="JGF354" s="282"/>
      <c r="JGG354" s="287"/>
      <c r="JGH354" s="282"/>
      <c r="JGI354" s="287"/>
      <c r="JGJ354" s="282"/>
      <c r="JGK354" s="287"/>
      <c r="JGL354" s="282"/>
      <c r="JGM354" s="287"/>
      <c r="JGN354" s="282"/>
      <c r="JGO354" s="287"/>
      <c r="JGP354" s="282"/>
      <c r="JGQ354" s="287"/>
      <c r="JGR354" s="282"/>
      <c r="JGS354" s="287"/>
      <c r="JGT354" s="282"/>
      <c r="JGU354" s="287"/>
      <c r="JGV354" s="282"/>
      <c r="JGW354" s="287"/>
      <c r="JGX354" s="282"/>
      <c r="JGY354" s="287"/>
      <c r="JGZ354" s="282"/>
      <c r="JHA354" s="287"/>
      <c r="JHB354" s="282"/>
      <c r="JHC354" s="287"/>
      <c r="JHD354" s="282"/>
      <c r="JHE354" s="287"/>
      <c r="JHF354" s="282"/>
      <c r="JHG354" s="287"/>
      <c r="JHH354" s="282"/>
      <c r="JHI354" s="287"/>
      <c r="JHJ354" s="282"/>
      <c r="JHK354" s="287"/>
      <c r="JHL354" s="282"/>
      <c r="JHM354" s="287"/>
      <c r="JHN354" s="282"/>
      <c r="JHO354" s="287"/>
      <c r="JHP354" s="282"/>
      <c r="JHQ354" s="287"/>
      <c r="JHR354" s="282"/>
      <c r="JHS354" s="287"/>
      <c r="JHT354" s="282"/>
      <c r="JHU354" s="287"/>
      <c r="JHV354" s="282"/>
      <c r="JHW354" s="287"/>
      <c r="JHX354" s="282"/>
      <c r="JHY354" s="287"/>
      <c r="JHZ354" s="282"/>
      <c r="JIA354" s="287"/>
      <c r="JIB354" s="282"/>
      <c r="JIC354" s="287"/>
      <c r="JID354" s="282"/>
      <c r="JIE354" s="287"/>
      <c r="JIF354" s="282"/>
      <c r="JIG354" s="287"/>
      <c r="JIH354" s="282"/>
      <c r="JII354" s="287"/>
      <c r="JIJ354" s="282"/>
      <c r="JIK354" s="287"/>
      <c r="JIL354" s="282"/>
      <c r="JIM354" s="287"/>
      <c r="JIN354" s="282"/>
      <c r="JIO354" s="287"/>
      <c r="JIP354" s="282"/>
      <c r="JIQ354" s="287"/>
      <c r="JIR354" s="282"/>
      <c r="JIS354" s="287"/>
      <c r="JIT354" s="282"/>
      <c r="JIU354" s="287"/>
      <c r="JIV354" s="282"/>
      <c r="JIW354" s="287"/>
      <c r="JIX354" s="282"/>
      <c r="JIY354" s="287"/>
      <c r="JIZ354" s="282"/>
      <c r="JJA354" s="287"/>
      <c r="JJB354" s="282"/>
      <c r="JJC354" s="287"/>
      <c r="JJD354" s="282"/>
      <c r="JJE354" s="287"/>
      <c r="JJF354" s="282"/>
      <c r="JJG354" s="287"/>
      <c r="JJH354" s="282"/>
      <c r="JJI354" s="287"/>
      <c r="JJJ354" s="282"/>
      <c r="JJK354" s="287"/>
      <c r="JJL354" s="282"/>
      <c r="JJM354" s="287"/>
      <c r="JJN354" s="282"/>
      <c r="JJO354" s="287"/>
      <c r="JJP354" s="282"/>
      <c r="JJQ354" s="287"/>
      <c r="JJR354" s="282"/>
      <c r="JJS354" s="287"/>
      <c r="JJT354" s="282"/>
      <c r="JJU354" s="287"/>
      <c r="JJV354" s="282"/>
      <c r="JJW354" s="287"/>
      <c r="JJX354" s="282"/>
      <c r="JJY354" s="287"/>
      <c r="JJZ354" s="282"/>
      <c r="JKA354" s="287"/>
      <c r="JKB354" s="282"/>
      <c r="JKC354" s="287"/>
      <c r="JKD354" s="282"/>
      <c r="JKE354" s="287"/>
      <c r="JKF354" s="282"/>
      <c r="JKG354" s="287"/>
      <c r="JKH354" s="282"/>
      <c r="JKI354" s="287"/>
      <c r="JKJ354" s="282"/>
      <c r="JKK354" s="287"/>
      <c r="JKL354" s="282"/>
      <c r="JKM354" s="287"/>
      <c r="JKN354" s="282"/>
      <c r="JKO354" s="287"/>
      <c r="JKP354" s="282"/>
      <c r="JKQ354" s="287"/>
      <c r="JKR354" s="282"/>
      <c r="JKS354" s="287"/>
      <c r="JKT354" s="282"/>
      <c r="JKU354" s="287"/>
      <c r="JKV354" s="282"/>
      <c r="JKW354" s="287"/>
      <c r="JKX354" s="282"/>
      <c r="JKY354" s="287"/>
      <c r="JKZ354" s="282"/>
      <c r="JLA354" s="287"/>
      <c r="JLB354" s="282"/>
      <c r="JLC354" s="287"/>
      <c r="JLD354" s="282"/>
      <c r="JLE354" s="287"/>
      <c r="JLF354" s="282"/>
      <c r="JLG354" s="287"/>
      <c r="JLH354" s="282"/>
      <c r="JLI354" s="287"/>
      <c r="JLJ354" s="282"/>
      <c r="JLK354" s="287"/>
      <c r="JLL354" s="282"/>
      <c r="JLM354" s="287"/>
      <c r="JLN354" s="282"/>
      <c r="JLO354" s="287"/>
      <c r="JLP354" s="282"/>
      <c r="JLQ354" s="287"/>
      <c r="JLR354" s="282"/>
      <c r="JLS354" s="287"/>
      <c r="JLT354" s="282"/>
      <c r="JLU354" s="287"/>
      <c r="JLV354" s="282"/>
      <c r="JLW354" s="287"/>
      <c r="JLX354" s="282"/>
      <c r="JLY354" s="287"/>
      <c r="JLZ354" s="282"/>
      <c r="JMA354" s="287"/>
      <c r="JMB354" s="282"/>
      <c r="JMC354" s="287"/>
      <c r="JMD354" s="282"/>
      <c r="JME354" s="287"/>
      <c r="JMF354" s="282"/>
      <c r="JMG354" s="287"/>
      <c r="JMH354" s="282"/>
      <c r="JMI354" s="287"/>
      <c r="JMJ354" s="282"/>
      <c r="JMK354" s="287"/>
      <c r="JML354" s="282"/>
      <c r="JMM354" s="287"/>
      <c r="JMN354" s="282"/>
      <c r="JMO354" s="287"/>
      <c r="JMP354" s="282"/>
      <c r="JMQ354" s="287"/>
      <c r="JMR354" s="282"/>
      <c r="JMS354" s="287"/>
      <c r="JMT354" s="282"/>
      <c r="JMU354" s="287"/>
      <c r="JMV354" s="282"/>
      <c r="JMW354" s="287"/>
      <c r="JMX354" s="282"/>
      <c r="JMY354" s="287"/>
      <c r="JMZ354" s="282"/>
      <c r="JNA354" s="287"/>
      <c r="JNB354" s="282"/>
      <c r="JNC354" s="287"/>
      <c r="JND354" s="282"/>
      <c r="JNE354" s="287"/>
      <c r="JNF354" s="282"/>
      <c r="JNG354" s="287"/>
      <c r="JNH354" s="282"/>
      <c r="JNI354" s="287"/>
      <c r="JNJ354" s="282"/>
      <c r="JNK354" s="287"/>
      <c r="JNL354" s="282"/>
      <c r="JNM354" s="287"/>
      <c r="JNN354" s="282"/>
      <c r="JNO354" s="287"/>
      <c r="JNP354" s="282"/>
      <c r="JNQ354" s="287"/>
      <c r="JNR354" s="282"/>
      <c r="JNS354" s="287"/>
      <c r="JNT354" s="282"/>
      <c r="JNU354" s="287"/>
      <c r="JNV354" s="282"/>
      <c r="JNW354" s="287"/>
      <c r="JNX354" s="282"/>
      <c r="JNY354" s="287"/>
      <c r="JNZ354" s="282"/>
      <c r="JOA354" s="287"/>
      <c r="JOB354" s="282"/>
      <c r="JOC354" s="287"/>
      <c r="JOD354" s="282"/>
      <c r="JOE354" s="287"/>
      <c r="JOF354" s="282"/>
      <c r="JOG354" s="287"/>
      <c r="JOH354" s="282"/>
      <c r="JOI354" s="287"/>
      <c r="JOJ354" s="282"/>
      <c r="JOK354" s="287"/>
      <c r="JOL354" s="282"/>
      <c r="JOM354" s="287"/>
      <c r="JON354" s="282"/>
      <c r="JOO354" s="287"/>
      <c r="JOP354" s="282"/>
      <c r="JOQ354" s="287"/>
      <c r="JOR354" s="282"/>
      <c r="JOS354" s="287"/>
      <c r="JOT354" s="282"/>
      <c r="JOU354" s="287"/>
      <c r="JOV354" s="282"/>
      <c r="JOW354" s="287"/>
      <c r="JOX354" s="282"/>
      <c r="JOY354" s="287"/>
      <c r="JOZ354" s="282"/>
      <c r="JPA354" s="287"/>
      <c r="JPB354" s="282"/>
      <c r="JPC354" s="287"/>
      <c r="JPD354" s="282"/>
      <c r="JPE354" s="287"/>
      <c r="JPF354" s="282"/>
      <c r="JPG354" s="287"/>
      <c r="JPH354" s="282"/>
      <c r="JPI354" s="287"/>
      <c r="JPJ354" s="282"/>
      <c r="JPK354" s="287"/>
      <c r="JPL354" s="282"/>
      <c r="JPM354" s="287"/>
      <c r="JPN354" s="282"/>
      <c r="JPO354" s="287"/>
      <c r="JPP354" s="282"/>
      <c r="JPQ354" s="287"/>
      <c r="JPR354" s="282"/>
      <c r="JPS354" s="287"/>
      <c r="JPT354" s="282"/>
      <c r="JPU354" s="287"/>
      <c r="JPV354" s="282"/>
      <c r="JPW354" s="287"/>
      <c r="JPX354" s="282"/>
      <c r="JPY354" s="287"/>
      <c r="JPZ354" s="282"/>
      <c r="JQA354" s="287"/>
      <c r="JQB354" s="282"/>
      <c r="JQC354" s="287"/>
      <c r="JQD354" s="282"/>
      <c r="JQE354" s="287"/>
      <c r="JQF354" s="282"/>
      <c r="JQG354" s="287"/>
      <c r="JQH354" s="282"/>
      <c r="JQI354" s="287"/>
      <c r="JQJ354" s="282"/>
      <c r="JQK354" s="287"/>
      <c r="JQL354" s="282"/>
      <c r="JQM354" s="287"/>
      <c r="JQN354" s="282"/>
      <c r="JQO354" s="287"/>
      <c r="JQP354" s="282"/>
      <c r="JQQ354" s="287"/>
      <c r="JQR354" s="282"/>
      <c r="JQS354" s="287"/>
      <c r="JQT354" s="282"/>
      <c r="JQU354" s="287"/>
      <c r="JQV354" s="282"/>
      <c r="JQW354" s="287"/>
      <c r="JQX354" s="282"/>
      <c r="JQY354" s="287"/>
      <c r="JQZ354" s="282"/>
      <c r="JRA354" s="287"/>
      <c r="JRB354" s="282"/>
      <c r="JRC354" s="287"/>
      <c r="JRD354" s="282"/>
      <c r="JRE354" s="287"/>
      <c r="JRF354" s="282"/>
      <c r="JRG354" s="287"/>
      <c r="JRH354" s="282"/>
      <c r="JRI354" s="287"/>
      <c r="JRJ354" s="282"/>
      <c r="JRK354" s="287"/>
      <c r="JRL354" s="282"/>
      <c r="JRM354" s="287"/>
      <c r="JRN354" s="282"/>
      <c r="JRO354" s="287"/>
      <c r="JRP354" s="282"/>
      <c r="JRQ354" s="287"/>
      <c r="JRR354" s="282"/>
      <c r="JRS354" s="287"/>
      <c r="JRT354" s="282"/>
      <c r="JRU354" s="287"/>
      <c r="JRV354" s="282"/>
      <c r="JRW354" s="287"/>
      <c r="JRX354" s="282"/>
      <c r="JRY354" s="287"/>
      <c r="JRZ354" s="282"/>
      <c r="JSA354" s="287"/>
      <c r="JSB354" s="282"/>
      <c r="JSC354" s="287"/>
      <c r="JSD354" s="282"/>
      <c r="JSE354" s="287"/>
      <c r="JSF354" s="282"/>
      <c r="JSG354" s="287"/>
      <c r="JSH354" s="282"/>
      <c r="JSI354" s="287"/>
      <c r="JSJ354" s="282"/>
      <c r="JSK354" s="287"/>
      <c r="JSL354" s="282"/>
      <c r="JSM354" s="287"/>
      <c r="JSN354" s="282"/>
      <c r="JSO354" s="287"/>
      <c r="JSP354" s="282"/>
      <c r="JSQ354" s="287"/>
      <c r="JSR354" s="282"/>
      <c r="JSS354" s="287"/>
      <c r="JST354" s="282"/>
      <c r="JSU354" s="287"/>
      <c r="JSV354" s="282"/>
      <c r="JSW354" s="287"/>
      <c r="JSX354" s="282"/>
      <c r="JSY354" s="287"/>
      <c r="JSZ354" s="282"/>
      <c r="JTA354" s="287"/>
      <c r="JTB354" s="282"/>
      <c r="JTC354" s="287"/>
      <c r="JTD354" s="282"/>
      <c r="JTE354" s="287"/>
      <c r="JTF354" s="282"/>
      <c r="JTG354" s="287"/>
      <c r="JTH354" s="282"/>
      <c r="JTI354" s="287"/>
      <c r="JTJ354" s="282"/>
      <c r="JTK354" s="287"/>
      <c r="JTL354" s="282"/>
      <c r="JTM354" s="287"/>
      <c r="JTN354" s="282"/>
      <c r="JTO354" s="287"/>
      <c r="JTP354" s="282"/>
      <c r="JTQ354" s="287"/>
      <c r="JTR354" s="282"/>
      <c r="JTS354" s="287"/>
      <c r="JTT354" s="282"/>
      <c r="JTU354" s="287"/>
      <c r="JTV354" s="282"/>
      <c r="JTW354" s="287"/>
      <c r="JTX354" s="282"/>
      <c r="JTY354" s="287"/>
      <c r="JTZ354" s="282"/>
      <c r="JUA354" s="287"/>
      <c r="JUB354" s="282"/>
      <c r="JUC354" s="287"/>
      <c r="JUD354" s="282"/>
      <c r="JUE354" s="287"/>
      <c r="JUF354" s="282"/>
      <c r="JUG354" s="287"/>
      <c r="JUH354" s="282"/>
      <c r="JUI354" s="287"/>
      <c r="JUJ354" s="282"/>
      <c r="JUK354" s="287"/>
      <c r="JUL354" s="282"/>
      <c r="JUM354" s="287"/>
      <c r="JUN354" s="282"/>
      <c r="JUO354" s="287"/>
      <c r="JUP354" s="282"/>
      <c r="JUQ354" s="287"/>
      <c r="JUR354" s="282"/>
      <c r="JUS354" s="287"/>
      <c r="JUT354" s="282"/>
      <c r="JUU354" s="287"/>
      <c r="JUV354" s="282"/>
      <c r="JUW354" s="287"/>
      <c r="JUX354" s="282"/>
      <c r="JUY354" s="287"/>
      <c r="JUZ354" s="282"/>
      <c r="JVA354" s="287"/>
      <c r="JVB354" s="282"/>
      <c r="JVC354" s="287"/>
      <c r="JVD354" s="282"/>
      <c r="JVE354" s="287"/>
      <c r="JVF354" s="282"/>
      <c r="JVG354" s="287"/>
      <c r="JVH354" s="282"/>
      <c r="JVI354" s="287"/>
      <c r="JVJ354" s="282"/>
      <c r="JVK354" s="287"/>
      <c r="JVL354" s="282"/>
      <c r="JVM354" s="287"/>
      <c r="JVN354" s="282"/>
      <c r="JVO354" s="287"/>
      <c r="JVP354" s="282"/>
      <c r="JVQ354" s="287"/>
      <c r="JVR354" s="282"/>
      <c r="JVS354" s="287"/>
      <c r="JVT354" s="282"/>
      <c r="JVU354" s="287"/>
      <c r="JVV354" s="282"/>
      <c r="JVW354" s="287"/>
      <c r="JVX354" s="282"/>
      <c r="JVY354" s="287"/>
      <c r="JVZ354" s="282"/>
      <c r="JWA354" s="287"/>
      <c r="JWB354" s="282"/>
      <c r="JWC354" s="287"/>
      <c r="JWD354" s="282"/>
      <c r="JWE354" s="287"/>
      <c r="JWF354" s="282"/>
      <c r="JWG354" s="287"/>
      <c r="JWH354" s="282"/>
      <c r="JWI354" s="287"/>
      <c r="JWJ354" s="282"/>
      <c r="JWK354" s="287"/>
      <c r="JWL354" s="282"/>
      <c r="JWM354" s="287"/>
      <c r="JWN354" s="282"/>
      <c r="JWO354" s="287"/>
      <c r="JWP354" s="282"/>
      <c r="JWQ354" s="287"/>
      <c r="JWR354" s="282"/>
      <c r="JWS354" s="287"/>
      <c r="JWT354" s="282"/>
      <c r="JWU354" s="287"/>
      <c r="JWV354" s="282"/>
      <c r="JWW354" s="287"/>
      <c r="JWX354" s="282"/>
      <c r="JWY354" s="287"/>
      <c r="JWZ354" s="282"/>
      <c r="JXA354" s="287"/>
      <c r="JXB354" s="282"/>
      <c r="JXC354" s="287"/>
      <c r="JXD354" s="282"/>
      <c r="JXE354" s="287"/>
      <c r="JXF354" s="282"/>
      <c r="JXG354" s="287"/>
      <c r="JXH354" s="282"/>
      <c r="JXI354" s="287"/>
      <c r="JXJ354" s="282"/>
      <c r="JXK354" s="287"/>
      <c r="JXL354" s="282"/>
      <c r="JXM354" s="287"/>
      <c r="JXN354" s="282"/>
      <c r="JXO354" s="287"/>
      <c r="JXP354" s="282"/>
      <c r="JXQ354" s="287"/>
      <c r="JXR354" s="282"/>
      <c r="JXS354" s="287"/>
      <c r="JXT354" s="282"/>
      <c r="JXU354" s="287"/>
      <c r="JXV354" s="282"/>
      <c r="JXW354" s="287"/>
      <c r="JXX354" s="282"/>
      <c r="JXY354" s="287"/>
      <c r="JXZ354" s="282"/>
      <c r="JYA354" s="287"/>
      <c r="JYB354" s="282"/>
      <c r="JYC354" s="287"/>
      <c r="JYD354" s="282"/>
      <c r="JYE354" s="287"/>
      <c r="JYF354" s="282"/>
      <c r="JYG354" s="287"/>
      <c r="JYH354" s="282"/>
      <c r="JYI354" s="287"/>
      <c r="JYJ354" s="282"/>
      <c r="JYK354" s="287"/>
      <c r="JYL354" s="282"/>
      <c r="JYM354" s="287"/>
      <c r="JYN354" s="282"/>
      <c r="JYO354" s="287"/>
      <c r="JYP354" s="282"/>
      <c r="JYQ354" s="287"/>
      <c r="JYR354" s="282"/>
      <c r="JYS354" s="287"/>
      <c r="JYT354" s="282"/>
      <c r="JYU354" s="287"/>
      <c r="JYV354" s="282"/>
      <c r="JYW354" s="287"/>
      <c r="JYX354" s="282"/>
      <c r="JYY354" s="287"/>
      <c r="JYZ354" s="282"/>
      <c r="JZA354" s="287"/>
      <c r="JZB354" s="282"/>
      <c r="JZC354" s="287"/>
      <c r="JZD354" s="282"/>
      <c r="JZE354" s="287"/>
      <c r="JZF354" s="282"/>
      <c r="JZG354" s="287"/>
      <c r="JZH354" s="282"/>
      <c r="JZI354" s="287"/>
      <c r="JZJ354" s="282"/>
      <c r="JZK354" s="287"/>
      <c r="JZL354" s="282"/>
      <c r="JZM354" s="287"/>
      <c r="JZN354" s="282"/>
      <c r="JZO354" s="287"/>
      <c r="JZP354" s="282"/>
      <c r="JZQ354" s="287"/>
      <c r="JZR354" s="282"/>
      <c r="JZS354" s="287"/>
      <c r="JZT354" s="282"/>
      <c r="JZU354" s="287"/>
      <c r="JZV354" s="282"/>
      <c r="JZW354" s="287"/>
      <c r="JZX354" s="282"/>
      <c r="JZY354" s="287"/>
      <c r="JZZ354" s="282"/>
      <c r="KAA354" s="287"/>
      <c r="KAB354" s="282"/>
      <c r="KAC354" s="287"/>
      <c r="KAD354" s="282"/>
      <c r="KAE354" s="287"/>
      <c r="KAF354" s="282"/>
      <c r="KAG354" s="287"/>
      <c r="KAH354" s="282"/>
      <c r="KAI354" s="287"/>
      <c r="KAJ354" s="282"/>
      <c r="KAK354" s="287"/>
      <c r="KAL354" s="282"/>
      <c r="KAM354" s="287"/>
      <c r="KAN354" s="282"/>
      <c r="KAO354" s="287"/>
      <c r="KAP354" s="282"/>
      <c r="KAQ354" s="287"/>
      <c r="KAR354" s="282"/>
      <c r="KAS354" s="287"/>
      <c r="KAT354" s="282"/>
      <c r="KAU354" s="287"/>
      <c r="KAV354" s="282"/>
      <c r="KAW354" s="287"/>
      <c r="KAX354" s="282"/>
      <c r="KAY354" s="287"/>
      <c r="KAZ354" s="282"/>
      <c r="KBA354" s="287"/>
      <c r="KBB354" s="282"/>
      <c r="KBC354" s="287"/>
      <c r="KBD354" s="282"/>
      <c r="KBE354" s="287"/>
      <c r="KBF354" s="282"/>
      <c r="KBG354" s="287"/>
      <c r="KBH354" s="282"/>
      <c r="KBI354" s="287"/>
      <c r="KBJ354" s="282"/>
      <c r="KBK354" s="287"/>
      <c r="KBL354" s="282"/>
      <c r="KBM354" s="287"/>
      <c r="KBN354" s="282"/>
      <c r="KBO354" s="287"/>
      <c r="KBP354" s="282"/>
      <c r="KBQ354" s="287"/>
      <c r="KBR354" s="282"/>
      <c r="KBS354" s="287"/>
      <c r="KBT354" s="282"/>
      <c r="KBU354" s="287"/>
      <c r="KBV354" s="282"/>
      <c r="KBW354" s="287"/>
      <c r="KBX354" s="282"/>
      <c r="KBY354" s="287"/>
      <c r="KBZ354" s="282"/>
      <c r="KCA354" s="287"/>
      <c r="KCB354" s="282"/>
      <c r="KCC354" s="287"/>
      <c r="KCD354" s="282"/>
      <c r="KCE354" s="287"/>
      <c r="KCF354" s="282"/>
      <c r="KCG354" s="287"/>
      <c r="KCH354" s="282"/>
      <c r="KCI354" s="287"/>
      <c r="KCJ354" s="282"/>
      <c r="KCK354" s="287"/>
      <c r="KCL354" s="282"/>
      <c r="KCM354" s="287"/>
      <c r="KCN354" s="282"/>
      <c r="KCO354" s="287"/>
      <c r="KCP354" s="282"/>
      <c r="KCQ354" s="287"/>
      <c r="KCR354" s="282"/>
      <c r="KCS354" s="287"/>
      <c r="KCT354" s="282"/>
      <c r="KCU354" s="287"/>
      <c r="KCV354" s="282"/>
      <c r="KCW354" s="287"/>
      <c r="KCX354" s="282"/>
      <c r="KCY354" s="287"/>
      <c r="KCZ354" s="282"/>
      <c r="KDA354" s="287"/>
      <c r="KDB354" s="282"/>
      <c r="KDC354" s="287"/>
      <c r="KDD354" s="282"/>
      <c r="KDE354" s="287"/>
      <c r="KDF354" s="282"/>
      <c r="KDG354" s="287"/>
      <c r="KDH354" s="282"/>
      <c r="KDI354" s="287"/>
      <c r="KDJ354" s="282"/>
      <c r="KDK354" s="287"/>
      <c r="KDL354" s="282"/>
      <c r="KDM354" s="287"/>
      <c r="KDN354" s="282"/>
      <c r="KDO354" s="287"/>
      <c r="KDP354" s="282"/>
      <c r="KDQ354" s="287"/>
      <c r="KDR354" s="282"/>
      <c r="KDS354" s="287"/>
      <c r="KDT354" s="282"/>
      <c r="KDU354" s="287"/>
      <c r="KDV354" s="282"/>
      <c r="KDW354" s="287"/>
      <c r="KDX354" s="282"/>
      <c r="KDY354" s="287"/>
      <c r="KDZ354" s="282"/>
      <c r="KEA354" s="287"/>
      <c r="KEB354" s="282"/>
      <c r="KEC354" s="287"/>
      <c r="KED354" s="282"/>
      <c r="KEE354" s="287"/>
      <c r="KEF354" s="282"/>
      <c r="KEG354" s="287"/>
      <c r="KEH354" s="282"/>
      <c r="KEI354" s="287"/>
      <c r="KEJ354" s="282"/>
      <c r="KEK354" s="287"/>
      <c r="KEL354" s="282"/>
      <c r="KEM354" s="287"/>
      <c r="KEN354" s="282"/>
      <c r="KEO354" s="287"/>
      <c r="KEP354" s="282"/>
      <c r="KEQ354" s="287"/>
      <c r="KER354" s="282"/>
      <c r="KES354" s="287"/>
      <c r="KET354" s="282"/>
      <c r="KEU354" s="287"/>
      <c r="KEV354" s="282"/>
      <c r="KEW354" s="287"/>
      <c r="KEX354" s="282"/>
      <c r="KEY354" s="287"/>
      <c r="KEZ354" s="282"/>
      <c r="KFA354" s="287"/>
      <c r="KFB354" s="282"/>
      <c r="KFC354" s="287"/>
      <c r="KFD354" s="282"/>
      <c r="KFE354" s="287"/>
      <c r="KFF354" s="282"/>
      <c r="KFG354" s="287"/>
      <c r="KFH354" s="282"/>
      <c r="KFI354" s="287"/>
      <c r="KFJ354" s="282"/>
      <c r="KFK354" s="287"/>
      <c r="KFL354" s="282"/>
      <c r="KFM354" s="287"/>
      <c r="KFN354" s="282"/>
      <c r="KFO354" s="287"/>
      <c r="KFP354" s="282"/>
      <c r="KFQ354" s="287"/>
      <c r="KFR354" s="282"/>
      <c r="KFS354" s="287"/>
      <c r="KFT354" s="282"/>
      <c r="KFU354" s="287"/>
      <c r="KFV354" s="282"/>
      <c r="KFW354" s="287"/>
      <c r="KFX354" s="282"/>
      <c r="KFY354" s="287"/>
      <c r="KFZ354" s="282"/>
      <c r="KGA354" s="287"/>
      <c r="KGB354" s="282"/>
      <c r="KGC354" s="287"/>
      <c r="KGD354" s="282"/>
      <c r="KGE354" s="287"/>
      <c r="KGF354" s="282"/>
      <c r="KGG354" s="287"/>
      <c r="KGH354" s="282"/>
      <c r="KGI354" s="287"/>
      <c r="KGJ354" s="282"/>
      <c r="KGK354" s="287"/>
      <c r="KGL354" s="282"/>
      <c r="KGM354" s="287"/>
      <c r="KGN354" s="282"/>
      <c r="KGO354" s="287"/>
      <c r="KGP354" s="282"/>
      <c r="KGQ354" s="287"/>
      <c r="KGR354" s="282"/>
      <c r="KGS354" s="287"/>
      <c r="KGT354" s="282"/>
      <c r="KGU354" s="287"/>
      <c r="KGV354" s="282"/>
      <c r="KGW354" s="287"/>
      <c r="KGX354" s="282"/>
      <c r="KGY354" s="287"/>
      <c r="KGZ354" s="282"/>
      <c r="KHA354" s="287"/>
      <c r="KHB354" s="282"/>
      <c r="KHC354" s="287"/>
      <c r="KHD354" s="282"/>
      <c r="KHE354" s="287"/>
      <c r="KHF354" s="282"/>
      <c r="KHG354" s="287"/>
      <c r="KHH354" s="282"/>
      <c r="KHI354" s="287"/>
      <c r="KHJ354" s="282"/>
      <c r="KHK354" s="287"/>
      <c r="KHL354" s="282"/>
      <c r="KHM354" s="287"/>
      <c r="KHN354" s="282"/>
      <c r="KHO354" s="287"/>
      <c r="KHP354" s="282"/>
      <c r="KHQ354" s="287"/>
      <c r="KHR354" s="282"/>
      <c r="KHS354" s="287"/>
      <c r="KHT354" s="282"/>
      <c r="KHU354" s="287"/>
      <c r="KHV354" s="282"/>
      <c r="KHW354" s="287"/>
      <c r="KHX354" s="282"/>
      <c r="KHY354" s="287"/>
      <c r="KHZ354" s="282"/>
      <c r="KIA354" s="287"/>
      <c r="KIB354" s="282"/>
      <c r="KIC354" s="287"/>
      <c r="KID354" s="282"/>
      <c r="KIE354" s="287"/>
      <c r="KIF354" s="282"/>
      <c r="KIG354" s="287"/>
      <c r="KIH354" s="282"/>
      <c r="KII354" s="287"/>
      <c r="KIJ354" s="282"/>
      <c r="KIK354" s="287"/>
      <c r="KIL354" s="282"/>
      <c r="KIM354" s="287"/>
      <c r="KIN354" s="282"/>
      <c r="KIO354" s="287"/>
      <c r="KIP354" s="282"/>
      <c r="KIQ354" s="287"/>
      <c r="KIR354" s="282"/>
      <c r="KIS354" s="287"/>
      <c r="KIT354" s="282"/>
      <c r="KIU354" s="287"/>
      <c r="KIV354" s="282"/>
      <c r="KIW354" s="287"/>
      <c r="KIX354" s="282"/>
      <c r="KIY354" s="287"/>
      <c r="KIZ354" s="282"/>
      <c r="KJA354" s="287"/>
      <c r="KJB354" s="282"/>
      <c r="KJC354" s="287"/>
      <c r="KJD354" s="282"/>
      <c r="KJE354" s="287"/>
      <c r="KJF354" s="282"/>
      <c r="KJG354" s="287"/>
      <c r="KJH354" s="282"/>
      <c r="KJI354" s="287"/>
      <c r="KJJ354" s="282"/>
      <c r="KJK354" s="287"/>
      <c r="KJL354" s="282"/>
      <c r="KJM354" s="287"/>
      <c r="KJN354" s="282"/>
      <c r="KJO354" s="287"/>
      <c r="KJP354" s="282"/>
      <c r="KJQ354" s="287"/>
      <c r="KJR354" s="282"/>
      <c r="KJS354" s="287"/>
      <c r="KJT354" s="282"/>
      <c r="KJU354" s="287"/>
      <c r="KJV354" s="282"/>
      <c r="KJW354" s="287"/>
      <c r="KJX354" s="282"/>
      <c r="KJY354" s="287"/>
      <c r="KJZ354" s="282"/>
      <c r="KKA354" s="287"/>
      <c r="KKB354" s="282"/>
      <c r="KKC354" s="287"/>
      <c r="KKD354" s="282"/>
      <c r="KKE354" s="287"/>
      <c r="KKF354" s="282"/>
      <c r="KKG354" s="287"/>
      <c r="KKH354" s="282"/>
      <c r="KKI354" s="287"/>
      <c r="KKJ354" s="282"/>
      <c r="KKK354" s="287"/>
      <c r="KKL354" s="282"/>
      <c r="KKM354" s="287"/>
      <c r="KKN354" s="282"/>
      <c r="KKO354" s="287"/>
      <c r="KKP354" s="282"/>
      <c r="KKQ354" s="287"/>
      <c r="KKR354" s="282"/>
      <c r="KKS354" s="287"/>
      <c r="KKT354" s="282"/>
      <c r="KKU354" s="287"/>
      <c r="KKV354" s="282"/>
      <c r="KKW354" s="287"/>
      <c r="KKX354" s="282"/>
      <c r="KKY354" s="287"/>
      <c r="KKZ354" s="282"/>
      <c r="KLA354" s="287"/>
      <c r="KLB354" s="282"/>
      <c r="KLC354" s="287"/>
      <c r="KLD354" s="282"/>
      <c r="KLE354" s="287"/>
      <c r="KLF354" s="282"/>
      <c r="KLG354" s="287"/>
      <c r="KLH354" s="282"/>
      <c r="KLI354" s="287"/>
      <c r="KLJ354" s="282"/>
      <c r="KLK354" s="287"/>
      <c r="KLL354" s="282"/>
      <c r="KLM354" s="287"/>
      <c r="KLN354" s="282"/>
      <c r="KLO354" s="287"/>
      <c r="KLP354" s="282"/>
      <c r="KLQ354" s="287"/>
      <c r="KLR354" s="282"/>
      <c r="KLS354" s="287"/>
      <c r="KLT354" s="282"/>
      <c r="KLU354" s="287"/>
      <c r="KLV354" s="282"/>
      <c r="KLW354" s="287"/>
      <c r="KLX354" s="282"/>
      <c r="KLY354" s="287"/>
      <c r="KLZ354" s="282"/>
      <c r="KMA354" s="287"/>
      <c r="KMB354" s="282"/>
      <c r="KMC354" s="287"/>
      <c r="KMD354" s="282"/>
      <c r="KME354" s="287"/>
      <c r="KMF354" s="282"/>
      <c r="KMG354" s="287"/>
      <c r="KMH354" s="282"/>
      <c r="KMI354" s="287"/>
      <c r="KMJ354" s="282"/>
      <c r="KMK354" s="287"/>
      <c r="KML354" s="282"/>
      <c r="KMM354" s="287"/>
      <c r="KMN354" s="282"/>
      <c r="KMO354" s="287"/>
      <c r="KMP354" s="282"/>
      <c r="KMQ354" s="287"/>
      <c r="KMR354" s="282"/>
      <c r="KMS354" s="287"/>
      <c r="KMT354" s="282"/>
      <c r="KMU354" s="287"/>
      <c r="KMV354" s="282"/>
      <c r="KMW354" s="287"/>
      <c r="KMX354" s="282"/>
      <c r="KMY354" s="287"/>
      <c r="KMZ354" s="282"/>
      <c r="KNA354" s="287"/>
      <c r="KNB354" s="282"/>
      <c r="KNC354" s="287"/>
      <c r="KND354" s="282"/>
      <c r="KNE354" s="287"/>
      <c r="KNF354" s="282"/>
      <c r="KNG354" s="287"/>
      <c r="KNH354" s="282"/>
      <c r="KNI354" s="287"/>
      <c r="KNJ354" s="282"/>
      <c r="KNK354" s="287"/>
      <c r="KNL354" s="282"/>
      <c r="KNM354" s="287"/>
      <c r="KNN354" s="282"/>
      <c r="KNO354" s="287"/>
      <c r="KNP354" s="282"/>
      <c r="KNQ354" s="287"/>
      <c r="KNR354" s="282"/>
      <c r="KNS354" s="287"/>
      <c r="KNT354" s="282"/>
      <c r="KNU354" s="287"/>
      <c r="KNV354" s="282"/>
      <c r="KNW354" s="287"/>
      <c r="KNX354" s="282"/>
      <c r="KNY354" s="287"/>
      <c r="KNZ354" s="282"/>
      <c r="KOA354" s="287"/>
      <c r="KOB354" s="282"/>
      <c r="KOC354" s="287"/>
      <c r="KOD354" s="282"/>
      <c r="KOE354" s="287"/>
      <c r="KOF354" s="282"/>
      <c r="KOG354" s="287"/>
      <c r="KOH354" s="282"/>
      <c r="KOI354" s="287"/>
      <c r="KOJ354" s="282"/>
      <c r="KOK354" s="287"/>
      <c r="KOL354" s="282"/>
      <c r="KOM354" s="287"/>
      <c r="KON354" s="282"/>
      <c r="KOO354" s="287"/>
      <c r="KOP354" s="282"/>
      <c r="KOQ354" s="287"/>
      <c r="KOR354" s="282"/>
      <c r="KOS354" s="287"/>
      <c r="KOT354" s="282"/>
      <c r="KOU354" s="287"/>
      <c r="KOV354" s="282"/>
      <c r="KOW354" s="287"/>
      <c r="KOX354" s="282"/>
      <c r="KOY354" s="287"/>
      <c r="KOZ354" s="282"/>
      <c r="KPA354" s="287"/>
      <c r="KPB354" s="282"/>
      <c r="KPC354" s="287"/>
      <c r="KPD354" s="282"/>
      <c r="KPE354" s="287"/>
      <c r="KPF354" s="282"/>
      <c r="KPG354" s="287"/>
      <c r="KPH354" s="282"/>
      <c r="KPI354" s="287"/>
      <c r="KPJ354" s="282"/>
      <c r="KPK354" s="287"/>
      <c r="KPL354" s="282"/>
      <c r="KPM354" s="287"/>
      <c r="KPN354" s="282"/>
      <c r="KPO354" s="287"/>
      <c r="KPP354" s="282"/>
      <c r="KPQ354" s="287"/>
      <c r="KPR354" s="282"/>
      <c r="KPS354" s="287"/>
      <c r="KPT354" s="282"/>
      <c r="KPU354" s="287"/>
      <c r="KPV354" s="282"/>
      <c r="KPW354" s="287"/>
      <c r="KPX354" s="282"/>
      <c r="KPY354" s="287"/>
      <c r="KPZ354" s="282"/>
      <c r="KQA354" s="287"/>
      <c r="KQB354" s="282"/>
      <c r="KQC354" s="287"/>
      <c r="KQD354" s="282"/>
      <c r="KQE354" s="287"/>
      <c r="KQF354" s="282"/>
      <c r="KQG354" s="287"/>
      <c r="KQH354" s="282"/>
      <c r="KQI354" s="287"/>
      <c r="KQJ354" s="282"/>
      <c r="KQK354" s="287"/>
      <c r="KQL354" s="282"/>
      <c r="KQM354" s="287"/>
      <c r="KQN354" s="282"/>
      <c r="KQO354" s="287"/>
      <c r="KQP354" s="282"/>
      <c r="KQQ354" s="287"/>
      <c r="KQR354" s="282"/>
      <c r="KQS354" s="287"/>
      <c r="KQT354" s="282"/>
      <c r="KQU354" s="287"/>
      <c r="KQV354" s="282"/>
      <c r="KQW354" s="287"/>
      <c r="KQX354" s="282"/>
      <c r="KQY354" s="287"/>
      <c r="KQZ354" s="282"/>
      <c r="KRA354" s="287"/>
      <c r="KRB354" s="282"/>
      <c r="KRC354" s="287"/>
      <c r="KRD354" s="282"/>
      <c r="KRE354" s="287"/>
      <c r="KRF354" s="282"/>
      <c r="KRG354" s="287"/>
      <c r="KRH354" s="282"/>
      <c r="KRI354" s="287"/>
      <c r="KRJ354" s="282"/>
      <c r="KRK354" s="287"/>
      <c r="KRL354" s="282"/>
      <c r="KRM354" s="287"/>
      <c r="KRN354" s="282"/>
      <c r="KRO354" s="287"/>
      <c r="KRP354" s="282"/>
      <c r="KRQ354" s="287"/>
      <c r="KRR354" s="282"/>
      <c r="KRS354" s="287"/>
      <c r="KRT354" s="282"/>
      <c r="KRU354" s="287"/>
      <c r="KRV354" s="282"/>
      <c r="KRW354" s="287"/>
      <c r="KRX354" s="282"/>
      <c r="KRY354" s="287"/>
      <c r="KRZ354" s="282"/>
      <c r="KSA354" s="287"/>
      <c r="KSB354" s="282"/>
      <c r="KSC354" s="287"/>
      <c r="KSD354" s="282"/>
      <c r="KSE354" s="287"/>
      <c r="KSF354" s="282"/>
      <c r="KSG354" s="287"/>
      <c r="KSH354" s="282"/>
      <c r="KSI354" s="287"/>
      <c r="KSJ354" s="282"/>
      <c r="KSK354" s="287"/>
      <c r="KSL354" s="282"/>
      <c r="KSM354" s="287"/>
      <c r="KSN354" s="282"/>
      <c r="KSO354" s="287"/>
      <c r="KSP354" s="282"/>
      <c r="KSQ354" s="287"/>
      <c r="KSR354" s="282"/>
      <c r="KSS354" s="287"/>
      <c r="KST354" s="282"/>
      <c r="KSU354" s="287"/>
      <c r="KSV354" s="282"/>
      <c r="KSW354" s="287"/>
      <c r="KSX354" s="282"/>
      <c r="KSY354" s="287"/>
      <c r="KSZ354" s="282"/>
      <c r="KTA354" s="287"/>
      <c r="KTB354" s="282"/>
      <c r="KTC354" s="287"/>
      <c r="KTD354" s="282"/>
      <c r="KTE354" s="287"/>
      <c r="KTF354" s="282"/>
      <c r="KTG354" s="287"/>
      <c r="KTH354" s="282"/>
      <c r="KTI354" s="287"/>
      <c r="KTJ354" s="282"/>
      <c r="KTK354" s="287"/>
      <c r="KTL354" s="282"/>
      <c r="KTM354" s="287"/>
      <c r="KTN354" s="282"/>
      <c r="KTO354" s="287"/>
      <c r="KTP354" s="282"/>
      <c r="KTQ354" s="287"/>
      <c r="KTR354" s="282"/>
      <c r="KTS354" s="287"/>
      <c r="KTT354" s="282"/>
      <c r="KTU354" s="287"/>
      <c r="KTV354" s="282"/>
      <c r="KTW354" s="287"/>
      <c r="KTX354" s="282"/>
      <c r="KTY354" s="287"/>
      <c r="KTZ354" s="282"/>
      <c r="KUA354" s="287"/>
      <c r="KUB354" s="282"/>
      <c r="KUC354" s="287"/>
      <c r="KUD354" s="282"/>
      <c r="KUE354" s="287"/>
      <c r="KUF354" s="282"/>
      <c r="KUG354" s="287"/>
      <c r="KUH354" s="282"/>
      <c r="KUI354" s="287"/>
      <c r="KUJ354" s="282"/>
      <c r="KUK354" s="287"/>
      <c r="KUL354" s="282"/>
      <c r="KUM354" s="287"/>
      <c r="KUN354" s="282"/>
      <c r="KUO354" s="287"/>
      <c r="KUP354" s="282"/>
      <c r="KUQ354" s="287"/>
      <c r="KUR354" s="282"/>
      <c r="KUS354" s="287"/>
      <c r="KUT354" s="282"/>
      <c r="KUU354" s="287"/>
      <c r="KUV354" s="282"/>
      <c r="KUW354" s="287"/>
      <c r="KUX354" s="282"/>
      <c r="KUY354" s="287"/>
      <c r="KUZ354" s="282"/>
      <c r="KVA354" s="287"/>
      <c r="KVB354" s="282"/>
      <c r="KVC354" s="287"/>
      <c r="KVD354" s="282"/>
      <c r="KVE354" s="287"/>
      <c r="KVF354" s="282"/>
      <c r="KVG354" s="287"/>
      <c r="KVH354" s="282"/>
      <c r="KVI354" s="287"/>
      <c r="KVJ354" s="282"/>
      <c r="KVK354" s="287"/>
      <c r="KVL354" s="282"/>
      <c r="KVM354" s="287"/>
      <c r="KVN354" s="282"/>
      <c r="KVO354" s="287"/>
      <c r="KVP354" s="282"/>
      <c r="KVQ354" s="287"/>
      <c r="KVR354" s="282"/>
      <c r="KVS354" s="287"/>
      <c r="KVT354" s="282"/>
      <c r="KVU354" s="287"/>
      <c r="KVV354" s="282"/>
      <c r="KVW354" s="287"/>
      <c r="KVX354" s="282"/>
      <c r="KVY354" s="287"/>
      <c r="KVZ354" s="282"/>
      <c r="KWA354" s="287"/>
      <c r="KWB354" s="282"/>
      <c r="KWC354" s="287"/>
      <c r="KWD354" s="282"/>
      <c r="KWE354" s="287"/>
      <c r="KWF354" s="282"/>
      <c r="KWG354" s="287"/>
      <c r="KWH354" s="282"/>
      <c r="KWI354" s="287"/>
      <c r="KWJ354" s="282"/>
      <c r="KWK354" s="287"/>
      <c r="KWL354" s="282"/>
      <c r="KWM354" s="287"/>
      <c r="KWN354" s="282"/>
      <c r="KWO354" s="287"/>
      <c r="KWP354" s="282"/>
      <c r="KWQ354" s="287"/>
      <c r="KWR354" s="282"/>
      <c r="KWS354" s="287"/>
      <c r="KWT354" s="282"/>
      <c r="KWU354" s="287"/>
      <c r="KWV354" s="282"/>
      <c r="KWW354" s="287"/>
      <c r="KWX354" s="282"/>
      <c r="KWY354" s="287"/>
      <c r="KWZ354" s="282"/>
      <c r="KXA354" s="287"/>
      <c r="KXB354" s="282"/>
      <c r="KXC354" s="287"/>
      <c r="KXD354" s="282"/>
      <c r="KXE354" s="287"/>
      <c r="KXF354" s="282"/>
      <c r="KXG354" s="287"/>
      <c r="KXH354" s="282"/>
      <c r="KXI354" s="287"/>
      <c r="KXJ354" s="282"/>
      <c r="KXK354" s="287"/>
      <c r="KXL354" s="282"/>
      <c r="KXM354" s="287"/>
      <c r="KXN354" s="282"/>
      <c r="KXO354" s="287"/>
      <c r="KXP354" s="282"/>
      <c r="KXQ354" s="287"/>
      <c r="KXR354" s="282"/>
      <c r="KXS354" s="287"/>
      <c r="KXT354" s="282"/>
      <c r="KXU354" s="287"/>
      <c r="KXV354" s="282"/>
      <c r="KXW354" s="287"/>
      <c r="KXX354" s="282"/>
      <c r="KXY354" s="287"/>
      <c r="KXZ354" s="282"/>
      <c r="KYA354" s="287"/>
      <c r="KYB354" s="282"/>
      <c r="KYC354" s="287"/>
      <c r="KYD354" s="282"/>
      <c r="KYE354" s="287"/>
      <c r="KYF354" s="282"/>
      <c r="KYG354" s="287"/>
      <c r="KYH354" s="282"/>
      <c r="KYI354" s="287"/>
      <c r="KYJ354" s="282"/>
      <c r="KYK354" s="287"/>
      <c r="KYL354" s="282"/>
      <c r="KYM354" s="287"/>
      <c r="KYN354" s="282"/>
      <c r="KYO354" s="287"/>
      <c r="KYP354" s="282"/>
      <c r="KYQ354" s="287"/>
      <c r="KYR354" s="282"/>
      <c r="KYS354" s="287"/>
      <c r="KYT354" s="282"/>
      <c r="KYU354" s="287"/>
      <c r="KYV354" s="282"/>
      <c r="KYW354" s="287"/>
      <c r="KYX354" s="282"/>
      <c r="KYY354" s="287"/>
      <c r="KYZ354" s="282"/>
      <c r="KZA354" s="287"/>
      <c r="KZB354" s="282"/>
      <c r="KZC354" s="287"/>
      <c r="KZD354" s="282"/>
      <c r="KZE354" s="287"/>
      <c r="KZF354" s="282"/>
      <c r="KZG354" s="287"/>
      <c r="KZH354" s="282"/>
      <c r="KZI354" s="287"/>
      <c r="KZJ354" s="282"/>
      <c r="KZK354" s="287"/>
      <c r="KZL354" s="282"/>
      <c r="KZM354" s="287"/>
      <c r="KZN354" s="282"/>
      <c r="KZO354" s="287"/>
      <c r="KZP354" s="282"/>
      <c r="KZQ354" s="287"/>
      <c r="KZR354" s="282"/>
      <c r="KZS354" s="287"/>
      <c r="KZT354" s="282"/>
      <c r="KZU354" s="287"/>
      <c r="KZV354" s="282"/>
      <c r="KZW354" s="287"/>
      <c r="KZX354" s="282"/>
      <c r="KZY354" s="287"/>
      <c r="KZZ354" s="282"/>
      <c r="LAA354" s="287"/>
      <c r="LAB354" s="282"/>
      <c r="LAC354" s="287"/>
      <c r="LAD354" s="282"/>
      <c r="LAE354" s="287"/>
      <c r="LAF354" s="282"/>
      <c r="LAG354" s="287"/>
      <c r="LAH354" s="282"/>
      <c r="LAI354" s="287"/>
      <c r="LAJ354" s="282"/>
      <c r="LAK354" s="287"/>
      <c r="LAL354" s="282"/>
      <c r="LAM354" s="287"/>
      <c r="LAN354" s="282"/>
      <c r="LAO354" s="287"/>
      <c r="LAP354" s="282"/>
      <c r="LAQ354" s="287"/>
      <c r="LAR354" s="282"/>
      <c r="LAS354" s="287"/>
      <c r="LAT354" s="282"/>
      <c r="LAU354" s="287"/>
      <c r="LAV354" s="282"/>
      <c r="LAW354" s="287"/>
      <c r="LAX354" s="282"/>
      <c r="LAY354" s="287"/>
      <c r="LAZ354" s="282"/>
      <c r="LBA354" s="287"/>
      <c r="LBB354" s="282"/>
      <c r="LBC354" s="287"/>
      <c r="LBD354" s="282"/>
      <c r="LBE354" s="287"/>
      <c r="LBF354" s="282"/>
      <c r="LBG354" s="287"/>
      <c r="LBH354" s="282"/>
      <c r="LBI354" s="287"/>
      <c r="LBJ354" s="282"/>
      <c r="LBK354" s="287"/>
      <c r="LBL354" s="282"/>
      <c r="LBM354" s="287"/>
      <c r="LBN354" s="282"/>
      <c r="LBO354" s="287"/>
      <c r="LBP354" s="282"/>
      <c r="LBQ354" s="287"/>
      <c r="LBR354" s="282"/>
      <c r="LBS354" s="287"/>
      <c r="LBT354" s="282"/>
      <c r="LBU354" s="287"/>
      <c r="LBV354" s="282"/>
      <c r="LBW354" s="287"/>
      <c r="LBX354" s="282"/>
      <c r="LBY354" s="287"/>
      <c r="LBZ354" s="282"/>
      <c r="LCA354" s="287"/>
      <c r="LCB354" s="282"/>
      <c r="LCC354" s="287"/>
      <c r="LCD354" s="282"/>
      <c r="LCE354" s="287"/>
      <c r="LCF354" s="282"/>
      <c r="LCG354" s="287"/>
      <c r="LCH354" s="282"/>
      <c r="LCI354" s="287"/>
      <c r="LCJ354" s="282"/>
      <c r="LCK354" s="287"/>
      <c r="LCL354" s="282"/>
      <c r="LCM354" s="287"/>
      <c r="LCN354" s="282"/>
      <c r="LCO354" s="287"/>
      <c r="LCP354" s="282"/>
      <c r="LCQ354" s="287"/>
      <c r="LCR354" s="282"/>
      <c r="LCS354" s="287"/>
      <c r="LCT354" s="282"/>
      <c r="LCU354" s="287"/>
      <c r="LCV354" s="282"/>
      <c r="LCW354" s="287"/>
      <c r="LCX354" s="282"/>
      <c r="LCY354" s="287"/>
      <c r="LCZ354" s="282"/>
      <c r="LDA354" s="287"/>
      <c r="LDB354" s="282"/>
      <c r="LDC354" s="287"/>
      <c r="LDD354" s="282"/>
      <c r="LDE354" s="287"/>
      <c r="LDF354" s="282"/>
      <c r="LDG354" s="287"/>
      <c r="LDH354" s="282"/>
      <c r="LDI354" s="287"/>
      <c r="LDJ354" s="282"/>
      <c r="LDK354" s="287"/>
      <c r="LDL354" s="282"/>
      <c r="LDM354" s="287"/>
      <c r="LDN354" s="282"/>
      <c r="LDO354" s="287"/>
      <c r="LDP354" s="282"/>
      <c r="LDQ354" s="287"/>
      <c r="LDR354" s="282"/>
      <c r="LDS354" s="287"/>
      <c r="LDT354" s="282"/>
      <c r="LDU354" s="287"/>
      <c r="LDV354" s="282"/>
      <c r="LDW354" s="287"/>
      <c r="LDX354" s="282"/>
      <c r="LDY354" s="287"/>
      <c r="LDZ354" s="282"/>
      <c r="LEA354" s="287"/>
      <c r="LEB354" s="282"/>
      <c r="LEC354" s="287"/>
      <c r="LED354" s="282"/>
      <c r="LEE354" s="287"/>
      <c r="LEF354" s="282"/>
      <c r="LEG354" s="287"/>
      <c r="LEH354" s="282"/>
      <c r="LEI354" s="287"/>
      <c r="LEJ354" s="282"/>
      <c r="LEK354" s="287"/>
      <c r="LEL354" s="282"/>
      <c r="LEM354" s="287"/>
      <c r="LEN354" s="282"/>
      <c r="LEO354" s="287"/>
      <c r="LEP354" s="282"/>
      <c r="LEQ354" s="287"/>
      <c r="LER354" s="282"/>
      <c r="LES354" s="287"/>
      <c r="LET354" s="282"/>
      <c r="LEU354" s="287"/>
      <c r="LEV354" s="282"/>
      <c r="LEW354" s="287"/>
      <c r="LEX354" s="282"/>
      <c r="LEY354" s="287"/>
      <c r="LEZ354" s="282"/>
      <c r="LFA354" s="287"/>
      <c r="LFB354" s="282"/>
      <c r="LFC354" s="287"/>
      <c r="LFD354" s="282"/>
      <c r="LFE354" s="287"/>
      <c r="LFF354" s="282"/>
      <c r="LFG354" s="287"/>
      <c r="LFH354" s="282"/>
      <c r="LFI354" s="287"/>
      <c r="LFJ354" s="282"/>
      <c r="LFK354" s="287"/>
      <c r="LFL354" s="282"/>
      <c r="LFM354" s="287"/>
      <c r="LFN354" s="282"/>
      <c r="LFO354" s="287"/>
      <c r="LFP354" s="282"/>
      <c r="LFQ354" s="287"/>
      <c r="LFR354" s="282"/>
      <c r="LFS354" s="287"/>
      <c r="LFT354" s="282"/>
      <c r="LFU354" s="287"/>
      <c r="LFV354" s="282"/>
      <c r="LFW354" s="287"/>
      <c r="LFX354" s="282"/>
      <c r="LFY354" s="287"/>
      <c r="LFZ354" s="282"/>
      <c r="LGA354" s="287"/>
      <c r="LGB354" s="282"/>
      <c r="LGC354" s="287"/>
      <c r="LGD354" s="282"/>
      <c r="LGE354" s="287"/>
      <c r="LGF354" s="282"/>
      <c r="LGG354" s="287"/>
      <c r="LGH354" s="282"/>
      <c r="LGI354" s="287"/>
      <c r="LGJ354" s="282"/>
      <c r="LGK354" s="287"/>
      <c r="LGL354" s="282"/>
      <c r="LGM354" s="287"/>
      <c r="LGN354" s="282"/>
      <c r="LGO354" s="287"/>
      <c r="LGP354" s="282"/>
      <c r="LGQ354" s="287"/>
      <c r="LGR354" s="282"/>
      <c r="LGS354" s="287"/>
      <c r="LGT354" s="282"/>
      <c r="LGU354" s="287"/>
      <c r="LGV354" s="282"/>
      <c r="LGW354" s="287"/>
      <c r="LGX354" s="282"/>
      <c r="LGY354" s="287"/>
      <c r="LGZ354" s="282"/>
      <c r="LHA354" s="287"/>
      <c r="LHB354" s="282"/>
      <c r="LHC354" s="287"/>
      <c r="LHD354" s="282"/>
      <c r="LHE354" s="287"/>
      <c r="LHF354" s="282"/>
      <c r="LHG354" s="287"/>
      <c r="LHH354" s="282"/>
      <c r="LHI354" s="287"/>
      <c r="LHJ354" s="282"/>
      <c r="LHK354" s="287"/>
      <c r="LHL354" s="282"/>
      <c r="LHM354" s="287"/>
      <c r="LHN354" s="282"/>
      <c r="LHO354" s="287"/>
      <c r="LHP354" s="282"/>
      <c r="LHQ354" s="287"/>
      <c r="LHR354" s="282"/>
      <c r="LHS354" s="287"/>
      <c r="LHT354" s="282"/>
      <c r="LHU354" s="287"/>
      <c r="LHV354" s="282"/>
      <c r="LHW354" s="287"/>
      <c r="LHX354" s="282"/>
      <c r="LHY354" s="287"/>
      <c r="LHZ354" s="282"/>
      <c r="LIA354" s="287"/>
      <c r="LIB354" s="282"/>
      <c r="LIC354" s="287"/>
      <c r="LID354" s="282"/>
      <c r="LIE354" s="287"/>
      <c r="LIF354" s="282"/>
      <c r="LIG354" s="287"/>
      <c r="LIH354" s="282"/>
      <c r="LII354" s="287"/>
      <c r="LIJ354" s="282"/>
      <c r="LIK354" s="287"/>
      <c r="LIL354" s="282"/>
      <c r="LIM354" s="287"/>
      <c r="LIN354" s="282"/>
      <c r="LIO354" s="287"/>
      <c r="LIP354" s="282"/>
      <c r="LIQ354" s="287"/>
      <c r="LIR354" s="282"/>
      <c r="LIS354" s="287"/>
      <c r="LIT354" s="282"/>
      <c r="LIU354" s="287"/>
      <c r="LIV354" s="282"/>
      <c r="LIW354" s="287"/>
      <c r="LIX354" s="282"/>
      <c r="LIY354" s="287"/>
      <c r="LIZ354" s="282"/>
      <c r="LJA354" s="287"/>
      <c r="LJB354" s="282"/>
      <c r="LJC354" s="287"/>
      <c r="LJD354" s="282"/>
      <c r="LJE354" s="287"/>
      <c r="LJF354" s="282"/>
      <c r="LJG354" s="287"/>
      <c r="LJH354" s="282"/>
      <c r="LJI354" s="287"/>
      <c r="LJJ354" s="282"/>
      <c r="LJK354" s="287"/>
      <c r="LJL354" s="282"/>
      <c r="LJM354" s="287"/>
      <c r="LJN354" s="282"/>
      <c r="LJO354" s="287"/>
      <c r="LJP354" s="282"/>
      <c r="LJQ354" s="287"/>
      <c r="LJR354" s="282"/>
      <c r="LJS354" s="287"/>
      <c r="LJT354" s="282"/>
      <c r="LJU354" s="287"/>
      <c r="LJV354" s="282"/>
      <c r="LJW354" s="287"/>
      <c r="LJX354" s="282"/>
      <c r="LJY354" s="287"/>
      <c r="LJZ354" s="282"/>
      <c r="LKA354" s="287"/>
      <c r="LKB354" s="282"/>
      <c r="LKC354" s="287"/>
      <c r="LKD354" s="282"/>
      <c r="LKE354" s="287"/>
      <c r="LKF354" s="282"/>
      <c r="LKG354" s="287"/>
      <c r="LKH354" s="282"/>
      <c r="LKI354" s="287"/>
      <c r="LKJ354" s="282"/>
      <c r="LKK354" s="287"/>
      <c r="LKL354" s="282"/>
      <c r="LKM354" s="287"/>
      <c r="LKN354" s="282"/>
      <c r="LKO354" s="287"/>
      <c r="LKP354" s="282"/>
      <c r="LKQ354" s="287"/>
      <c r="LKR354" s="282"/>
      <c r="LKS354" s="287"/>
      <c r="LKT354" s="282"/>
      <c r="LKU354" s="287"/>
      <c r="LKV354" s="282"/>
      <c r="LKW354" s="287"/>
      <c r="LKX354" s="282"/>
      <c r="LKY354" s="287"/>
      <c r="LKZ354" s="282"/>
      <c r="LLA354" s="287"/>
      <c r="LLB354" s="282"/>
      <c r="LLC354" s="287"/>
      <c r="LLD354" s="282"/>
      <c r="LLE354" s="287"/>
      <c r="LLF354" s="282"/>
      <c r="LLG354" s="287"/>
      <c r="LLH354" s="282"/>
      <c r="LLI354" s="287"/>
      <c r="LLJ354" s="282"/>
      <c r="LLK354" s="287"/>
      <c r="LLL354" s="282"/>
      <c r="LLM354" s="287"/>
      <c r="LLN354" s="282"/>
      <c r="LLO354" s="287"/>
      <c r="LLP354" s="282"/>
      <c r="LLQ354" s="287"/>
      <c r="LLR354" s="282"/>
      <c r="LLS354" s="287"/>
      <c r="LLT354" s="282"/>
      <c r="LLU354" s="287"/>
      <c r="LLV354" s="282"/>
      <c r="LLW354" s="287"/>
      <c r="LLX354" s="282"/>
      <c r="LLY354" s="287"/>
      <c r="LLZ354" s="282"/>
      <c r="LMA354" s="287"/>
      <c r="LMB354" s="282"/>
      <c r="LMC354" s="287"/>
      <c r="LMD354" s="282"/>
      <c r="LME354" s="287"/>
      <c r="LMF354" s="282"/>
      <c r="LMG354" s="287"/>
      <c r="LMH354" s="282"/>
      <c r="LMI354" s="287"/>
      <c r="LMJ354" s="282"/>
      <c r="LMK354" s="287"/>
      <c r="LML354" s="282"/>
      <c r="LMM354" s="287"/>
      <c r="LMN354" s="282"/>
      <c r="LMO354" s="287"/>
      <c r="LMP354" s="282"/>
      <c r="LMQ354" s="287"/>
      <c r="LMR354" s="282"/>
      <c r="LMS354" s="287"/>
      <c r="LMT354" s="282"/>
      <c r="LMU354" s="287"/>
      <c r="LMV354" s="282"/>
      <c r="LMW354" s="287"/>
      <c r="LMX354" s="282"/>
      <c r="LMY354" s="287"/>
      <c r="LMZ354" s="282"/>
      <c r="LNA354" s="287"/>
      <c r="LNB354" s="282"/>
      <c r="LNC354" s="287"/>
      <c r="LND354" s="282"/>
      <c r="LNE354" s="287"/>
      <c r="LNF354" s="282"/>
      <c r="LNG354" s="287"/>
      <c r="LNH354" s="282"/>
      <c r="LNI354" s="287"/>
      <c r="LNJ354" s="282"/>
      <c r="LNK354" s="287"/>
      <c r="LNL354" s="282"/>
      <c r="LNM354" s="287"/>
      <c r="LNN354" s="282"/>
      <c r="LNO354" s="287"/>
      <c r="LNP354" s="282"/>
      <c r="LNQ354" s="287"/>
      <c r="LNR354" s="282"/>
      <c r="LNS354" s="287"/>
      <c r="LNT354" s="282"/>
      <c r="LNU354" s="287"/>
      <c r="LNV354" s="282"/>
      <c r="LNW354" s="287"/>
      <c r="LNX354" s="282"/>
      <c r="LNY354" s="287"/>
      <c r="LNZ354" s="282"/>
      <c r="LOA354" s="287"/>
      <c r="LOB354" s="282"/>
      <c r="LOC354" s="287"/>
      <c r="LOD354" s="282"/>
      <c r="LOE354" s="287"/>
      <c r="LOF354" s="282"/>
      <c r="LOG354" s="287"/>
      <c r="LOH354" s="282"/>
      <c r="LOI354" s="287"/>
      <c r="LOJ354" s="282"/>
      <c r="LOK354" s="287"/>
      <c r="LOL354" s="282"/>
      <c r="LOM354" s="287"/>
      <c r="LON354" s="282"/>
      <c r="LOO354" s="287"/>
      <c r="LOP354" s="282"/>
      <c r="LOQ354" s="287"/>
      <c r="LOR354" s="282"/>
      <c r="LOS354" s="287"/>
      <c r="LOT354" s="282"/>
      <c r="LOU354" s="287"/>
      <c r="LOV354" s="282"/>
      <c r="LOW354" s="287"/>
      <c r="LOX354" s="282"/>
      <c r="LOY354" s="287"/>
      <c r="LOZ354" s="282"/>
      <c r="LPA354" s="287"/>
      <c r="LPB354" s="282"/>
      <c r="LPC354" s="287"/>
      <c r="LPD354" s="282"/>
      <c r="LPE354" s="287"/>
      <c r="LPF354" s="282"/>
      <c r="LPG354" s="287"/>
      <c r="LPH354" s="282"/>
      <c r="LPI354" s="287"/>
      <c r="LPJ354" s="282"/>
      <c r="LPK354" s="287"/>
      <c r="LPL354" s="282"/>
      <c r="LPM354" s="287"/>
      <c r="LPN354" s="282"/>
      <c r="LPO354" s="287"/>
      <c r="LPP354" s="282"/>
      <c r="LPQ354" s="287"/>
      <c r="LPR354" s="282"/>
      <c r="LPS354" s="287"/>
      <c r="LPT354" s="282"/>
      <c r="LPU354" s="287"/>
      <c r="LPV354" s="282"/>
      <c r="LPW354" s="287"/>
      <c r="LPX354" s="282"/>
      <c r="LPY354" s="287"/>
      <c r="LPZ354" s="282"/>
      <c r="LQA354" s="287"/>
      <c r="LQB354" s="282"/>
      <c r="LQC354" s="287"/>
      <c r="LQD354" s="282"/>
      <c r="LQE354" s="287"/>
      <c r="LQF354" s="282"/>
      <c r="LQG354" s="287"/>
      <c r="LQH354" s="282"/>
      <c r="LQI354" s="287"/>
      <c r="LQJ354" s="282"/>
      <c r="LQK354" s="287"/>
      <c r="LQL354" s="282"/>
      <c r="LQM354" s="287"/>
      <c r="LQN354" s="282"/>
      <c r="LQO354" s="287"/>
      <c r="LQP354" s="282"/>
      <c r="LQQ354" s="287"/>
      <c r="LQR354" s="282"/>
      <c r="LQS354" s="287"/>
      <c r="LQT354" s="282"/>
      <c r="LQU354" s="287"/>
      <c r="LQV354" s="282"/>
      <c r="LQW354" s="287"/>
      <c r="LQX354" s="282"/>
      <c r="LQY354" s="287"/>
      <c r="LQZ354" s="282"/>
      <c r="LRA354" s="287"/>
      <c r="LRB354" s="282"/>
      <c r="LRC354" s="287"/>
      <c r="LRD354" s="282"/>
      <c r="LRE354" s="287"/>
      <c r="LRF354" s="282"/>
      <c r="LRG354" s="287"/>
      <c r="LRH354" s="282"/>
      <c r="LRI354" s="287"/>
      <c r="LRJ354" s="282"/>
      <c r="LRK354" s="287"/>
      <c r="LRL354" s="282"/>
      <c r="LRM354" s="287"/>
      <c r="LRN354" s="282"/>
      <c r="LRO354" s="287"/>
      <c r="LRP354" s="282"/>
      <c r="LRQ354" s="287"/>
      <c r="LRR354" s="282"/>
      <c r="LRS354" s="287"/>
      <c r="LRT354" s="282"/>
      <c r="LRU354" s="287"/>
      <c r="LRV354" s="282"/>
      <c r="LRW354" s="287"/>
      <c r="LRX354" s="282"/>
      <c r="LRY354" s="287"/>
      <c r="LRZ354" s="282"/>
      <c r="LSA354" s="287"/>
      <c r="LSB354" s="282"/>
      <c r="LSC354" s="287"/>
      <c r="LSD354" s="282"/>
      <c r="LSE354" s="287"/>
      <c r="LSF354" s="282"/>
      <c r="LSG354" s="287"/>
      <c r="LSH354" s="282"/>
      <c r="LSI354" s="287"/>
      <c r="LSJ354" s="282"/>
      <c r="LSK354" s="287"/>
      <c r="LSL354" s="282"/>
      <c r="LSM354" s="287"/>
      <c r="LSN354" s="282"/>
      <c r="LSO354" s="287"/>
      <c r="LSP354" s="282"/>
      <c r="LSQ354" s="287"/>
      <c r="LSR354" s="282"/>
      <c r="LSS354" s="287"/>
      <c r="LST354" s="282"/>
      <c r="LSU354" s="287"/>
      <c r="LSV354" s="282"/>
      <c r="LSW354" s="287"/>
      <c r="LSX354" s="282"/>
      <c r="LSY354" s="287"/>
      <c r="LSZ354" s="282"/>
      <c r="LTA354" s="287"/>
      <c r="LTB354" s="282"/>
      <c r="LTC354" s="287"/>
      <c r="LTD354" s="282"/>
      <c r="LTE354" s="287"/>
      <c r="LTF354" s="282"/>
      <c r="LTG354" s="287"/>
      <c r="LTH354" s="282"/>
      <c r="LTI354" s="287"/>
      <c r="LTJ354" s="282"/>
      <c r="LTK354" s="287"/>
      <c r="LTL354" s="282"/>
      <c r="LTM354" s="287"/>
      <c r="LTN354" s="282"/>
      <c r="LTO354" s="287"/>
      <c r="LTP354" s="282"/>
      <c r="LTQ354" s="287"/>
      <c r="LTR354" s="282"/>
      <c r="LTS354" s="287"/>
      <c r="LTT354" s="282"/>
      <c r="LTU354" s="287"/>
      <c r="LTV354" s="282"/>
      <c r="LTW354" s="287"/>
      <c r="LTX354" s="282"/>
      <c r="LTY354" s="287"/>
      <c r="LTZ354" s="282"/>
      <c r="LUA354" s="287"/>
      <c r="LUB354" s="282"/>
      <c r="LUC354" s="287"/>
      <c r="LUD354" s="282"/>
      <c r="LUE354" s="287"/>
      <c r="LUF354" s="282"/>
      <c r="LUG354" s="287"/>
      <c r="LUH354" s="282"/>
      <c r="LUI354" s="287"/>
      <c r="LUJ354" s="282"/>
      <c r="LUK354" s="287"/>
      <c r="LUL354" s="282"/>
      <c r="LUM354" s="287"/>
      <c r="LUN354" s="282"/>
      <c r="LUO354" s="287"/>
      <c r="LUP354" s="282"/>
      <c r="LUQ354" s="287"/>
      <c r="LUR354" s="282"/>
      <c r="LUS354" s="287"/>
      <c r="LUT354" s="282"/>
      <c r="LUU354" s="287"/>
      <c r="LUV354" s="282"/>
      <c r="LUW354" s="287"/>
      <c r="LUX354" s="282"/>
      <c r="LUY354" s="287"/>
      <c r="LUZ354" s="282"/>
      <c r="LVA354" s="287"/>
      <c r="LVB354" s="282"/>
      <c r="LVC354" s="287"/>
      <c r="LVD354" s="282"/>
      <c r="LVE354" s="287"/>
      <c r="LVF354" s="282"/>
      <c r="LVG354" s="287"/>
      <c r="LVH354" s="282"/>
      <c r="LVI354" s="287"/>
      <c r="LVJ354" s="282"/>
      <c r="LVK354" s="287"/>
      <c r="LVL354" s="282"/>
      <c r="LVM354" s="287"/>
      <c r="LVN354" s="282"/>
      <c r="LVO354" s="287"/>
      <c r="LVP354" s="282"/>
      <c r="LVQ354" s="287"/>
      <c r="LVR354" s="282"/>
      <c r="LVS354" s="287"/>
      <c r="LVT354" s="282"/>
      <c r="LVU354" s="287"/>
      <c r="LVV354" s="282"/>
      <c r="LVW354" s="287"/>
      <c r="LVX354" s="282"/>
      <c r="LVY354" s="287"/>
      <c r="LVZ354" s="282"/>
      <c r="LWA354" s="287"/>
      <c r="LWB354" s="282"/>
      <c r="LWC354" s="287"/>
      <c r="LWD354" s="282"/>
      <c r="LWE354" s="287"/>
      <c r="LWF354" s="282"/>
      <c r="LWG354" s="287"/>
      <c r="LWH354" s="282"/>
      <c r="LWI354" s="287"/>
      <c r="LWJ354" s="282"/>
      <c r="LWK354" s="287"/>
      <c r="LWL354" s="282"/>
      <c r="LWM354" s="287"/>
      <c r="LWN354" s="282"/>
      <c r="LWO354" s="287"/>
      <c r="LWP354" s="282"/>
      <c r="LWQ354" s="287"/>
      <c r="LWR354" s="282"/>
      <c r="LWS354" s="287"/>
      <c r="LWT354" s="282"/>
      <c r="LWU354" s="287"/>
      <c r="LWV354" s="282"/>
      <c r="LWW354" s="287"/>
      <c r="LWX354" s="282"/>
      <c r="LWY354" s="287"/>
      <c r="LWZ354" s="282"/>
      <c r="LXA354" s="287"/>
      <c r="LXB354" s="282"/>
      <c r="LXC354" s="287"/>
      <c r="LXD354" s="282"/>
      <c r="LXE354" s="287"/>
      <c r="LXF354" s="282"/>
      <c r="LXG354" s="287"/>
      <c r="LXH354" s="282"/>
      <c r="LXI354" s="287"/>
      <c r="LXJ354" s="282"/>
      <c r="LXK354" s="287"/>
      <c r="LXL354" s="282"/>
      <c r="LXM354" s="287"/>
      <c r="LXN354" s="282"/>
      <c r="LXO354" s="287"/>
      <c r="LXP354" s="282"/>
      <c r="LXQ354" s="287"/>
      <c r="LXR354" s="282"/>
      <c r="LXS354" s="287"/>
      <c r="LXT354" s="282"/>
      <c r="LXU354" s="287"/>
      <c r="LXV354" s="282"/>
      <c r="LXW354" s="287"/>
      <c r="LXX354" s="282"/>
      <c r="LXY354" s="287"/>
      <c r="LXZ354" s="282"/>
      <c r="LYA354" s="287"/>
      <c r="LYB354" s="282"/>
      <c r="LYC354" s="287"/>
      <c r="LYD354" s="282"/>
      <c r="LYE354" s="287"/>
      <c r="LYF354" s="282"/>
      <c r="LYG354" s="287"/>
      <c r="LYH354" s="282"/>
      <c r="LYI354" s="287"/>
      <c r="LYJ354" s="282"/>
      <c r="LYK354" s="287"/>
      <c r="LYL354" s="282"/>
      <c r="LYM354" s="287"/>
      <c r="LYN354" s="282"/>
      <c r="LYO354" s="287"/>
      <c r="LYP354" s="282"/>
      <c r="LYQ354" s="287"/>
      <c r="LYR354" s="282"/>
      <c r="LYS354" s="287"/>
      <c r="LYT354" s="282"/>
      <c r="LYU354" s="287"/>
      <c r="LYV354" s="282"/>
      <c r="LYW354" s="287"/>
      <c r="LYX354" s="282"/>
      <c r="LYY354" s="287"/>
      <c r="LYZ354" s="282"/>
      <c r="LZA354" s="287"/>
      <c r="LZB354" s="282"/>
      <c r="LZC354" s="287"/>
      <c r="LZD354" s="282"/>
      <c r="LZE354" s="287"/>
      <c r="LZF354" s="282"/>
      <c r="LZG354" s="287"/>
      <c r="LZH354" s="282"/>
      <c r="LZI354" s="287"/>
      <c r="LZJ354" s="282"/>
      <c r="LZK354" s="287"/>
      <c r="LZL354" s="282"/>
      <c r="LZM354" s="287"/>
      <c r="LZN354" s="282"/>
      <c r="LZO354" s="287"/>
      <c r="LZP354" s="282"/>
      <c r="LZQ354" s="287"/>
      <c r="LZR354" s="282"/>
      <c r="LZS354" s="287"/>
      <c r="LZT354" s="282"/>
      <c r="LZU354" s="287"/>
      <c r="LZV354" s="282"/>
      <c r="LZW354" s="287"/>
      <c r="LZX354" s="282"/>
      <c r="LZY354" s="287"/>
      <c r="LZZ354" s="282"/>
      <c r="MAA354" s="287"/>
      <c r="MAB354" s="282"/>
      <c r="MAC354" s="287"/>
      <c r="MAD354" s="282"/>
      <c r="MAE354" s="287"/>
      <c r="MAF354" s="282"/>
      <c r="MAG354" s="287"/>
      <c r="MAH354" s="282"/>
      <c r="MAI354" s="287"/>
      <c r="MAJ354" s="282"/>
      <c r="MAK354" s="287"/>
      <c r="MAL354" s="282"/>
      <c r="MAM354" s="287"/>
      <c r="MAN354" s="282"/>
      <c r="MAO354" s="287"/>
      <c r="MAP354" s="282"/>
      <c r="MAQ354" s="287"/>
      <c r="MAR354" s="282"/>
      <c r="MAS354" s="287"/>
      <c r="MAT354" s="282"/>
      <c r="MAU354" s="287"/>
      <c r="MAV354" s="282"/>
      <c r="MAW354" s="287"/>
      <c r="MAX354" s="282"/>
      <c r="MAY354" s="287"/>
      <c r="MAZ354" s="282"/>
      <c r="MBA354" s="287"/>
      <c r="MBB354" s="282"/>
      <c r="MBC354" s="287"/>
      <c r="MBD354" s="282"/>
      <c r="MBE354" s="287"/>
      <c r="MBF354" s="282"/>
      <c r="MBG354" s="287"/>
      <c r="MBH354" s="282"/>
      <c r="MBI354" s="287"/>
      <c r="MBJ354" s="282"/>
      <c r="MBK354" s="287"/>
      <c r="MBL354" s="282"/>
      <c r="MBM354" s="287"/>
      <c r="MBN354" s="282"/>
      <c r="MBO354" s="287"/>
      <c r="MBP354" s="282"/>
      <c r="MBQ354" s="287"/>
      <c r="MBR354" s="282"/>
      <c r="MBS354" s="287"/>
      <c r="MBT354" s="282"/>
      <c r="MBU354" s="287"/>
      <c r="MBV354" s="282"/>
      <c r="MBW354" s="287"/>
      <c r="MBX354" s="282"/>
      <c r="MBY354" s="287"/>
      <c r="MBZ354" s="282"/>
      <c r="MCA354" s="287"/>
      <c r="MCB354" s="282"/>
      <c r="MCC354" s="287"/>
      <c r="MCD354" s="282"/>
      <c r="MCE354" s="287"/>
      <c r="MCF354" s="282"/>
      <c r="MCG354" s="287"/>
      <c r="MCH354" s="282"/>
      <c r="MCI354" s="287"/>
      <c r="MCJ354" s="282"/>
      <c r="MCK354" s="287"/>
      <c r="MCL354" s="282"/>
      <c r="MCM354" s="287"/>
      <c r="MCN354" s="282"/>
      <c r="MCO354" s="287"/>
      <c r="MCP354" s="282"/>
      <c r="MCQ354" s="287"/>
      <c r="MCR354" s="282"/>
      <c r="MCS354" s="287"/>
      <c r="MCT354" s="282"/>
      <c r="MCU354" s="287"/>
      <c r="MCV354" s="282"/>
      <c r="MCW354" s="287"/>
      <c r="MCX354" s="282"/>
      <c r="MCY354" s="287"/>
      <c r="MCZ354" s="282"/>
      <c r="MDA354" s="287"/>
      <c r="MDB354" s="282"/>
      <c r="MDC354" s="287"/>
      <c r="MDD354" s="282"/>
      <c r="MDE354" s="287"/>
      <c r="MDF354" s="282"/>
      <c r="MDG354" s="287"/>
      <c r="MDH354" s="282"/>
      <c r="MDI354" s="287"/>
      <c r="MDJ354" s="282"/>
      <c r="MDK354" s="287"/>
      <c r="MDL354" s="282"/>
      <c r="MDM354" s="287"/>
      <c r="MDN354" s="282"/>
      <c r="MDO354" s="287"/>
      <c r="MDP354" s="282"/>
      <c r="MDQ354" s="287"/>
      <c r="MDR354" s="282"/>
      <c r="MDS354" s="287"/>
      <c r="MDT354" s="282"/>
      <c r="MDU354" s="287"/>
      <c r="MDV354" s="282"/>
      <c r="MDW354" s="287"/>
      <c r="MDX354" s="282"/>
      <c r="MDY354" s="287"/>
      <c r="MDZ354" s="282"/>
      <c r="MEA354" s="287"/>
      <c r="MEB354" s="282"/>
      <c r="MEC354" s="287"/>
      <c r="MED354" s="282"/>
      <c r="MEE354" s="287"/>
      <c r="MEF354" s="282"/>
      <c r="MEG354" s="287"/>
      <c r="MEH354" s="282"/>
      <c r="MEI354" s="287"/>
      <c r="MEJ354" s="282"/>
      <c r="MEK354" s="287"/>
      <c r="MEL354" s="282"/>
      <c r="MEM354" s="287"/>
      <c r="MEN354" s="282"/>
      <c r="MEO354" s="287"/>
      <c r="MEP354" s="282"/>
      <c r="MEQ354" s="287"/>
      <c r="MER354" s="282"/>
      <c r="MES354" s="287"/>
      <c r="MET354" s="282"/>
      <c r="MEU354" s="287"/>
      <c r="MEV354" s="282"/>
      <c r="MEW354" s="287"/>
      <c r="MEX354" s="282"/>
      <c r="MEY354" s="287"/>
      <c r="MEZ354" s="282"/>
      <c r="MFA354" s="287"/>
      <c r="MFB354" s="282"/>
      <c r="MFC354" s="287"/>
      <c r="MFD354" s="282"/>
      <c r="MFE354" s="287"/>
      <c r="MFF354" s="282"/>
      <c r="MFG354" s="287"/>
      <c r="MFH354" s="282"/>
      <c r="MFI354" s="287"/>
      <c r="MFJ354" s="282"/>
      <c r="MFK354" s="287"/>
      <c r="MFL354" s="282"/>
      <c r="MFM354" s="287"/>
      <c r="MFN354" s="282"/>
      <c r="MFO354" s="287"/>
      <c r="MFP354" s="282"/>
      <c r="MFQ354" s="287"/>
      <c r="MFR354" s="282"/>
      <c r="MFS354" s="287"/>
      <c r="MFT354" s="282"/>
      <c r="MFU354" s="287"/>
      <c r="MFV354" s="282"/>
      <c r="MFW354" s="287"/>
      <c r="MFX354" s="282"/>
      <c r="MFY354" s="287"/>
      <c r="MFZ354" s="282"/>
      <c r="MGA354" s="287"/>
      <c r="MGB354" s="282"/>
      <c r="MGC354" s="287"/>
      <c r="MGD354" s="282"/>
      <c r="MGE354" s="287"/>
      <c r="MGF354" s="282"/>
      <c r="MGG354" s="287"/>
      <c r="MGH354" s="282"/>
      <c r="MGI354" s="287"/>
      <c r="MGJ354" s="282"/>
      <c r="MGK354" s="287"/>
      <c r="MGL354" s="282"/>
      <c r="MGM354" s="287"/>
      <c r="MGN354" s="282"/>
      <c r="MGO354" s="287"/>
      <c r="MGP354" s="282"/>
      <c r="MGQ354" s="287"/>
      <c r="MGR354" s="282"/>
      <c r="MGS354" s="287"/>
      <c r="MGT354" s="282"/>
      <c r="MGU354" s="287"/>
      <c r="MGV354" s="282"/>
      <c r="MGW354" s="287"/>
      <c r="MGX354" s="282"/>
      <c r="MGY354" s="287"/>
      <c r="MGZ354" s="282"/>
      <c r="MHA354" s="287"/>
      <c r="MHB354" s="282"/>
      <c r="MHC354" s="287"/>
      <c r="MHD354" s="282"/>
      <c r="MHE354" s="287"/>
      <c r="MHF354" s="282"/>
      <c r="MHG354" s="287"/>
      <c r="MHH354" s="282"/>
      <c r="MHI354" s="287"/>
      <c r="MHJ354" s="282"/>
      <c r="MHK354" s="287"/>
      <c r="MHL354" s="282"/>
      <c r="MHM354" s="287"/>
      <c r="MHN354" s="282"/>
      <c r="MHO354" s="287"/>
      <c r="MHP354" s="282"/>
      <c r="MHQ354" s="287"/>
      <c r="MHR354" s="282"/>
      <c r="MHS354" s="287"/>
      <c r="MHT354" s="282"/>
      <c r="MHU354" s="287"/>
      <c r="MHV354" s="282"/>
      <c r="MHW354" s="287"/>
      <c r="MHX354" s="282"/>
      <c r="MHY354" s="287"/>
      <c r="MHZ354" s="282"/>
      <c r="MIA354" s="287"/>
      <c r="MIB354" s="282"/>
      <c r="MIC354" s="287"/>
      <c r="MID354" s="282"/>
      <c r="MIE354" s="287"/>
      <c r="MIF354" s="282"/>
      <c r="MIG354" s="287"/>
      <c r="MIH354" s="282"/>
      <c r="MII354" s="287"/>
      <c r="MIJ354" s="282"/>
      <c r="MIK354" s="287"/>
      <c r="MIL354" s="282"/>
      <c r="MIM354" s="287"/>
      <c r="MIN354" s="282"/>
      <c r="MIO354" s="287"/>
      <c r="MIP354" s="282"/>
      <c r="MIQ354" s="287"/>
      <c r="MIR354" s="282"/>
      <c r="MIS354" s="287"/>
      <c r="MIT354" s="282"/>
      <c r="MIU354" s="287"/>
      <c r="MIV354" s="282"/>
      <c r="MIW354" s="287"/>
      <c r="MIX354" s="282"/>
      <c r="MIY354" s="287"/>
      <c r="MIZ354" s="282"/>
      <c r="MJA354" s="287"/>
      <c r="MJB354" s="282"/>
      <c r="MJC354" s="287"/>
      <c r="MJD354" s="282"/>
      <c r="MJE354" s="287"/>
      <c r="MJF354" s="282"/>
      <c r="MJG354" s="287"/>
      <c r="MJH354" s="282"/>
      <c r="MJI354" s="287"/>
      <c r="MJJ354" s="282"/>
      <c r="MJK354" s="287"/>
      <c r="MJL354" s="282"/>
      <c r="MJM354" s="287"/>
      <c r="MJN354" s="282"/>
      <c r="MJO354" s="287"/>
      <c r="MJP354" s="282"/>
      <c r="MJQ354" s="287"/>
      <c r="MJR354" s="282"/>
      <c r="MJS354" s="287"/>
      <c r="MJT354" s="282"/>
      <c r="MJU354" s="287"/>
      <c r="MJV354" s="282"/>
      <c r="MJW354" s="287"/>
      <c r="MJX354" s="282"/>
      <c r="MJY354" s="287"/>
      <c r="MJZ354" s="282"/>
      <c r="MKA354" s="287"/>
      <c r="MKB354" s="282"/>
      <c r="MKC354" s="287"/>
      <c r="MKD354" s="282"/>
      <c r="MKE354" s="287"/>
      <c r="MKF354" s="282"/>
      <c r="MKG354" s="287"/>
      <c r="MKH354" s="282"/>
      <c r="MKI354" s="287"/>
      <c r="MKJ354" s="282"/>
      <c r="MKK354" s="287"/>
      <c r="MKL354" s="282"/>
      <c r="MKM354" s="287"/>
      <c r="MKN354" s="282"/>
      <c r="MKO354" s="287"/>
      <c r="MKP354" s="282"/>
      <c r="MKQ354" s="287"/>
      <c r="MKR354" s="282"/>
      <c r="MKS354" s="287"/>
      <c r="MKT354" s="282"/>
      <c r="MKU354" s="287"/>
      <c r="MKV354" s="282"/>
      <c r="MKW354" s="287"/>
      <c r="MKX354" s="282"/>
      <c r="MKY354" s="287"/>
      <c r="MKZ354" s="282"/>
      <c r="MLA354" s="287"/>
      <c r="MLB354" s="282"/>
      <c r="MLC354" s="287"/>
      <c r="MLD354" s="282"/>
      <c r="MLE354" s="287"/>
      <c r="MLF354" s="282"/>
      <c r="MLG354" s="287"/>
      <c r="MLH354" s="282"/>
      <c r="MLI354" s="287"/>
      <c r="MLJ354" s="282"/>
      <c r="MLK354" s="287"/>
      <c r="MLL354" s="282"/>
      <c r="MLM354" s="287"/>
      <c r="MLN354" s="282"/>
      <c r="MLO354" s="287"/>
      <c r="MLP354" s="282"/>
      <c r="MLQ354" s="287"/>
      <c r="MLR354" s="282"/>
      <c r="MLS354" s="287"/>
      <c r="MLT354" s="282"/>
      <c r="MLU354" s="287"/>
      <c r="MLV354" s="282"/>
      <c r="MLW354" s="287"/>
      <c r="MLX354" s="282"/>
      <c r="MLY354" s="287"/>
      <c r="MLZ354" s="282"/>
      <c r="MMA354" s="287"/>
      <c r="MMB354" s="282"/>
      <c r="MMC354" s="287"/>
      <c r="MMD354" s="282"/>
      <c r="MME354" s="287"/>
      <c r="MMF354" s="282"/>
      <c r="MMG354" s="287"/>
      <c r="MMH354" s="282"/>
      <c r="MMI354" s="287"/>
      <c r="MMJ354" s="282"/>
      <c r="MMK354" s="287"/>
      <c r="MML354" s="282"/>
      <c r="MMM354" s="287"/>
      <c r="MMN354" s="282"/>
      <c r="MMO354" s="287"/>
      <c r="MMP354" s="282"/>
      <c r="MMQ354" s="287"/>
      <c r="MMR354" s="282"/>
      <c r="MMS354" s="287"/>
      <c r="MMT354" s="282"/>
      <c r="MMU354" s="287"/>
      <c r="MMV354" s="282"/>
      <c r="MMW354" s="287"/>
      <c r="MMX354" s="282"/>
      <c r="MMY354" s="287"/>
      <c r="MMZ354" s="282"/>
      <c r="MNA354" s="287"/>
      <c r="MNB354" s="282"/>
      <c r="MNC354" s="287"/>
      <c r="MND354" s="282"/>
      <c r="MNE354" s="287"/>
      <c r="MNF354" s="282"/>
      <c r="MNG354" s="287"/>
      <c r="MNH354" s="282"/>
      <c r="MNI354" s="287"/>
      <c r="MNJ354" s="282"/>
      <c r="MNK354" s="287"/>
      <c r="MNL354" s="282"/>
      <c r="MNM354" s="287"/>
      <c r="MNN354" s="282"/>
      <c r="MNO354" s="287"/>
      <c r="MNP354" s="282"/>
      <c r="MNQ354" s="287"/>
      <c r="MNR354" s="282"/>
      <c r="MNS354" s="287"/>
      <c r="MNT354" s="282"/>
      <c r="MNU354" s="287"/>
      <c r="MNV354" s="282"/>
      <c r="MNW354" s="287"/>
      <c r="MNX354" s="282"/>
      <c r="MNY354" s="287"/>
      <c r="MNZ354" s="282"/>
      <c r="MOA354" s="287"/>
      <c r="MOB354" s="282"/>
      <c r="MOC354" s="287"/>
      <c r="MOD354" s="282"/>
      <c r="MOE354" s="287"/>
      <c r="MOF354" s="282"/>
      <c r="MOG354" s="287"/>
      <c r="MOH354" s="282"/>
      <c r="MOI354" s="287"/>
      <c r="MOJ354" s="282"/>
      <c r="MOK354" s="287"/>
      <c r="MOL354" s="282"/>
      <c r="MOM354" s="287"/>
      <c r="MON354" s="282"/>
      <c r="MOO354" s="287"/>
      <c r="MOP354" s="282"/>
      <c r="MOQ354" s="287"/>
      <c r="MOR354" s="282"/>
      <c r="MOS354" s="287"/>
      <c r="MOT354" s="282"/>
      <c r="MOU354" s="287"/>
      <c r="MOV354" s="282"/>
      <c r="MOW354" s="287"/>
      <c r="MOX354" s="282"/>
      <c r="MOY354" s="287"/>
      <c r="MOZ354" s="282"/>
      <c r="MPA354" s="287"/>
      <c r="MPB354" s="282"/>
      <c r="MPC354" s="287"/>
      <c r="MPD354" s="282"/>
      <c r="MPE354" s="287"/>
      <c r="MPF354" s="282"/>
      <c r="MPG354" s="287"/>
      <c r="MPH354" s="282"/>
      <c r="MPI354" s="287"/>
      <c r="MPJ354" s="282"/>
      <c r="MPK354" s="287"/>
      <c r="MPL354" s="282"/>
      <c r="MPM354" s="287"/>
      <c r="MPN354" s="282"/>
      <c r="MPO354" s="287"/>
      <c r="MPP354" s="282"/>
      <c r="MPQ354" s="287"/>
      <c r="MPR354" s="282"/>
      <c r="MPS354" s="287"/>
      <c r="MPT354" s="282"/>
      <c r="MPU354" s="287"/>
      <c r="MPV354" s="282"/>
      <c r="MPW354" s="287"/>
      <c r="MPX354" s="282"/>
      <c r="MPY354" s="287"/>
      <c r="MPZ354" s="282"/>
      <c r="MQA354" s="287"/>
      <c r="MQB354" s="282"/>
      <c r="MQC354" s="287"/>
      <c r="MQD354" s="282"/>
      <c r="MQE354" s="287"/>
      <c r="MQF354" s="282"/>
      <c r="MQG354" s="287"/>
      <c r="MQH354" s="282"/>
      <c r="MQI354" s="287"/>
      <c r="MQJ354" s="282"/>
      <c r="MQK354" s="287"/>
      <c r="MQL354" s="282"/>
      <c r="MQM354" s="287"/>
      <c r="MQN354" s="282"/>
      <c r="MQO354" s="287"/>
      <c r="MQP354" s="282"/>
      <c r="MQQ354" s="287"/>
      <c r="MQR354" s="282"/>
      <c r="MQS354" s="287"/>
      <c r="MQT354" s="282"/>
      <c r="MQU354" s="287"/>
      <c r="MQV354" s="282"/>
      <c r="MQW354" s="287"/>
      <c r="MQX354" s="282"/>
      <c r="MQY354" s="287"/>
      <c r="MQZ354" s="282"/>
      <c r="MRA354" s="287"/>
      <c r="MRB354" s="282"/>
      <c r="MRC354" s="287"/>
      <c r="MRD354" s="282"/>
      <c r="MRE354" s="287"/>
      <c r="MRF354" s="282"/>
      <c r="MRG354" s="287"/>
      <c r="MRH354" s="282"/>
      <c r="MRI354" s="287"/>
      <c r="MRJ354" s="282"/>
      <c r="MRK354" s="287"/>
      <c r="MRL354" s="282"/>
      <c r="MRM354" s="287"/>
      <c r="MRN354" s="282"/>
      <c r="MRO354" s="287"/>
      <c r="MRP354" s="282"/>
      <c r="MRQ354" s="287"/>
      <c r="MRR354" s="282"/>
      <c r="MRS354" s="287"/>
      <c r="MRT354" s="282"/>
      <c r="MRU354" s="287"/>
      <c r="MRV354" s="282"/>
      <c r="MRW354" s="287"/>
      <c r="MRX354" s="282"/>
      <c r="MRY354" s="287"/>
      <c r="MRZ354" s="282"/>
      <c r="MSA354" s="287"/>
      <c r="MSB354" s="282"/>
      <c r="MSC354" s="287"/>
      <c r="MSD354" s="282"/>
      <c r="MSE354" s="287"/>
      <c r="MSF354" s="282"/>
      <c r="MSG354" s="287"/>
      <c r="MSH354" s="282"/>
      <c r="MSI354" s="287"/>
      <c r="MSJ354" s="282"/>
      <c r="MSK354" s="287"/>
      <c r="MSL354" s="282"/>
      <c r="MSM354" s="287"/>
      <c r="MSN354" s="282"/>
      <c r="MSO354" s="287"/>
      <c r="MSP354" s="282"/>
      <c r="MSQ354" s="287"/>
      <c r="MSR354" s="282"/>
      <c r="MSS354" s="287"/>
      <c r="MST354" s="282"/>
      <c r="MSU354" s="287"/>
      <c r="MSV354" s="282"/>
      <c r="MSW354" s="287"/>
      <c r="MSX354" s="282"/>
      <c r="MSY354" s="287"/>
      <c r="MSZ354" s="282"/>
      <c r="MTA354" s="287"/>
      <c r="MTB354" s="282"/>
      <c r="MTC354" s="287"/>
      <c r="MTD354" s="282"/>
      <c r="MTE354" s="287"/>
      <c r="MTF354" s="282"/>
      <c r="MTG354" s="287"/>
      <c r="MTH354" s="282"/>
      <c r="MTI354" s="287"/>
      <c r="MTJ354" s="282"/>
      <c r="MTK354" s="287"/>
      <c r="MTL354" s="282"/>
      <c r="MTM354" s="287"/>
      <c r="MTN354" s="282"/>
      <c r="MTO354" s="287"/>
      <c r="MTP354" s="282"/>
      <c r="MTQ354" s="287"/>
      <c r="MTR354" s="282"/>
      <c r="MTS354" s="287"/>
      <c r="MTT354" s="282"/>
      <c r="MTU354" s="287"/>
      <c r="MTV354" s="282"/>
      <c r="MTW354" s="287"/>
      <c r="MTX354" s="282"/>
      <c r="MTY354" s="287"/>
      <c r="MTZ354" s="282"/>
      <c r="MUA354" s="287"/>
      <c r="MUB354" s="282"/>
      <c r="MUC354" s="287"/>
      <c r="MUD354" s="282"/>
      <c r="MUE354" s="287"/>
      <c r="MUF354" s="282"/>
      <c r="MUG354" s="287"/>
      <c r="MUH354" s="282"/>
      <c r="MUI354" s="287"/>
      <c r="MUJ354" s="282"/>
      <c r="MUK354" s="287"/>
      <c r="MUL354" s="282"/>
      <c r="MUM354" s="287"/>
      <c r="MUN354" s="282"/>
      <c r="MUO354" s="287"/>
      <c r="MUP354" s="282"/>
      <c r="MUQ354" s="287"/>
      <c r="MUR354" s="282"/>
      <c r="MUS354" s="287"/>
      <c r="MUT354" s="282"/>
      <c r="MUU354" s="287"/>
      <c r="MUV354" s="282"/>
      <c r="MUW354" s="287"/>
      <c r="MUX354" s="282"/>
      <c r="MUY354" s="287"/>
      <c r="MUZ354" s="282"/>
      <c r="MVA354" s="287"/>
      <c r="MVB354" s="282"/>
      <c r="MVC354" s="287"/>
      <c r="MVD354" s="282"/>
      <c r="MVE354" s="287"/>
      <c r="MVF354" s="282"/>
      <c r="MVG354" s="287"/>
      <c r="MVH354" s="282"/>
      <c r="MVI354" s="287"/>
      <c r="MVJ354" s="282"/>
      <c r="MVK354" s="287"/>
      <c r="MVL354" s="282"/>
      <c r="MVM354" s="287"/>
      <c r="MVN354" s="282"/>
      <c r="MVO354" s="287"/>
      <c r="MVP354" s="282"/>
      <c r="MVQ354" s="287"/>
      <c r="MVR354" s="282"/>
      <c r="MVS354" s="287"/>
      <c r="MVT354" s="282"/>
      <c r="MVU354" s="287"/>
      <c r="MVV354" s="282"/>
      <c r="MVW354" s="287"/>
      <c r="MVX354" s="282"/>
      <c r="MVY354" s="287"/>
      <c r="MVZ354" s="282"/>
      <c r="MWA354" s="287"/>
      <c r="MWB354" s="282"/>
      <c r="MWC354" s="287"/>
      <c r="MWD354" s="282"/>
      <c r="MWE354" s="287"/>
      <c r="MWF354" s="282"/>
      <c r="MWG354" s="287"/>
      <c r="MWH354" s="282"/>
      <c r="MWI354" s="287"/>
      <c r="MWJ354" s="282"/>
      <c r="MWK354" s="287"/>
      <c r="MWL354" s="282"/>
      <c r="MWM354" s="287"/>
      <c r="MWN354" s="282"/>
      <c r="MWO354" s="287"/>
      <c r="MWP354" s="282"/>
      <c r="MWQ354" s="287"/>
      <c r="MWR354" s="282"/>
      <c r="MWS354" s="287"/>
      <c r="MWT354" s="282"/>
      <c r="MWU354" s="287"/>
      <c r="MWV354" s="282"/>
      <c r="MWW354" s="287"/>
      <c r="MWX354" s="282"/>
      <c r="MWY354" s="287"/>
      <c r="MWZ354" s="282"/>
      <c r="MXA354" s="287"/>
      <c r="MXB354" s="282"/>
      <c r="MXC354" s="287"/>
      <c r="MXD354" s="282"/>
      <c r="MXE354" s="287"/>
      <c r="MXF354" s="282"/>
      <c r="MXG354" s="287"/>
      <c r="MXH354" s="282"/>
      <c r="MXI354" s="287"/>
      <c r="MXJ354" s="282"/>
      <c r="MXK354" s="287"/>
      <c r="MXL354" s="282"/>
      <c r="MXM354" s="287"/>
      <c r="MXN354" s="282"/>
      <c r="MXO354" s="287"/>
      <c r="MXP354" s="282"/>
      <c r="MXQ354" s="287"/>
      <c r="MXR354" s="282"/>
      <c r="MXS354" s="287"/>
      <c r="MXT354" s="282"/>
      <c r="MXU354" s="287"/>
      <c r="MXV354" s="282"/>
      <c r="MXW354" s="287"/>
      <c r="MXX354" s="282"/>
      <c r="MXY354" s="287"/>
      <c r="MXZ354" s="282"/>
      <c r="MYA354" s="287"/>
      <c r="MYB354" s="282"/>
      <c r="MYC354" s="287"/>
      <c r="MYD354" s="282"/>
      <c r="MYE354" s="287"/>
      <c r="MYF354" s="282"/>
      <c r="MYG354" s="287"/>
      <c r="MYH354" s="282"/>
      <c r="MYI354" s="287"/>
      <c r="MYJ354" s="282"/>
      <c r="MYK354" s="287"/>
      <c r="MYL354" s="282"/>
      <c r="MYM354" s="287"/>
      <c r="MYN354" s="282"/>
      <c r="MYO354" s="287"/>
      <c r="MYP354" s="282"/>
      <c r="MYQ354" s="287"/>
      <c r="MYR354" s="282"/>
      <c r="MYS354" s="287"/>
      <c r="MYT354" s="282"/>
      <c r="MYU354" s="287"/>
      <c r="MYV354" s="282"/>
      <c r="MYW354" s="287"/>
      <c r="MYX354" s="282"/>
      <c r="MYY354" s="287"/>
      <c r="MYZ354" s="282"/>
      <c r="MZA354" s="287"/>
      <c r="MZB354" s="282"/>
      <c r="MZC354" s="287"/>
      <c r="MZD354" s="282"/>
      <c r="MZE354" s="287"/>
      <c r="MZF354" s="282"/>
      <c r="MZG354" s="287"/>
      <c r="MZH354" s="282"/>
      <c r="MZI354" s="287"/>
      <c r="MZJ354" s="282"/>
      <c r="MZK354" s="287"/>
      <c r="MZL354" s="282"/>
      <c r="MZM354" s="287"/>
      <c r="MZN354" s="282"/>
      <c r="MZO354" s="287"/>
      <c r="MZP354" s="282"/>
      <c r="MZQ354" s="287"/>
      <c r="MZR354" s="282"/>
      <c r="MZS354" s="287"/>
      <c r="MZT354" s="282"/>
      <c r="MZU354" s="287"/>
      <c r="MZV354" s="282"/>
      <c r="MZW354" s="287"/>
      <c r="MZX354" s="282"/>
      <c r="MZY354" s="287"/>
      <c r="MZZ354" s="282"/>
      <c r="NAA354" s="287"/>
      <c r="NAB354" s="282"/>
      <c r="NAC354" s="287"/>
      <c r="NAD354" s="282"/>
      <c r="NAE354" s="287"/>
      <c r="NAF354" s="282"/>
      <c r="NAG354" s="287"/>
      <c r="NAH354" s="282"/>
      <c r="NAI354" s="287"/>
      <c r="NAJ354" s="282"/>
      <c r="NAK354" s="287"/>
      <c r="NAL354" s="282"/>
      <c r="NAM354" s="287"/>
      <c r="NAN354" s="282"/>
      <c r="NAO354" s="287"/>
      <c r="NAP354" s="282"/>
      <c r="NAQ354" s="287"/>
      <c r="NAR354" s="282"/>
      <c r="NAS354" s="287"/>
      <c r="NAT354" s="282"/>
      <c r="NAU354" s="287"/>
      <c r="NAV354" s="282"/>
      <c r="NAW354" s="287"/>
      <c r="NAX354" s="282"/>
      <c r="NAY354" s="287"/>
      <c r="NAZ354" s="282"/>
      <c r="NBA354" s="287"/>
      <c r="NBB354" s="282"/>
      <c r="NBC354" s="287"/>
      <c r="NBD354" s="282"/>
      <c r="NBE354" s="287"/>
      <c r="NBF354" s="282"/>
      <c r="NBG354" s="287"/>
      <c r="NBH354" s="282"/>
      <c r="NBI354" s="287"/>
      <c r="NBJ354" s="282"/>
      <c r="NBK354" s="287"/>
      <c r="NBL354" s="282"/>
      <c r="NBM354" s="287"/>
      <c r="NBN354" s="282"/>
      <c r="NBO354" s="287"/>
      <c r="NBP354" s="282"/>
      <c r="NBQ354" s="287"/>
      <c r="NBR354" s="282"/>
      <c r="NBS354" s="287"/>
      <c r="NBT354" s="282"/>
      <c r="NBU354" s="287"/>
      <c r="NBV354" s="282"/>
      <c r="NBW354" s="287"/>
      <c r="NBX354" s="282"/>
      <c r="NBY354" s="287"/>
      <c r="NBZ354" s="282"/>
      <c r="NCA354" s="287"/>
      <c r="NCB354" s="282"/>
      <c r="NCC354" s="287"/>
      <c r="NCD354" s="282"/>
      <c r="NCE354" s="287"/>
      <c r="NCF354" s="282"/>
      <c r="NCG354" s="287"/>
      <c r="NCH354" s="282"/>
      <c r="NCI354" s="287"/>
      <c r="NCJ354" s="282"/>
      <c r="NCK354" s="287"/>
      <c r="NCL354" s="282"/>
      <c r="NCM354" s="287"/>
      <c r="NCN354" s="282"/>
      <c r="NCO354" s="287"/>
      <c r="NCP354" s="282"/>
      <c r="NCQ354" s="287"/>
      <c r="NCR354" s="282"/>
      <c r="NCS354" s="287"/>
      <c r="NCT354" s="282"/>
      <c r="NCU354" s="287"/>
      <c r="NCV354" s="282"/>
      <c r="NCW354" s="287"/>
      <c r="NCX354" s="282"/>
      <c r="NCY354" s="287"/>
      <c r="NCZ354" s="282"/>
      <c r="NDA354" s="287"/>
      <c r="NDB354" s="282"/>
      <c r="NDC354" s="287"/>
      <c r="NDD354" s="282"/>
      <c r="NDE354" s="287"/>
      <c r="NDF354" s="282"/>
      <c r="NDG354" s="287"/>
      <c r="NDH354" s="282"/>
      <c r="NDI354" s="287"/>
      <c r="NDJ354" s="282"/>
      <c r="NDK354" s="287"/>
      <c r="NDL354" s="282"/>
      <c r="NDM354" s="287"/>
      <c r="NDN354" s="282"/>
      <c r="NDO354" s="287"/>
      <c r="NDP354" s="282"/>
      <c r="NDQ354" s="287"/>
      <c r="NDR354" s="282"/>
      <c r="NDS354" s="287"/>
      <c r="NDT354" s="282"/>
      <c r="NDU354" s="287"/>
      <c r="NDV354" s="282"/>
      <c r="NDW354" s="287"/>
      <c r="NDX354" s="282"/>
      <c r="NDY354" s="287"/>
      <c r="NDZ354" s="282"/>
      <c r="NEA354" s="287"/>
      <c r="NEB354" s="282"/>
      <c r="NEC354" s="287"/>
      <c r="NED354" s="282"/>
      <c r="NEE354" s="287"/>
      <c r="NEF354" s="282"/>
      <c r="NEG354" s="287"/>
      <c r="NEH354" s="282"/>
      <c r="NEI354" s="287"/>
      <c r="NEJ354" s="282"/>
      <c r="NEK354" s="287"/>
      <c r="NEL354" s="282"/>
      <c r="NEM354" s="287"/>
      <c r="NEN354" s="282"/>
      <c r="NEO354" s="287"/>
      <c r="NEP354" s="282"/>
      <c r="NEQ354" s="287"/>
      <c r="NER354" s="282"/>
      <c r="NES354" s="287"/>
      <c r="NET354" s="282"/>
      <c r="NEU354" s="287"/>
      <c r="NEV354" s="282"/>
      <c r="NEW354" s="287"/>
      <c r="NEX354" s="282"/>
      <c r="NEY354" s="287"/>
      <c r="NEZ354" s="282"/>
      <c r="NFA354" s="287"/>
      <c r="NFB354" s="282"/>
      <c r="NFC354" s="287"/>
      <c r="NFD354" s="282"/>
      <c r="NFE354" s="287"/>
      <c r="NFF354" s="282"/>
      <c r="NFG354" s="287"/>
      <c r="NFH354" s="282"/>
      <c r="NFI354" s="287"/>
      <c r="NFJ354" s="282"/>
      <c r="NFK354" s="287"/>
      <c r="NFL354" s="282"/>
      <c r="NFM354" s="287"/>
      <c r="NFN354" s="282"/>
      <c r="NFO354" s="287"/>
      <c r="NFP354" s="282"/>
      <c r="NFQ354" s="287"/>
      <c r="NFR354" s="282"/>
      <c r="NFS354" s="287"/>
      <c r="NFT354" s="282"/>
      <c r="NFU354" s="287"/>
      <c r="NFV354" s="282"/>
      <c r="NFW354" s="287"/>
      <c r="NFX354" s="282"/>
      <c r="NFY354" s="287"/>
      <c r="NFZ354" s="282"/>
      <c r="NGA354" s="287"/>
      <c r="NGB354" s="282"/>
      <c r="NGC354" s="287"/>
      <c r="NGD354" s="282"/>
      <c r="NGE354" s="287"/>
      <c r="NGF354" s="282"/>
      <c r="NGG354" s="287"/>
      <c r="NGH354" s="282"/>
      <c r="NGI354" s="287"/>
      <c r="NGJ354" s="282"/>
      <c r="NGK354" s="287"/>
      <c r="NGL354" s="282"/>
      <c r="NGM354" s="287"/>
      <c r="NGN354" s="282"/>
      <c r="NGO354" s="287"/>
      <c r="NGP354" s="282"/>
      <c r="NGQ354" s="287"/>
      <c r="NGR354" s="282"/>
      <c r="NGS354" s="287"/>
      <c r="NGT354" s="282"/>
      <c r="NGU354" s="287"/>
      <c r="NGV354" s="282"/>
      <c r="NGW354" s="287"/>
      <c r="NGX354" s="282"/>
      <c r="NGY354" s="287"/>
      <c r="NGZ354" s="282"/>
      <c r="NHA354" s="287"/>
      <c r="NHB354" s="282"/>
      <c r="NHC354" s="287"/>
      <c r="NHD354" s="282"/>
      <c r="NHE354" s="287"/>
      <c r="NHF354" s="282"/>
      <c r="NHG354" s="287"/>
      <c r="NHH354" s="282"/>
      <c r="NHI354" s="287"/>
      <c r="NHJ354" s="282"/>
      <c r="NHK354" s="287"/>
      <c r="NHL354" s="282"/>
      <c r="NHM354" s="287"/>
      <c r="NHN354" s="282"/>
      <c r="NHO354" s="287"/>
      <c r="NHP354" s="282"/>
      <c r="NHQ354" s="287"/>
      <c r="NHR354" s="282"/>
      <c r="NHS354" s="287"/>
      <c r="NHT354" s="282"/>
      <c r="NHU354" s="287"/>
      <c r="NHV354" s="282"/>
      <c r="NHW354" s="287"/>
      <c r="NHX354" s="282"/>
      <c r="NHY354" s="287"/>
      <c r="NHZ354" s="282"/>
      <c r="NIA354" s="287"/>
      <c r="NIB354" s="282"/>
      <c r="NIC354" s="287"/>
      <c r="NID354" s="282"/>
      <c r="NIE354" s="287"/>
      <c r="NIF354" s="282"/>
      <c r="NIG354" s="287"/>
      <c r="NIH354" s="282"/>
      <c r="NII354" s="287"/>
      <c r="NIJ354" s="282"/>
      <c r="NIK354" s="287"/>
      <c r="NIL354" s="282"/>
      <c r="NIM354" s="287"/>
      <c r="NIN354" s="282"/>
      <c r="NIO354" s="287"/>
      <c r="NIP354" s="282"/>
      <c r="NIQ354" s="287"/>
      <c r="NIR354" s="282"/>
      <c r="NIS354" s="287"/>
      <c r="NIT354" s="282"/>
      <c r="NIU354" s="287"/>
      <c r="NIV354" s="282"/>
      <c r="NIW354" s="287"/>
      <c r="NIX354" s="282"/>
      <c r="NIY354" s="287"/>
      <c r="NIZ354" s="282"/>
      <c r="NJA354" s="287"/>
      <c r="NJB354" s="282"/>
      <c r="NJC354" s="287"/>
      <c r="NJD354" s="282"/>
      <c r="NJE354" s="287"/>
      <c r="NJF354" s="282"/>
      <c r="NJG354" s="287"/>
      <c r="NJH354" s="282"/>
      <c r="NJI354" s="287"/>
      <c r="NJJ354" s="282"/>
      <c r="NJK354" s="287"/>
      <c r="NJL354" s="282"/>
      <c r="NJM354" s="287"/>
      <c r="NJN354" s="282"/>
      <c r="NJO354" s="287"/>
      <c r="NJP354" s="282"/>
      <c r="NJQ354" s="287"/>
      <c r="NJR354" s="282"/>
      <c r="NJS354" s="287"/>
      <c r="NJT354" s="282"/>
      <c r="NJU354" s="287"/>
      <c r="NJV354" s="282"/>
      <c r="NJW354" s="287"/>
      <c r="NJX354" s="282"/>
      <c r="NJY354" s="287"/>
      <c r="NJZ354" s="282"/>
      <c r="NKA354" s="287"/>
      <c r="NKB354" s="282"/>
      <c r="NKC354" s="287"/>
      <c r="NKD354" s="282"/>
      <c r="NKE354" s="287"/>
      <c r="NKF354" s="282"/>
      <c r="NKG354" s="287"/>
      <c r="NKH354" s="282"/>
      <c r="NKI354" s="287"/>
      <c r="NKJ354" s="282"/>
      <c r="NKK354" s="287"/>
      <c r="NKL354" s="282"/>
      <c r="NKM354" s="287"/>
      <c r="NKN354" s="282"/>
      <c r="NKO354" s="287"/>
      <c r="NKP354" s="282"/>
      <c r="NKQ354" s="287"/>
      <c r="NKR354" s="282"/>
      <c r="NKS354" s="287"/>
      <c r="NKT354" s="282"/>
      <c r="NKU354" s="287"/>
      <c r="NKV354" s="282"/>
      <c r="NKW354" s="287"/>
      <c r="NKX354" s="282"/>
      <c r="NKY354" s="287"/>
      <c r="NKZ354" s="282"/>
      <c r="NLA354" s="287"/>
      <c r="NLB354" s="282"/>
      <c r="NLC354" s="287"/>
      <c r="NLD354" s="282"/>
      <c r="NLE354" s="287"/>
      <c r="NLF354" s="282"/>
      <c r="NLG354" s="287"/>
      <c r="NLH354" s="282"/>
      <c r="NLI354" s="287"/>
      <c r="NLJ354" s="282"/>
      <c r="NLK354" s="287"/>
      <c r="NLL354" s="282"/>
      <c r="NLM354" s="287"/>
      <c r="NLN354" s="282"/>
      <c r="NLO354" s="287"/>
      <c r="NLP354" s="282"/>
      <c r="NLQ354" s="287"/>
      <c r="NLR354" s="282"/>
      <c r="NLS354" s="287"/>
      <c r="NLT354" s="282"/>
      <c r="NLU354" s="287"/>
      <c r="NLV354" s="282"/>
      <c r="NLW354" s="287"/>
      <c r="NLX354" s="282"/>
      <c r="NLY354" s="287"/>
      <c r="NLZ354" s="282"/>
      <c r="NMA354" s="287"/>
      <c r="NMB354" s="282"/>
      <c r="NMC354" s="287"/>
      <c r="NMD354" s="282"/>
      <c r="NME354" s="287"/>
      <c r="NMF354" s="282"/>
      <c r="NMG354" s="287"/>
      <c r="NMH354" s="282"/>
      <c r="NMI354" s="287"/>
      <c r="NMJ354" s="282"/>
      <c r="NMK354" s="287"/>
      <c r="NML354" s="282"/>
      <c r="NMM354" s="287"/>
      <c r="NMN354" s="282"/>
      <c r="NMO354" s="287"/>
      <c r="NMP354" s="282"/>
      <c r="NMQ354" s="287"/>
      <c r="NMR354" s="282"/>
      <c r="NMS354" s="287"/>
      <c r="NMT354" s="282"/>
      <c r="NMU354" s="287"/>
      <c r="NMV354" s="282"/>
      <c r="NMW354" s="287"/>
      <c r="NMX354" s="282"/>
      <c r="NMY354" s="287"/>
      <c r="NMZ354" s="282"/>
      <c r="NNA354" s="287"/>
      <c r="NNB354" s="282"/>
      <c r="NNC354" s="287"/>
      <c r="NND354" s="282"/>
      <c r="NNE354" s="287"/>
      <c r="NNF354" s="282"/>
      <c r="NNG354" s="287"/>
      <c r="NNH354" s="282"/>
      <c r="NNI354" s="287"/>
      <c r="NNJ354" s="282"/>
      <c r="NNK354" s="287"/>
      <c r="NNL354" s="282"/>
      <c r="NNM354" s="287"/>
      <c r="NNN354" s="282"/>
      <c r="NNO354" s="287"/>
      <c r="NNP354" s="282"/>
      <c r="NNQ354" s="287"/>
      <c r="NNR354" s="282"/>
      <c r="NNS354" s="287"/>
      <c r="NNT354" s="282"/>
      <c r="NNU354" s="287"/>
      <c r="NNV354" s="282"/>
      <c r="NNW354" s="287"/>
      <c r="NNX354" s="282"/>
      <c r="NNY354" s="287"/>
      <c r="NNZ354" s="282"/>
      <c r="NOA354" s="287"/>
      <c r="NOB354" s="282"/>
      <c r="NOC354" s="287"/>
      <c r="NOD354" s="282"/>
      <c r="NOE354" s="287"/>
      <c r="NOF354" s="282"/>
      <c r="NOG354" s="287"/>
      <c r="NOH354" s="282"/>
      <c r="NOI354" s="287"/>
      <c r="NOJ354" s="282"/>
      <c r="NOK354" s="287"/>
      <c r="NOL354" s="282"/>
      <c r="NOM354" s="287"/>
      <c r="NON354" s="282"/>
      <c r="NOO354" s="287"/>
      <c r="NOP354" s="282"/>
      <c r="NOQ354" s="287"/>
      <c r="NOR354" s="282"/>
      <c r="NOS354" s="287"/>
      <c r="NOT354" s="282"/>
      <c r="NOU354" s="287"/>
      <c r="NOV354" s="282"/>
      <c r="NOW354" s="287"/>
      <c r="NOX354" s="282"/>
      <c r="NOY354" s="287"/>
      <c r="NOZ354" s="282"/>
      <c r="NPA354" s="287"/>
      <c r="NPB354" s="282"/>
      <c r="NPC354" s="287"/>
      <c r="NPD354" s="282"/>
      <c r="NPE354" s="287"/>
      <c r="NPF354" s="282"/>
      <c r="NPG354" s="287"/>
      <c r="NPH354" s="282"/>
      <c r="NPI354" s="287"/>
      <c r="NPJ354" s="282"/>
      <c r="NPK354" s="287"/>
      <c r="NPL354" s="282"/>
      <c r="NPM354" s="287"/>
      <c r="NPN354" s="282"/>
      <c r="NPO354" s="287"/>
      <c r="NPP354" s="282"/>
      <c r="NPQ354" s="287"/>
      <c r="NPR354" s="282"/>
      <c r="NPS354" s="287"/>
      <c r="NPT354" s="282"/>
      <c r="NPU354" s="287"/>
      <c r="NPV354" s="282"/>
      <c r="NPW354" s="287"/>
      <c r="NPX354" s="282"/>
      <c r="NPY354" s="287"/>
      <c r="NPZ354" s="282"/>
      <c r="NQA354" s="287"/>
      <c r="NQB354" s="282"/>
      <c r="NQC354" s="287"/>
      <c r="NQD354" s="282"/>
      <c r="NQE354" s="287"/>
      <c r="NQF354" s="282"/>
      <c r="NQG354" s="287"/>
      <c r="NQH354" s="282"/>
      <c r="NQI354" s="287"/>
      <c r="NQJ354" s="282"/>
      <c r="NQK354" s="287"/>
      <c r="NQL354" s="282"/>
      <c r="NQM354" s="287"/>
      <c r="NQN354" s="282"/>
      <c r="NQO354" s="287"/>
      <c r="NQP354" s="282"/>
      <c r="NQQ354" s="287"/>
      <c r="NQR354" s="282"/>
      <c r="NQS354" s="287"/>
      <c r="NQT354" s="282"/>
      <c r="NQU354" s="287"/>
      <c r="NQV354" s="282"/>
      <c r="NQW354" s="287"/>
      <c r="NQX354" s="282"/>
      <c r="NQY354" s="287"/>
      <c r="NQZ354" s="282"/>
      <c r="NRA354" s="287"/>
      <c r="NRB354" s="282"/>
      <c r="NRC354" s="287"/>
      <c r="NRD354" s="282"/>
      <c r="NRE354" s="287"/>
      <c r="NRF354" s="282"/>
      <c r="NRG354" s="287"/>
      <c r="NRH354" s="282"/>
      <c r="NRI354" s="287"/>
      <c r="NRJ354" s="282"/>
      <c r="NRK354" s="287"/>
      <c r="NRL354" s="282"/>
      <c r="NRM354" s="287"/>
      <c r="NRN354" s="282"/>
      <c r="NRO354" s="287"/>
      <c r="NRP354" s="282"/>
      <c r="NRQ354" s="287"/>
      <c r="NRR354" s="282"/>
      <c r="NRS354" s="287"/>
      <c r="NRT354" s="282"/>
      <c r="NRU354" s="287"/>
      <c r="NRV354" s="282"/>
      <c r="NRW354" s="287"/>
      <c r="NRX354" s="282"/>
      <c r="NRY354" s="287"/>
      <c r="NRZ354" s="282"/>
      <c r="NSA354" s="287"/>
      <c r="NSB354" s="282"/>
      <c r="NSC354" s="287"/>
      <c r="NSD354" s="282"/>
      <c r="NSE354" s="287"/>
      <c r="NSF354" s="282"/>
      <c r="NSG354" s="287"/>
      <c r="NSH354" s="282"/>
      <c r="NSI354" s="287"/>
      <c r="NSJ354" s="282"/>
      <c r="NSK354" s="287"/>
      <c r="NSL354" s="282"/>
      <c r="NSM354" s="287"/>
      <c r="NSN354" s="282"/>
      <c r="NSO354" s="287"/>
      <c r="NSP354" s="282"/>
      <c r="NSQ354" s="287"/>
      <c r="NSR354" s="282"/>
      <c r="NSS354" s="287"/>
      <c r="NST354" s="282"/>
      <c r="NSU354" s="287"/>
      <c r="NSV354" s="282"/>
      <c r="NSW354" s="287"/>
      <c r="NSX354" s="282"/>
      <c r="NSY354" s="287"/>
      <c r="NSZ354" s="282"/>
      <c r="NTA354" s="287"/>
      <c r="NTB354" s="282"/>
      <c r="NTC354" s="287"/>
      <c r="NTD354" s="282"/>
      <c r="NTE354" s="287"/>
      <c r="NTF354" s="282"/>
      <c r="NTG354" s="287"/>
      <c r="NTH354" s="282"/>
      <c r="NTI354" s="287"/>
      <c r="NTJ354" s="282"/>
      <c r="NTK354" s="287"/>
      <c r="NTL354" s="282"/>
      <c r="NTM354" s="287"/>
      <c r="NTN354" s="282"/>
      <c r="NTO354" s="287"/>
      <c r="NTP354" s="282"/>
      <c r="NTQ354" s="287"/>
      <c r="NTR354" s="282"/>
      <c r="NTS354" s="287"/>
      <c r="NTT354" s="282"/>
      <c r="NTU354" s="287"/>
      <c r="NTV354" s="282"/>
      <c r="NTW354" s="287"/>
      <c r="NTX354" s="282"/>
      <c r="NTY354" s="287"/>
      <c r="NTZ354" s="282"/>
      <c r="NUA354" s="287"/>
      <c r="NUB354" s="282"/>
      <c r="NUC354" s="287"/>
      <c r="NUD354" s="282"/>
      <c r="NUE354" s="287"/>
      <c r="NUF354" s="282"/>
      <c r="NUG354" s="287"/>
      <c r="NUH354" s="282"/>
      <c r="NUI354" s="287"/>
      <c r="NUJ354" s="282"/>
      <c r="NUK354" s="287"/>
      <c r="NUL354" s="282"/>
      <c r="NUM354" s="287"/>
      <c r="NUN354" s="282"/>
      <c r="NUO354" s="287"/>
      <c r="NUP354" s="282"/>
      <c r="NUQ354" s="287"/>
      <c r="NUR354" s="282"/>
      <c r="NUS354" s="287"/>
      <c r="NUT354" s="282"/>
      <c r="NUU354" s="287"/>
      <c r="NUV354" s="282"/>
      <c r="NUW354" s="287"/>
      <c r="NUX354" s="282"/>
      <c r="NUY354" s="287"/>
      <c r="NUZ354" s="282"/>
      <c r="NVA354" s="287"/>
      <c r="NVB354" s="282"/>
      <c r="NVC354" s="287"/>
      <c r="NVD354" s="282"/>
      <c r="NVE354" s="287"/>
      <c r="NVF354" s="282"/>
      <c r="NVG354" s="287"/>
      <c r="NVH354" s="282"/>
      <c r="NVI354" s="287"/>
      <c r="NVJ354" s="282"/>
      <c r="NVK354" s="287"/>
      <c r="NVL354" s="282"/>
      <c r="NVM354" s="287"/>
      <c r="NVN354" s="282"/>
      <c r="NVO354" s="287"/>
      <c r="NVP354" s="282"/>
      <c r="NVQ354" s="287"/>
      <c r="NVR354" s="282"/>
      <c r="NVS354" s="287"/>
      <c r="NVT354" s="282"/>
      <c r="NVU354" s="287"/>
      <c r="NVV354" s="282"/>
      <c r="NVW354" s="287"/>
      <c r="NVX354" s="282"/>
      <c r="NVY354" s="287"/>
      <c r="NVZ354" s="282"/>
      <c r="NWA354" s="287"/>
      <c r="NWB354" s="282"/>
      <c r="NWC354" s="287"/>
      <c r="NWD354" s="282"/>
      <c r="NWE354" s="287"/>
      <c r="NWF354" s="282"/>
      <c r="NWG354" s="287"/>
      <c r="NWH354" s="282"/>
      <c r="NWI354" s="287"/>
      <c r="NWJ354" s="282"/>
      <c r="NWK354" s="287"/>
      <c r="NWL354" s="282"/>
      <c r="NWM354" s="287"/>
      <c r="NWN354" s="282"/>
      <c r="NWO354" s="287"/>
      <c r="NWP354" s="282"/>
      <c r="NWQ354" s="287"/>
      <c r="NWR354" s="282"/>
      <c r="NWS354" s="287"/>
      <c r="NWT354" s="282"/>
      <c r="NWU354" s="287"/>
      <c r="NWV354" s="282"/>
      <c r="NWW354" s="287"/>
      <c r="NWX354" s="282"/>
      <c r="NWY354" s="287"/>
      <c r="NWZ354" s="282"/>
      <c r="NXA354" s="287"/>
      <c r="NXB354" s="282"/>
      <c r="NXC354" s="287"/>
      <c r="NXD354" s="282"/>
      <c r="NXE354" s="287"/>
      <c r="NXF354" s="282"/>
      <c r="NXG354" s="287"/>
      <c r="NXH354" s="282"/>
      <c r="NXI354" s="287"/>
      <c r="NXJ354" s="282"/>
      <c r="NXK354" s="287"/>
      <c r="NXL354" s="282"/>
      <c r="NXM354" s="287"/>
      <c r="NXN354" s="282"/>
      <c r="NXO354" s="287"/>
      <c r="NXP354" s="282"/>
      <c r="NXQ354" s="287"/>
      <c r="NXR354" s="282"/>
      <c r="NXS354" s="287"/>
      <c r="NXT354" s="282"/>
      <c r="NXU354" s="287"/>
      <c r="NXV354" s="282"/>
      <c r="NXW354" s="287"/>
      <c r="NXX354" s="282"/>
      <c r="NXY354" s="287"/>
      <c r="NXZ354" s="282"/>
      <c r="NYA354" s="287"/>
      <c r="NYB354" s="282"/>
      <c r="NYC354" s="287"/>
      <c r="NYD354" s="282"/>
      <c r="NYE354" s="287"/>
      <c r="NYF354" s="282"/>
      <c r="NYG354" s="287"/>
      <c r="NYH354" s="282"/>
      <c r="NYI354" s="287"/>
      <c r="NYJ354" s="282"/>
      <c r="NYK354" s="287"/>
      <c r="NYL354" s="282"/>
      <c r="NYM354" s="287"/>
      <c r="NYN354" s="282"/>
      <c r="NYO354" s="287"/>
      <c r="NYP354" s="282"/>
      <c r="NYQ354" s="287"/>
      <c r="NYR354" s="282"/>
      <c r="NYS354" s="287"/>
      <c r="NYT354" s="282"/>
      <c r="NYU354" s="287"/>
      <c r="NYV354" s="282"/>
      <c r="NYW354" s="287"/>
      <c r="NYX354" s="282"/>
      <c r="NYY354" s="287"/>
      <c r="NYZ354" s="282"/>
      <c r="NZA354" s="287"/>
      <c r="NZB354" s="282"/>
      <c r="NZC354" s="287"/>
      <c r="NZD354" s="282"/>
      <c r="NZE354" s="287"/>
      <c r="NZF354" s="282"/>
      <c r="NZG354" s="287"/>
      <c r="NZH354" s="282"/>
      <c r="NZI354" s="287"/>
      <c r="NZJ354" s="282"/>
      <c r="NZK354" s="287"/>
      <c r="NZL354" s="282"/>
      <c r="NZM354" s="287"/>
      <c r="NZN354" s="282"/>
      <c r="NZO354" s="287"/>
      <c r="NZP354" s="282"/>
      <c r="NZQ354" s="287"/>
      <c r="NZR354" s="282"/>
      <c r="NZS354" s="287"/>
      <c r="NZT354" s="282"/>
      <c r="NZU354" s="287"/>
      <c r="NZV354" s="282"/>
      <c r="NZW354" s="287"/>
      <c r="NZX354" s="282"/>
      <c r="NZY354" s="287"/>
      <c r="NZZ354" s="282"/>
      <c r="OAA354" s="287"/>
      <c r="OAB354" s="282"/>
      <c r="OAC354" s="287"/>
      <c r="OAD354" s="282"/>
      <c r="OAE354" s="287"/>
      <c r="OAF354" s="282"/>
      <c r="OAG354" s="287"/>
      <c r="OAH354" s="282"/>
      <c r="OAI354" s="287"/>
      <c r="OAJ354" s="282"/>
      <c r="OAK354" s="287"/>
      <c r="OAL354" s="282"/>
      <c r="OAM354" s="287"/>
      <c r="OAN354" s="282"/>
      <c r="OAO354" s="287"/>
      <c r="OAP354" s="282"/>
      <c r="OAQ354" s="287"/>
      <c r="OAR354" s="282"/>
      <c r="OAS354" s="287"/>
      <c r="OAT354" s="282"/>
      <c r="OAU354" s="287"/>
      <c r="OAV354" s="282"/>
      <c r="OAW354" s="287"/>
      <c r="OAX354" s="282"/>
      <c r="OAY354" s="287"/>
      <c r="OAZ354" s="282"/>
      <c r="OBA354" s="287"/>
      <c r="OBB354" s="282"/>
      <c r="OBC354" s="287"/>
      <c r="OBD354" s="282"/>
      <c r="OBE354" s="287"/>
      <c r="OBF354" s="282"/>
      <c r="OBG354" s="287"/>
      <c r="OBH354" s="282"/>
      <c r="OBI354" s="287"/>
      <c r="OBJ354" s="282"/>
      <c r="OBK354" s="287"/>
      <c r="OBL354" s="282"/>
      <c r="OBM354" s="287"/>
      <c r="OBN354" s="282"/>
      <c r="OBO354" s="287"/>
      <c r="OBP354" s="282"/>
      <c r="OBQ354" s="287"/>
      <c r="OBR354" s="282"/>
      <c r="OBS354" s="287"/>
      <c r="OBT354" s="282"/>
      <c r="OBU354" s="287"/>
      <c r="OBV354" s="282"/>
      <c r="OBW354" s="287"/>
      <c r="OBX354" s="282"/>
      <c r="OBY354" s="287"/>
      <c r="OBZ354" s="282"/>
      <c r="OCA354" s="287"/>
      <c r="OCB354" s="282"/>
      <c r="OCC354" s="287"/>
      <c r="OCD354" s="282"/>
      <c r="OCE354" s="287"/>
      <c r="OCF354" s="282"/>
      <c r="OCG354" s="287"/>
      <c r="OCH354" s="282"/>
      <c r="OCI354" s="287"/>
      <c r="OCJ354" s="282"/>
      <c r="OCK354" s="287"/>
      <c r="OCL354" s="282"/>
      <c r="OCM354" s="287"/>
      <c r="OCN354" s="282"/>
      <c r="OCO354" s="287"/>
      <c r="OCP354" s="282"/>
      <c r="OCQ354" s="287"/>
      <c r="OCR354" s="282"/>
      <c r="OCS354" s="287"/>
      <c r="OCT354" s="282"/>
      <c r="OCU354" s="287"/>
      <c r="OCV354" s="282"/>
      <c r="OCW354" s="287"/>
      <c r="OCX354" s="282"/>
      <c r="OCY354" s="287"/>
      <c r="OCZ354" s="282"/>
      <c r="ODA354" s="287"/>
      <c r="ODB354" s="282"/>
      <c r="ODC354" s="287"/>
      <c r="ODD354" s="282"/>
      <c r="ODE354" s="287"/>
      <c r="ODF354" s="282"/>
      <c r="ODG354" s="287"/>
      <c r="ODH354" s="282"/>
      <c r="ODI354" s="287"/>
      <c r="ODJ354" s="282"/>
      <c r="ODK354" s="287"/>
      <c r="ODL354" s="282"/>
      <c r="ODM354" s="287"/>
      <c r="ODN354" s="282"/>
      <c r="ODO354" s="287"/>
      <c r="ODP354" s="282"/>
      <c r="ODQ354" s="287"/>
      <c r="ODR354" s="282"/>
      <c r="ODS354" s="287"/>
      <c r="ODT354" s="282"/>
      <c r="ODU354" s="287"/>
      <c r="ODV354" s="282"/>
      <c r="ODW354" s="287"/>
      <c r="ODX354" s="282"/>
      <c r="ODY354" s="287"/>
      <c r="ODZ354" s="282"/>
      <c r="OEA354" s="287"/>
      <c r="OEB354" s="282"/>
      <c r="OEC354" s="287"/>
      <c r="OED354" s="282"/>
      <c r="OEE354" s="287"/>
      <c r="OEF354" s="282"/>
      <c r="OEG354" s="287"/>
      <c r="OEH354" s="282"/>
      <c r="OEI354" s="287"/>
      <c r="OEJ354" s="282"/>
      <c r="OEK354" s="287"/>
      <c r="OEL354" s="282"/>
      <c r="OEM354" s="287"/>
      <c r="OEN354" s="282"/>
      <c r="OEO354" s="287"/>
      <c r="OEP354" s="282"/>
      <c r="OEQ354" s="287"/>
      <c r="OER354" s="282"/>
      <c r="OES354" s="287"/>
      <c r="OET354" s="282"/>
      <c r="OEU354" s="287"/>
      <c r="OEV354" s="282"/>
      <c r="OEW354" s="287"/>
      <c r="OEX354" s="282"/>
      <c r="OEY354" s="287"/>
      <c r="OEZ354" s="282"/>
      <c r="OFA354" s="287"/>
      <c r="OFB354" s="282"/>
      <c r="OFC354" s="287"/>
      <c r="OFD354" s="282"/>
      <c r="OFE354" s="287"/>
      <c r="OFF354" s="282"/>
      <c r="OFG354" s="287"/>
      <c r="OFH354" s="282"/>
      <c r="OFI354" s="287"/>
      <c r="OFJ354" s="282"/>
      <c r="OFK354" s="287"/>
      <c r="OFL354" s="282"/>
      <c r="OFM354" s="287"/>
      <c r="OFN354" s="282"/>
      <c r="OFO354" s="287"/>
      <c r="OFP354" s="282"/>
      <c r="OFQ354" s="287"/>
      <c r="OFR354" s="282"/>
      <c r="OFS354" s="287"/>
      <c r="OFT354" s="282"/>
      <c r="OFU354" s="287"/>
      <c r="OFV354" s="282"/>
      <c r="OFW354" s="287"/>
      <c r="OFX354" s="282"/>
      <c r="OFY354" s="287"/>
      <c r="OFZ354" s="282"/>
      <c r="OGA354" s="287"/>
      <c r="OGB354" s="282"/>
      <c r="OGC354" s="287"/>
      <c r="OGD354" s="282"/>
      <c r="OGE354" s="287"/>
      <c r="OGF354" s="282"/>
      <c r="OGG354" s="287"/>
      <c r="OGH354" s="282"/>
      <c r="OGI354" s="287"/>
      <c r="OGJ354" s="282"/>
      <c r="OGK354" s="287"/>
      <c r="OGL354" s="282"/>
      <c r="OGM354" s="287"/>
      <c r="OGN354" s="282"/>
      <c r="OGO354" s="287"/>
      <c r="OGP354" s="282"/>
      <c r="OGQ354" s="287"/>
      <c r="OGR354" s="282"/>
      <c r="OGS354" s="287"/>
      <c r="OGT354" s="282"/>
      <c r="OGU354" s="287"/>
      <c r="OGV354" s="282"/>
      <c r="OGW354" s="287"/>
      <c r="OGX354" s="282"/>
      <c r="OGY354" s="287"/>
      <c r="OGZ354" s="282"/>
      <c r="OHA354" s="287"/>
      <c r="OHB354" s="282"/>
      <c r="OHC354" s="287"/>
      <c r="OHD354" s="282"/>
      <c r="OHE354" s="287"/>
      <c r="OHF354" s="282"/>
      <c r="OHG354" s="287"/>
      <c r="OHH354" s="282"/>
      <c r="OHI354" s="287"/>
      <c r="OHJ354" s="282"/>
      <c r="OHK354" s="287"/>
      <c r="OHL354" s="282"/>
      <c r="OHM354" s="287"/>
      <c r="OHN354" s="282"/>
      <c r="OHO354" s="287"/>
      <c r="OHP354" s="282"/>
      <c r="OHQ354" s="287"/>
      <c r="OHR354" s="282"/>
      <c r="OHS354" s="287"/>
      <c r="OHT354" s="282"/>
      <c r="OHU354" s="287"/>
      <c r="OHV354" s="282"/>
      <c r="OHW354" s="287"/>
      <c r="OHX354" s="282"/>
      <c r="OHY354" s="287"/>
      <c r="OHZ354" s="282"/>
      <c r="OIA354" s="287"/>
      <c r="OIB354" s="282"/>
      <c r="OIC354" s="287"/>
      <c r="OID354" s="282"/>
      <c r="OIE354" s="287"/>
      <c r="OIF354" s="282"/>
      <c r="OIG354" s="287"/>
      <c r="OIH354" s="282"/>
      <c r="OII354" s="287"/>
      <c r="OIJ354" s="282"/>
      <c r="OIK354" s="287"/>
      <c r="OIL354" s="282"/>
      <c r="OIM354" s="287"/>
      <c r="OIN354" s="282"/>
      <c r="OIO354" s="287"/>
      <c r="OIP354" s="282"/>
      <c r="OIQ354" s="287"/>
      <c r="OIR354" s="282"/>
      <c r="OIS354" s="287"/>
      <c r="OIT354" s="282"/>
      <c r="OIU354" s="287"/>
      <c r="OIV354" s="282"/>
      <c r="OIW354" s="287"/>
      <c r="OIX354" s="282"/>
      <c r="OIY354" s="287"/>
      <c r="OIZ354" s="282"/>
      <c r="OJA354" s="287"/>
      <c r="OJB354" s="282"/>
      <c r="OJC354" s="287"/>
      <c r="OJD354" s="282"/>
      <c r="OJE354" s="287"/>
      <c r="OJF354" s="282"/>
      <c r="OJG354" s="287"/>
      <c r="OJH354" s="282"/>
      <c r="OJI354" s="287"/>
      <c r="OJJ354" s="282"/>
      <c r="OJK354" s="287"/>
      <c r="OJL354" s="282"/>
      <c r="OJM354" s="287"/>
      <c r="OJN354" s="282"/>
      <c r="OJO354" s="287"/>
      <c r="OJP354" s="282"/>
      <c r="OJQ354" s="287"/>
      <c r="OJR354" s="282"/>
      <c r="OJS354" s="287"/>
      <c r="OJT354" s="282"/>
      <c r="OJU354" s="287"/>
      <c r="OJV354" s="282"/>
      <c r="OJW354" s="287"/>
      <c r="OJX354" s="282"/>
      <c r="OJY354" s="287"/>
      <c r="OJZ354" s="282"/>
      <c r="OKA354" s="287"/>
      <c r="OKB354" s="282"/>
      <c r="OKC354" s="287"/>
      <c r="OKD354" s="282"/>
      <c r="OKE354" s="287"/>
      <c r="OKF354" s="282"/>
      <c r="OKG354" s="287"/>
      <c r="OKH354" s="282"/>
      <c r="OKI354" s="287"/>
      <c r="OKJ354" s="282"/>
      <c r="OKK354" s="287"/>
      <c r="OKL354" s="282"/>
      <c r="OKM354" s="287"/>
      <c r="OKN354" s="282"/>
      <c r="OKO354" s="287"/>
      <c r="OKP354" s="282"/>
      <c r="OKQ354" s="287"/>
      <c r="OKR354" s="282"/>
      <c r="OKS354" s="287"/>
      <c r="OKT354" s="282"/>
      <c r="OKU354" s="287"/>
      <c r="OKV354" s="282"/>
      <c r="OKW354" s="287"/>
      <c r="OKX354" s="282"/>
      <c r="OKY354" s="287"/>
      <c r="OKZ354" s="282"/>
      <c r="OLA354" s="287"/>
      <c r="OLB354" s="282"/>
      <c r="OLC354" s="287"/>
      <c r="OLD354" s="282"/>
      <c r="OLE354" s="287"/>
      <c r="OLF354" s="282"/>
      <c r="OLG354" s="287"/>
      <c r="OLH354" s="282"/>
      <c r="OLI354" s="287"/>
      <c r="OLJ354" s="282"/>
      <c r="OLK354" s="287"/>
      <c r="OLL354" s="282"/>
      <c r="OLM354" s="287"/>
      <c r="OLN354" s="282"/>
      <c r="OLO354" s="287"/>
      <c r="OLP354" s="282"/>
      <c r="OLQ354" s="287"/>
      <c r="OLR354" s="282"/>
      <c r="OLS354" s="287"/>
      <c r="OLT354" s="282"/>
      <c r="OLU354" s="287"/>
      <c r="OLV354" s="282"/>
      <c r="OLW354" s="287"/>
      <c r="OLX354" s="282"/>
      <c r="OLY354" s="287"/>
      <c r="OLZ354" s="282"/>
      <c r="OMA354" s="287"/>
      <c r="OMB354" s="282"/>
      <c r="OMC354" s="287"/>
      <c r="OMD354" s="282"/>
      <c r="OME354" s="287"/>
      <c r="OMF354" s="282"/>
      <c r="OMG354" s="287"/>
      <c r="OMH354" s="282"/>
      <c r="OMI354" s="287"/>
      <c r="OMJ354" s="282"/>
      <c r="OMK354" s="287"/>
      <c r="OML354" s="282"/>
      <c r="OMM354" s="287"/>
      <c r="OMN354" s="282"/>
      <c r="OMO354" s="287"/>
      <c r="OMP354" s="282"/>
      <c r="OMQ354" s="287"/>
      <c r="OMR354" s="282"/>
      <c r="OMS354" s="287"/>
      <c r="OMT354" s="282"/>
      <c r="OMU354" s="287"/>
      <c r="OMV354" s="282"/>
      <c r="OMW354" s="287"/>
      <c r="OMX354" s="282"/>
      <c r="OMY354" s="287"/>
      <c r="OMZ354" s="282"/>
      <c r="ONA354" s="287"/>
      <c r="ONB354" s="282"/>
      <c r="ONC354" s="287"/>
      <c r="OND354" s="282"/>
      <c r="ONE354" s="287"/>
      <c r="ONF354" s="282"/>
      <c r="ONG354" s="287"/>
      <c r="ONH354" s="282"/>
      <c r="ONI354" s="287"/>
      <c r="ONJ354" s="282"/>
      <c r="ONK354" s="287"/>
      <c r="ONL354" s="282"/>
      <c r="ONM354" s="287"/>
      <c r="ONN354" s="282"/>
      <c r="ONO354" s="287"/>
      <c r="ONP354" s="282"/>
      <c r="ONQ354" s="287"/>
      <c r="ONR354" s="282"/>
      <c r="ONS354" s="287"/>
      <c r="ONT354" s="282"/>
      <c r="ONU354" s="287"/>
      <c r="ONV354" s="282"/>
      <c r="ONW354" s="287"/>
      <c r="ONX354" s="282"/>
      <c r="ONY354" s="287"/>
      <c r="ONZ354" s="282"/>
      <c r="OOA354" s="287"/>
      <c r="OOB354" s="282"/>
      <c r="OOC354" s="287"/>
      <c r="OOD354" s="282"/>
      <c r="OOE354" s="287"/>
      <c r="OOF354" s="282"/>
      <c r="OOG354" s="287"/>
      <c r="OOH354" s="282"/>
      <c r="OOI354" s="287"/>
      <c r="OOJ354" s="282"/>
      <c r="OOK354" s="287"/>
      <c r="OOL354" s="282"/>
      <c r="OOM354" s="287"/>
      <c r="OON354" s="282"/>
      <c r="OOO354" s="287"/>
      <c r="OOP354" s="282"/>
      <c r="OOQ354" s="287"/>
      <c r="OOR354" s="282"/>
      <c r="OOS354" s="287"/>
      <c r="OOT354" s="282"/>
      <c r="OOU354" s="287"/>
      <c r="OOV354" s="282"/>
      <c r="OOW354" s="287"/>
      <c r="OOX354" s="282"/>
      <c r="OOY354" s="287"/>
      <c r="OOZ354" s="282"/>
      <c r="OPA354" s="287"/>
      <c r="OPB354" s="282"/>
      <c r="OPC354" s="287"/>
      <c r="OPD354" s="282"/>
      <c r="OPE354" s="287"/>
      <c r="OPF354" s="282"/>
      <c r="OPG354" s="287"/>
      <c r="OPH354" s="282"/>
      <c r="OPI354" s="287"/>
      <c r="OPJ354" s="282"/>
      <c r="OPK354" s="287"/>
      <c r="OPL354" s="282"/>
      <c r="OPM354" s="287"/>
      <c r="OPN354" s="282"/>
      <c r="OPO354" s="287"/>
      <c r="OPP354" s="282"/>
      <c r="OPQ354" s="287"/>
      <c r="OPR354" s="282"/>
      <c r="OPS354" s="287"/>
      <c r="OPT354" s="282"/>
      <c r="OPU354" s="287"/>
      <c r="OPV354" s="282"/>
      <c r="OPW354" s="287"/>
      <c r="OPX354" s="282"/>
      <c r="OPY354" s="287"/>
      <c r="OPZ354" s="282"/>
      <c r="OQA354" s="287"/>
      <c r="OQB354" s="282"/>
      <c r="OQC354" s="287"/>
      <c r="OQD354" s="282"/>
      <c r="OQE354" s="287"/>
      <c r="OQF354" s="282"/>
      <c r="OQG354" s="287"/>
      <c r="OQH354" s="282"/>
      <c r="OQI354" s="287"/>
      <c r="OQJ354" s="282"/>
      <c r="OQK354" s="287"/>
      <c r="OQL354" s="282"/>
      <c r="OQM354" s="287"/>
      <c r="OQN354" s="282"/>
      <c r="OQO354" s="287"/>
      <c r="OQP354" s="282"/>
      <c r="OQQ354" s="287"/>
      <c r="OQR354" s="282"/>
      <c r="OQS354" s="287"/>
      <c r="OQT354" s="282"/>
      <c r="OQU354" s="287"/>
      <c r="OQV354" s="282"/>
      <c r="OQW354" s="287"/>
      <c r="OQX354" s="282"/>
      <c r="OQY354" s="287"/>
      <c r="OQZ354" s="282"/>
      <c r="ORA354" s="287"/>
      <c r="ORB354" s="282"/>
      <c r="ORC354" s="287"/>
      <c r="ORD354" s="282"/>
      <c r="ORE354" s="287"/>
      <c r="ORF354" s="282"/>
      <c r="ORG354" s="287"/>
      <c r="ORH354" s="282"/>
      <c r="ORI354" s="287"/>
      <c r="ORJ354" s="282"/>
      <c r="ORK354" s="287"/>
      <c r="ORL354" s="282"/>
      <c r="ORM354" s="287"/>
      <c r="ORN354" s="282"/>
      <c r="ORO354" s="287"/>
      <c r="ORP354" s="282"/>
      <c r="ORQ354" s="287"/>
      <c r="ORR354" s="282"/>
      <c r="ORS354" s="287"/>
      <c r="ORT354" s="282"/>
      <c r="ORU354" s="287"/>
      <c r="ORV354" s="282"/>
      <c r="ORW354" s="287"/>
      <c r="ORX354" s="282"/>
      <c r="ORY354" s="287"/>
      <c r="ORZ354" s="282"/>
      <c r="OSA354" s="287"/>
      <c r="OSB354" s="282"/>
      <c r="OSC354" s="287"/>
      <c r="OSD354" s="282"/>
      <c r="OSE354" s="287"/>
      <c r="OSF354" s="282"/>
      <c r="OSG354" s="287"/>
      <c r="OSH354" s="282"/>
      <c r="OSI354" s="287"/>
      <c r="OSJ354" s="282"/>
      <c r="OSK354" s="287"/>
      <c r="OSL354" s="282"/>
      <c r="OSM354" s="287"/>
      <c r="OSN354" s="282"/>
      <c r="OSO354" s="287"/>
      <c r="OSP354" s="282"/>
      <c r="OSQ354" s="287"/>
      <c r="OSR354" s="282"/>
      <c r="OSS354" s="287"/>
      <c r="OST354" s="282"/>
      <c r="OSU354" s="287"/>
      <c r="OSV354" s="282"/>
      <c r="OSW354" s="287"/>
      <c r="OSX354" s="282"/>
      <c r="OSY354" s="287"/>
      <c r="OSZ354" s="282"/>
      <c r="OTA354" s="287"/>
      <c r="OTB354" s="282"/>
      <c r="OTC354" s="287"/>
      <c r="OTD354" s="282"/>
      <c r="OTE354" s="287"/>
      <c r="OTF354" s="282"/>
      <c r="OTG354" s="287"/>
      <c r="OTH354" s="282"/>
      <c r="OTI354" s="287"/>
      <c r="OTJ354" s="282"/>
      <c r="OTK354" s="287"/>
      <c r="OTL354" s="282"/>
      <c r="OTM354" s="287"/>
      <c r="OTN354" s="282"/>
      <c r="OTO354" s="287"/>
      <c r="OTP354" s="282"/>
      <c r="OTQ354" s="287"/>
      <c r="OTR354" s="282"/>
      <c r="OTS354" s="287"/>
      <c r="OTT354" s="282"/>
      <c r="OTU354" s="287"/>
      <c r="OTV354" s="282"/>
      <c r="OTW354" s="287"/>
      <c r="OTX354" s="282"/>
      <c r="OTY354" s="287"/>
      <c r="OTZ354" s="282"/>
      <c r="OUA354" s="287"/>
      <c r="OUB354" s="282"/>
      <c r="OUC354" s="287"/>
      <c r="OUD354" s="282"/>
      <c r="OUE354" s="287"/>
      <c r="OUF354" s="282"/>
      <c r="OUG354" s="287"/>
      <c r="OUH354" s="282"/>
      <c r="OUI354" s="287"/>
      <c r="OUJ354" s="282"/>
      <c r="OUK354" s="287"/>
      <c r="OUL354" s="282"/>
      <c r="OUM354" s="287"/>
      <c r="OUN354" s="282"/>
      <c r="OUO354" s="287"/>
      <c r="OUP354" s="282"/>
      <c r="OUQ354" s="287"/>
      <c r="OUR354" s="282"/>
      <c r="OUS354" s="287"/>
      <c r="OUT354" s="282"/>
      <c r="OUU354" s="287"/>
      <c r="OUV354" s="282"/>
      <c r="OUW354" s="287"/>
      <c r="OUX354" s="282"/>
      <c r="OUY354" s="287"/>
      <c r="OUZ354" s="282"/>
      <c r="OVA354" s="287"/>
      <c r="OVB354" s="282"/>
      <c r="OVC354" s="287"/>
      <c r="OVD354" s="282"/>
      <c r="OVE354" s="287"/>
      <c r="OVF354" s="282"/>
      <c r="OVG354" s="287"/>
      <c r="OVH354" s="282"/>
      <c r="OVI354" s="287"/>
      <c r="OVJ354" s="282"/>
      <c r="OVK354" s="287"/>
      <c r="OVL354" s="282"/>
      <c r="OVM354" s="287"/>
      <c r="OVN354" s="282"/>
      <c r="OVO354" s="287"/>
      <c r="OVP354" s="282"/>
      <c r="OVQ354" s="287"/>
      <c r="OVR354" s="282"/>
      <c r="OVS354" s="287"/>
      <c r="OVT354" s="282"/>
      <c r="OVU354" s="287"/>
      <c r="OVV354" s="282"/>
      <c r="OVW354" s="287"/>
      <c r="OVX354" s="282"/>
      <c r="OVY354" s="287"/>
      <c r="OVZ354" s="282"/>
      <c r="OWA354" s="287"/>
      <c r="OWB354" s="282"/>
      <c r="OWC354" s="287"/>
      <c r="OWD354" s="282"/>
      <c r="OWE354" s="287"/>
      <c r="OWF354" s="282"/>
      <c r="OWG354" s="287"/>
      <c r="OWH354" s="282"/>
      <c r="OWI354" s="287"/>
      <c r="OWJ354" s="282"/>
      <c r="OWK354" s="287"/>
      <c r="OWL354" s="282"/>
      <c r="OWM354" s="287"/>
      <c r="OWN354" s="282"/>
      <c r="OWO354" s="287"/>
      <c r="OWP354" s="282"/>
      <c r="OWQ354" s="287"/>
      <c r="OWR354" s="282"/>
      <c r="OWS354" s="287"/>
      <c r="OWT354" s="282"/>
      <c r="OWU354" s="287"/>
      <c r="OWV354" s="282"/>
      <c r="OWW354" s="287"/>
      <c r="OWX354" s="282"/>
      <c r="OWY354" s="287"/>
      <c r="OWZ354" s="282"/>
      <c r="OXA354" s="287"/>
      <c r="OXB354" s="282"/>
      <c r="OXC354" s="287"/>
      <c r="OXD354" s="282"/>
      <c r="OXE354" s="287"/>
      <c r="OXF354" s="282"/>
      <c r="OXG354" s="287"/>
      <c r="OXH354" s="282"/>
      <c r="OXI354" s="287"/>
      <c r="OXJ354" s="282"/>
      <c r="OXK354" s="287"/>
      <c r="OXL354" s="282"/>
      <c r="OXM354" s="287"/>
      <c r="OXN354" s="282"/>
      <c r="OXO354" s="287"/>
      <c r="OXP354" s="282"/>
      <c r="OXQ354" s="287"/>
      <c r="OXR354" s="282"/>
      <c r="OXS354" s="287"/>
      <c r="OXT354" s="282"/>
      <c r="OXU354" s="287"/>
      <c r="OXV354" s="282"/>
      <c r="OXW354" s="287"/>
      <c r="OXX354" s="282"/>
      <c r="OXY354" s="287"/>
      <c r="OXZ354" s="282"/>
      <c r="OYA354" s="287"/>
      <c r="OYB354" s="282"/>
      <c r="OYC354" s="287"/>
      <c r="OYD354" s="282"/>
      <c r="OYE354" s="287"/>
      <c r="OYF354" s="282"/>
      <c r="OYG354" s="287"/>
      <c r="OYH354" s="282"/>
      <c r="OYI354" s="287"/>
      <c r="OYJ354" s="282"/>
      <c r="OYK354" s="287"/>
      <c r="OYL354" s="282"/>
      <c r="OYM354" s="287"/>
      <c r="OYN354" s="282"/>
      <c r="OYO354" s="287"/>
      <c r="OYP354" s="282"/>
      <c r="OYQ354" s="287"/>
      <c r="OYR354" s="282"/>
      <c r="OYS354" s="287"/>
      <c r="OYT354" s="282"/>
      <c r="OYU354" s="287"/>
      <c r="OYV354" s="282"/>
      <c r="OYW354" s="287"/>
      <c r="OYX354" s="282"/>
      <c r="OYY354" s="287"/>
      <c r="OYZ354" s="282"/>
      <c r="OZA354" s="287"/>
      <c r="OZB354" s="282"/>
      <c r="OZC354" s="287"/>
      <c r="OZD354" s="282"/>
      <c r="OZE354" s="287"/>
      <c r="OZF354" s="282"/>
      <c r="OZG354" s="287"/>
      <c r="OZH354" s="282"/>
      <c r="OZI354" s="287"/>
      <c r="OZJ354" s="282"/>
      <c r="OZK354" s="287"/>
      <c r="OZL354" s="282"/>
      <c r="OZM354" s="287"/>
      <c r="OZN354" s="282"/>
      <c r="OZO354" s="287"/>
      <c r="OZP354" s="282"/>
      <c r="OZQ354" s="287"/>
      <c r="OZR354" s="282"/>
      <c r="OZS354" s="287"/>
      <c r="OZT354" s="282"/>
      <c r="OZU354" s="287"/>
      <c r="OZV354" s="282"/>
      <c r="OZW354" s="287"/>
      <c r="OZX354" s="282"/>
      <c r="OZY354" s="287"/>
      <c r="OZZ354" s="282"/>
      <c r="PAA354" s="287"/>
      <c r="PAB354" s="282"/>
      <c r="PAC354" s="287"/>
      <c r="PAD354" s="282"/>
      <c r="PAE354" s="287"/>
      <c r="PAF354" s="282"/>
      <c r="PAG354" s="287"/>
      <c r="PAH354" s="282"/>
      <c r="PAI354" s="287"/>
      <c r="PAJ354" s="282"/>
      <c r="PAK354" s="287"/>
      <c r="PAL354" s="282"/>
      <c r="PAM354" s="287"/>
      <c r="PAN354" s="282"/>
      <c r="PAO354" s="287"/>
      <c r="PAP354" s="282"/>
      <c r="PAQ354" s="287"/>
      <c r="PAR354" s="282"/>
      <c r="PAS354" s="287"/>
      <c r="PAT354" s="282"/>
      <c r="PAU354" s="287"/>
      <c r="PAV354" s="282"/>
      <c r="PAW354" s="287"/>
      <c r="PAX354" s="282"/>
      <c r="PAY354" s="287"/>
      <c r="PAZ354" s="282"/>
      <c r="PBA354" s="287"/>
      <c r="PBB354" s="282"/>
      <c r="PBC354" s="287"/>
      <c r="PBD354" s="282"/>
      <c r="PBE354" s="287"/>
      <c r="PBF354" s="282"/>
      <c r="PBG354" s="287"/>
      <c r="PBH354" s="282"/>
      <c r="PBI354" s="287"/>
      <c r="PBJ354" s="282"/>
      <c r="PBK354" s="287"/>
      <c r="PBL354" s="282"/>
      <c r="PBM354" s="287"/>
      <c r="PBN354" s="282"/>
      <c r="PBO354" s="287"/>
      <c r="PBP354" s="282"/>
      <c r="PBQ354" s="287"/>
      <c r="PBR354" s="282"/>
      <c r="PBS354" s="287"/>
      <c r="PBT354" s="282"/>
      <c r="PBU354" s="287"/>
      <c r="PBV354" s="282"/>
      <c r="PBW354" s="287"/>
      <c r="PBX354" s="282"/>
      <c r="PBY354" s="287"/>
      <c r="PBZ354" s="282"/>
      <c r="PCA354" s="287"/>
      <c r="PCB354" s="282"/>
      <c r="PCC354" s="287"/>
      <c r="PCD354" s="282"/>
      <c r="PCE354" s="287"/>
      <c r="PCF354" s="282"/>
      <c r="PCG354" s="287"/>
      <c r="PCH354" s="282"/>
      <c r="PCI354" s="287"/>
      <c r="PCJ354" s="282"/>
      <c r="PCK354" s="287"/>
      <c r="PCL354" s="282"/>
      <c r="PCM354" s="287"/>
      <c r="PCN354" s="282"/>
      <c r="PCO354" s="287"/>
      <c r="PCP354" s="282"/>
      <c r="PCQ354" s="287"/>
      <c r="PCR354" s="282"/>
      <c r="PCS354" s="287"/>
      <c r="PCT354" s="282"/>
      <c r="PCU354" s="287"/>
      <c r="PCV354" s="282"/>
      <c r="PCW354" s="287"/>
      <c r="PCX354" s="282"/>
      <c r="PCY354" s="287"/>
      <c r="PCZ354" s="282"/>
      <c r="PDA354" s="287"/>
      <c r="PDB354" s="282"/>
      <c r="PDC354" s="287"/>
      <c r="PDD354" s="282"/>
      <c r="PDE354" s="287"/>
      <c r="PDF354" s="282"/>
      <c r="PDG354" s="287"/>
      <c r="PDH354" s="282"/>
      <c r="PDI354" s="287"/>
      <c r="PDJ354" s="282"/>
      <c r="PDK354" s="287"/>
      <c r="PDL354" s="282"/>
      <c r="PDM354" s="287"/>
      <c r="PDN354" s="282"/>
      <c r="PDO354" s="287"/>
      <c r="PDP354" s="282"/>
      <c r="PDQ354" s="287"/>
      <c r="PDR354" s="282"/>
      <c r="PDS354" s="287"/>
      <c r="PDT354" s="282"/>
      <c r="PDU354" s="287"/>
      <c r="PDV354" s="282"/>
      <c r="PDW354" s="287"/>
      <c r="PDX354" s="282"/>
      <c r="PDY354" s="287"/>
      <c r="PDZ354" s="282"/>
      <c r="PEA354" s="287"/>
      <c r="PEB354" s="282"/>
      <c r="PEC354" s="287"/>
      <c r="PED354" s="282"/>
      <c r="PEE354" s="287"/>
      <c r="PEF354" s="282"/>
      <c r="PEG354" s="287"/>
      <c r="PEH354" s="282"/>
      <c r="PEI354" s="287"/>
      <c r="PEJ354" s="282"/>
      <c r="PEK354" s="287"/>
      <c r="PEL354" s="282"/>
      <c r="PEM354" s="287"/>
      <c r="PEN354" s="282"/>
      <c r="PEO354" s="287"/>
      <c r="PEP354" s="282"/>
      <c r="PEQ354" s="287"/>
      <c r="PER354" s="282"/>
      <c r="PES354" s="287"/>
      <c r="PET354" s="282"/>
      <c r="PEU354" s="287"/>
      <c r="PEV354" s="282"/>
      <c r="PEW354" s="287"/>
      <c r="PEX354" s="282"/>
      <c r="PEY354" s="287"/>
      <c r="PEZ354" s="282"/>
      <c r="PFA354" s="287"/>
      <c r="PFB354" s="282"/>
      <c r="PFC354" s="287"/>
      <c r="PFD354" s="282"/>
      <c r="PFE354" s="287"/>
      <c r="PFF354" s="282"/>
      <c r="PFG354" s="287"/>
      <c r="PFH354" s="282"/>
      <c r="PFI354" s="287"/>
      <c r="PFJ354" s="282"/>
      <c r="PFK354" s="287"/>
      <c r="PFL354" s="282"/>
      <c r="PFM354" s="287"/>
      <c r="PFN354" s="282"/>
      <c r="PFO354" s="287"/>
      <c r="PFP354" s="282"/>
      <c r="PFQ354" s="287"/>
      <c r="PFR354" s="282"/>
      <c r="PFS354" s="287"/>
      <c r="PFT354" s="282"/>
      <c r="PFU354" s="287"/>
      <c r="PFV354" s="282"/>
      <c r="PFW354" s="287"/>
      <c r="PFX354" s="282"/>
      <c r="PFY354" s="287"/>
      <c r="PFZ354" s="282"/>
      <c r="PGA354" s="287"/>
      <c r="PGB354" s="282"/>
      <c r="PGC354" s="287"/>
      <c r="PGD354" s="282"/>
      <c r="PGE354" s="287"/>
      <c r="PGF354" s="282"/>
      <c r="PGG354" s="287"/>
      <c r="PGH354" s="282"/>
      <c r="PGI354" s="287"/>
      <c r="PGJ354" s="282"/>
      <c r="PGK354" s="287"/>
      <c r="PGL354" s="282"/>
      <c r="PGM354" s="287"/>
      <c r="PGN354" s="282"/>
      <c r="PGO354" s="287"/>
      <c r="PGP354" s="282"/>
      <c r="PGQ354" s="287"/>
      <c r="PGR354" s="282"/>
      <c r="PGS354" s="287"/>
      <c r="PGT354" s="282"/>
      <c r="PGU354" s="287"/>
      <c r="PGV354" s="282"/>
      <c r="PGW354" s="287"/>
      <c r="PGX354" s="282"/>
      <c r="PGY354" s="287"/>
      <c r="PGZ354" s="282"/>
      <c r="PHA354" s="287"/>
      <c r="PHB354" s="282"/>
      <c r="PHC354" s="287"/>
      <c r="PHD354" s="282"/>
      <c r="PHE354" s="287"/>
      <c r="PHF354" s="282"/>
      <c r="PHG354" s="287"/>
      <c r="PHH354" s="282"/>
      <c r="PHI354" s="287"/>
      <c r="PHJ354" s="282"/>
      <c r="PHK354" s="287"/>
      <c r="PHL354" s="282"/>
      <c r="PHM354" s="287"/>
      <c r="PHN354" s="282"/>
      <c r="PHO354" s="287"/>
      <c r="PHP354" s="282"/>
      <c r="PHQ354" s="287"/>
      <c r="PHR354" s="282"/>
      <c r="PHS354" s="287"/>
      <c r="PHT354" s="282"/>
      <c r="PHU354" s="287"/>
      <c r="PHV354" s="282"/>
      <c r="PHW354" s="287"/>
      <c r="PHX354" s="282"/>
      <c r="PHY354" s="287"/>
      <c r="PHZ354" s="282"/>
      <c r="PIA354" s="287"/>
      <c r="PIB354" s="282"/>
      <c r="PIC354" s="287"/>
      <c r="PID354" s="282"/>
      <c r="PIE354" s="287"/>
      <c r="PIF354" s="282"/>
      <c r="PIG354" s="287"/>
      <c r="PIH354" s="282"/>
      <c r="PII354" s="287"/>
      <c r="PIJ354" s="282"/>
      <c r="PIK354" s="287"/>
      <c r="PIL354" s="282"/>
      <c r="PIM354" s="287"/>
      <c r="PIN354" s="282"/>
      <c r="PIO354" s="287"/>
      <c r="PIP354" s="282"/>
      <c r="PIQ354" s="287"/>
      <c r="PIR354" s="282"/>
      <c r="PIS354" s="287"/>
      <c r="PIT354" s="282"/>
      <c r="PIU354" s="287"/>
      <c r="PIV354" s="282"/>
      <c r="PIW354" s="287"/>
      <c r="PIX354" s="282"/>
      <c r="PIY354" s="287"/>
      <c r="PIZ354" s="282"/>
      <c r="PJA354" s="287"/>
      <c r="PJB354" s="282"/>
      <c r="PJC354" s="287"/>
      <c r="PJD354" s="282"/>
      <c r="PJE354" s="287"/>
      <c r="PJF354" s="282"/>
      <c r="PJG354" s="287"/>
      <c r="PJH354" s="282"/>
      <c r="PJI354" s="287"/>
      <c r="PJJ354" s="282"/>
      <c r="PJK354" s="287"/>
      <c r="PJL354" s="282"/>
      <c r="PJM354" s="287"/>
      <c r="PJN354" s="282"/>
      <c r="PJO354" s="287"/>
      <c r="PJP354" s="282"/>
      <c r="PJQ354" s="287"/>
      <c r="PJR354" s="282"/>
      <c r="PJS354" s="287"/>
      <c r="PJT354" s="282"/>
      <c r="PJU354" s="287"/>
      <c r="PJV354" s="282"/>
      <c r="PJW354" s="287"/>
      <c r="PJX354" s="282"/>
      <c r="PJY354" s="287"/>
      <c r="PJZ354" s="282"/>
      <c r="PKA354" s="287"/>
      <c r="PKB354" s="282"/>
      <c r="PKC354" s="287"/>
      <c r="PKD354" s="282"/>
      <c r="PKE354" s="287"/>
      <c r="PKF354" s="282"/>
      <c r="PKG354" s="287"/>
      <c r="PKH354" s="282"/>
      <c r="PKI354" s="287"/>
      <c r="PKJ354" s="282"/>
      <c r="PKK354" s="287"/>
      <c r="PKL354" s="282"/>
      <c r="PKM354" s="287"/>
      <c r="PKN354" s="282"/>
      <c r="PKO354" s="287"/>
      <c r="PKP354" s="282"/>
      <c r="PKQ354" s="287"/>
      <c r="PKR354" s="282"/>
      <c r="PKS354" s="287"/>
      <c r="PKT354" s="282"/>
      <c r="PKU354" s="287"/>
      <c r="PKV354" s="282"/>
      <c r="PKW354" s="287"/>
      <c r="PKX354" s="282"/>
      <c r="PKY354" s="287"/>
      <c r="PKZ354" s="282"/>
      <c r="PLA354" s="287"/>
      <c r="PLB354" s="282"/>
      <c r="PLC354" s="287"/>
      <c r="PLD354" s="282"/>
      <c r="PLE354" s="287"/>
      <c r="PLF354" s="282"/>
      <c r="PLG354" s="287"/>
      <c r="PLH354" s="282"/>
      <c r="PLI354" s="287"/>
      <c r="PLJ354" s="282"/>
      <c r="PLK354" s="287"/>
      <c r="PLL354" s="282"/>
      <c r="PLM354" s="287"/>
      <c r="PLN354" s="282"/>
      <c r="PLO354" s="287"/>
      <c r="PLP354" s="282"/>
      <c r="PLQ354" s="287"/>
      <c r="PLR354" s="282"/>
      <c r="PLS354" s="287"/>
      <c r="PLT354" s="282"/>
      <c r="PLU354" s="287"/>
      <c r="PLV354" s="282"/>
      <c r="PLW354" s="287"/>
      <c r="PLX354" s="282"/>
      <c r="PLY354" s="287"/>
      <c r="PLZ354" s="282"/>
      <c r="PMA354" s="287"/>
      <c r="PMB354" s="282"/>
      <c r="PMC354" s="287"/>
      <c r="PMD354" s="282"/>
      <c r="PME354" s="287"/>
      <c r="PMF354" s="282"/>
      <c r="PMG354" s="287"/>
      <c r="PMH354" s="282"/>
      <c r="PMI354" s="287"/>
      <c r="PMJ354" s="282"/>
      <c r="PMK354" s="287"/>
      <c r="PML354" s="282"/>
      <c r="PMM354" s="287"/>
      <c r="PMN354" s="282"/>
      <c r="PMO354" s="287"/>
      <c r="PMP354" s="282"/>
      <c r="PMQ354" s="287"/>
      <c r="PMR354" s="282"/>
      <c r="PMS354" s="287"/>
      <c r="PMT354" s="282"/>
      <c r="PMU354" s="287"/>
      <c r="PMV354" s="282"/>
      <c r="PMW354" s="287"/>
      <c r="PMX354" s="282"/>
      <c r="PMY354" s="287"/>
      <c r="PMZ354" s="282"/>
      <c r="PNA354" s="287"/>
      <c r="PNB354" s="282"/>
      <c r="PNC354" s="287"/>
      <c r="PND354" s="282"/>
      <c r="PNE354" s="287"/>
      <c r="PNF354" s="282"/>
      <c r="PNG354" s="287"/>
      <c r="PNH354" s="282"/>
      <c r="PNI354" s="287"/>
      <c r="PNJ354" s="282"/>
      <c r="PNK354" s="287"/>
      <c r="PNL354" s="282"/>
      <c r="PNM354" s="287"/>
      <c r="PNN354" s="282"/>
      <c r="PNO354" s="287"/>
      <c r="PNP354" s="282"/>
      <c r="PNQ354" s="287"/>
      <c r="PNR354" s="282"/>
      <c r="PNS354" s="287"/>
      <c r="PNT354" s="282"/>
      <c r="PNU354" s="287"/>
      <c r="PNV354" s="282"/>
      <c r="PNW354" s="287"/>
      <c r="PNX354" s="282"/>
      <c r="PNY354" s="287"/>
      <c r="PNZ354" s="282"/>
      <c r="POA354" s="287"/>
      <c r="POB354" s="282"/>
      <c r="POC354" s="287"/>
      <c r="POD354" s="282"/>
      <c r="POE354" s="287"/>
      <c r="POF354" s="282"/>
      <c r="POG354" s="287"/>
      <c r="POH354" s="282"/>
      <c r="POI354" s="287"/>
      <c r="POJ354" s="282"/>
      <c r="POK354" s="287"/>
      <c r="POL354" s="282"/>
      <c r="POM354" s="287"/>
      <c r="PON354" s="282"/>
      <c r="POO354" s="287"/>
      <c r="POP354" s="282"/>
      <c r="POQ354" s="287"/>
      <c r="POR354" s="282"/>
      <c r="POS354" s="287"/>
      <c r="POT354" s="282"/>
      <c r="POU354" s="287"/>
      <c r="POV354" s="282"/>
      <c r="POW354" s="287"/>
      <c r="POX354" s="282"/>
      <c r="POY354" s="287"/>
      <c r="POZ354" s="282"/>
      <c r="PPA354" s="287"/>
      <c r="PPB354" s="282"/>
      <c r="PPC354" s="287"/>
      <c r="PPD354" s="282"/>
      <c r="PPE354" s="287"/>
      <c r="PPF354" s="282"/>
      <c r="PPG354" s="287"/>
      <c r="PPH354" s="282"/>
      <c r="PPI354" s="287"/>
      <c r="PPJ354" s="282"/>
      <c r="PPK354" s="287"/>
      <c r="PPL354" s="282"/>
      <c r="PPM354" s="287"/>
      <c r="PPN354" s="282"/>
      <c r="PPO354" s="287"/>
      <c r="PPP354" s="282"/>
      <c r="PPQ354" s="287"/>
      <c r="PPR354" s="282"/>
      <c r="PPS354" s="287"/>
      <c r="PPT354" s="282"/>
      <c r="PPU354" s="287"/>
      <c r="PPV354" s="282"/>
      <c r="PPW354" s="287"/>
      <c r="PPX354" s="282"/>
      <c r="PPY354" s="287"/>
      <c r="PPZ354" s="282"/>
      <c r="PQA354" s="287"/>
      <c r="PQB354" s="282"/>
      <c r="PQC354" s="287"/>
      <c r="PQD354" s="282"/>
      <c r="PQE354" s="287"/>
      <c r="PQF354" s="282"/>
      <c r="PQG354" s="287"/>
      <c r="PQH354" s="282"/>
      <c r="PQI354" s="287"/>
      <c r="PQJ354" s="282"/>
      <c r="PQK354" s="287"/>
      <c r="PQL354" s="282"/>
      <c r="PQM354" s="287"/>
      <c r="PQN354" s="282"/>
      <c r="PQO354" s="287"/>
      <c r="PQP354" s="282"/>
      <c r="PQQ354" s="287"/>
      <c r="PQR354" s="282"/>
      <c r="PQS354" s="287"/>
      <c r="PQT354" s="282"/>
      <c r="PQU354" s="287"/>
      <c r="PQV354" s="282"/>
      <c r="PQW354" s="287"/>
      <c r="PQX354" s="282"/>
      <c r="PQY354" s="287"/>
      <c r="PQZ354" s="282"/>
      <c r="PRA354" s="287"/>
      <c r="PRB354" s="282"/>
      <c r="PRC354" s="287"/>
      <c r="PRD354" s="282"/>
      <c r="PRE354" s="287"/>
      <c r="PRF354" s="282"/>
      <c r="PRG354" s="287"/>
      <c r="PRH354" s="282"/>
      <c r="PRI354" s="287"/>
      <c r="PRJ354" s="282"/>
      <c r="PRK354" s="287"/>
      <c r="PRL354" s="282"/>
      <c r="PRM354" s="287"/>
      <c r="PRN354" s="282"/>
      <c r="PRO354" s="287"/>
      <c r="PRP354" s="282"/>
      <c r="PRQ354" s="287"/>
      <c r="PRR354" s="282"/>
      <c r="PRS354" s="287"/>
      <c r="PRT354" s="282"/>
      <c r="PRU354" s="287"/>
      <c r="PRV354" s="282"/>
      <c r="PRW354" s="287"/>
      <c r="PRX354" s="282"/>
      <c r="PRY354" s="287"/>
      <c r="PRZ354" s="282"/>
      <c r="PSA354" s="287"/>
      <c r="PSB354" s="282"/>
      <c r="PSC354" s="287"/>
      <c r="PSD354" s="282"/>
      <c r="PSE354" s="287"/>
      <c r="PSF354" s="282"/>
      <c r="PSG354" s="287"/>
      <c r="PSH354" s="282"/>
      <c r="PSI354" s="287"/>
      <c r="PSJ354" s="282"/>
      <c r="PSK354" s="287"/>
      <c r="PSL354" s="282"/>
      <c r="PSM354" s="287"/>
      <c r="PSN354" s="282"/>
      <c r="PSO354" s="287"/>
      <c r="PSP354" s="282"/>
      <c r="PSQ354" s="287"/>
      <c r="PSR354" s="282"/>
      <c r="PSS354" s="287"/>
      <c r="PST354" s="282"/>
      <c r="PSU354" s="287"/>
      <c r="PSV354" s="282"/>
      <c r="PSW354" s="287"/>
      <c r="PSX354" s="282"/>
      <c r="PSY354" s="287"/>
      <c r="PSZ354" s="282"/>
      <c r="PTA354" s="287"/>
      <c r="PTB354" s="282"/>
      <c r="PTC354" s="287"/>
      <c r="PTD354" s="282"/>
      <c r="PTE354" s="287"/>
      <c r="PTF354" s="282"/>
      <c r="PTG354" s="287"/>
      <c r="PTH354" s="282"/>
      <c r="PTI354" s="287"/>
      <c r="PTJ354" s="282"/>
      <c r="PTK354" s="287"/>
      <c r="PTL354" s="282"/>
      <c r="PTM354" s="287"/>
      <c r="PTN354" s="282"/>
      <c r="PTO354" s="287"/>
      <c r="PTP354" s="282"/>
      <c r="PTQ354" s="287"/>
      <c r="PTR354" s="282"/>
      <c r="PTS354" s="287"/>
      <c r="PTT354" s="282"/>
      <c r="PTU354" s="287"/>
      <c r="PTV354" s="282"/>
      <c r="PTW354" s="287"/>
      <c r="PTX354" s="282"/>
      <c r="PTY354" s="287"/>
      <c r="PTZ354" s="282"/>
      <c r="PUA354" s="287"/>
      <c r="PUB354" s="282"/>
      <c r="PUC354" s="287"/>
      <c r="PUD354" s="282"/>
      <c r="PUE354" s="287"/>
      <c r="PUF354" s="282"/>
      <c r="PUG354" s="287"/>
      <c r="PUH354" s="282"/>
      <c r="PUI354" s="287"/>
      <c r="PUJ354" s="282"/>
      <c r="PUK354" s="287"/>
      <c r="PUL354" s="282"/>
      <c r="PUM354" s="287"/>
      <c r="PUN354" s="282"/>
      <c r="PUO354" s="287"/>
      <c r="PUP354" s="282"/>
      <c r="PUQ354" s="287"/>
      <c r="PUR354" s="282"/>
      <c r="PUS354" s="287"/>
      <c r="PUT354" s="282"/>
      <c r="PUU354" s="287"/>
      <c r="PUV354" s="282"/>
      <c r="PUW354" s="287"/>
      <c r="PUX354" s="282"/>
      <c r="PUY354" s="287"/>
      <c r="PUZ354" s="282"/>
      <c r="PVA354" s="287"/>
      <c r="PVB354" s="282"/>
      <c r="PVC354" s="287"/>
      <c r="PVD354" s="282"/>
      <c r="PVE354" s="287"/>
      <c r="PVF354" s="282"/>
      <c r="PVG354" s="287"/>
      <c r="PVH354" s="282"/>
      <c r="PVI354" s="287"/>
      <c r="PVJ354" s="282"/>
      <c r="PVK354" s="287"/>
      <c r="PVL354" s="282"/>
      <c r="PVM354" s="287"/>
      <c r="PVN354" s="282"/>
      <c r="PVO354" s="287"/>
      <c r="PVP354" s="282"/>
      <c r="PVQ354" s="287"/>
      <c r="PVR354" s="282"/>
      <c r="PVS354" s="287"/>
      <c r="PVT354" s="282"/>
      <c r="PVU354" s="287"/>
      <c r="PVV354" s="282"/>
      <c r="PVW354" s="287"/>
      <c r="PVX354" s="282"/>
      <c r="PVY354" s="287"/>
      <c r="PVZ354" s="282"/>
      <c r="PWA354" s="287"/>
      <c r="PWB354" s="282"/>
      <c r="PWC354" s="287"/>
      <c r="PWD354" s="282"/>
      <c r="PWE354" s="287"/>
      <c r="PWF354" s="282"/>
      <c r="PWG354" s="287"/>
      <c r="PWH354" s="282"/>
      <c r="PWI354" s="287"/>
      <c r="PWJ354" s="282"/>
      <c r="PWK354" s="287"/>
      <c r="PWL354" s="282"/>
      <c r="PWM354" s="287"/>
      <c r="PWN354" s="282"/>
      <c r="PWO354" s="287"/>
      <c r="PWP354" s="282"/>
      <c r="PWQ354" s="287"/>
      <c r="PWR354" s="282"/>
      <c r="PWS354" s="287"/>
      <c r="PWT354" s="282"/>
      <c r="PWU354" s="287"/>
      <c r="PWV354" s="282"/>
      <c r="PWW354" s="287"/>
      <c r="PWX354" s="282"/>
      <c r="PWY354" s="287"/>
      <c r="PWZ354" s="282"/>
      <c r="PXA354" s="287"/>
      <c r="PXB354" s="282"/>
      <c r="PXC354" s="287"/>
      <c r="PXD354" s="282"/>
      <c r="PXE354" s="287"/>
      <c r="PXF354" s="282"/>
      <c r="PXG354" s="287"/>
      <c r="PXH354" s="282"/>
      <c r="PXI354" s="287"/>
      <c r="PXJ354" s="282"/>
      <c r="PXK354" s="287"/>
      <c r="PXL354" s="282"/>
      <c r="PXM354" s="287"/>
      <c r="PXN354" s="282"/>
      <c r="PXO354" s="287"/>
      <c r="PXP354" s="282"/>
      <c r="PXQ354" s="287"/>
      <c r="PXR354" s="282"/>
      <c r="PXS354" s="287"/>
      <c r="PXT354" s="282"/>
      <c r="PXU354" s="287"/>
      <c r="PXV354" s="282"/>
      <c r="PXW354" s="287"/>
      <c r="PXX354" s="282"/>
      <c r="PXY354" s="287"/>
      <c r="PXZ354" s="282"/>
      <c r="PYA354" s="287"/>
      <c r="PYB354" s="282"/>
      <c r="PYC354" s="287"/>
      <c r="PYD354" s="282"/>
      <c r="PYE354" s="287"/>
      <c r="PYF354" s="282"/>
      <c r="PYG354" s="287"/>
      <c r="PYH354" s="282"/>
      <c r="PYI354" s="287"/>
      <c r="PYJ354" s="282"/>
      <c r="PYK354" s="287"/>
      <c r="PYL354" s="282"/>
      <c r="PYM354" s="287"/>
      <c r="PYN354" s="282"/>
      <c r="PYO354" s="287"/>
      <c r="PYP354" s="282"/>
      <c r="PYQ354" s="287"/>
      <c r="PYR354" s="282"/>
      <c r="PYS354" s="287"/>
      <c r="PYT354" s="282"/>
      <c r="PYU354" s="287"/>
      <c r="PYV354" s="282"/>
      <c r="PYW354" s="287"/>
      <c r="PYX354" s="282"/>
      <c r="PYY354" s="287"/>
      <c r="PYZ354" s="282"/>
      <c r="PZA354" s="287"/>
      <c r="PZB354" s="282"/>
      <c r="PZC354" s="287"/>
      <c r="PZD354" s="282"/>
      <c r="PZE354" s="287"/>
      <c r="PZF354" s="282"/>
      <c r="PZG354" s="287"/>
      <c r="PZH354" s="282"/>
      <c r="PZI354" s="287"/>
      <c r="PZJ354" s="282"/>
      <c r="PZK354" s="287"/>
      <c r="PZL354" s="282"/>
      <c r="PZM354" s="287"/>
      <c r="PZN354" s="282"/>
      <c r="PZO354" s="287"/>
      <c r="PZP354" s="282"/>
      <c r="PZQ354" s="287"/>
      <c r="PZR354" s="282"/>
      <c r="PZS354" s="287"/>
      <c r="PZT354" s="282"/>
      <c r="PZU354" s="287"/>
      <c r="PZV354" s="282"/>
      <c r="PZW354" s="287"/>
      <c r="PZX354" s="282"/>
      <c r="PZY354" s="287"/>
      <c r="PZZ354" s="282"/>
      <c r="QAA354" s="287"/>
      <c r="QAB354" s="282"/>
      <c r="QAC354" s="287"/>
      <c r="QAD354" s="282"/>
      <c r="QAE354" s="287"/>
      <c r="QAF354" s="282"/>
      <c r="QAG354" s="287"/>
      <c r="QAH354" s="282"/>
      <c r="QAI354" s="287"/>
      <c r="QAJ354" s="282"/>
      <c r="QAK354" s="287"/>
      <c r="QAL354" s="282"/>
      <c r="QAM354" s="287"/>
      <c r="QAN354" s="282"/>
      <c r="QAO354" s="287"/>
      <c r="QAP354" s="282"/>
      <c r="QAQ354" s="287"/>
      <c r="QAR354" s="282"/>
      <c r="QAS354" s="287"/>
      <c r="QAT354" s="282"/>
      <c r="QAU354" s="287"/>
      <c r="QAV354" s="282"/>
      <c r="QAW354" s="287"/>
      <c r="QAX354" s="282"/>
      <c r="QAY354" s="287"/>
      <c r="QAZ354" s="282"/>
      <c r="QBA354" s="287"/>
      <c r="QBB354" s="282"/>
      <c r="QBC354" s="287"/>
      <c r="QBD354" s="282"/>
      <c r="QBE354" s="287"/>
      <c r="QBF354" s="282"/>
      <c r="QBG354" s="287"/>
      <c r="QBH354" s="282"/>
      <c r="QBI354" s="287"/>
      <c r="QBJ354" s="282"/>
      <c r="QBK354" s="287"/>
      <c r="QBL354" s="282"/>
      <c r="QBM354" s="287"/>
      <c r="QBN354" s="282"/>
      <c r="QBO354" s="287"/>
      <c r="QBP354" s="282"/>
      <c r="QBQ354" s="287"/>
      <c r="QBR354" s="282"/>
      <c r="QBS354" s="287"/>
      <c r="QBT354" s="282"/>
      <c r="QBU354" s="287"/>
      <c r="QBV354" s="282"/>
      <c r="QBW354" s="287"/>
      <c r="QBX354" s="282"/>
      <c r="QBY354" s="287"/>
      <c r="QBZ354" s="282"/>
      <c r="QCA354" s="287"/>
      <c r="QCB354" s="282"/>
      <c r="QCC354" s="287"/>
      <c r="QCD354" s="282"/>
      <c r="QCE354" s="287"/>
      <c r="QCF354" s="282"/>
      <c r="QCG354" s="287"/>
      <c r="QCH354" s="282"/>
      <c r="QCI354" s="287"/>
      <c r="QCJ354" s="282"/>
      <c r="QCK354" s="287"/>
      <c r="QCL354" s="282"/>
      <c r="QCM354" s="287"/>
      <c r="QCN354" s="282"/>
      <c r="QCO354" s="287"/>
      <c r="QCP354" s="282"/>
      <c r="QCQ354" s="287"/>
      <c r="QCR354" s="282"/>
      <c r="QCS354" s="287"/>
      <c r="QCT354" s="282"/>
      <c r="QCU354" s="287"/>
      <c r="QCV354" s="282"/>
      <c r="QCW354" s="287"/>
      <c r="QCX354" s="282"/>
      <c r="QCY354" s="287"/>
      <c r="QCZ354" s="282"/>
      <c r="QDA354" s="287"/>
      <c r="QDB354" s="282"/>
      <c r="QDC354" s="287"/>
      <c r="QDD354" s="282"/>
      <c r="QDE354" s="287"/>
      <c r="QDF354" s="282"/>
      <c r="QDG354" s="287"/>
      <c r="QDH354" s="282"/>
      <c r="QDI354" s="287"/>
      <c r="QDJ354" s="282"/>
      <c r="QDK354" s="287"/>
      <c r="QDL354" s="282"/>
      <c r="QDM354" s="287"/>
      <c r="QDN354" s="282"/>
      <c r="QDO354" s="287"/>
      <c r="QDP354" s="282"/>
      <c r="QDQ354" s="287"/>
      <c r="QDR354" s="282"/>
      <c r="QDS354" s="287"/>
      <c r="QDT354" s="282"/>
      <c r="QDU354" s="287"/>
      <c r="QDV354" s="282"/>
      <c r="QDW354" s="287"/>
      <c r="QDX354" s="282"/>
      <c r="QDY354" s="287"/>
      <c r="QDZ354" s="282"/>
      <c r="QEA354" s="287"/>
      <c r="QEB354" s="282"/>
      <c r="QEC354" s="287"/>
      <c r="QED354" s="282"/>
      <c r="QEE354" s="287"/>
      <c r="QEF354" s="282"/>
      <c r="QEG354" s="287"/>
      <c r="QEH354" s="282"/>
      <c r="QEI354" s="287"/>
      <c r="QEJ354" s="282"/>
      <c r="QEK354" s="287"/>
      <c r="QEL354" s="282"/>
      <c r="QEM354" s="287"/>
      <c r="QEN354" s="282"/>
      <c r="QEO354" s="287"/>
      <c r="QEP354" s="282"/>
      <c r="QEQ354" s="287"/>
      <c r="QER354" s="282"/>
      <c r="QES354" s="287"/>
      <c r="QET354" s="282"/>
      <c r="QEU354" s="287"/>
      <c r="QEV354" s="282"/>
      <c r="QEW354" s="287"/>
      <c r="QEX354" s="282"/>
      <c r="QEY354" s="287"/>
      <c r="QEZ354" s="282"/>
      <c r="QFA354" s="287"/>
      <c r="QFB354" s="282"/>
      <c r="QFC354" s="287"/>
      <c r="QFD354" s="282"/>
      <c r="QFE354" s="287"/>
      <c r="QFF354" s="282"/>
      <c r="QFG354" s="287"/>
      <c r="QFH354" s="282"/>
      <c r="QFI354" s="287"/>
      <c r="QFJ354" s="282"/>
      <c r="QFK354" s="287"/>
      <c r="QFL354" s="282"/>
      <c r="QFM354" s="287"/>
      <c r="QFN354" s="282"/>
      <c r="QFO354" s="287"/>
      <c r="QFP354" s="282"/>
      <c r="QFQ354" s="287"/>
      <c r="QFR354" s="282"/>
      <c r="QFS354" s="287"/>
      <c r="QFT354" s="282"/>
      <c r="QFU354" s="287"/>
      <c r="QFV354" s="282"/>
      <c r="QFW354" s="287"/>
      <c r="QFX354" s="282"/>
      <c r="QFY354" s="287"/>
      <c r="QFZ354" s="282"/>
      <c r="QGA354" s="287"/>
      <c r="QGB354" s="282"/>
      <c r="QGC354" s="287"/>
      <c r="QGD354" s="282"/>
      <c r="QGE354" s="287"/>
      <c r="QGF354" s="282"/>
      <c r="QGG354" s="287"/>
      <c r="QGH354" s="282"/>
      <c r="QGI354" s="287"/>
      <c r="QGJ354" s="282"/>
      <c r="QGK354" s="287"/>
      <c r="QGL354" s="282"/>
      <c r="QGM354" s="287"/>
      <c r="QGN354" s="282"/>
      <c r="QGO354" s="287"/>
      <c r="QGP354" s="282"/>
      <c r="QGQ354" s="287"/>
      <c r="QGR354" s="282"/>
      <c r="QGS354" s="287"/>
      <c r="QGT354" s="282"/>
      <c r="QGU354" s="287"/>
      <c r="QGV354" s="282"/>
      <c r="QGW354" s="287"/>
      <c r="QGX354" s="282"/>
      <c r="QGY354" s="287"/>
      <c r="QGZ354" s="282"/>
      <c r="QHA354" s="287"/>
      <c r="QHB354" s="282"/>
      <c r="QHC354" s="287"/>
      <c r="QHD354" s="282"/>
      <c r="QHE354" s="287"/>
      <c r="QHF354" s="282"/>
      <c r="QHG354" s="287"/>
      <c r="QHH354" s="282"/>
      <c r="QHI354" s="287"/>
      <c r="QHJ354" s="282"/>
      <c r="QHK354" s="287"/>
      <c r="QHL354" s="282"/>
      <c r="QHM354" s="287"/>
      <c r="QHN354" s="282"/>
      <c r="QHO354" s="287"/>
      <c r="QHP354" s="282"/>
      <c r="QHQ354" s="287"/>
      <c r="QHR354" s="282"/>
      <c r="QHS354" s="287"/>
      <c r="QHT354" s="282"/>
      <c r="QHU354" s="287"/>
      <c r="QHV354" s="282"/>
      <c r="QHW354" s="287"/>
      <c r="QHX354" s="282"/>
      <c r="QHY354" s="287"/>
      <c r="QHZ354" s="282"/>
      <c r="QIA354" s="287"/>
      <c r="QIB354" s="282"/>
      <c r="QIC354" s="287"/>
      <c r="QID354" s="282"/>
      <c r="QIE354" s="287"/>
      <c r="QIF354" s="282"/>
      <c r="QIG354" s="287"/>
      <c r="QIH354" s="282"/>
      <c r="QII354" s="287"/>
      <c r="QIJ354" s="282"/>
      <c r="QIK354" s="287"/>
      <c r="QIL354" s="282"/>
      <c r="QIM354" s="287"/>
      <c r="QIN354" s="282"/>
      <c r="QIO354" s="287"/>
      <c r="QIP354" s="282"/>
      <c r="QIQ354" s="287"/>
      <c r="QIR354" s="282"/>
      <c r="QIS354" s="287"/>
      <c r="QIT354" s="282"/>
      <c r="QIU354" s="287"/>
      <c r="QIV354" s="282"/>
      <c r="QIW354" s="287"/>
      <c r="QIX354" s="282"/>
      <c r="QIY354" s="287"/>
      <c r="QIZ354" s="282"/>
      <c r="QJA354" s="287"/>
      <c r="QJB354" s="282"/>
      <c r="QJC354" s="287"/>
      <c r="QJD354" s="282"/>
      <c r="QJE354" s="287"/>
      <c r="QJF354" s="282"/>
      <c r="QJG354" s="287"/>
      <c r="QJH354" s="282"/>
      <c r="QJI354" s="287"/>
      <c r="QJJ354" s="282"/>
      <c r="QJK354" s="287"/>
      <c r="QJL354" s="282"/>
      <c r="QJM354" s="287"/>
      <c r="QJN354" s="282"/>
      <c r="QJO354" s="287"/>
      <c r="QJP354" s="282"/>
      <c r="QJQ354" s="287"/>
      <c r="QJR354" s="282"/>
      <c r="QJS354" s="287"/>
      <c r="QJT354" s="282"/>
      <c r="QJU354" s="287"/>
      <c r="QJV354" s="282"/>
      <c r="QJW354" s="287"/>
      <c r="QJX354" s="282"/>
      <c r="QJY354" s="287"/>
      <c r="QJZ354" s="282"/>
      <c r="QKA354" s="287"/>
      <c r="QKB354" s="282"/>
      <c r="QKC354" s="287"/>
      <c r="QKD354" s="282"/>
      <c r="QKE354" s="287"/>
      <c r="QKF354" s="282"/>
      <c r="QKG354" s="287"/>
      <c r="QKH354" s="282"/>
      <c r="QKI354" s="287"/>
      <c r="QKJ354" s="282"/>
      <c r="QKK354" s="287"/>
      <c r="QKL354" s="282"/>
      <c r="QKM354" s="287"/>
      <c r="QKN354" s="282"/>
      <c r="QKO354" s="287"/>
      <c r="QKP354" s="282"/>
      <c r="QKQ354" s="287"/>
      <c r="QKR354" s="282"/>
      <c r="QKS354" s="287"/>
      <c r="QKT354" s="282"/>
      <c r="QKU354" s="287"/>
      <c r="QKV354" s="282"/>
      <c r="QKW354" s="287"/>
      <c r="QKX354" s="282"/>
      <c r="QKY354" s="287"/>
      <c r="QKZ354" s="282"/>
      <c r="QLA354" s="287"/>
      <c r="QLB354" s="282"/>
      <c r="QLC354" s="287"/>
      <c r="QLD354" s="282"/>
      <c r="QLE354" s="287"/>
      <c r="QLF354" s="282"/>
      <c r="QLG354" s="287"/>
      <c r="QLH354" s="282"/>
      <c r="QLI354" s="287"/>
      <c r="QLJ354" s="282"/>
      <c r="QLK354" s="287"/>
      <c r="QLL354" s="282"/>
      <c r="QLM354" s="287"/>
      <c r="QLN354" s="282"/>
      <c r="QLO354" s="287"/>
      <c r="QLP354" s="282"/>
      <c r="QLQ354" s="287"/>
      <c r="QLR354" s="282"/>
      <c r="QLS354" s="287"/>
      <c r="QLT354" s="282"/>
      <c r="QLU354" s="287"/>
      <c r="QLV354" s="282"/>
      <c r="QLW354" s="287"/>
      <c r="QLX354" s="282"/>
      <c r="QLY354" s="287"/>
      <c r="QLZ354" s="282"/>
      <c r="QMA354" s="287"/>
      <c r="QMB354" s="282"/>
      <c r="QMC354" s="287"/>
      <c r="QMD354" s="282"/>
      <c r="QME354" s="287"/>
      <c r="QMF354" s="282"/>
      <c r="QMG354" s="287"/>
      <c r="QMH354" s="282"/>
      <c r="QMI354" s="287"/>
      <c r="QMJ354" s="282"/>
      <c r="QMK354" s="287"/>
      <c r="QML354" s="282"/>
      <c r="QMM354" s="287"/>
      <c r="QMN354" s="282"/>
      <c r="QMO354" s="287"/>
      <c r="QMP354" s="282"/>
      <c r="QMQ354" s="287"/>
      <c r="QMR354" s="282"/>
      <c r="QMS354" s="287"/>
      <c r="QMT354" s="282"/>
      <c r="QMU354" s="287"/>
      <c r="QMV354" s="282"/>
      <c r="QMW354" s="287"/>
      <c r="QMX354" s="282"/>
      <c r="QMY354" s="287"/>
      <c r="QMZ354" s="282"/>
      <c r="QNA354" s="287"/>
      <c r="QNB354" s="282"/>
      <c r="QNC354" s="287"/>
      <c r="QND354" s="282"/>
      <c r="QNE354" s="287"/>
      <c r="QNF354" s="282"/>
      <c r="QNG354" s="287"/>
      <c r="QNH354" s="282"/>
      <c r="QNI354" s="287"/>
      <c r="QNJ354" s="282"/>
      <c r="QNK354" s="287"/>
      <c r="QNL354" s="282"/>
      <c r="QNM354" s="287"/>
      <c r="QNN354" s="282"/>
      <c r="QNO354" s="287"/>
      <c r="QNP354" s="282"/>
      <c r="QNQ354" s="287"/>
      <c r="QNR354" s="282"/>
      <c r="QNS354" s="287"/>
      <c r="QNT354" s="282"/>
      <c r="QNU354" s="287"/>
      <c r="QNV354" s="282"/>
      <c r="QNW354" s="287"/>
      <c r="QNX354" s="282"/>
      <c r="QNY354" s="287"/>
      <c r="QNZ354" s="282"/>
      <c r="QOA354" s="287"/>
      <c r="QOB354" s="282"/>
      <c r="QOC354" s="287"/>
      <c r="QOD354" s="282"/>
      <c r="QOE354" s="287"/>
      <c r="QOF354" s="282"/>
      <c r="QOG354" s="287"/>
      <c r="QOH354" s="282"/>
      <c r="QOI354" s="287"/>
      <c r="QOJ354" s="282"/>
      <c r="QOK354" s="287"/>
      <c r="QOL354" s="282"/>
      <c r="QOM354" s="287"/>
      <c r="QON354" s="282"/>
      <c r="QOO354" s="287"/>
      <c r="QOP354" s="282"/>
      <c r="QOQ354" s="287"/>
      <c r="QOR354" s="282"/>
      <c r="QOS354" s="287"/>
      <c r="QOT354" s="282"/>
      <c r="QOU354" s="287"/>
      <c r="QOV354" s="282"/>
      <c r="QOW354" s="287"/>
      <c r="QOX354" s="282"/>
      <c r="QOY354" s="287"/>
      <c r="QOZ354" s="282"/>
      <c r="QPA354" s="287"/>
      <c r="QPB354" s="282"/>
      <c r="QPC354" s="287"/>
      <c r="QPD354" s="282"/>
      <c r="QPE354" s="287"/>
      <c r="QPF354" s="282"/>
      <c r="QPG354" s="287"/>
      <c r="QPH354" s="282"/>
      <c r="QPI354" s="287"/>
      <c r="QPJ354" s="282"/>
      <c r="QPK354" s="287"/>
      <c r="QPL354" s="282"/>
      <c r="QPM354" s="287"/>
      <c r="QPN354" s="282"/>
      <c r="QPO354" s="287"/>
      <c r="QPP354" s="282"/>
      <c r="QPQ354" s="287"/>
      <c r="QPR354" s="282"/>
      <c r="QPS354" s="287"/>
      <c r="QPT354" s="282"/>
      <c r="QPU354" s="287"/>
      <c r="QPV354" s="282"/>
      <c r="QPW354" s="287"/>
      <c r="QPX354" s="282"/>
      <c r="QPY354" s="287"/>
      <c r="QPZ354" s="282"/>
      <c r="QQA354" s="287"/>
      <c r="QQB354" s="282"/>
      <c r="QQC354" s="287"/>
      <c r="QQD354" s="282"/>
      <c r="QQE354" s="287"/>
      <c r="QQF354" s="282"/>
      <c r="QQG354" s="287"/>
      <c r="QQH354" s="282"/>
      <c r="QQI354" s="287"/>
      <c r="QQJ354" s="282"/>
      <c r="QQK354" s="287"/>
      <c r="QQL354" s="282"/>
      <c r="QQM354" s="287"/>
      <c r="QQN354" s="282"/>
      <c r="QQO354" s="287"/>
      <c r="QQP354" s="282"/>
      <c r="QQQ354" s="287"/>
      <c r="QQR354" s="282"/>
      <c r="QQS354" s="287"/>
      <c r="QQT354" s="282"/>
      <c r="QQU354" s="287"/>
      <c r="QQV354" s="282"/>
      <c r="QQW354" s="287"/>
      <c r="QQX354" s="282"/>
      <c r="QQY354" s="287"/>
      <c r="QQZ354" s="282"/>
      <c r="QRA354" s="287"/>
      <c r="QRB354" s="282"/>
      <c r="QRC354" s="287"/>
      <c r="QRD354" s="282"/>
      <c r="QRE354" s="287"/>
      <c r="QRF354" s="282"/>
      <c r="QRG354" s="287"/>
      <c r="QRH354" s="282"/>
      <c r="QRI354" s="287"/>
      <c r="QRJ354" s="282"/>
      <c r="QRK354" s="287"/>
      <c r="QRL354" s="282"/>
      <c r="QRM354" s="287"/>
      <c r="QRN354" s="282"/>
      <c r="QRO354" s="287"/>
      <c r="QRP354" s="282"/>
      <c r="QRQ354" s="287"/>
      <c r="QRR354" s="282"/>
      <c r="QRS354" s="287"/>
      <c r="QRT354" s="282"/>
      <c r="QRU354" s="287"/>
      <c r="QRV354" s="282"/>
      <c r="QRW354" s="287"/>
      <c r="QRX354" s="282"/>
      <c r="QRY354" s="287"/>
      <c r="QRZ354" s="282"/>
      <c r="QSA354" s="287"/>
      <c r="QSB354" s="282"/>
      <c r="QSC354" s="287"/>
      <c r="QSD354" s="282"/>
      <c r="QSE354" s="287"/>
      <c r="QSF354" s="282"/>
      <c r="QSG354" s="287"/>
      <c r="QSH354" s="282"/>
      <c r="QSI354" s="287"/>
      <c r="QSJ354" s="282"/>
      <c r="QSK354" s="287"/>
      <c r="QSL354" s="282"/>
      <c r="QSM354" s="287"/>
      <c r="QSN354" s="282"/>
      <c r="QSO354" s="287"/>
      <c r="QSP354" s="282"/>
      <c r="QSQ354" s="287"/>
      <c r="QSR354" s="282"/>
      <c r="QSS354" s="287"/>
      <c r="QST354" s="282"/>
      <c r="QSU354" s="287"/>
      <c r="QSV354" s="282"/>
      <c r="QSW354" s="287"/>
      <c r="QSX354" s="282"/>
      <c r="QSY354" s="287"/>
      <c r="QSZ354" s="282"/>
      <c r="QTA354" s="287"/>
      <c r="QTB354" s="282"/>
      <c r="QTC354" s="287"/>
      <c r="QTD354" s="282"/>
      <c r="QTE354" s="287"/>
      <c r="QTF354" s="282"/>
      <c r="QTG354" s="287"/>
      <c r="QTH354" s="282"/>
      <c r="QTI354" s="287"/>
      <c r="QTJ354" s="282"/>
      <c r="QTK354" s="287"/>
      <c r="QTL354" s="282"/>
      <c r="QTM354" s="287"/>
      <c r="QTN354" s="282"/>
      <c r="QTO354" s="287"/>
      <c r="QTP354" s="282"/>
      <c r="QTQ354" s="287"/>
      <c r="QTR354" s="282"/>
      <c r="QTS354" s="287"/>
      <c r="QTT354" s="282"/>
      <c r="QTU354" s="287"/>
      <c r="QTV354" s="282"/>
      <c r="QTW354" s="287"/>
      <c r="QTX354" s="282"/>
      <c r="QTY354" s="287"/>
      <c r="QTZ354" s="282"/>
      <c r="QUA354" s="287"/>
      <c r="QUB354" s="282"/>
      <c r="QUC354" s="287"/>
      <c r="QUD354" s="282"/>
      <c r="QUE354" s="287"/>
      <c r="QUF354" s="282"/>
      <c r="QUG354" s="287"/>
      <c r="QUH354" s="282"/>
      <c r="QUI354" s="287"/>
      <c r="QUJ354" s="282"/>
      <c r="QUK354" s="287"/>
      <c r="QUL354" s="282"/>
      <c r="QUM354" s="287"/>
      <c r="QUN354" s="282"/>
      <c r="QUO354" s="287"/>
      <c r="QUP354" s="282"/>
      <c r="QUQ354" s="287"/>
      <c r="QUR354" s="282"/>
      <c r="QUS354" s="287"/>
      <c r="QUT354" s="282"/>
      <c r="QUU354" s="287"/>
      <c r="QUV354" s="282"/>
      <c r="QUW354" s="287"/>
      <c r="QUX354" s="282"/>
      <c r="QUY354" s="287"/>
      <c r="QUZ354" s="282"/>
      <c r="QVA354" s="287"/>
      <c r="QVB354" s="282"/>
      <c r="QVC354" s="287"/>
      <c r="QVD354" s="282"/>
      <c r="QVE354" s="287"/>
      <c r="QVF354" s="282"/>
      <c r="QVG354" s="287"/>
      <c r="QVH354" s="282"/>
      <c r="QVI354" s="287"/>
      <c r="QVJ354" s="282"/>
      <c r="QVK354" s="287"/>
      <c r="QVL354" s="282"/>
      <c r="QVM354" s="287"/>
      <c r="QVN354" s="282"/>
      <c r="QVO354" s="287"/>
      <c r="QVP354" s="282"/>
      <c r="QVQ354" s="287"/>
      <c r="QVR354" s="282"/>
      <c r="QVS354" s="287"/>
      <c r="QVT354" s="282"/>
      <c r="QVU354" s="287"/>
      <c r="QVV354" s="282"/>
      <c r="QVW354" s="287"/>
      <c r="QVX354" s="282"/>
      <c r="QVY354" s="287"/>
      <c r="QVZ354" s="282"/>
      <c r="QWA354" s="287"/>
      <c r="QWB354" s="282"/>
      <c r="QWC354" s="287"/>
      <c r="QWD354" s="282"/>
      <c r="QWE354" s="287"/>
      <c r="QWF354" s="282"/>
      <c r="QWG354" s="287"/>
      <c r="QWH354" s="282"/>
      <c r="QWI354" s="287"/>
      <c r="QWJ354" s="282"/>
      <c r="QWK354" s="287"/>
      <c r="QWL354" s="282"/>
      <c r="QWM354" s="287"/>
      <c r="QWN354" s="282"/>
      <c r="QWO354" s="287"/>
      <c r="QWP354" s="282"/>
      <c r="QWQ354" s="287"/>
      <c r="QWR354" s="282"/>
      <c r="QWS354" s="287"/>
      <c r="QWT354" s="282"/>
      <c r="QWU354" s="287"/>
      <c r="QWV354" s="282"/>
      <c r="QWW354" s="287"/>
      <c r="QWX354" s="282"/>
      <c r="QWY354" s="287"/>
      <c r="QWZ354" s="282"/>
      <c r="QXA354" s="287"/>
      <c r="QXB354" s="282"/>
      <c r="QXC354" s="287"/>
      <c r="QXD354" s="282"/>
      <c r="QXE354" s="287"/>
      <c r="QXF354" s="282"/>
      <c r="QXG354" s="287"/>
      <c r="QXH354" s="282"/>
      <c r="QXI354" s="287"/>
      <c r="QXJ354" s="282"/>
      <c r="QXK354" s="287"/>
      <c r="QXL354" s="282"/>
      <c r="QXM354" s="287"/>
      <c r="QXN354" s="282"/>
      <c r="QXO354" s="287"/>
      <c r="QXP354" s="282"/>
      <c r="QXQ354" s="287"/>
      <c r="QXR354" s="282"/>
      <c r="QXS354" s="287"/>
      <c r="QXT354" s="282"/>
      <c r="QXU354" s="287"/>
      <c r="QXV354" s="282"/>
      <c r="QXW354" s="287"/>
      <c r="QXX354" s="282"/>
      <c r="QXY354" s="287"/>
      <c r="QXZ354" s="282"/>
      <c r="QYA354" s="287"/>
      <c r="QYB354" s="282"/>
      <c r="QYC354" s="287"/>
      <c r="QYD354" s="282"/>
      <c r="QYE354" s="287"/>
      <c r="QYF354" s="282"/>
      <c r="QYG354" s="287"/>
      <c r="QYH354" s="282"/>
      <c r="QYI354" s="287"/>
      <c r="QYJ354" s="282"/>
      <c r="QYK354" s="287"/>
      <c r="QYL354" s="282"/>
      <c r="QYM354" s="287"/>
      <c r="QYN354" s="282"/>
      <c r="QYO354" s="287"/>
      <c r="QYP354" s="282"/>
      <c r="QYQ354" s="287"/>
      <c r="QYR354" s="282"/>
      <c r="QYS354" s="287"/>
      <c r="QYT354" s="282"/>
      <c r="QYU354" s="287"/>
      <c r="QYV354" s="282"/>
      <c r="QYW354" s="287"/>
      <c r="QYX354" s="282"/>
      <c r="QYY354" s="287"/>
      <c r="QYZ354" s="282"/>
      <c r="QZA354" s="287"/>
      <c r="QZB354" s="282"/>
      <c r="QZC354" s="287"/>
      <c r="QZD354" s="282"/>
      <c r="QZE354" s="287"/>
      <c r="QZF354" s="282"/>
      <c r="QZG354" s="287"/>
      <c r="QZH354" s="282"/>
      <c r="QZI354" s="287"/>
      <c r="QZJ354" s="282"/>
      <c r="QZK354" s="287"/>
      <c r="QZL354" s="282"/>
      <c r="QZM354" s="287"/>
      <c r="QZN354" s="282"/>
      <c r="QZO354" s="287"/>
      <c r="QZP354" s="282"/>
      <c r="QZQ354" s="287"/>
      <c r="QZR354" s="282"/>
      <c r="QZS354" s="287"/>
      <c r="QZT354" s="282"/>
      <c r="QZU354" s="287"/>
      <c r="QZV354" s="282"/>
      <c r="QZW354" s="287"/>
      <c r="QZX354" s="282"/>
      <c r="QZY354" s="287"/>
      <c r="QZZ354" s="282"/>
      <c r="RAA354" s="287"/>
      <c r="RAB354" s="282"/>
      <c r="RAC354" s="287"/>
      <c r="RAD354" s="282"/>
      <c r="RAE354" s="287"/>
      <c r="RAF354" s="282"/>
      <c r="RAG354" s="287"/>
      <c r="RAH354" s="282"/>
      <c r="RAI354" s="287"/>
      <c r="RAJ354" s="282"/>
      <c r="RAK354" s="287"/>
      <c r="RAL354" s="282"/>
      <c r="RAM354" s="287"/>
      <c r="RAN354" s="282"/>
      <c r="RAO354" s="287"/>
      <c r="RAP354" s="282"/>
      <c r="RAQ354" s="287"/>
      <c r="RAR354" s="282"/>
      <c r="RAS354" s="287"/>
      <c r="RAT354" s="282"/>
      <c r="RAU354" s="287"/>
      <c r="RAV354" s="282"/>
      <c r="RAW354" s="287"/>
      <c r="RAX354" s="282"/>
      <c r="RAY354" s="287"/>
      <c r="RAZ354" s="282"/>
      <c r="RBA354" s="287"/>
      <c r="RBB354" s="282"/>
      <c r="RBC354" s="287"/>
      <c r="RBD354" s="282"/>
      <c r="RBE354" s="287"/>
      <c r="RBF354" s="282"/>
      <c r="RBG354" s="287"/>
      <c r="RBH354" s="282"/>
      <c r="RBI354" s="287"/>
      <c r="RBJ354" s="282"/>
      <c r="RBK354" s="287"/>
      <c r="RBL354" s="282"/>
      <c r="RBM354" s="287"/>
      <c r="RBN354" s="282"/>
      <c r="RBO354" s="287"/>
      <c r="RBP354" s="282"/>
      <c r="RBQ354" s="287"/>
      <c r="RBR354" s="282"/>
      <c r="RBS354" s="287"/>
      <c r="RBT354" s="282"/>
      <c r="RBU354" s="287"/>
      <c r="RBV354" s="282"/>
      <c r="RBW354" s="287"/>
      <c r="RBX354" s="282"/>
      <c r="RBY354" s="287"/>
      <c r="RBZ354" s="282"/>
      <c r="RCA354" s="287"/>
      <c r="RCB354" s="282"/>
      <c r="RCC354" s="287"/>
      <c r="RCD354" s="282"/>
      <c r="RCE354" s="287"/>
      <c r="RCF354" s="282"/>
      <c r="RCG354" s="287"/>
      <c r="RCH354" s="282"/>
      <c r="RCI354" s="287"/>
      <c r="RCJ354" s="282"/>
      <c r="RCK354" s="287"/>
      <c r="RCL354" s="282"/>
      <c r="RCM354" s="287"/>
      <c r="RCN354" s="282"/>
      <c r="RCO354" s="287"/>
      <c r="RCP354" s="282"/>
      <c r="RCQ354" s="287"/>
      <c r="RCR354" s="282"/>
      <c r="RCS354" s="287"/>
      <c r="RCT354" s="282"/>
      <c r="RCU354" s="287"/>
      <c r="RCV354" s="282"/>
      <c r="RCW354" s="287"/>
      <c r="RCX354" s="282"/>
      <c r="RCY354" s="287"/>
      <c r="RCZ354" s="282"/>
      <c r="RDA354" s="287"/>
      <c r="RDB354" s="282"/>
      <c r="RDC354" s="287"/>
      <c r="RDD354" s="282"/>
      <c r="RDE354" s="287"/>
      <c r="RDF354" s="282"/>
      <c r="RDG354" s="287"/>
      <c r="RDH354" s="282"/>
      <c r="RDI354" s="287"/>
      <c r="RDJ354" s="282"/>
      <c r="RDK354" s="287"/>
      <c r="RDL354" s="282"/>
      <c r="RDM354" s="287"/>
      <c r="RDN354" s="282"/>
      <c r="RDO354" s="287"/>
      <c r="RDP354" s="282"/>
      <c r="RDQ354" s="287"/>
      <c r="RDR354" s="282"/>
      <c r="RDS354" s="287"/>
      <c r="RDT354" s="282"/>
      <c r="RDU354" s="287"/>
      <c r="RDV354" s="282"/>
      <c r="RDW354" s="287"/>
      <c r="RDX354" s="282"/>
      <c r="RDY354" s="287"/>
      <c r="RDZ354" s="282"/>
      <c r="REA354" s="287"/>
      <c r="REB354" s="282"/>
      <c r="REC354" s="287"/>
      <c r="RED354" s="282"/>
      <c r="REE354" s="287"/>
      <c r="REF354" s="282"/>
      <c r="REG354" s="287"/>
      <c r="REH354" s="282"/>
      <c r="REI354" s="287"/>
      <c r="REJ354" s="282"/>
      <c r="REK354" s="287"/>
      <c r="REL354" s="282"/>
      <c r="REM354" s="287"/>
      <c r="REN354" s="282"/>
      <c r="REO354" s="287"/>
      <c r="REP354" s="282"/>
      <c r="REQ354" s="287"/>
      <c r="RER354" s="282"/>
      <c r="RES354" s="287"/>
      <c r="RET354" s="282"/>
      <c r="REU354" s="287"/>
      <c r="REV354" s="282"/>
      <c r="REW354" s="287"/>
      <c r="REX354" s="282"/>
      <c r="REY354" s="287"/>
      <c r="REZ354" s="282"/>
      <c r="RFA354" s="287"/>
      <c r="RFB354" s="282"/>
      <c r="RFC354" s="287"/>
      <c r="RFD354" s="282"/>
      <c r="RFE354" s="287"/>
      <c r="RFF354" s="282"/>
      <c r="RFG354" s="287"/>
      <c r="RFH354" s="282"/>
      <c r="RFI354" s="287"/>
      <c r="RFJ354" s="282"/>
      <c r="RFK354" s="287"/>
      <c r="RFL354" s="282"/>
      <c r="RFM354" s="287"/>
      <c r="RFN354" s="282"/>
      <c r="RFO354" s="287"/>
      <c r="RFP354" s="282"/>
      <c r="RFQ354" s="287"/>
      <c r="RFR354" s="282"/>
      <c r="RFS354" s="287"/>
      <c r="RFT354" s="282"/>
      <c r="RFU354" s="287"/>
      <c r="RFV354" s="282"/>
      <c r="RFW354" s="287"/>
      <c r="RFX354" s="282"/>
      <c r="RFY354" s="287"/>
      <c r="RFZ354" s="282"/>
      <c r="RGA354" s="287"/>
      <c r="RGB354" s="282"/>
      <c r="RGC354" s="287"/>
      <c r="RGD354" s="282"/>
      <c r="RGE354" s="287"/>
      <c r="RGF354" s="282"/>
      <c r="RGG354" s="287"/>
      <c r="RGH354" s="282"/>
      <c r="RGI354" s="287"/>
      <c r="RGJ354" s="282"/>
      <c r="RGK354" s="287"/>
      <c r="RGL354" s="282"/>
      <c r="RGM354" s="287"/>
      <c r="RGN354" s="282"/>
      <c r="RGO354" s="287"/>
      <c r="RGP354" s="282"/>
      <c r="RGQ354" s="287"/>
      <c r="RGR354" s="282"/>
      <c r="RGS354" s="287"/>
      <c r="RGT354" s="282"/>
      <c r="RGU354" s="287"/>
      <c r="RGV354" s="282"/>
      <c r="RGW354" s="287"/>
      <c r="RGX354" s="282"/>
      <c r="RGY354" s="287"/>
      <c r="RGZ354" s="282"/>
      <c r="RHA354" s="287"/>
      <c r="RHB354" s="282"/>
      <c r="RHC354" s="287"/>
      <c r="RHD354" s="282"/>
      <c r="RHE354" s="287"/>
      <c r="RHF354" s="282"/>
      <c r="RHG354" s="287"/>
      <c r="RHH354" s="282"/>
      <c r="RHI354" s="287"/>
      <c r="RHJ354" s="282"/>
      <c r="RHK354" s="287"/>
      <c r="RHL354" s="282"/>
      <c r="RHM354" s="287"/>
      <c r="RHN354" s="282"/>
      <c r="RHO354" s="287"/>
      <c r="RHP354" s="282"/>
      <c r="RHQ354" s="287"/>
      <c r="RHR354" s="282"/>
      <c r="RHS354" s="287"/>
      <c r="RHT354" s="282"/>
      <c r="RHU354" s="287"/>
      <c r="RHV354" s="282"/>
      <c r="RHW354" s="287"/>
      <c r="RHX354" s="282"/>
      <c r="RHY354" s="287"/>
      <c r="RHZ354" s="282"/>
      <c r="RIA354" s="287"/>
      <c r="RIB354" s="282"/>
      <c r="RIC354" s="287"/>
      <c r="RID354" s="282"/>
      <c r="RIE354" s="287"/>
      <c r="RIF354" s="282"/>
      <c r="RIG354" s="287"/>
      <c r="RIH354" s="282"/>
      <c r="RII354" s="287"/>
      <c r="RIJ354" s="282"/>
      <c r="RIK354" s="287"/>
      <c r="RIL354" s="282"/>
      <c r="RIM354" s="287"/>
      <c r="RIN354" s="282"/>
      <c r="RIO354" s="287"/>
      <c r="RIP354" s="282"/>
      <c r="RIQ354" s="287"/>
      <c r="RIR354" s="282"/>
      <c r="RIS354" s="287"/>
      <c r="RIT354" s="282"/>
      <c r="RIU354" s="287"/>
      <c r="RIV354" s="282"/>
      <c r="RIW354" s="287"/>
      <c r="RIX354" s="282"/>
      <c r="RIY354" s="287"/>
      <c r="RIZ354" s="282"/>
      <c r="RJA354" s="287"/>
      <c r="RJB354" s="282"/>
      <c r="RJC354" s="287"/>
      <c r="RJD354" s="282"/>
      <c r="RJE354" s="287"/>
      <c r="RJF354" s="282"/>
      <c r="RJG354" s="287"/>
      <c r="RJH354" s="282"/>
      <c r="RJI354" s="287"/>
      <c r="RJJ354" s="282"/>
      <c r="RJK354" s="287"/>
      <c r="RJL354" s="282"/>
      <c r="RJM354" s="287"/>
      <c r="RJN354" s="282"/>
      <c r="RJO354" s="287"/>
      <c r="RJP354" s="282"/>
      <c r="RJQ354" s="287"/>
      <c r="RJR354" s="282"/>
      <c r="RJS354" s="287"/>
      <c r="RJT354" s="282"/>
      <c r="RJU354" s="287"/>
      <c r="RJV354" s="282"/>
      <c r="RJW354" s="287"/>
      <c r="RJX354" s="282"/>
      <c r="RJY354" s="287"/>
      <c r="RJZ354" s="282"/>
      <c r="RKA354" s="287"/>
      <c r="RKB354" s="282"/>
      <c r="RKC354" s="287"/>
      <c r="RKD354" s="282"/>
      <c r="RKE354" s="287"/>
      <c r="RKF354" s="282"/>
      <c r="RKG354" s="287"/>
      <c r="RKH354" s="282"/>
      <c r="RKI354" s="287"/>
      <c r="RKJ354" s="282"/>
      <c r="RKK354" s="287"/>
      <c r="RKL354" s="282"/>
      <c r="RKM354" s="287"/>
      <c r="RKN354" s="282"/>
      <c r="RKO354" s="287"/>
      <c r="RKP354" s="282"/>
      <c r="RKQ354" s="287"/>
      <c r="RKR354" s="282"/>
      <c r="RKS354" s="287"/>
      <c r="RKT354" s="282"/>
      <c r="RKU354" s="287"/>
      <c r="RKV354" s="282"/>
      <c r="RKW354" s="287"/>
      <c r="RKX354" s="282"/>
      <c r="RKY354" s="287"/>
      <c r="RKZ354" s="282"/>
      <c r="RLA354" s="287"/>
      <c r="RLB354" s="282"/>
      <c r="RLC354" s="287"/>
      <c r="RLD354" s="282"/>
      <c r="RLE354" s="287"/>
      <c r="RLF354" s="282"/>
      <c r="RLG354" s="287"/>
      <c r="RLH354" s="282"/>
      <c r="RLI354" s="287"/>
      <c r="RLJ354" s="282"/>
      <c r="RLK354" s="287"/>
      <c r="RLL354" s="282"/>
      <c r="RLM354" s="287"/>
      <c r="RLN354" s="282"/>
      <c r="RLO354" s="287"/>
      <c r="RLP354" s="282"/>
      <c r="RLQ354" s="287"/>
      <c r="RLR354" s="282"/>
      <c r="RLS354" s="287"/>
      <c r="RLT354" s="282"/>
      <c r="RLU354" s="287"/>
      <c r="RLV354" s="282"/>
      <c r="RLW354" s="287"/>
      <c r="RLX354" s="282"/>
      <c r="RLY354" s="287"/>
      <c r="RLZ354" s="282"/>
      <c r="RMA354" s="287"/>
      <c r="RMB354" s="282"/>
      <c r="RMC354" s="287"/>
      <c r="RMD354" s="282"/>
      <c r="RME354" s="287"/>
      <c r="RMF354" s="282"/>
      <c r="RMG354" s="287"/>
      <c r="RMH354" s="282"/>
      <c r="RMI354" s="287"/>
      <c r="RMJ354" s="282"/>
      <c r="RMK354" s="287"/>
      <c r="RML354" s="282"/>
      <c r="RMM354" s="287"/>
      <c r="RMN354" s="282"/>
      <c r="RMO354" s="287"/>
      <c r="RMP354" s="282"/>
      <c r="RMQ354" s="287"/>
      <c r="RMR354" s="282"/>
      <c r="RMS354" s="287"/>
      <c r="RMT354" s="282"/>
      <c r="RMU354" s="287"/>
      <c r="RMV354" s="282"/>
      <c r="RMW354" s="287"/>
      <c r="RMX354" s="282"/>
      <c r="RMY354" s="287"/>
      <c r="RMZ354" s="282"/>
      <c r="RNA354" s="287"/>
      <c r="RNB354" s="282"/>
      <c r="RNC354" s="287"/>
      <c r="RND354" s="282"/>
      <c r="RNE354" s="287"/>
      <c r="RNF354" s="282"/>
      <c r="RNG354" s="287"/>
      <c r="RNH354" s="282"/>
      <c r="RNI354" s="287"/>
      <c r="RNJ354" s="282"/>
      <c r="RNK354" s="287"/>
      <c r="RNL354" s="282"/>
      <c r="RNM354" s="287"/>
      <c r="RNN354" s="282"/>
      <c r="RNO354" s="287"/>
      <c r="RNP354" s="282"/>
      <c r="RNQ354" s="287"/>
      <c r="RNR354" s="282"/>
      <c r="RNS354" s="287"/>
      <c r="RNT354" s="282"/>
      <c r="RNU354" s="287"/>
      <c r="RNV354" s="282"/>
      <c r="RNW354" s="287"/>
      <c r="RNX354" s="282"/>
      <c r="RNY354" s="287"/>
      <c r="RNZ354" s="282"/>
      <c r="ROA354" s="287"/>
      <c r="ROB354" s="282"/>
      <c r="ROC354" s="287"/>
      <c r="ROD354" s="282"/>
      <c r="ROE354" s="287"/>
      <c r="ROF354" s="282"/>
      <c r="ROG354" s="287"/>
      <c r="ROH354" s="282"/>
      <c r="ROI354" s="287"/>
      <c r="ROJ354" s="282"/>
      <c r="ROK354" s="287"/>
      <c r="ROL354" s="282"/>
      <c r="ROM354" s="287"/>
      <c r="RON354" s="282"/>
      <c r="ROO354" s="287"/>
      <c r="ROP354" s="282"/>
      <c r="ROQ354" s="287"/>
      <c r="ROR354" s="282"/>
      <c r="ROS354" s="287"/>
      <c r="ROT354" s="282"/>
      <c r="ROU354" s="287"/>
      <c r="ROV354" s="282"/>
      <c r="ROW354" s="287"/>
      <c r="ROX354" s="282"/>
      <c r="ROY354" s="287"/>
      <c r="ROZ354" s="282"/>
      <c r="RPA354" s="287"/>
      <c r="RPB354" s="282"/>
      <c r="RPC354" s="287"/>
      <c r="RPD354" s="282"/>
      <c r="RPE354" s="287"/>
      <c r="RPF354" s="282"/>
      <c r="RPG354" s="287"/>
      <c r="RPH354" s="282"/>
      <c r="RPI354" s="287"/>
      <c r="RPJ354" s="282"/>
      <c r="RPK354" s="287"/>
      <c r="RPL354" s="282"/>
      <c r="RPM354" s="287"/>
      <c r="RPN354" s="282"/>
      <c r="RPO354" s="287"/>
      <c r="RPP354" s="282"/>
      <c r="RPQ354" s="287"/>
      <c r="RPR354" s="282"/>
      <c r="RPS354" s="287"/>
      <c r="RPT354" s="282"/>
      <c r="RPU354" s="287"/>
      <c r="RPV354" s="282"/>
      <c r="RPW354" s="287"/>
      <c r="RPX354" s="282"/>
      <c r="RPY354" s="287"/>
      <c r="RPZ354" s="282"/>
      <c r="RQA354" s="287"/>
      <c r="RQB354" s="282"/>
      <c r="RQC354" s="287"/>
      <c r="RQD354" s="282"/>
      <c r="RQE354" s="287"/>
      <c r="RQF354" s="282"/>
      <c r="RQG354" s="287"/>
      <c r="RQH354" s="282"/>
      <c r="RQI354" s="287"/>
      <c r="RQJ354" s="282"/>
      <c r="RQK354" s="287"/>
      <c r="RQL354" s="282"/>
      <c r="RQM354" s="287"/>
      <c r="RQN354" s="282"/>
      <c r="RQO354" s="287"/>
      <c r="RQP354" s="282"/>
      <c r="RQQ354" s="287"/>
      <c r="RQR354" s="282"/>
      <c r="RQS354" s="287"/>
      <c r="RQT354" s="282"/>
      <c r="RQU354" s="287"/>
      <c r="RQV354" s="282"/>
      <c r="RQW354" s="287"/>
      <c r="RQX354" s="282"/>
      <c r="RQY354" s="287"/>
      <c r="RQZ354" s="282"/>
      <c r="RRA354" s="287"/>
      <c r="RRB354" s="282"/>
      <c r="RRC354" s="287"/>
      <c r="RRD354" s="282"/>
      <c r="RRE354" s="287"/>
      <c r="RRF354" s="282"/>
      <c r="RRG354" s="287"/>
      <c r="RRH354" s="282"/>
      <c r="RRI354" s="287"/>
      <c r="RRJ354" s="282"/>
      <c r="RRK354" s="287"/>
      <c r="RRL354" s="282"/>
      <c r="RRM354" s="287"/>
      <c r="RRN354" s="282"/>
      <c r="RRO354" s="287"/>
      <c r="RRP354" s="282"/>
      <c r="RRQ354" s="287"/>
      <c r="RRR354" s="282"/>
      <c r="RRS354" s="287"/>
      <c r="RRT354" s="282"/>
      <c r="RRU354" s="287"/>
      <c r="RRV354" s="282"/>
      <c r="RRW354" s="287"/>
      <c r="RRX354" s="282"/>
      <c r="RRY354" s="287"/>
      <c r="RRZ354" s="282"/>
      <c r="RSA354" s="287"/>
      <c r="RSB354" s="282"/>
      <c r="RSC354" s="287"/>
      <c r="RSD354" s="282"/>
      <c r="RSE354" s="287"/>
      <c r="RSF354" s="282"/>
      <c r="RSG354" s="287"/>
      <c r="RSH354" s="282"/>
      <c r="RSI354" s="287"/>
      <c r="RSJ354" s="282"/>
      <c r="RSK354" s="287"/>
      <c r="RSL354" s="282"/>
      <c r="RSM354" s="287"/>
      <c r="RSN354" s="282"/>
      <c r="RSO354" s="287"/>
      <c r="RSP354" s="282"/>
      <c r="RSQ354" s="287"/>
      <c r="RSR354" s="282"/>
      <c r="RSS354" s="287"/>
      <c r="RST354" s="282"/>
      <c r="RSU354" s="287"/>
      <c r="RSV354" s="282"/>
      <c r="RSW354" s="287"/>
      <c r="RSX354" s="282"/>
      <c r="RSY354" s="287"/>
      <c r="RSZ354" s="282"/>
      <c r="RTA354" s="287"/>
      <c r="RTB354" s="282"/>
      <c r="RTC354" s="287"/>
      <c r="RTD354" s="282"/>
      <c r="RTE354" s="287"/>
      <c r="RTF354" s="282"/>
      <c r="RTG354" s="287"/>
      <c r="RTH354" s="282"/>
      <c r="RTI354" s="287"/>
      <c r="RTJ354" s="282"/>
      <c r="RTK354" s="287"/>
      <c r="RTL354" s="282"/>
      <c r="RTM354" s="287"/>
      <c r="RTN354" s="282"/>
      <c r="RTO354" s="287"/>
      <c r="RTP354" s="282"/>
      <c r="RTQ354" s="287"/>
      <c r="RTR354" s="282"/>
      <c r="RTS354" s="287"/>
      <c r="RTT354" s="282"/>
      <c r="RTU354" s="287"/>
      <c r="RTV354" s="282"/>
      <c r="RTW354" s="287"/>
      <c r="RTX354" s="282"/>
      <c r="RTY354" s="287"/>
      <c r="RTZ354" s="282"/>
      <c r="RUA354" s="287"/>
      <c r="RUB354" s="282"/>
      <c r="RUC354" s="287"/>
      <c r="RUD354" s="282"/>
      <c r="RUE354" s="287"/>
      <c r="RUF354" s="282"/>
      <c r="RUG354" s="287"/>
      <c r="RUH354" s="282"/>
      <c r="RUI354" s="287"/>
      <c r="RUJ354" s="282"/>
      <c r="RUK354" s="287"/>
      <c r="RUL354" s="282"/>
      <c r="RUM354" s="287"/>
      <c r="RUN354" s="282"/>
      <c r="RUO354" s="287"/>
      <c r="RUP354" s="282"/>
      <c r="RUQ354" s="287"/>
      <c r="RUR354" s="282"/>
      <c r="RUS354" s="287"/>
      <c r="RUT354" s="282"/>
      <c r="RUU354" s="287"/>
      <c r="RUV354" s="282"/>
      <c r="RUW354" s="287"/>
      <c r="RUX354" s="282"/>
      <c r="RUY354" s="287"/>
      <c r="RUZ354" s="282"/>
      <c r="RVA354" s="287"/>
      <c r="RVB354" s="282"/>
      <c r="RVC354" s="287"/>
      <c r="RVD354" s="282"/>
      <c r="RVE354" s="287"/>
      <c r="RVF354" s="282"/>
      <c r="RVG354" s="287"/>
      <c r="RVH354" s="282"/>
      <c r="RVI354" s="287"/>
      <c r="RVJ354" s="282"/>
      <c r="RVK354" s="287"/>
      <c r="RVL354" s="282"/>
      <c r="RVM354" s="287"/>
      <c r="RVN354" s="282"/>
      <c r="RVO354" s="287"/>
      <c r="RVP354" s="282"/>
      <c r="RVQ354" s="287"/>
      <c r="RVR354" s="282"/>
      <c r="RVS354" s="287"/>
      <c r="RVT354" s="282"/>
      <c r="RVU354" s="287"/>
      <c r="RVV354" s="282"/>
      <c r="RVW354" s="287"/>
      <c r="RVX354" s="282"/>
      <c r="RVY354" s="287"/>
      <c r="RVZ354" s="282"/>
      <c r="RWA354" s="287"/>
      <c r="RWB354" s="282"/>
      <c r="RWC354" s="287"/>
      <c r="RWD354" s="282"/>
      <c r="RWE354" s="287"/>
      <c r="RWF354" s="282"/>
      <c r="RWG354" s="287"/>
      <c r="RWH354" s="282"/>
      <c r="RWI354" s="287"/>
      <c r="RWJ354" s="282"/>
      <c r="RWK354" s="287"/>
      <c r="RWL354" s="282"/>
      <c r="RWM354" s="287"/>
      <c r="RWN354" s="282"/>
      <c r="RWO354" s="287"/>
      <c r="RWP354" s="282"/>
      <c r="RWQ354" s="287"/>
      <c r="RWR354" s="282"/>
      <c r="RWS354" s="287"/>
      <c r="RWT354" s="282"/>
      <c r="RWU354" s="287"/>
      <c r="RWV354" s="282"/>
      <c r="RWW354" s="287"/>
      <c r="RWX354" s="282"/>
      <c r="RWY354" s="287"/>
      <c r="RWZ354" s="282"/>
      <c r="RXA354" s="287"/>
      <c r="RXB354" s="282"/>
      <c r="RXC354" s="287"/>
      <c r="RXD354" s="282"/>
      <c r="RXE354" s="287"/>
      <c r="RXF354" s="282"/>
      <c r="RXG354" s="287"/>
      <c r="RXH354" s="282"/>
      <c r="RXI354" s="287"/>
      <c r="RXJ354" s="282"/>
      <c r="RXK354" s="287"/>
      <c r="RXL354" s="282"/>
      <c r="RXM354" s="287"/>
      <c r="RXN354" s="282"/>
      <c r="RXO354" s="287"/>
      <c r="RXP354" s="282"/>
      <c r="RXQ354" s="287"/>
      <c r="RXR354" s="282"/>
      <c r="RXS354" s="287"/>
      <c r="RXT354" s="282"/>
      <c r="RXU354" s="287"/>
      <c r="RXV354" s="282"/>
      <c r="RXW354" s="287"/>
      <c r="RXX354" s="282"/>
      <c r="RXY354" s="287"/>
      <c r="RXZ354" s="282"/>
      <c r="RYA354" s="287"/>
      <c r="RYB354" s="282"/>
      <c r="RYC354" s="287"/>
      <c r="RYD354" s="282"/>
      <c r="RYE354" s="287"/>
      <c r="RYF354" s="282"/>
      <c r="RYG354" s="287"/>
      <c r="RYH354" s="282"/>
      <c r="RYI354" s="287"/>
      <c r="RYJ354" s="282"/>
      <c r="RYK354" s="287"/>
      <c r="RYL354" s="282"/>
      <c r="RYM354" s="287"/>
      <c r="RYN354" s="282"/>
      <c r="RYO354" s="287"/>
      <c r="RYP354" s="282"/>
      <c r="RYQ354" s="287"/>
      <c r="RYR354" s="282"/>
      <c r="RYS354" s="287"/>
      <c r="RYT354" s="282"/>
      <c r="RYU354" s="287"/>
      <c r="RYV354" s="282"/>
      <c r="RYW354" s="287"/>
      <c r="RYX354" s="282"/>
      <c r="RYY354" s="287"/>
      <c r="RYZ354" s="282"/>
      <c r="RZA354" s="287"/>
      <c r="RZB354" s="282"/>
      <c r="RZC354" s="287"/>
      <c r="RZD354" s="282"/>
      <c r="RZE354" s="287"/>
      <c r="RZF354" s="282"/>
      <c r="RZG354" s="287"/>
      <c r="RZH354" s="282"/>
      <c r="RZI354" s="287"/>
      <c r="RZJ354" s="282"/>
      <c r="RZK354" s="287"/>
      <c r="RZL354" s="282"/>
      <c r="RZM354" s="287"/>
      <c r="RZN354" s="282"/>
      <c r="RZO354" s="287"/>
      <c r="RZP354" s="282"/>
      <c r="RZQ354" s="287"/>
      <c r="RZR354" s="282"/>
      <c r="RZS354" s="287"/>
      <c r="RZT354" s="282"/>
      <c r="RZU354" s="287"/>
      <c r="RZV354" s="282"/>
      <c r="RZW354" s="287"/>
      <c r="RZX354" s="282"/>
      <c r="RZY354" s="287"/>
      <c r="RZZ354" s="282"/>
      <c r="SAA354" s="287"/>
      <c r="SAB354" s="282"/>
      <c r="SAC354" s="287"/>
      <c r="SAD354" s="282"/>
      <c r="SAE354" s="287"/>
      <c r="SAF354" s="282"/>
      <c r="SAG354" s="287"/>
      <c r="SAH354" s="282"/>
      <c r="SAI354" s="287"/>
      <c r="SAJ354" s="282"/>
      <c r="SAK354" s="287"/>
      <c r="SAL354" s="282"/>
      <c r="SAM354" s="287"/>
      <c r="SAN354" s="282"/>
      <c r="SAO354" s="287"/>
      <c r="SAP354" s="282"/>
      <c r="SAQ354" s="287"/>
      <c r="SAR354" s="282"/>
      <c r="SAS354" s="287"/>
      <c r="SAT354" s="282"/>
      <c r="SAU354" s="287"/>
      <c r="SAV354" s="282"/>
      <c r="SAW354" s="287"/>
      <c r="SAX354" s="282"/>
      <c r="SAY354" s="287"/>
      <c r="SAZ354" s="282"/>
      <c r="SBA354" s="287"/>
      <c r="SBB354" s="282"/>
      <c r="SBC354" s="287"/>
      <c r="SBD354" s="282"/>
      <c r="SBE354" s="287"/>
      <c r="SBF354" s="282"/>
      <c r="SBG354" s="287"/>
      <c r="SBH354" s="282"/>
      <c r="SBI354" s="287"/>
      <c r="SBJ354" s="282"/>
      <c r="SBK354" s="287"/>
      <c r="SBL354" s="282"/>
      <c r="SBM354" s="287"/>
      <c r="SBN354" s="282"/>
      <c r="SBO354" s="287"/>
      <c r="SBP354" s="282"/>
      <c r="SBQ354" s="287"/>
      <c r="SBR354" s="282"/>
      <c r="SBS354" s="287"/>
      <c r="SBT354" s="282"/>
      <c r="SBU354" s="287"/>
      <c r="SBV354" s="282"/>
      <c r="SBW354" s="287"/>
      <c r="SBX354" s="282"/>
      <c r="SBY354" s="287"/>
      <c r="SBZ354" s="282"/>
      <c r="SCA354" s="287"/>
      <c r="SCB354" s="282"/>
      <c r="SCC354" s="287"/>
      <c r="SCD354" s="282"/>
      <c r="SCE354" s="287"/>
      <c r="SCF354" s="282"/>
      <c r="SCG354" s="287"/>
      <c r="SCH354" s="282"/>
      <c r="SCI354" s="287"/>
      <c r="SCJ354" s="282"/>
      <c r="SCK354" s="287"/>
      <c r="SCL354" s="282"/>
      <c r="SCM354" s="287"/>
      <c r="SCN354" s="282"/>
      <c r="SCO354" s="287"/>
      <c r="SCP354" s="282"/>
      <c r="SCQ354" s="287"/>
      <c r="SCR354" s="282"/>
      <c r="SCS354" s="287"/>
      <c r="SCT354" s="282"/>
      <c r="SCU354" s="287"/>
      <c r="SCV354" s="282"/>
      <c r="SCW354" s="287"/>
      <c r="SCX354" s="282"/>
      <c r="SCY354" s="287"/>
      <c r="SCZ354" s="282"/>
      <c r="SDA354" s="287"/>
      <c r="SDB354" s="282"/>
      <c r="SDC354" s="287"/>
      <c r="SDD354" s="282"/>
      <c r="SDE354" s="287"/>
      <c r="SDF354" s="282"/>
      <c r="SDG354" s="287"/>
      <c r="SDH354" s="282"/>
      <c r="SDI354" s="287"/>
      <c r="SDJ354" s="282"/>
      <c r="SDK354" s="287"/>
      <c r="SDL354" s="282"/>
      <c r="SDM354" s="287"/>
      <c r="SDN354" s="282"/>
      <c r="SDO354" s="287"/>
      <c r="SDP354" s="282"/>
      <c r="SDQ354" s="287"/>
      <c r="SDR354" s="282"/>
      <c r="SDS354" s="287"/>
      <c r="SDT354" s="282"/>
      <c r="SDU354" s="287"/>
      <c r="SDV354" s="282"/>
      <c r="SDW354" s="287"/>
      <c r="SDX354" s="282"/>
      <c r="SDY354" s="287"/>
      <c r="SDZ354" s="282"/>
      <c r="SEA354" s="287"/>
      <c r="SEB354" s="282"/>
      <c r="SEC354" s="287"/>
      <c r="SED354" s="282"/>
      <c r="SEE354" s="287"/>
      <c r="SEF354" s="282"/>
      <c r="SEG354" s="287"/>
      <c r="SEH354" s="282"/>
      <c r="SEI354" s="287"/>
      <c r="SEJ354" s="282"/>
      <c r="SEK354" s="287"/>
      <c r="SEL354" s="282"/>
      <c r="SEM354" s="287"/>
      <c r="SEN354" s="282"/>
      <c r="SEO354" s="287"/>
      <c r="SEP354" s="282"/>
      <c r="SEQ354" s="287"/>
      <c r="SER354" s="282"/>
      <c r="SES354" s="287"/>
      <c r="SET354" s="282"/>
      <c r="SEU354" s="287"/>
      <c r="SEV354" s="282"/>
      <c r="SEW354" s="287"/>
      <c r="SEX354" s="282"/>
      <c r="SEY354" s="287"/>
      <c r="SEZ354" s="282"/>
      <c r="SFA354" s="287"/>
      <c r="SFB354" s="282"/>
      <c r="SFC354" s="287"/>
      <c r="SFD354" s="282"/>
      <c r="SFE354" s="287"/>
      <c r="SFF354" s="282"/>
      <c r="SFG354" s="287"/>
      <c r="SFH354" s="282"/>
      <c r="SFI354" s="287"/>
      <c r="SFJ354" s="282"/>
      <c r="SFK354" s="287"/>
      <c r="SFL354" s="282"/>
      <c r="SFM354" s="287"/>
      <c r="SFN354" s="282"/>
      <c r="SFO354" s="287"/>
      <c r="SFP354" s="282"/>
      <c r="SFQ354" s="287"/>
      <c r="SFR354" s="282"/>
      <c r="SFS354" s="287"/>
      <c r="SFT354" s="282"/>
      <c r="SFU354" s="287"/>
      <c r="SFV354" s="282"/>
      <c r="SFW354" s="287"/>
      <c r="SFX354" s="282"/>
      <c r="SFY354" s="287"/>
      <c r="SFZ354" s="282"/>
      <c r="SGA354" s="287"/>
      <c r="SGB354" s="282"/>
      <c r="SGC354" s="287"/>
      <c r="SGD354" s="282"/>
      <c r="SGE354" s="287"/>
      <c r="SGF354" s="282"/>
      <c r="SGG354" s="287"/>
      <c r="SGH354" s="282"/>
      <c r="SGI354" s="287"/>
      <c r="SGJ354" s="282"/>
      <c r="SGK354" s="287"/>
      <c r="SGL354" s="282"/>
      <c r="SGM354" s="287"/>
      <c r="SGN354" s="282"/>
      <c r="SGO354" s="287"/>
      <c r="SGP354" s="282"/>
      <c r="SGQ354" s="287"/>
      <c r="SGR354" s="282"/>
      <c r="SGS354" s="287"/>
      <c r="SGT354" s="282"/>
      <c r="SGU354" s="287"/>
      <c r="SGV354" s="282"/>
      <c r="SGW354" s="287"/>
      <c r="SGX354" s="282"/>
      <c r="SGY354" s="287"/>
      <c r="SGZ354" s="282"/>
      <c r="SHA354" s="287"/>
      <c r="SHB354" s="282"/>
      <c r="SHC354" s="287"/>
      <c r="SHD354" s="282"/>
      <c r="SHE354" s="287"/>
      <c r="SHF354" s="282"/>
      <c r="SHG354" s="287"/>
      <c r="SHH354" s="282"/>
      <c r="SHI354" s="287"/>
      <c r="SHJ354" s="282"/>
      <c r="SHK354" s="287"/>
      <c r="SHL354" s="282"/>
      <c r="SHM354" s="287"/>
      <c r="SHN354" s="282"/>
      <c r="SHO354" s="287"/>
      <c r="SHP354" s="282"/>
      <c r="SHQ354" s="287"/>
      <c r="SHR354" s="282"/>
      <c r="SHS354" s="287"/>
      <c r="SHT354" s="282"/>
      <c r="SHU354" s="287"/>
      <c r="SHV354" s="282"/>
      <c r="SHW354" s="287"/>
      <c r="SHX354" s="282"/>
      <c r="SHY354" s="287"/>
      <c r="SHZ354" s="282"/>
      <c r="SIA354" s="287"/>
      <c r="SIB354" s="282"/>
      <c r="SIC354" s="287"/>
      <c r="SID354" s="282"/>
      <c r="SIE354" s="287"/>
      <c r="SIF354" s="282"/>
      <c r="SIG354" s="287"/>
      <c r="SIH354" s="282"/>
      <c r="SII354" s="287"/>
      <c r="SIJ354" s="282"/>
      <c r="SIK354" s="287"/>
      <c r="SIL354" s="282"/>
      <c r="SIM354" s="287"/>
      <c r="SIN354" s="282"/>
      <c r="SIO354" s="287"/>
      <c r="SIP354" s="282"/>
      <c r="SIQ354" s="287"/>
      <c r="SIR354" s="282"/>
      <c r="SIS354" s="287"/>
      <c r="SIT354" s="282"/>
      <c r="SIU354" s="287"/>
      <c r="SIV354" s="282"/>
      <c r="SIW354" s="287"/>
      <c r="SIX354" s="282"/>
      <c r="SIY354" s="287"/>
      <c r="SIZ354" s="282"/>
      <c r="SJA354" s="287"/>
      <c r="SJB354" s="282"/>
      <c r="SJC354" s="287"/>
      <c r="SJD354" s="282"/>
      <c r="SJE354" s="287"/>
      <c r="SJF354" s="282"/>
      <c r="SJG354" s="287"/>
      <c r="SJH354" s="282"/>
      <c r="SJI354" s="287"/>
      <c r="SJJ354" s="282"/>
      <c r="SJK354" s="287"/>
      <c r="SJL354" s="282"/>
      <c r="SJM354" s="287"/>
      <c r="SJN354" s="282"/>
      <c r="SJO354" s="287"/>
      <c r="SJP354" s="282"/>
      <c r="SJQ354" s="287"/>
      <c r="SJR354" s="282"/>
      <c r="SJS354" s="287"/>
      <c r="SJT354" s="282"/>
      <c r="SJU354" s="287"/>
      <c r="SJV354" s="282"/>
      <c r="SJW354" s="287"/>
      <c r="SJX354" s="282"/>
      <c r="SJY354" s="287"/>
      <c r="SJZ354" s="282"/>
      <c r="SKA354" s="287"/>
      <c r="SKB354" s="282"/>
      <c r="SKC354" s="287"/>
      <c r="SKD354" s="282"/>
      <c r="SKE354" s="287"/>
      <c r="SKF354" s="282"/>
      <c r="SKG354" s="287"/>
      <c r="SKH354" s="282"/>
      <c r="SKI354" s="287"/>
      <c r="SKJ354" s="282"/>
      <c r="SKK354" s="287"/>
      <c r="SKL354" s="282"/>
      <c r="SKM354" s="287"/>
      <c r="SKN354" s="282"/>
      <c r="SKO354" s="287"/>
      <c r="SKP354" s="282"/>
      <c r="SKQ354" s="287"/>
      <c r="SKR354" s="282"/>
      <c r="SKS354" s="287"/>
      <c r="SKT354" s="282"/>
      <c r="SKU354" s="287"/>
      <c r="SKV354" s="282"/>
      <c r="SKW354" s="287"/>
      <c r="SKX354" s="282"/>
      <c r="SKY354" s="287"/>
      <c r="SKZ354" s="282"/>
      <c r="SLA354" s="287"/>
      <c r="SLB354" s="282"/>
      <c r="SLC354" s="287"/>
      <c r="SLD354" s="282"/>
      <c r="SLE354" s="287"/>
      <c r="SLF354" s="282"/>
      <c r="SLG354" s="287"/>
      <c r="SLH354" s="282"/>
      <c r="SLI354" s="287"/>
      <c r="SLJ354" s="282"/>
      <c r="SLK354" s="287"/>
      <c r="SLL354" s="282"/>
      <c r="SLM354" s="287"/>
      <c r="SLN354" s="282"/>
      <c r="SLO354" s="287"/>
      <c r="SLP354" s="282"/>
      <c r="SLQ354" s="287"/>
      <c r="SLR354" s="282"/>
      <c r="SLS354" s="287"/>
      <c r="SLT354" s="282"/>
      <c r="SLU354" s="287"/>
      <c r="SLV354" s="282"/>
      <c r="SLW354" s="287"/>
      <c r="SLX354" s="282"/>
      <c r="SLY354" s="287"/>
      <c r="SLZ354" s="282"/>
      <c r="SMA354" s="287"/>
      <c r="SMB354" s="282"/>
      <c r="SMC354" s="287"/>
      <c r="SMD354" s="282"/>
      <c r="SME354" s="287"/>
      <c r="SMF354" s="282"/>
      <c r="SMG354" s="287"/>
      <c r="SMH354" s="282"/>
      <c r="SMI354" s="287"/>
      <c r="SMJ354" s="282"/>
      <c r="SMK354" s="287"/>
      <c r="SML354" s="282"/>
      <c r="SMM354" s="287"/>
      <c r="SMN354" s="282"/>
      <c r="SMO354" s="287"/>
      <c r="SMP354" s="282"/>
      <c r="SMQ354" s="287"/>
      <c r="SMR354" s="282"/>
      <c r="SMS354" s="287"/>
      <c r="SMT354" s="282"/>
      <c r="SMU354" s="287"/>
      <c r="SMV354" s="282"/>
      <c r="SMW354" s="287"/>
      <c r="SMX354" s="282"/>
      <c r="SMY354" s="287"/>
      <c r="SMZ354" s="282"/>
      <c r="SNA354" s="287"/>
      <c r="SNB354" s="282"/>
      <c r="SNC354" s="287"/>
      <c r="SND354" s="282"/>
      <c r="SNE354" s="287"/>
      <c r="SNF354" s="282"/>
      <c r="SNG354" s="287"/>
      <c r="SNH354" s="282"/>
      <c r="SNI354" s="287"/>
      <c r="SNJ354" s="282"/>
      <c r="SNK354" s="287"/>
      <c r="SNL354" s="282"/>
      <c r="SNM354" s="287"/>
      <c r="SNN354" s="282"/>
      <c r="SNO354" s="287"/>
      <c r="SNP354" s="282"/>
      <c r="SNQ354" s="287"/>
      <c r="SNR354" s="282"/>
      <c r="SNS354" s="287"/>
      <c r="SNT354" s="282"/>
      <c r="SNU354" s="287"/>
      <c r="SNV354" s="282"/>
      <c r="SNW354" s="287"/>
      <c r="SNX354" s="282"/>
      <c r="SNY354" s="287"/>
      <c r="SNZ354" s="282"/>
      <c r="SOA354" s="287"/>
      <c r="SOB354" s="282"/>
      <c r="SOC354" s="287"/>
      <c r="SOD354" s="282"/>
      <c r="SOE354" s="287"/>
      <c r="SOF354" s="282"/>
      <c r="SOG354" s="287"/>
      <c r="SOH354" s="282"/>
      <c r="SOI354" s="287"/>
      <c r="SOJ354" s="282"/>
      <c r="SOK354" s="287"/>
      <c r="SOL354" s="282"/>
      <c r="SOM354" s="287"/>
      <c r="SON354" s="282"/>
      <c r="SOO354" s="287"/>
      <c r="SOP354" s="282"/>
      <c r="SOQ354" s="287"/>
      <c r="SOR354" s="282"/>
      <c r="SOS354" s="287"/>
      <c r="SOT354" s="282"/>
      <c r="SOU354" s="287"/>
      <c r="SOV354" s="282"/>
      <c r="SOW354" s="287"/>
      <c r="SOX354" s="282"/>
      <c r="SOY354" s="287"/>
      <c r="SOZ354" s="282"/>
      <c r="SPA354" s="287"/>
      <c r="SPB354" s="282"/>
      <c r="SPC354" s="287"/>
      <c r="SPD354" s="282"/>
      <c r="SPE354" s="287"/>
      <c r="SPF354" s="282"/>
      <c r="SPG354" s="287"/>
      <c r="SPH354" s="282"/>
      <c r="SPI354" s="287"/>
      <c r="SPJ354" s="282"/>
      <c r="SPK354" s="287"/>
      <c r="SPL354" s="282"/>
      <c r="SPM354" s="287"/>
      <c r="SPN354" s="282"/>
      <c r="SPO354" s="287"/>
      <c r="SPP354" s="282"/>
      <c r="SPQ354" s="287"/>
      <c r="SPR354" s="282"/>
      <c r="SPS354" s="287"/>
      <c r="SPT354" s="282"/>
      <c r="SPU354" s="287"/>
      <c r="SPV354" s="282"/>
      <c r="SPW354" s="287"/>
      <c r="SPX354" s="282"/>
      <c r="SPY354" s="287"/>
      <c r="SPZ354" s="282"/>
      <c r="SQA354" s="287"/>
      <c r="SQB354" s="282"/>
      <c r="SQC354" s="287"/>
      <c r="SQD354" s="282"/>
      <c r="SQE354" s="287"/>
      <c r="SQF354" s="282"/>
      <c r="SQG354" s="287"/>
      <c r="SQH354" s="282"/>
      <c r="SQI354" s="287"/>
      <c r="SQJ354" s="282"/>
      <c r="SQK354" s="287"/>
      <c r="SQL354" s="282"/>
      <c r="SQM354" s="287"/>
      <c r="SQN354" s="282"/>
      <c r="SQO354" s="287"/>
      <c r="SQP354" s="282"/>
      <c r="SQQ354" s="287"/>
      <c r="SQR354" s="282"/>
      <c r="SQS354" s="287"/>
      <c r="SQT354" s="282"/>
      <c r="SQU354" s="287"/>
      <c r="SQV354" s="282"/>
      <c r="SQW354" s="287"/>
      <c r="SQX354" s="282"/>
      <c r="SQY354" s="287"/>
      <c r="SQZ354" s="282"/>
      <c r="SRA354" s="287"/>
      <c r="SRB354" s="282"/>
      <c r="SRC354" s="287"/>
      <c r="SRD354" s="282"/>
      <c r="SRE354" s="287"/>
      <c r="SRF354" s="282"/>
      <c r="SRG354" s="287"/>
      <c r="SRH354" s="282"/>
      <c r="SRI354" s="287"/>
      <c r="SRJ354" s="282"/>
      <c r="SRK354" s="287"/>
      <c r="SRL354" s="282"/>
      <c r="SRM354" s="287"/>
      <c r="SRN354" s="282"/>
      <c r="SRO354" s="287"/>
      <c r="SRP354" s="282"/>
      <c r="SRQ354" s="287"/>
      <c r="SRR354" s="282"/>
      <c r="SRS354" s="287"/>
      <c r="SRT354" s="282"/>
      <c r="SRU354" s="287"/>
      <c r="SRV354" s="282"/>
      <c r="SRW354" s="287"/>
      <c r="SRX354" s="282"/>
      <c r="SRY354" s="287"/>
      <c r="SRZ354" s="282"/>
      <c r="SSA354" s="287"/>
      <c r="SSB354" s="282"/>
      <c r="SSC354" s="287"/>
      <c r="SSD354" s="282"/>
      <c r="SSE354" s="287"/>
      <c r="SSF354" s="282"/>
      <c r="SSG354" s="287"/>
      <c r="SSH354" s="282"/>
      <c r="SSI354" s="287"/>
      <c r="SSJ354" s="282"/>
      <c r="SSK354" s="287"/>
      <c r="SSL354" s="282"/>
      <c r="SSM354" s="287"/>
      <c r="SSN354" s="282"/>
      <c r="SSO354" s="287"/>
      <c r="SSP354" s="282"/>
      <c r="SSQ354" s="287"/>
      <c r="SSR354" s="282"/>
      <c r="SSS354" s="287"/>
      <c r="SST354" s="282"/>
      <c r="SSU354" s="287"/>
      <c r="SSV354" s="282"/>
      <c r="SSW354" s="287"/>
      <c r="SSX354" s="282"/>
      <c r="SSY354" s="287"/>
      <c r="SSZ354" s="282"/>
      <c r="STA354" s="287"/>
      <c r="STB354" s="282"/>
      <c r="STC354" s="287"/>
      <c r="STD354" s="282"/>
      <c r="STE354" s="287"/>
      <c r="STF354" s="282"/>
      <c r="STG354" s="287"/>
      <c r="STH354" s="282"/>
      <c r="STI354" s="287"/>
      <c r="STJ354" s="282"/>
      <c r="STK354" s="287"/>
      <c r="STL354" s="282"/>
      <c r="STM354" s="287"/>
      <c r="STN354" s="282"/>
      <c r="STO354" s="287"/>
      <c r="STP354" s="282"/>
      <c r="STQ354" s="287"/>
      <c r="STR354" s="282"/>
      <c r="STS354" s="287"/>
      <c r="STT354" s="282"/>
      <c r="STU354" s="287"/>
      <c r="STV354" s="282"/>
      <c r="STW354" s="287"/>
      <c r="STX354" s="282"/>
      <c r="STY354" s="287"/>
      <c r="STZ354" s="282"/>
      <c r="SUA354" s="287"/>
      <c r="SUB354" s="282"/>
      <c r="SUC354" s="287"/>
      <c r="SUD354" s="282"/>
      <c r="SUE354" s="287"/>
      <c r="SUF354" s="282"/>
      <c r="SUG354" s="287"/>
      <c r="SUH354" s="282"/>
      <c r="SUI354" s="287"/>
      <c r="SUJ354" s="282"/>
      <c r="SUK354" s="287"/>
      <c r="SUL354" s="282"/>
      <c r="SUM354" s="287"/>
      <c r="SUN354" s="282"/>
      <c r="SUO354" s="287"/>
      <c r="SUP354" s="282"/>
      <c r="SUQ354" s="287"/>
      <c r="SUR354" s="282"/>
      <c r="SUS354" s="287"/>
      <c r="SUT354" s="282"/>
      <c r="SUU354" s="287"/>
      <c r="SUV354" s="282"/>
      <c r="SUW354" s="287"/>
      <c r="SUX354" s="282"/>
      <c r="SUY354" s="287"/>
      <c r="SUZ354" s="282"/>
      <c r="SVA354" s="287"/>
      <c r="SVB354" s="282"/>
      <c r="SVC354" s="287"/>
      <c r="SVD354" s="282"/>
      <c r="SVE354" s="287"/>
      <c r="SVF354" s="282"/>
      <c r="SVG354" s="287"/>
      <c r="SVH354" s="282"/>
      <c r="SVI354" s="287"/>
      <c r="SVJ354" s="282"/>
      <c r="SVK354" s="287"/>
      <c r="SVL354" s="282"/>
      <c r="SVM354" s="287"/>
      <c r="SVN354" s="282"/>
      <c r="SVO354" s="287"/>
      <c r="SVP354" s="282"/>
      <c r="SVQ354" s="287"/>
      <c r="SVR354" s="282"/>
      <c r="SVS354" s="287"/>
      <c r="SVT354" s="282"/>
      <c r="SVU354" s="287"/>
      <c r="SVV354" s="282"/>
      <c r="SVW354" s="287"/>
      <c r="SVX354" s="282"/>
      <c r="SVY354" s="287"/>
      <c r="SVZ354" s="282"/>
      <c r="SWA354" s="287"/>
      <c r="SWB354" s="282"/>
      <c r="SWC354" s="287"/>
      <c r="SWD354" s="282"/>
      <c r="SWE354" s="287"/>
      <c r="SWF354" s="282"/>
      <c r="SWG354" s="287"/>
      <c r="SWH354" s="282"/>
      <c r="SWI354" s="287"/>
      <c r="SWJ354" s="282"/>
      <c r="SWK354" s="287"/>
      <c r="SWL354" s="282"/>
      <c r="SWM354" s="287"/>
      <c r="SWN354" s="282"/>
      <c r="SWO354" s="287"/>
      <c r="SWP354" s="282"/>
      <c r="SWQ354" s="287"/>
      <c r="SWR354" s="282"/>
      <c r="SWS354" s="287"/>
      <c r="SWT354" s="282"/>
      <c r="SWU354" s="287"/>
      <c r="SWV354" s="282"/>
      <c r="SWW354" s="287"/>
      <c r="SWX354" s="282"/>
      <c r="SWY354" s="287"/>
      <c r="SWZ354" s="282"/>
      <c r="SXA354" s="287"/>
      <c r="SXB354" s="282"/>
      <c r="SXC354" s="287"/>
      <c r="SXD354" s="282"/>
      <c r="SXE354" s="287"/>
      <c r="SXF354" s="282"/>
      <c r="SXG354" s="287"/>
      <c r="SXH354" s="282"/>
      <c r="SXI354" s="287"/>
      <c r="SXJ354" s="282"/>
      <c r="SXK354" s="287"/>
      <c r="SXL354" s="282"/>
      <c r="SXM354" s="287"/>
      <c r="SXN354" s="282"/>
      <c r="SXO354" s="287"/>
      <c r="SXP354" s="282"/>
      <c r="SXQ354" s="287"/>
      <c r="SXR354" s="282"/>
      <c r="SXS354" s="287"/>
      <c r="SXT354" s="282"/>
      <c r="SXU354" s="287"/>
      <c r="SXV354" s="282"/>
      <c r="SXW354" s="287"/>
      <c r="SXX354" s="282"/>
      <c r="SXY354" s="287"/>
      <c r="SXZ354" s="282"/>
      <c r="SYA354" s="287"/>
      <c r="SYB354" s="282"/>
      <c r="SYC354" s="287"/>
      <c r="SYD354" s="282"/>
      <c r="SYE354" s="287"/>
      <c r="SYF354" s="282"/>
      <c r="SYG354" s="287"/>
      <c r="SYH354" s="282"/>
      <c r="SYI354" s="287"/>
      <c r="SYJ354" s="282"/>
      <c r="SYK354" s="287"/>
      <c r="SYL354" s="282"/>
      <c r="SYM354" s="287"/>
      <c r="SYN354" s="282"/>
      <c r="SYO354" s="287"/>
      <c r="SYP354" s="282"/>
      <c r="SYQ354" s="287"/>
      <c r="SYR354" s="282"/>
      <c r="SYS354" s="287"/>
      <c r="SYT354" s="282"/>
      <c r="SYU354" s="287"/>
      <c r="SYV354" s="282"/>
      <c r="SYW354" s="287"/>
      <c r="SYX354" s="282"/>
      <c r="SYY354" s="287"/>
      <c r="SYZ354" s="282"/>
      <c r="SZA354" s="287"/>
      <c r="SZB354" s="282"/>
      <c r="SZC354" s="287"/>
      <c r="SZD354" s="282"/>
      <c r="SZE354" s="287"/>
      <c r="SZF354" s="282"/>
      <c r="SZG354" s="287"/>
      <c r="SZH354" s="282"/>
      <c r="SZI354" s="287"/>
      <c r="SZJ354" s="282"/>
      <c r="SZK354" s="287"/>
      <c r="SZL354" s="282"/>
      <c r="SZM354" s="287"/>
      <c r="SZN354" s="282"/>
      <c r="SZO354" s="287"/>
      <c r="SZP354" s="282"/>
      <c r="SZQ354" s="287"/>
      <c r="SZR354" s="282"/>
      <c r="SZS354" s="287"/>
      <c r="SZT354" s="282"/>
      <c r="SZU354" s="287"/>
      <c r="SZV354" s="282"/>
      <c r="SZW354" s="287"/>
      <c r="SZX354" s="282"/>
      <c r="SZY354" s="287"/>
      <c r="SZZ354" s="282"/>
      <c r="TAA354" s="287"/>
      <c r="TAB354" s="282"/>
      <c r="TAC354" s="287"/>
      <c r="TAD354" s="282"/>
      <c r="TAE354" s="287"/>
      <c r="TAF354" s="282"/>
      <c r="TAG354" s="287"/>
      <c r="TAH354" s="282"/>
      <c r="TAI354" s="287"/>
      <c r="TAJ354" s="282"/>
      <c r="TAK354" s="287"/>
      <c r="TAL354" s="282"/>
      <c r="TAM354" s="287"/>
      <c r="TAN354" s="282"/>
      <c r="TAO354" s="287"/>
      <c r="TAP354" s="282"/>
      <c r="TAQ354" s="287"/>
      <c r="TAR354" s="282"/>
      <c r="TAS354" s="287"/>
      <c r="TAT354" s="282"/>
      <c r="TAU354" s="287"/>
      <c r="TAV354" s="282"/>
      <c r="TAW354" s="287"/>
      <c r="TAX354" s="282"/>
      <c r="TAY354" s="287"/>
      <c r="TAZ354" s="282"/>
      <c r="TBA354" s="287"/>
      <c r="TBB354" s="282"/>
      <c r="TBC354" s="287"/>
      <c r="TBD354" s="282"/>
      <c r="TBE354" s="287"/>
      <c r="TBF354" s="282"/>
      <c r="TBG354" s="287"/>
      <c r="TBH354" s="282"/>
      <c r="TBI354" s="287"/>
      <c r="TBJ354" s="282"/>
      <c r="TBK354" s="287"/>
      <c r="TBL354" s="282"/>
      <c r="TBM354" s="287"/>
      <c r="TBN354" s="282"/>
      <c r="TBO354" s="287"/>
      <c r="TBP354" s="282"/>
      <c r="TBQ354" s="287"/>
      <c r="TBR354" s="282"/>
      <c r="TBS354" s="287"/>
      <c r="TBT354" s="282"/>
      <c r="TBU354" s="287"/>
      <c r="TBV354" s="282"/>
      <c r="TBW354" s="287"/>
      <c r="TBX354" s="282"/>
      <c r="TBY354" s="287"/>
      <c r="TBZ354" s="282"/>
      <c r="TCA354" s="287"/>
      <c r="TCB354" s="282"/>
      <c r="TCC354" s="287"/>
      <c r="TCD354" s="282"/>
      <c r="TCE354" s="287"/>
      <c r="TCF354" s="282"/>
      <c r="TCG354" s="287"/>
      <c r="TCH354" s="282"/>
      <c r="TCI354" s="287"/>
      <c r="TCJ354" s="282"/>
      <c r="TCK354" s="287"/>
      <c r="TCL354" s="282"/>
      <c r="TCM354" s="287"/>
      <c r="TCN354" s="282"/>
      <c r="TCO354" s="287"/>
      <c r="TCP354" s="282"/>
      <c r="TCQ354" s="287"/>
      <c r="TCR354" s="282"/>
      <c r="TCS354" s="287"/>
      <c r="TCT354" s="282"/>
      <c r="TCU354" s="287"/>
      <c r="TCV354" s="282"/>
      <c r="TCW354" s="287"/>
      <c r="TCX354" s="282"/>
      <c r="TCY354" s="287"/>
      <c r="TCZ354" s="282"/>
      <c r="TDA354" s="287"/>
      <c r="TDB354" s="282"/>
      <c r="TDC354" s="287"/>
      <c r="TDD354" s="282"/>
      <c r="TDE354" s="287"/>
      <c r="TDF354" s="282"/>
      <c r="TDG354" s="287"/>
      <c r="TDH354" s="282"/>
      <c r="TDI354" s="287"/>
      <c r="TDJ354" s="282"/>
      <c r="TDK354" s="287"/>
      <c r="TDL354" s="282"/>
      <c r="TDM354" s="287"/>
      <c r="TDN354" s="282"/>
      <c r="TDO354" s="287"/>
      <c r="TDP354" s="282"/>
      <c r="TDQ354" s="287"/>
      <c r="TDR354" s="282"/>
      <c r="TDS354" s="287"/>
      <c r="TDT354" s="282"/>
      <c r="TDU354" s="287"/>
      <c r="TDV354" s="282"/>
      <c r="TDW354" s="287"/>
      <c r="TDX354" s="282"/>
      <c r="TDY354" s="287"/>
      <c r="TDZ354" s="282"/>
      <c r="TEA354" s="287"/>
      <c r="TEB354" s="282"/>
      <c r="TEC354" s="287"/>
      <c r="TED354" s="282"/>
      <c r="TEE354" s="287"/>
      <c r="TEF354" s="282"/>
      <c r="TEG354" s="287"/>
      <c r="TEH354" s="282"/>
      <c r="TEI354" s="287"/>
      <c r="TEJ354" s="282"/>
      <c r="TEK354" s="287"/>
      <c r="TEL354" s="282"/>
      <c r="TEM354" s="287"/>
      <c r="TEN354" s="282"/>
      <c r="TEO354" s="287"/>
      <c r="TEP354" s="282"/>
      <c r="TEQ354" s="287"/>
      <c r="TER354" s="282"/>
      <c r="TES354" s="287"/>
      <c r="TET354" s="282"/>
      <c r="TEU354" s="287"/>
      <c r="TEV354" s="282"/>
      <c r="TEW354" s="287"/>
      <c r="TEX354" s="282"/>
      <c r="TEY354" s="287"/>
      <c r="TEZ354" s="282"/>
      <c r="TFA354" s="287"/>
      <c r="TFB354" s="282"/>
      <c r="TFC354" s="287"/>
      <c r="TFD354" s="282"/>
      <c r="TFE354" s="287"/>
      <c r="TFF354" s="282"/>
      <c r="TFG354" s="287"/>
      <c r="TFH354" s="282"/>
      <c r="TFI354" s="287"/>
      <c r="TFJ354" s="282"/>
      <c r="TFK354" s="287"/>
      <c r="TFL354" s="282"/>
      <c r="TFM354" s="287"/>
      <c r="TFN354" s="282"/>
      <c r="TFO354" s="287"/>
      <c r="TFP354" s="282"/>
      <c r="TFQ354" s="287"/>
      <c r="TFR354" s="282"/>
      <c r="TFS354" s="287"/>
      <c r="TFT354" s="282"/>
      <c r="TFU354" s="287"/>
      <c r="TFV354" s="282"/>
      <c r="TFW354" s="287"/>
      <c r="TFX354" s="282"/>
      <c r="TFY354" s="287"/>
      <c r="TFZ354" s="282"/>
      <c r="TGA354" s="287"/>
      <c r="TGB354" s="282"/>
      <c r="TGC354" s="287"/>
      <c r="TGD354" s="282"/>
      <c r="TGE354" s="287"/>
      <c r="TGF354" s="282"/>
      <c r="TGG354" s="287"/>
      <c r="TGH354" s="282"/>
      <c r="TGI354" s="287"/>
      <c r="TGJ354" s="282"/>
      <c r="TGK354" s="287"/>
      <c r="TGL354" s="282"/>
      <c r="TGM354" s="287"/>
      <c r="TGN354" s="282"/>
      <c r="TGO354" s="287"/>
      <c r="TGP354" s="282"/>
      <c r="TGQ354" s="287"/>
      <c r="TGR354" s="282"/>
      <c r="TGS354" s="287"/>
      <c r="TGT354" s="282"/>
      <c r="TGU354" s="287"/>
      <c r="TGV354" s="282"/>
      <c r="TGW354" s="287"/>
      <c r="TGX354" s="282"/>
      <c r="TGY354" s="287"/>
      <c r="TGZ354" s="282"/>
      <c r="THA354" s="287"/>
      <c r="THB354" s="282"/>
      <c r="THC354" s="287"/>
      <c r="THD354" s="282"/>
      <c r="THE354" s="287"/>
      <c r="THF354" s="282"/>
      <c r="THG354" s="287"/>
      <c r="THH354" s="282"/>
      <c r="THI354" s="287"/>
      <c r="THJ354" s="282"/>
      <c r="THK354" s="287"/>
      <c r="THL354" s="282"/>
      <c r="THM354" s="287"/>
      <c r="THN354" s="282"/>
      <c r="THO354" s="287"/>
      <c r="THP354" s="282"/>
      <c r="THQ354" s="287"/>
      <c r="THR354" s="282"/>
      <c r="THS354" s="287"/>
      <c r="THT354" s="282"/>
      <c r="THU354" s="287"/>
      <c r="THV354" s="282"/>
      <c r="THW354" s="287"/>
      <c r="THX354" s="282"/>
      <c r="THY354" s="287"/>
      <c r="THZ354" s="282"/>
      <c r="TIA354" s="287"/>
      <c r="TIB354" s="282"/>
      <c r="TIC354" s="287"/>
      <c r="TID354" s="282"/>
      <c r="TIE354" s="287"/>
      <c r="TIF354" s="282"/>
      <c r="TIG354" s="287"/>
      <c r="TIH354" s="282"/>
      <c r="TII354" s="287"/>
      <c r="TIJ354" s="282"/>
      <c r="TIK354" s="287"/>
      <c r="TIL354" s="282"/>
      <c r="TIM354" s="287"/>
      <c r="TIN354" s="282"/>
      <c r="TIO354" s="287"/>
      <c r="TIP354" s="282"/>
      <c r="TIQ354" s="287"/>
      <c r="TIR354" s="282"/>
      <c r="TIS354" s="287"/>
      <c r="TIT354" s="282"/>
      <c r="TIU354" s="287"/>
      <c r="TIV354" s="282"/>
      <c r="TIW354" s="287"/>
      <c r="TIX354" s="282"/>
      <c r="TIY354" s="287"/>
      <c r="TIZ354" s="282"/>
      <c r="TJA354" s="287"/>
      <c r="TJB354" s="282"/>
      <c r="TJC354" s="287"/>
      <c r="TJD354" s="282"/>
      <c r="TJE354" s="287"/>
      <c r="TJF354" s="282"/>
      <c r="TJG354" s="287"/>
      <c r="TJH354" s="282"/>
      <c r="TJI354" s="287"/>
      <c r="TJJ354" s="282"/>
      <c r="TJK354" s="287"/>
      <c r="TJL354" s="282"/>
      <c r="TJM354" s="287"/>
      <c r="TJN354" s="282"/>
      <c r="TJO354" s="287"/>
      <c r="TJP354" s="282"/>
      <c r="TJQ354" s="287"/>
      <c r="TJR354" s="282"/>
      <c r="TJS354" s="287"/>
      <c r="TJT354" s="282"/>
      <c r="TJU354" s="287"/>
      <c r="TJV354" s="282"/>
      <c r="TJW354" s="287"/>
      <c r="TJX354" s="282"/>
      <c r="TJY354" s="287"/>
      <c r="TJZ354" s="282"/>
      <c r="TKA354" s="287"/>
      <c r="TKB354" s="282"/>
      <c r="TKC354" s="287"/>
      <c r="TKD354" s="282"/>
      <c r="TKE354" s="287"/>
      <c r="TKF354" s="282"/>
      <c r="TKG354" s="287"/>
      <c r="TKH354" s="282"/>
      <c r="TKI354" s="287"/>
      <c r="TKJ354" s="282"/>
      <c r="TKK354" s="287"/>
      <c r="TKL354" s="282"/>
      <c r="TKM354" s="287"/>
      <c r="TKN354" s="282"/>
      <c r="TKO354" s="287"/>
      <c r="TKP354" s="282"/>
      <c r="TKQ354" s="287"/>
      <c r="TKR354" s="282"/>
      <c r="TKS354" s="287"/>
      <c r="TKT354" s="282"/>
      <c r="TKU354" s="287"/>
      <c r="TKV354" s="282"/>
      <c r="TKW354" s="287"/>
      <c r="TKX354" s="282"/>
      <c r="TKY354" s="287"/>
      <c r="TKZ354" s="282"/>
      <c r="TLA354" s="287"/>
      <c r="TLB354" s="282"/>
      <c r="TLC354" s="287"/>
      <c r="TLD354" s="282"/>
      <c r="TLE354" s="287"/>
      <c r="TLF354" s="282"/>
      <c r="TLG354" s="287"/>
      <c r="TLH354" s="282"/>
      <c r="TLI354" s="287"/>
      <c r="TLJ354" s="282"/>
      <c r="TLK354" s="287"/>
      <c r="TLL354" s="282"/>
      <c r="TLM354" s="287"/>
      <c r="TLN354" s="282"/>
      <c r="TLO354" s="287"/>
      <c r="TLP354" s="282"/>
      <c r="TLQ354" s="287"/>
      <c r="TLR354" s="282"/>
      <c r="TLS354" s="287"/>
      <c r="TLT354" s="282"/>
      <c r="TLU354" s="287"/>
      <c r="TLV354" s="282"/>
      <c r="TLW354" s="287"/>
      <c r="TLX354" s="282"/>
      <c r="TLY354" s="287"/>
      <c r="TLZ354" s="282"/>
      <c r="TMA354" s="287"/>
      <c r="TMB354" s="282"/>
      <c r="TMC354" s="287"/>
      <c r="TMD354" s="282"/>
      <c r="TME354" s="287"/>
      <c r="TMF354" s="282"/>
      <c r="TMG354" s="287"/>
      <c r="TMH354" s="282"/>
      <c r="TMI354" s="287"/>
      <c r="TMJ354" s="282"/>
      <c r="TMK354" s="287"/>
      <c r="TML354" s="282"/>
      <c r="TMM354" s="287"/>
      <c r="TMN354" s="282"/>
      <c r="TMO354" s="287"/>
      <c r="TMP354" s="282"/>
      <c r="TMQ354" s="287"/>
      <c r="TMR354" s="282"/>
      <c r="TMS354" s="287"/>
      <c r="TMT354" s="282"/>
      <c r="TMU354" s="287"/>
      <c r="TMV354" s="282"/>
      <c r="TMW354" s="287"/>
      <c r="TMX354" s="282"/>
      <c r="TMY354" s="287"/>
      <c r="TMZ354" s="282"/>
      <c r="TNA354" s="287"/>
      <c r="TNB354" s="282"/>
      <c r="TNC354" s="287"/>
      <c r="TND354" s="282"/>
      <c r="TNE354" s="287"/>
      <c r="TNF354" s="282"/>
      <c r="TNG354" s="287"/>
      <c r="TNH354" s="282"/>
      <c r="TNI354" s="287"/>
      <c r="TNJ354" s="282"/>
      <c r="TNK354" s="287"/>
      <c r="TNL354" s="282"/>
      <c r="TNM354" s="287"/>
      <c r="TNN354" s="282"/>
      <c r="TNO354" s="287"/>
      <c r="TNP354" s="282"/>
      <c r="TNQ354" s="287"/>
      <c r="TNR354" s="282"/>
      <c r="TNS354" s="287"/>
      <c r="TNT354" s="282"/>
      <c r="TNU354" s="287"/>
      <c r="TNV354" s="282"/>
      <c r="TNW354" s="287"/>
      <c r="TNX354" s="282"/>
      <c r="TNY354" s="287"/>
      <c r="TNZ354" s="282"/>
      <c r="TOA354" s="287"/>
      <c r="TOB354" s="282"/>
      <c r="TOC354" s="287"/>
      <c r="TOD354" s="282"/>
      <c r="TOE354" s="287"/>
      <c r="TOF354" s="282"/>
      <c r="TOG354" s="287"/>
      <c r="TOH354" s="282"/>
      <c r="TOI354" s="287"/>
      <c r="TOJ354" s="282"/>
      <c r="TOK354" s="287"/>
      <c r="TOL354" s="282"/>
      <c r="TOM354" s="287"/>
      <c r="TON354" s="282"/>
      <c r="TOO354" s="287"/>
      <c r="TOP354" s="282"/>
      <c r="TOQ354" s="287"/>
      <c r="TOR354" s="282"/>
      <c r="TOS354" s="287"/>
      <c r="TOT354" s="282"/>
      <c r="TOU354" s="287"/>
      <c r="TOV354" s="282"/>
      <c r="TOW354" s="287"/>
      <c r="TOX354" s="282"/>
      <c r="TOY354" s="287"/>
      <c r="TOZ354" s="282"/>
      <c r="TPA354" s="287"/>
      <c r="TPB354" s="282"/>
      <c r="TPC354" s="287"/>
      <c r="TPD354" s="282"/>
      <c r="TPE354" s="287"/>
      <c r="TPF354" s="282"/>
      <c r="TPG354" s="287"/>
      <c r="TPH354" s="282"/>
      <c r="TPI354" s="287"/>
      <c r="TPJ354" s="282"/>
      <c r="TPK354" s="287"/>
      <c r="TPL354" s="282"/>
      <c r="TPM354" s="287"/>
      <c r="TPN354" s="282"/>
      <c r="TPO354" s="287"/>
      <c r="TPP354" s="282"/>
      <c r="TPQ354" s="287"/>
      <c r="TPR354" s="282"/>
      <c r="TPS354" s="287"/>
      <c r="TPT354" s="282"/>
      <c r="TPU354" s="287"/>
      <c r="TPV354" s="282"/>
      <c r="TPW354" s="287"/>
      <c r="TPX354" s="282"/>
      <c r="TPY354" s="287"/>
      <c r="TPZ354" s="282"/>
      <c r="TQA354" s="287"/>
      <c r="TQB354" s="282"/>
      <c r="TQC354" s="287"/>
      <c r="TQD354" s="282"/>
      <c r="TQE354" s="287"/>
      <c r="TQF354" s="282"/>
      <c r="TQG354" s="287"/>
      <c r="TQH354" s="282"/>
      <c r="TQI354" s="287"/>
      <c r="TQJ354" s="282"/>
      <c r="TQK354" s="287"/>
      <c r="TQL354" s="282"/>
      <c r="TQM354" s="287"/>
      <c r="TQN354" s="282"/>
      <c r="TQO354" s="287"/>
      <c r="TQP354" s="282"/>
      <c r="TQQ354" s="287"/>
      <c r="TQR354" s="282"/>
      <c r="TQS354" s="287"/>
      <c r="TQT354" s="282"/>
      <c r="TQU354" s="287"/>
      <c r="TQV354" s="282"/>
      <c r="TQW354" s="287"/>
      <c r="TQX354" s="282"/>
      <c r="TQY354" s="287"/>
      <c r="TQZ354" s="282"/>
      <c r="TRA354" s="287"/>
      <c r="TRB354" s="282"/>
      <c r="TRC354" s="287"/>
      <c r="TRD354" s="282"/>
      <c r="TRE354" s="287"/>
      <c r="TRF354" s="282"/>
      <c r="TRG354" s="287"/>
      <c r="TRH354" s="282"/>
      <c r="TRI354" s="287"/>
      <c r="TRJ354" s="282"/>
      <c r="TRK354" s="287"/>
      <c r="TRL354" s="282"/>
      <c r="TRM354" s="287"/>
      <c r="TRN354" s="282"/>
      <c r="TRO354" s="287"/>
      <c r="TRP354" s="282"/>
      <c r="TRQ354" s="287"/>
      <c r="TRR354" s="282"/>
      <c r="TRS354" s="287"/>
      <c r="TRT354" s="282"/>
      <c r="TRU354" s="287"/>
      <c r="TRV354" s="282"/>
      <c r="TRW354" s="287"/>
      <c r="TRX354" s="282"/>
      <c r="TRY354" s="287"/>
      <c r="TRZ354" s="282"/>
      <c r="TSA354" s="287"/>
      <c r="TSB354" s="282"/>
      <c r="TSC354" s="287"/>
      <c r="TSD354" s="282"/>
      <c r="TSE354" s="287"/>
      <c r="TSF354" s="282"/>
      <c r="TSG354" s="287"/>
      <c r="TSH354" s="282"/>
      <c r="TSI354" s="287"/>
      <c r="TSJ354" s="282"/>
      <c r="TSK354" s="287"/>
      <c r="TSL354" s="282"/>
      <c r="TSM354" s="287"/>
      <c r="TSN354" s="282"/>
      <c r="TSO354" s="287"/>
      <c r="TSP354" s="282"/>
      <c r="TSQ354" s="287"/>
      <c r="TSR354" s="282"/>
      <c r="TSS354" s="287"/>
      <c r="TST354" s="282"/>
      <c r="TSU354" s="287"/>
      <c r="TSV354" s="282"/>
      <c r="TSW354" s="287"/>
      <c r="TSX354" s="282"/>
      <c r="TSY354" s="287"/>
      <c r="TSZ354" s="282"/>
      <c r="TTA354" s="287"/>
      <c r="TTB354" s="282"/>
      <c r="TTC354" s="287"/>
      <c r="TTD354" s="282"/>
      <c r="TTE354" s="287"/>
      <c r="TTF354" s="282"/>
      <c r="TTG354" s="287"/>
      <c r="TTH354" s="282"/>
      <c r="TTI354" s="287"/>
      <c r="TTJ354" s="282"/>
      <c r="TTK354" s="287"/>
      <c r="TTL354" s="282"/>
      <c r="TTM354" s="287"/>
      <c r="TTN354" s="282"/>
      <c r="TTO354" s="287"/>
      <c r="TTP354" s="282"/>
      <c r="TTQ354" s="287"/>
      <c r="TTR354" s="282"/>
      <c r="TTS354" s="287"/>
      <c r="TTT354" s="282"/>
      <c r="TTU354" s="287"/>
      <c r="TTV354" s="282"/>
      <c r="TTW354" s="287"/>
      <c r="TTX354" s="282"/>
      <c r="TTY354" s="287"/>
      <c r="TTZ354" s="282"/>
      <c r="TUA354" s="287"/>
      <c r="TUB354" s="282"/>
      <c r="TUC354" s="287"/>
      <c r="TUD354" s="282"/>
      <c r="TUE354" s="287"/>
      <c r="TUF354" s="282"/>
      <c r="TUG354" s="287"/>
      <c r="TUH354" s="282"/>
      <c r="TUI354" s="287"/>
      <c r="TUJ354" s="282"/>
      <c r="TUK354" s="287"/>
      <c r="TUL354" s="282"/>
      <c r="TUM354" s="287"/>
      <c r="TUN354" s="282"/>
      <c r="TUO354" s="287"/>
      <c r="TUP354" s="282"/>
      <c r="TUQ354" s="287"/>
      <c r="TUR354" s="282"/>
      <c r="TUS354" s="287"/>
      <c r="TUT354" s="282"/>
      <c r="TUU354" s="287"/>
      <c r="TUV354" s="282"/>
      <c r="TUW354" s="287"/>
      <c r="TUX354" s="282"/>
      <c r="TUY354" s="287"/>
      <c r="TUZ354" s="282"/>
      <c r="TVA354" s="287"/>
      <c r="TVB354" s="282"/>
      <c r="TVC354" s="287"/>
      <c r="TVD354" s="282"/>
      <c r="TVE354" s="287"/>
      <c r="TVF354" s="282"/>
      <c r="TVG354" s="287"/>
      <c r="TVH354" s="282"/>
      <c r="TVI354" s="287"/>
      <c r="TVJ354" s="282"/>
      <c r="TVK354" s="287"/>
      <c r="TVL354" s="282"/>
      <c r="TVM354" s="287"/>
      <c r="TVN354" s="282"/>
      <c r="TVO354" s="287"/>
      <c r="TVP354" s="282"/>
      <c r="TVQ354" s="287"/>
      <c r="TVR354" s="282"/>
      <c r="TVS354" s="287"/>
      <c r="TVT354" s="282"/>
      <c r="TVU354" s="287"/>
      <c r="TVV354" s="282"/>
      <c r="TVW354" s="287"/>
      <c r="TVX354" s="282"/>
      <c r="TVY354" s="287"/>
      <c r="TVZ354" s="282"/>
      <c r="TWA354" s="287"/>
      <c r="TWB354" s="282"/>
      <c r="TWC354" s="287"/>
      <c r="TWD354" s="282"/>
      <c r="TWE354" s="287"/>
      <c r="TWF354" s="282"/>
      <c r="TWG354" s="287"/>
      <c r="TWH354" s="282"/>
      <c r="TWI354" s="287"/>
      <c r="TWJ354" s="282"/>
      <c r="TWK354" s="287"/>
      <c r="TWL354" s="282"/>
      <c r="TWM354" s="287"/>
      <c r="TWN354" s="282"/>
      <c r="TWO354" s="287"/>
      <c r="TWP354" s="282"/>
      <c r="TWQ354" s="287"/>
      <c r="TWR354" s="282"/>
      <c r="TWS354" s="287"/>
      <c r="TWT354" s="282"/>
      <c r="TWU354" s="287"/>
      <c r="TWV354" s="282"/>
      <c r="TWW354" s="287"/>
      <c r="TWX354" s="282"/>
      <c r="TWY354" s="287"/>
      <c r="TWZ354" s="282"/>
      <c r="TXA354" s="287"/>
      <c r="TXB354" s="282"/>
      <c r="TXC354" s="287"/>
      <c r="TXD354" s="282"/>
      <c r="TXE354" s="287"/>
      <c r="TXF354" s="282"/>
      <c r="TXG354" s="287"/>
      <c r="TXH354" s="282"/>
      <c r="TXI354" s="287"/>
      <c r="TXJ354" s="282"/>
      <c r="TXK354" s="287"/>
      <c r="TXL354" s="282"/>
      <c r="TXM354" s="287"/>
      <c r="TXN354" s="282"/>
      <c r="TXO354" s="287"/>
      <c r="TXP354" s="282"/>
      <c r="TXQ354" s="287"/>
      <c r="TXR354" s="282"/>
      <c r="TXS354" s="287"/>
      <c r="TXT354" s="282"/>
      <c r="TXU354" s="287"/>
      <c r="TXV354" s="282"/>
      <c r="TXW354" s="287"/>
      <c r="TXX354" s="282"/>
      <c r="TXY354" s="287"/>
      <c r="TXZ354" s="282"/>
      <c r="TYA354" s="287"/>
      <c r="TYB354" s="282"/>
      <c r="TYC354" s="287"/>
      <c r="TYD354" s="282"/>
      <c r="TYE354" s="287"/>
      <c r="TYF354" s="282"/>
      <c r="TYG354" s="287"/>
      <c r="TYH354" s="282"/>
      <c r="TYI354" s="287"/>
      <c r="TYJ354" s="282"/>
      <c r="TYK354" s="287"/>
      <c r="TYL354" s="282"/>
      <c r="TYM354" s="287"/>
      <c r="TYN354" s="282"/>
      <c r="TYO354" s="287"/>
      <c r="TYP354" s="282"/>
      <c r="TYQ354" s="287"/>
      <c r="TYR354" s="282"/>
      <c r="TYS354" s="287"/>
      <c r="TYT354" s="282"/>
      <c r="TYU354" s="287"/>
      <c r="TYV354" s="282"/>
      <c r="TYW354" s="287"/>
      <c r="TYX354" s="282"/>
      <c r="TYY354" s="287"/>
      <c r="TYZ354" s="282"/>
      <c r="TZA354" s="287"/>
      <c r="TZB354" s="282"/>
      <c r="TZC354" s="287"/>
      <c r="TZD354" s="282"/>
      <c r="TZE354" s="287"/>
      <c r="TZF354" s="282"/>
      <c r="TZG354" s="287"/>
      <c r="TZH354" s="282"/>
      <c r="TZI354" s="287"/>
      <c r="TZJ354" s="282"/>
      <c r="TZK354" s="287"/>
      <c r="TZL354" s="282"/>
      <c r="TZM354" s="287"/>
      <c r="TZN354" s="282"/>
      <c r="TZO354" s="287"/>
      <c r="TZP354" s="282"/>
      <c r="TZQ354" s="287"/>
      <c r="TZR354" s="282"/>
      <c r="TZS354" s="287"/>
      <c r="TZT354" s="282"/>
      <c r="TZU354" s="287"/>
      <c r="TZV354" s="282"/>
      <c r="TZW354" s="287"/>
      <c r="TZX354" s="282"/>
      <c r="TZY354" s="287"/>
      <c r="TZZ354" s="282"/>
      <c r="UAA354" s="287"/>
      <c r="UAB354" s="282"/>
      <c r="UAC354" s="287"/>
      <c r="UAD354" s="282"/>
      <c r="UAE354" s="287"/>
      <c r="UAF354" s="282"/>
      <c r="UAG354" s="287"/>
      <c r="UAH354" s="282"/>
      <c r="UAI354" s="287"/>
      <c r="UAJ354" s="282"/>
      <c r="UAK354" s="287"/>
      <c r="UAL354" s="282"/>
      <c r="UAM354" s="287"/>
      <c r="UAN354" s="282"/>
      <c r="UAO354" s="287"/>
      <c r="UAP354" s="282"/>
      <c r="UAQ354" s="287"/>
      <c r="UAR354" s="282"/>
      <c r="UAS354" s="287"/>
      <c r="UAT354" s="282"/>
      <c r="UAU354" s="287"/>
      <c r="UAV354" s="282"/>
      <c r="UAW354" s="287"/>
      <c r="UAX354" s="282"/>
      <c r="UAY354" s="287"/>
      <c r="UAZ354" s="282"/>
      <c r="UBA354" s="287"/>
      <c r="UBB354" s="282"/>
      <c r="UBC354" s="287"/>
      <c r="UBD354" s="282"/>
      <c r="UBE354" s="287"/>
      <c r="UBF354" s="282"/>
      <c r="UBG354" s="287"/>
      <c r="UBH354" s="282"/>
      <c r="UBI354" s="287"/>
      <c r="UBJ354" s="282"/>
      <c r="UBK354" s="287"/>
      <c r="UBL354" s="282"/>
      <c r="UBM354" s="287"/>
      <c r="UBN354" s="282"/>
      <c r="UBO354" s="287"/>
      <c r="UBP354" s="282"/>
      <c r="UBQ354" s="287"/>
      <c r="UBR354" s="282"/>
      <c r="UBS354" s="287"/>
      <c r="UBT354" s="282"/>
      <c r="UBU354" s="287"/>
      <c r="UBV354" s="282"/>
      <c r="UBW354" s="287"/>
      <c r="UBX354" s="282"/>
      <c r="UBY354" s="287"/>
      <c r="UBZ354" s="282"/>
      <c r="UCA354" s="287"/>
      <c r="UCB354" s="282"/>
      <c r="UCC354" s="287"/>
      <c r="UCD354" s="282"/>
      <c r="UCE354" s="287"/>
      <c r="UCF354" s="282"/>
      <c r="UCG354" s="287"/>
      <c r="UCH354" s="282"/>
      <c r="UCI354" s="287"/>
      <c r="UCJ354" s="282"/>
      <c r="UCK354" s="287"/>
      <c r="UCL354" s="282"/>
      <c r="UCM354" s="287"/>
      <c r="UCN354" s="282"/>
      <c r="UCO354" s="287"/>
      <c r="UCP354" s="282"/>
      <c r="UCQ354" s="287"/>
      <c r="UCR354" s="282"/>
      <c r="UCS354" s="287"/>
      <c r="UCT354" s="282"/>
      <c r="UCU354" s="287"/>
      <c r="UCV354" s="282"/>
      <c r="UCW354" s="287"/>
      <c r="UCX354" s="282"/>
      <c r="UCY354" s="287"/>
      <c r="UCZ354" s="282"/>
      <c r="UDA354" s="287"/>
      <c r="UDB354" s="282"/>
      <c r="UDC354" s="287"/>
      <c r="UDD354" s="282"/>
      <c r="UDE354" s="287"/>
      <c r="UDF354" s="282"/>
      <c r="UDG354" s="287"/>
      <c r="UDH354" s="282"/>
      <c r="UDI354" s="287"/>
      <c r="UDJ354" s="282"/>
      <c r="UDK354" s="287"/>
      <c r="UDL354" s="282"/>
      <c r="UDM354" s="287"/>
      <c r="UDN354" s="282"/>
      <c r="UDO354" s="287"/>
      <c r="UDP354" s="282"/>
      <c r="UDQ354" s="287"/>
      <c r="UDR354" s="282"/>
      <c r="UDS354" s="287"/>
      <c r="UDT354" s="282"/>
      <c r="UDU354" s="287"/>
      <c r="UDV354" s="282"/>
      <c r="UDW354" s="287"/>
      <c r="UDX354" s="282"/>
      <c r="UDY354" s="287"/>
      <c r="UDZ354" s="282"/>
      <c r="UEA354" s="287"/>
      <c r="UEB354" s="282"/>
      <c r="UEC354" s="287"/>
      <c r="UED354" s="282"/>
      <c r="UEE354" s="287"/>
      <c r="UEF354" s="282"/>
      <c r="UEG354" s="287"/>
      <c r="UEH354" s="282"/>
      <c r="UEI354" s="287"/>
      <c r="UEJ354" s="282"/>
      <c r="UEK354" s="287"/>
      <c r="UEL354" s="282"/>
      <c r="UEM354" s="287"/>
      <c r="UEN354" s="282"/>
      <c r="UEO354" s="287"/>
      <c r="UEP354" s="282"/>
      <c r="UEQ354" s="287"/>
      <c r="UER354" s="282"/>
      <c r="UES354" s="287"/>
      <c r="UET354" s="282"/>
      <c r="UEU354" s="287"/>
      <c r="UEV354" s="282"/>
      <c r="UEW354" s="287"/>
      <c r="UEX354" s="282"/>
      <c r="UEY354" s="287"/>
      <c r="UEZ354" s="282"/>
      <c r="UFA354" s="287"/>
      <c r="UFB354" s="282"/>
      <c r="UFC354" s="287"/>
      <c r="UFD354" s="282"/>
      <c r="UFE354" s="287"/>
      <c r="UFF354" s="282"/>
      <c r="UFG354" s="287"/>
      <c r="UFH354" s="282"/>
      <c r="UFI354" s="287"/>
      <c r="UFJ354" s="282"/>
      <c r="UFK354" s="287"/>
      <c r="UFL354" s="282"/>
      <c r="UFM354" s="287"/>
      <c r="UFN354" s="282"/>
      <c r="UFO354" s="287"/>
      <c r="UFP354" s="282"/>
      <c r="UFQ354" s="287"/>
      <c r="UFR354" s="282"/>
      <c r="UFS354" s="287"/>
      <c r="UFT354" s="282"/>
      <c r="UFU354" s="287"/>
      <c r="UFV354" s="282"/>
      <c r="UFW354" s="287"/>
      <c r="UFX354" s="282"/>
      <c r="UFY354" s="287"/>
      <c r="UFZ354" s="282"/>
      <c r="UGA354" s="287"/>
      <c r="UGB354" s="282"/>
      <c r="UGC354" s="287"/>
      <c r="UGD354" s="282"/>
      <c r="UGE354" s="287"/>
      <c r="UGF354" s="282"/>
      <c r="UGG354" s="287"/>
      <c r="UGH354" s="282"/>
      <c r="UGI354" s="287"/>
      <c r="UGJ354" s="282"/>
      <c r="UGK354" s="287"/>
      <c r="UGL354" s="282"/>
      <c r="UGM354" s="287"/>
      <c r="UGN354" s="282"/>
      <c r="UGO354" s="287"/>
      <c r="UGP354" s="282"/>
      <c r="UGQ354" s="287"/>
      <c r="UGR354" s="282"/>
      <c r="UGS354" s="287"/>
      <c r="UGT354" s="282"/>
      <c r="UGU354" s="287"/>
      <c r="UGV354" s="282"/>
      <c r="UGW354" s="287"/>
      <c r="UGX354" s="282"/>
      <c r="UGY354" s="287"/>
      <c r="UGZ354" s="282"/>
      <c r="UHA354" s="287"/>
      <c r="UHB354" s="282"/>
      <c r="UHC354" s="287"/>
      <c r="UHD354" s="282"/>
      <c r="UHE354" s="287"/>
      <c r="UHF354" s="282"/>
      <c r="UHG354" s="287"/>
      <c r="UHH354" s="282"/>
      <c r="UHI354" s="287"/>
      <c r="UHJ354" s="282"/>
      <c r="UHK354" s="287"/>
      <c r="UHL354" s="282"/>
      <c r="UHM354" s="287"/>
      <c r="UHN354" s="282"/>
      <c r="UHO354" s="287"/>
      <c r="UHP354" s="282"/>
      <c r="UHQ354" s="287"/>
      <c r="UHR354" s="282"/>
      <c r="UHS354" s="287"/>
      <c r="UHT354" s="282"/>
      <c r="UHU354" s="287"/>
      <c r="UHV354" s="282"/>
      <c r="UHW354" s="287"/>
      <c r="UHX354" s="282"/>
      <c r="UHY354" s="287"/>
      <c r="UHZ354" s="282"/>
      <c r="UIA354" s="287"/>
      <c r="UIB354" s="282"/>
      <c r="UIC354" s="287"/>
      <c r="UID354" s="282"/>
      <c r="UIE354" s="287"/>
      <c r="UIF354" s="282"/>
      <c r="UIG354" s="287"/>
      <c r="UIH354" s="282"/>
      <c r="UII354" s="287"/>
      <c r="UIJ354" s="282"/>
      <c r="UIK354" s="287"/>
      <c r="UIL354" s="282"/>
      <c r="UIM354" s="287"/>
      <c r="UIN354" s="282"/>
      <c r="UIO354" s="287"/>
      <c r="UIP354" s="282"/>
      <c r="UIQ354" s="287"/>
      <c r="UIR354" s="282"/>
      <c r="UIS354" s="287"/>
      <c r="UIT354" s="282"/>
      <c r="UIU354" s="287"/>
      <c r="UIV354" s="282"/>
      <c r="UIW354" s="287"/>
      <c r="UIX354" s="282"/>
      <c r="UIY354" s="287"/>
      <c r="UIZ354" s="282"/>
      <c r="UJA354" s="287"/>
      <c r="UJB354" s="282"/>
      <c r="UJC354" s="287"/>
      <c r="UJD354" s="282"/>
      <c r="UJE354" s="287"/>
      <c r="UJF354" s="282"/>
      <c r="UJG354" s="287"/>
      <c r="UJH354" s="282"/>
      <c r="UJI354" s="287"/>
      <c r="UJJ354" s="282"/>
      <c r="UJK354" s="287"/>
      <c r="UJL354" s="282"/>
      <c r="UJM354" s="287"/>
      <c r="UJN354" s="282"/>
      <c r="UJO354" s="287"/>
      <c r="UJP354" s="282"/>
      <c r="UJQ354" s="287"/>
      <c r="UJR354" s="282"/>
      <c r="UJS354" s="287"/>
      <c r="UJT354" s="282"/>
      <c r="UJU354" s="287"/>
      <c r="UJV354" s="282"/>
      <c r="UJW354" s="287"/>
      <c r="UJX354" s="282"/>
      <c r="UJY354" s="287"/>
      <c r="UJZ354" s="282"/>
      <c r="UKA354" s="287"/>
      <c r="UKB354" s="282"/>
      <c r="UKC354" s="287"/>
      <c r="UKD354" s="282"/>
      <c r="UKE354" s="287"/>
      <c r="UKF354" s="282"/>
      <c r="UKG354" s="287"/>
      <c r="UKH354" s="282"/>
      <c r="UKI354" s="287"/>
      <c r="UKJ354" s="282"/>
      <c r="UKK354" s="287"/>
      <c r="UKL354" s="282"/>
      <c r="UKM354" s="287"/>
      <c r="UKN354" s="282"/>
      <c r="UKO354" s="287"/>
      <c r="UKP354" s="282"/>
      <c r="UKQ354" s="287"/>
      <c r="UKR354" s="282"/>
      <c r="UKS354" s="287"/>
      <c r="UKT354" s="282"/>
      <c r="UKU354" s="287"/>
      <c r="UKV354" s="282"/>
      <c r="UKW354" s="287"/>
      <c r="UKX354" s="282"/>
      <c r="UKY354" s="287"/>
      <c r="UKZ354" s="282"/>
      <c r="ULA354" s="287"/>
      <c r="ULB354" s="282"/>
      <c r="ULC354" s="287"/>
      <c r="ULD354" s="282"/>
      <c r="ULE354" s="287"/>
      <c r="ULF354" s="282"/>
      <c r="ULG354" s="287"/>
      <c r="ULH354" s="282"/>
      <c r="ULI354" s="287"/>
      <c r="ULJ354" s="282"/>
      <c r="ULK354" s="287"/>
      <c r="ULL354" s="282"/>
      <c r="ULM354" s="287"/>
      <c r="ULN354" s="282"/>
      <c r="ULO354" s="287"/>
      <c r="ULP354" s="282"/>
      <c r="ULQ354" s="287"/>
      <c r="ULR354" s="282"/>
      <c r="ULS354" s="287"/>
      <c r="ULT354" s="282"/>
      <c r="ULU354" s="287"/>
      <c r="ULV354" s="282"/>
      <c r="ULW354" s="287"/>
      <c r="ULX354" s="282"/>
      <c r="ULY354" s="287"/>
      <c r="ULZ354" s="282"/>
      <c r="UMA354" s="287"/>
      <c r="UMB354" s="282"/>
      <c r="UMC354" s="287"/>
      <c r="UMD354" s="282"/>
      <c r="UME354" s="287"/>
      <c r="UMF354" s="282"/>
      <c r="UMG354" s="287"/>
      <c r="UMH354" s="282"/>
      <c r="UMI354" s="287"/>
      <c r="UMJ354" s="282"/>
      <c r="UMK354" s="287"/>
      <c r="UML354" s="282"/>
      <c r="UMM354" s="287"/>
      <c r="UMN354" s="282"/>
      <c r="UMO354" s="287"/>
      <c r="UMP354" s="282"/>
      <c r="UMQ354" s="287"/>
      <c r="UMR354" s="282"/>
      <c r="UMS354" s="287"/>
      <c r="UMT354" s="282"/>
      <c r="UMU354" s="287"/>
      <c r="UMV354" s="282"/>
      <c r="UMW354" s="287"/>
      <c r="UMX354" s="282"/>
      <c r="UMY354" s="287"/>
      <c r="UMZ354" s="282"/>
      <c r="UNA354" s="287"/>
      <c r="UNB354" s="282"/>
      <c r="UNC354" s="287"/>
      <c r="UND354" s="282"/>
      <c r="UNE354" s="287"/>
      <c r="UNF354" s="282"/>
      <c r="UNG354" s="287"/>
      <c r="UNH354" s="282"/>
      <c r="UNI354" s="287"/>
      <c r="UNJ354" s="282"/>
      <c r="UNK354" s="287"/>
      <c r="UNL354" s="282"/>
      <c r="UNM354" s="287"/>
      <c r="UNN354" s="282"/>
      <c r="UNO354" s="287"/>
      <c r="UNP354" s="282"/>
      <c r="UNQ354" s="287"/>
      <c r="UNR354" s="282"/>
      <c r="UNS354" s="287"/>
      <c r="UNT354" s="282"/>
      <c r="UNU354" s="287"/>
      <c r="UNV354" s="282"/>
      <c r="UNW354" s="287"/>
      <c r="UNX354" s="282"/>
      <c r="UNY354" s="287"/>
      <c r="UNZ354" s="282"/>
      <c r="UOA354" s="287"/>
      <c r="UOB354" s="282"/>
      <c r="UOC354" s="287"/>
      <c r="UOD354" s="282"/>
      <c r="UOE354" s="287"/>
      <c r="UOF354" s="282"/>
      <c r="UOG354" s="287"/>
      <c r="UOH354" s="282"/>
      <c r="UOI354" s="287"/>
      <c r="UOJ354" s="282"/>
      <c r="UOK354" s="287"/>
      <c r="UOL354" s="282"/>
      <c r="UOM354" s="287"/>
      <c r="UON354" s="282"/>
      <c r="UOO354" s="287"/>
      <c r="UOP354" s="282"/>
      <c r="UOQ354" s="287"/>
      <c r="UOR354" s="282"/>
      <c r="UOS354" s="287"/>
      <c r="UOT354" s="282"/>
      <c r="UOU354" s="287"/>
      <c r="UOV354" s="282"/>
      <c r="UOW354" s="287"/>
      <c r="UOX354" s="282"/>
      <c r="UOY354" s="287"/>
      <c r="UOZ354" s="282"/>
      <c r="UPA354" s="287"/>
      <c r="UPB354" s="282"/>
      <c r="UPC354" s="287"/>
      <c r="UPD354" s="282"/>
      <c r="UPE354" s="287"/>
      <c r="UPF354" s="282"/>
      <c r="UPG354" s="287"/>
      <c r="UPH354" s="282"/>
      <c r="UPI354" s="287"/>
      <c r="UPJ354" s="282"/>
      <c r="UPK354" s="287"/>
      <c r="UPL354" s="282"/>
      <c r="UPM354" s="287"/>
      <c r="UPN354" s="282"/>
      <c r="UPO354" s="287"/>
      <c r="UPP354" s="282"/>
      <c r="UPQ354" s="287"/>
      <c r="UPR354" s="282"/>
      <c r="UPS354" s="287"/>
      <c r="UPT354" s="282"/>
      <c r="UPU354" s="287"/>
      <c r="UPV354" s="282"/>
      <c r="UPW354" s="287"/>
      <c r="UPX354" s="282"/>
      <c r="UPY354" s="287"/>
      <c r="UPZ354" s="282"/>
      <c r="UQA354" s="287"/>
      <c r="UQB354" s="282"/>
      <c r="UQC354" s="287"/>
      <c r="UQD354" s="282"/>
      <c r="UQE354" s="287"/>
      <c r="UQF354" s="282"/>
      <c r="UQG354" s="287"/>
      <c r="UQH354" s="282"/>
      <c r="UQI354" s="287"/>
      <c r="UQJ354" s="282"/>
      <c r="UQK354" s="287"/>
      <c r="UQL354" s="282"/>
      <c r="UQM354" s="287"/>
      <c r="UQN354" s="282"/>
      <c r="UQO354" s="287"/>
      <c r="UQP354" s="282"/>
      <c r="UQQ354" s="287"/>
      <c r="UQR354" s="282"/>
      <c r="UQS354" s="287"/>
      <c r="UQT354" s="282"/>
      <c r="UQU354" s="287"/>
      <c r="UQV354" s="282"/>
      <c r="UQW354" s="287"/>
      <c r="UQX354" s="282"/>
      <c r="UQY354" s="287"/>
      <c r="UQZ354" s="282"/>
      <c r="URA354" s="287"/>
      <c r="URB354" s="282"/>
      <c r="URC354" s="287"/>
      <c r="URD354" s="282"/>
      <c r="URE354" s="287"/>
      <c r="URF354" s="282"/>
      <c r="URG354" s="287"/>
      <c r="URH354" s="282"/>
      <c r="URI354" s="287"/>
      <c r="URJ354" s="282"/>
      <c r="URK354" s="287"/>
      <c r="URL354" s="282"/>
      <c r="URM354" s="287"/>
      <c r="URN354" s="282"/>
      <c r="URO354" s="287"/>
      <c r="URP354" s="282"/>
      <c r="URQ354" s="287"/>
      <c r="URR354" s="282"/>
      <c r="URS354" s="287"/>
      <c r="URT354" s="282"/>
      <c r="URU354" s="287"/>
      <c r="URV354" s="282"/>
      <c r="URW354" s="287"/>
      <c r="URX354" s="282"/>
      <c r="URY354" s="287"/>
      <c r="URZ354" s="282"/>
      <c r="USA354" s="287"/>
      <c r="USB354" s="282"/>
      <c r="USC354" s="287"/>
      <c r="USD354" s="282"/>
      <c r="USE354" s="287"/>
      <c r="USF354" s="282"/>
      <c r="USG354" s="287"/>
      <c r="USH354" s="282"/>
      <c r="USI354" s="287"/>
      <c r="USJ354" s="282"/>
      <c r="USK354" s="287"/>
      <c r="USL354" s="282"/>
      <c r="USM354" s="287"/>
      <c r="USN354" s="282"/>
      <c r="USO354" s="287"/>
      <c r="USP354" s="282"/>
      <c r="USQ354" s="287"/>
      <c r="USR354" s="282"/>
      <c r="USS354" s="287"/>
      <c r="UST354" s="282"/>
      <c r="USU354" s="287"/>
      <c r="USV354" s="282"/>
      <c r="USW354" s="287"/>
      <c r="USX354" s="282"/>
      <c r="USY354" s="287"/>
      <c r="USZ354" s="282"/>
      <c r="UTA354" s="287"/>
      <c r="UTB354" s="282"/>
      <c r="UTC354" s="287"/>
      <c r="UTD354" s="282"/>
      <c r="UTE354" s="287"/>
      <c r="UTF354" s="282"/>
      <c r="UTG354" s="287"/>
      <c r="UTH354" s="282"/>
      <c r="UTI354" s="287"/>
      <c r="UTJ354" s="282"/>
      <c r="UTK354" s="287"/>
      <c r="UTL354" s="282"/>
      <c r="UTM354" s="287"/>
      <c r="UTN354" s="282"/>
      <c r="UTO354" s="287"/>
      <c r="UTP354" s="282"/>
      <c r="UTQ354" s="287"/>
      <c r="UTR354" s="282"/>
      <c r="UTS354" s="287"/>
      <c r="UTT354" s="282"/>
      <c r="UTU354" s="287"/>
      <c r="UTV354" s="282"/>
      <c r="UTW354" s="287"/>
      <c r="UTX354" s="282"/>
      <c r="UTY354" s="287"/>
      <c r="UTZ354" s="282"/>
      <c r="UUA354" s="287"/>
      <c r="UUB354" s="282"/>
      <c r="UUC354" s="287"/>
      <c r="UUD354" s="282"/>
      <c r="UUE354" s="287"/>
      <c r="UUF354" s="282"/>
      <c r="UUG354" s="287"/>
      <c r="UUH354" s="282"/>
      <c r="UUI354" s="287"/>
      <c r="UUJ354" s="282"/>
      <c r="UUK354" s="287"/>
      <c r="UUL354" s="282"/>
      <c r="UUM354" s="287"/>
      <c r="UUN354" s="282"/>
      <c r="UUO354" s="287"/>
      <c r="UUP354" s="282"/>
      <c r="UUQ354" s="287"/>
      <c r="UUR354" s="282"/>
      <c r="UUS354" s="287"/>
      <c r="UUT354" s="282"/>
      <c r="UUU354" s="287"/>
      <c r="UUV354" s="282"/>
      <c r="UUW354" s="287"/>
      <c r="UUX354" s="282"/>
      <c r="UUY354" s="287"/>
      <c r="UUZ354" s="282"/>
      <c r="UVA354" s="287"/>
      <c r="UVB354" s="282"/>
      <c r="UVC354" s="287"/>
      <c r="UVD354" s="282"/>
      <c r="UVE354" s="287"/>
      <c r="UVF354" s="282"/>
      <c r="UVG354" s="287"/>
      <c r="UVH354" s="282"/>
      <c r="UVI354" s="287"/>
      <c r="UVJ354" s="282"/>
      <c r="UVK354" s="287"/>
      <c r="UVL354" s="282"/>
      <c r="UVM354" s="287"/>
      <c r="UVN354" s="282"/>
      <c r="UVO354" s="287"/>
      <c r="UVP354" s="282"/>
      <c r="UVQ354" s="287"/>
      <c r="UVR354" s="282"/>
      <c r="UVS354" s="287"/>
      <c r="UVT354" s="282"/>
      <c r="UVU354" s="287"/>
      <c r="UVV354" s="282"/>
      <c r="UVW354" s="287"/>
      <c r="UVX354" s="282"/>
      <c r="UVY354" s="287"/>
      <c r="UVZ354" s="282"/>
      <c r="UWA354" s="287"/>
      <c r="UWB354" s="282"/>
      <c r="UWC354" s="287"/>
      <c r="UWD354" s="282"/>
      <c r="UWE354" s="287"/>
      <c r="UWF354" s="282"/>
      <c r="UWG354" s="287"/>
      <c r="UWH354" s="282"/>
      <c r="UWI354" s="287"/>
      <c r="UWJ354" s="282"/>
      <c r="UWK354" s="287"/>
      <c r="UWL354" s="282"/>
      <c r="UWM354" s="287"/>
      <c r="UWN354" s="282"/>
      <c r="UWO354" s="287"/>
      <c r="UWP354" s="282"/>
      <c r="UWQ354" s="287"/>
      <c r="UWR354" s="282"/>
      <c r="UWS354" s="287"/>
      <c r="UWT354" s="282"/>
      <c r="UWU354" s="287"/>
      <c r="UWV354" s="282"/>
      <c r="UWW354" s="287"/>
      <c r="UWX354" s="282"/>
      <c r="UWY354" s="287"/>
      <c r="UWZ354" s="282"/>
      <c r="UXA354" s="287"/>
      <c r="UXB354" s="282"/>
      <c r="UXC354" s="287"/>
      <c r="UXD354" s="282"/>
      <c r="UXE354" s="287"/>
      <c r="UXF354" s="282"/>
      <c r="UXG354" s="287"/>
      <c r="UXH354" s="282"/>
      <c r="UXI354" s="287"/>
      <c r="UXJ354" s="282"/>
      <c r="UXK354" s="287"/>
      <c r="UXL354" s="282"/>
      <c r="UXM354" s="287"/>
      <c r="UXN354" s="282"/>
      <c r="UXO354" s="287"/>
      <c r="UXP354" s="282"/>
      <c r="UXQ354" s="287"/>
      <c r="UXR354" s="282"/>
      <c r="UXS354" s="287"/>
      <c r="UXT354" s="282"/>
      <c r="UXU354" s="287"/>
      <c r="UXV354" s="282"/>
      <c r="UXW354" s="287"/>
      <c r="UXX354" s="282"/>
      <c r="UXY354" s="287"/>
      <c r="UXZ354" s="282"/>
      <c r="UYA354" s="287"/>
      <c r="UYB354" s="282"/>
      <c r="UYC354" s="287"/>
      <c r="UYD354" s="282"/>
      <c r="UYE354" s="287"/>
      <c r="UYF354" s="282"/>
      <c r="UYG354" s="287"/>
      <c r="UYH354" s="282"/>
      <c r="UYI354" s="287"/>
      <c r="UYJ354" s="282"/>
      <c r="UYK354" s="287"/>
      <c r="UYL354" s="282"/>
      <c r="UYM354" s="287"/>
      <c r="UYN354" s="282"/>
      <c r="UYO354" s="287"/>
      <c r="UYP354" s="282"/>
      <c r="UYQ354" s="287"/>
      <c r="UYR354" s="282"/>
      <c r="UYS354" s="287"/>
      <c r="UYT354" s="282"/>
      <c r="UYU354" s="287"/>
      <c r="UYV354" s="282"/>
      <c r="UYW354" s="287"/>
      <c r="UYX354" s="282"/>
      <c r="UYY354" s="287"/>
      <c r="UYZ354" s="282"/>
      <c r="UZA354" s="287"/>
      <c r="UZB354" s="282"/>
      <c r="UZC354" s="287"/>
      <c r="UZD354" s="282"/>
      <c r="UZE354" s="287"/>
      <c r="UZF354" s="282"/>
      <c r="UZG354" s="287"/>
      <c r="UZH354" s="282"/>
      <c r="UZI354" s="287"/>
      <c r="UZJ354" s="282"/>
      <c r="UZK354" s="287"/>
      <c r="UZL354" s="282"/>
      <c r="UZM354" s="287"/>
      <c r="UZN354" s="282"/>
      <c r="UZO354" s="287"/>
      <c r="UZP354" s="282"/>
      <c r="UZQ354" s="287"/>
      <c r="UZR354" s="282"/>
      <c r="UZS354" s="287"/>
      <c r="UZT354" s="282"/>
      <c r="UZU354" s="287"/>
      <c r="UZV354" s="282"/>
      <c r="UZW354" s="287"/>
      <c r="UZX354" s="282"/>
      <c r="UZY354" s="287"/>
      <c r="UZZ354" s="282"/>
      <c r="VAA354" s="287"/>
      <c r="VAB354" s="282"/>
      <c r="VAC354" s="287"/>
      <c r="VAD354" s="282"/>
      <c r="VAE354" s="287"/>
      <c r="VAF354" s="282"/>
      <c r="VAG354" s="287"/>
      <c r="VAH354" s="282"/>
      <c r="VAI354" s="287"/>
      <c r="VAJ354" s="282"/>
      <c r="VAK354" s="287"/>
      <c r="VAL354" s="282"/>
      <c r="VAM354" s="287"/>
      <c r="VAN354" s="282"/>
      <c r="VAO354" s="287"/>
      <c r="VAP354" s="282"/>
      <c r="VAQ354" s="287"/>
      <c r="VAR354" s="282"/>
      <c r="VAS354" s="287"/>
      <c r="VAT354" s="282"/>
      <c r="VAU354" s="287"/>
      <c r="VAV354" s="282"/>
      <c r="VAW354" s="287"/>
      <c r="VAX354" s="282"/>
      <c r="VAY354" s="287"/>
      <c r="VAZ354" s="282"/>
      <c r="VBA354" s="287"/>
      <c r="VBB354" s="282"/>
      <c r="VBC354" s="287"/>
      <c r="VBD354" s="282"/>
      <c r="VBE354" s="287"/>
      <c r="VBF354" s="282"/>
      <c r="VBG354" s="287"/>
      <c r="VBH354" s="282"/>
      <c r="VBI354" s="287"/>
      <c r="VBJ354" s="282"/>
      <c r="VBK354" s="287"/>
      <c r="VBL354" s="282"/>
      <c r="VBM354" s="287"/>
      <c r="VBN354" s="282"/>
      <c r="VBO354" s="287"/>
      <c r="VBP354" s="282"/>
      <c r="VBQ354" s="287"/>
      <c r="VBR354" s="282"/>
      <c r="VBS354" s="287"/>
      <c r="VBT354" s="282"/>
      <c r="VBU354" s="287"/>
      <c r="VBV354" s="282"/>
      <c r="VBW354" s="287"/>
      <c r="VBX354" s="282"/>
      <c r="VBY354" s="287"/>
      <c r="VBZ354" s="282"/>
      <c r="VCA354" s="287"/>
      <c r="VCB354" s="282"/>
      <c r="VCC354" s="287"/>
      <c r="VCD354" s="282"/>
      <c r="VCE354" s="287"/>
      <c r="VCF354" s="282"/>
      <c r="VCG354" s="287"/>
      <c r="VCH354" s="282"/>
      <c r="VCI354" s="287"/>
      <c r="VCJ354" s="282"/>
      <c r="VCK354" s="287"/>
      <c r="VCL354" s="282"/>
      <c r="VCM354" s="287"/>
      <c r="VCN354" s="282"/>
      <c r="VCO354" s="287"/>
      <c r="VCP354" s="282"/>
      <c r="VCQ354" s="287"/>
      <c r="VCR354" s="282"/>
      <c r="VCS354" s="287"/>
      <c r="VCT354" s="282"/>
      <c r="VCU354" s="287"/>
      <c r="VCV354" s="282"/>
      <c r="VCW354" s="287"/>
      <c r="VCX354" s="282"/>
      <c r="VCY354" s="287"/>
      <c r="VCZ354" s="282"/>
      <c r="VDA354" s="287"/>
      <c r="VDB354" s="282"/>
      <c r="VDC354" s="287"/>
      <c r="VDD354" s="282"/>
      <c r="VDE354" s="287"/>
      <c r="VDF354" s="282"/>
      <c r="VDG354" s="287"/>
      <c r="VDH354" s="282"/>
      <c r="VDI354" s="287"/>
      <c r="VDJ354" s="282"/>
      <c r="VDK354" s="287"/>
      <c r="VDL354" s="282"/>
      <c r="VDM354" s="287"/>
      <c r="VDN354" s="282"/>
      <c r="VDO354" s="287"/>
      <c r="VDP354" s="282"/>
      <c r="VDQ354" s="287"/>
      <c r="VDR354" s="282"/>
      <c r="VDS354" s="287"/>
      <c r="VDT354" s="282"/>
      <c r="VDU354" s="287"/>
      <c r="VDV354" s="282"/>
      <c r="VDW354" s="287"/>
      <c r="VDX354" s="282"/>
      <c r="VDY354" s="287"/>
      <c r="VDZ354" s="282"/>
      <c r="VEA354" s="287"/>
      <c r="VEB354" s="282"/>
      <c r="VEC354" s="287"/>
      <c r="VED354" s="282"/>
      <c r="VEE354" s="287"/>
      <c r="VEF354" s="282"/>
      <c r="VEG354" s="287"/>
      <c r="VEH354" s="282"/>
      <c r="VEI354" s="287"/>
      <c r="VEJ354" s="282"/>
      <c r="VEK354" s="287"/>
      <c r="VEL354" s="282"/>
      <c r="VEM354" s="287"/>
      <c r="VEN354" s="282"/>
      <c r="VEO354" s="287"/>
      <c r="VEP354" s="282"/>
      <c r="VEQ354" s="287"/>
      <c r="VER354" s="282"/>
      <c r="VES354" s="287"/>
      <c r="VET354" s="282"/>
      <c r="VEU354" s="287"/>
      <c r="VEV354" s="282"/>
      <c r="VEW354" s="287"/>
      <c r="VEX354" s="282"/>
      <c r="VEY354" s="287"/>
      <c r="VEZ354" s="282"/>
      <c r="VFA354" s="287"/>
      <c r="VFB354" s="282"/>
      <c r="VFC354" s="287"/>
      <c r="VFD354" s="282"/>
      <c r="VFE354" s="287"/>
      <c r="VFF354" s="282"/>
      <c r="VFG354" s="287"/>
      <c r="VFH354" s="282"/>
      <c r="VFI354" s="287"/>
      <c r="VFJ354" s="282"/>
      <c r="VFK354" s="287"/>
      <c r="VFL354" s="282"/>
      <c r="VFM354" s="287"/>
      <c r="VFN354" s="282"/>
      <c r="VFO354" s="287"/>
      <c r="VFP354" s="282"/>
      <c r="VFQ354" s="287"/>
      <c r="VFR354" s="282"/>
      <c r="VFS354" s="287"/>
      <c r="VFT354" s="282"/>
      <c r="VFU354" s="287"/>
      <c r="VFV354" s="282"/>
      <c r="VFW354" s="287"/>
      <c r="VFX354" s="282"/>
      <c r="VFY354" s="287"/>
      <c r="VFZ354" s="282"/>
      <c r="VGA354" s="287"/>
      <c r="VGB354" s="282"/>
      <c r="VGC354" s="287"/>
      <c r="VGD354" s="282"/>
      <c r="VGE354" s="287"/>
      <c r="VGF354" s="282"/>
      <c r="VGG354" s="287"/>
      <c r="VGH354" s="282"/>
      <c r="VGI354" s="287"/>
      <c r="VGJ354" s="282"/>
      <c r="VGK354" s="287"/>
      <c r="VGL354" s="282"/>
      <c r="VGM354" s="287"/>
      <c r="VGN354" s="282"/>
      <c r="VGO354" s="287"/>
      <c r="VGP354" s="282"/>
      <c r="VGQ354" s="287"/>
      <c r="VGR354" s="282"/>
      <c r="VGS354" s="287"/>
      <c r="VGT354" s="282"/>
      <c r="VGU354" s="287"/>
      <c r="VGV354" s="282"/>
      <c r="VGW354" s="287"/>
      <c r="VGX354" s="282"/>
      <c r="VGY354" s="287"/>
      <c r="VGZ354" s="282"/>
      <c r="VHA354" s="287"/>
      <c r="VHB354" s="282"/>
      <c r="VHC354" s="287"/>
      <c r="VHD354" s="282"/>
      <c r="VHE354" s="287"/>
      <c r="VHF354" s="282"/>
      <c r="VHG354" s="287"/>
      <c r="VHH354" s="282"/>
      <c r="VHI354" s="287"/>
      <c r="VHJ354" s="282"/>
      <c r="VHK354" s="287"/>
      <c r="VHL354" s="282"/>
      <c r="VHM354" s="287"/>
      <c r="VHN354" s="282"/>
      <c r="VHO354" s="287"/>
      <c r="VHP354" s="282"/>
      <c r="VHQ354" s="287"/>
      <c r="VHR354" s="282"/>
      <c r="VHS354" s="287"/>
      <c r="VHT354" s="282"/>
      <c r="VHU354" s="287"/>
      <c r="VHV354" s="282"/>
      <c r="VHW354" s="287"/>
      <c r="VHX354" s="282"/>
      <c r="VHY354" s="287"/>
      <c r="VHZ354" s="282"/>
      <c r="VIA354" s="287"/>
      <c r="VIB354" s="282"/>
      <c r="VIC354" s="287"/>
      <c r="VID354" s="282"/>
      <c r="VIE354" s="287"/>
      <c r="VIF354" s="282"/>
      <c r="VIG354" s="287"/>
      <c r="VIH354" s="282"/>
      <c r="VII354" s="287"/>
      <c r="VIJ354" s="282"/>
      <c r="VIK354" s="287"/>
      <c r="VIL354" s="282"/>
      <c r="VIM354" s="287"/>
      <c r="VIN354" s="282"/>
      <c r="VIO354" s="287"/>
      <c r="VIP354" s="282"/>
      <c r="VIQ354" s="287"/>
      <c r="VIR354" s="282"/>
      <c r="VIS354" s="287"/>
      <c r="VIT354" s="282"/>
      <c r="VIU354" s="287"/>
      <c r="VIV354" s="282"/>
      <c r="VIW354" s="287"/>
      <c r="VIX354" s="282"/>
      <c r="VIY354" s="287"/>
      <c r="VIZ354" s="282"/>
      <c r="VJA354" s="287"/>
      <c r="VJB354" s="282"/>
      <c r="VJC354" s="287"/>
      <c r="VJD354" s="282"/>
      <c r="VJE354" s="287"/>
      <c r="VJF354" s="282"/>
      <c r="VJG354" s="287"/>
      <c r="VJH354" s="282"/>
      <c r="VJI354" s="287"/>
      <c r="VJJ354" s="282"/>
      <c r="VJK354" s="287"/>
      <c r="VJL354" s="282"/>
      <c r="VJM354" s="287"/>
      <c r="VJN354" s="282"/>
      <c r="VJO354" s="287"/>
      <c r="VJP354" s="282"/>
      <c r="VJQ354" s="287"/>
      <c r="VJR354" s="282"/>
      <c r="VJS354" s="287"/>
      <c r="VJT354" s="282"/>
      <c r="VJU354" s="287"/>
      <c r="VJV354" s="282"/>
      <c r="VJW354" s="287"/>
      <c r="VJX354" s="282"/>
      <c r="VJY354" s="287"/>
      <c r="VJZ354" s="282"/>
      <c r="VKA354" s="287"/>
      <c r="VKB354" s="282"/>
      <c r="VKC354" s="287"/>
      <c r="VKD354" s="282"/>
      <c r="VKE354" s="287"/>
      <c r="VKF354" s="282"/>
      <c r="VKG354" s="287"/>
      <c r="VKH354" s="282"/>
      <c r="VKI354" s="287"/>
      <c r="VKJ354" s="282"/>
      <c r="VKK354" s="287"/>
      <c r="VKL354" s="282"/>
      <c r="VKM354" s="287"/>
      <c r="VKN354" s="282"/>
      <c r="VKO354" s="287"/>
      <c r="VKP354" s="282"/>
      <c r="VKQ354" s="287"/>
      <c r="VKR354" s="282"/>
      <c r="VKS354" s="287"/>
      <c r="VKT354" s="282"/>
      <c r="VKU354" s="287"/>
      <c r="VKV354" s="282"/>
      <c r="VKW354" s="287"/>
      <c r="VKX354" s="282"/>
      <c r="VKY354" s="287"/>
      <c r="VKZ354" s="282"/>
      <c r="VLA354" s="287"/>
      <c r="VLB354" s="282"/>
      <c r="VLC354" s="287"/>
      <c r="VLD354" s="282"/>
      <c r="VLE354" s="287"/>
      <c r="VLF354" s="282"/>
      <c r="VLG354" s="287"/>
      <c r="VLH354" s="282"/>
      <c r="VLI354" s="287"/>
      <c r="VLJ354" s="282"/>
      <c r="VLK354" s="287"/>
      <c r="VLL354" s="282"/>
      <c r="VLM354" s="287"/>
      <c r="VLN354" s="282"/>
      <c r="VLO354" s="287"/>
      <c r="VLP354" s="282"/>
      <c r="VLQ354" s="287"/>
      <c r="VLR354" s="282"/>
      <c r="VLS354" s="287"/>
      <c r="VLT354" s="282"/>
      <c r="VLU354" s="287"/>
      <c r="VLV354" s="282"/>
      <c r="VLW354" s="287"/>
      <c r="VLX354" s="282"/>
      <c r="VLY354" s="287"/>
      <c r="VLZ354" s="282"/>
      <c r="VMA354" s="287"/>
      <c r="VMB354" s="282"/>
      <c r="VMC354" s="287"/>
      <c r="VMD354" s="282"/>
      <c r="VME354" s="287"/>
      <c r="VMF354" s="282"/>
      <c r="VMG354" s="287"/>
      <c r="VMH354" s="282"/>
      <c r="VMI354" s="287"/>
      <c r="VMJ354" s="282"/>
      <c r="VMK354" s="287"/>
      <c r="VML354" s="282"/>
      <c r="VMM354" s="287"/>
      <c r="VMN354" s="282"/>
      <c r="VMO354" s="287"/>
      <c r="VMP354" s="282"/>
      <c r="VMQ354" s="287"/>
      <c r="VMR354" s="282"/>
      <c r="VMS354" s="287"/>
      <c r="VMT354" s="282"/>
      <c r="VMU354" s="287"/>
      <c r="VMV354" s="282"/>
      <c r="VMW354" s="287"/>
      <c r="VMX354" s="282"/>
      <c r="VMY354" s="287"/>
      <c r="VMZ354" s="282"/>
      <c r="VNA354" s="287"/>
      <c r="VNB354" s="282"/>
      <c r="VNC354" s="287"/>
      <c r="VND354" s="282"/>
      <c r="VNE354" s="287"/>
      <c r="VNF354" s="282"/>
      <c r="VNG354" s="287"/>
      <c r="VNH354" s="282"/>
      <c r="VNI354" s="287"/>
      <c r="VNJ354" s="282"/>
      <c r="VNK354" s="287"/>
      <c r="VNL354" s="282"/>
      <c r="VNM354" s="287"/>
      <c r="VNN354" s="282"/>
      <c r="VNO354" s="287"/>
      <c r="VNP354" s="282"/>
      <c r="VNQ354" s="287"/>
      <c r="VNR354" s="282"/>
      <c r="VNS354" s="287"/>
      <c r="VNT354" s="282"/>
      <c r="VNU354" s="287"/>
      <c r="VNV354" s="282"/>
      <c r="VNW354" s="287"/>
      <c r="VNX354" s="282"/>
      <c r="VNY354" s="287"/>
      <c r="VNZ354" s="282"/>
      <c r="VOA354" s="287"/>
      <c r="VOB354" s="282"/>
      <c r="VOC354" s="287"/>
      <c r="VOD354" s="282"/>
      <c r="VOE354" s="287"/>
      <c r="VOF354" s="282"/>
      <c r="VOG354" s="287"/>
      <c r="VOH354" s="282"/>
      <c r="VOI354" s="287"/>
      <c r="VOJ354" s="282"/>
      <c r="VOK354" s="287"/>
      <c r="VOL354" s="282"/>
      <c r="VOM354" s="287"/>
      <c r="VON354" s="282"/>
      <c r="VOO354" s="287"/>
      <c r="VOP354" s="282"/>
      <c r="VOQ354" s="287"/>
      <c r="VOR354" s="282"/>
      <c r="VOS354" s="287"/>
      <c r="VOT354" s="282"/>
      <c r="VOU354" s="287"/>
      <c r="VOV354" s="282"/>
      <c r="VOW354" s="287"/>
      <c r="VOX354" s="282"/>
      <c r="VOY354" s="287"/>
      <c r="VOZ354" s="282"/>
      <c r="VPA354" s="287"/>
      <c r="VPB354" s="282"/>
      <c r="VPC354" s="287"/>
      <c r="VPD354" s="282"/>
      <c r="VPE354" s="287"/>
      <c r="VPF354" s="282"/>
      <c r="VPG354" s="287"/>
      <c r="VPH354" s="282"/>
      <c r="VPI354" s="287"/>
      <c r="VPJ354" s="282"/>
      <c r="VPK354" s="287"/>
      <c r="VPL354" s="282"/>
      <c r="VPM354" s="287"/>
      <c r="VPN354" s="282"/>
      <c r="VPO354" s="287"/>
      <c r="VPP354" s="282"/>
      <c r="VPQ354" s="287"/>
      <c r="VPR354" s="282"/>
      <c r="VPS354" s="287"/>
      <c r="VPT354" s="282"/>
      <c r="VPU354" s="287"/>
      <c r="VPV354" s="282"/>
      <c r="VPW354" s="287"/>
      <c r="VPX354" s="282"/>
      <c r="VPY354" s="287"/>
      <c r="VPZ354" s="282"/>
      <c r="VQA354" s="287"/>
      <c r="VQB354" s="282"/>
      <c r="VQC354" s="287"/>
      <c r="VQD354" s="282"/>
      <c r="VQE354" s="287"/>
      <c r="VQF354" s="282"/>
      <c r="VQG354" s="287"/>
      <c r="VQH354" s="282"/>
      <c r="VQI354" s="287"/>
      <c r="VQJ354" s="282"/>
      <c r="VQK354" s="287"/>
      <c r="VQL354" s="282"/>
      <c r="VQM354" s="287"/>
      <c r="VQN354" s="282"/>
      <c r="VQO354" s="287"/>
      <c r="VQP354" s="282"/>
      <c r="VQQ354" s="287"/>
      <c r="VQR354" s="282"/>
      <c r="VQS354" s="287"/>
      <c r="VQT354" s="282"/>
      <c r="VQU354" s="287"/>
      <c r="VQV354" s="282"/>
      <c r="VQW354" s="287"/>
      <c r="VQX354" s="282"/>
      <c r="VQY354" s="287"/>
      <c r="VQZ354" s="282"/>
      <c r="VRA354" s="287"/>
      <c r="VRB354" s="282"/>
      <c r="VRC354" s="287"/>
      <c r="VRD354" s="282"/>
      <c r="VRE354" s="287"/>
      <c r="VRF354" s="282"/>
      <c r="VRG354" s="287"/>
      <c r="VRH354" s="282"/>
      <c r="VRI354" s="287"/>
      <c r="VRJ354" s="282"/>
      <c r="VRK354" s="287"/>
      <c r="VRL354" s="282"/>
      <c r="VRM354" s="287"/>
      <c r="VRN354" s="282"/>
      <c r="VRO354" s="287"/>
      <c r="VRP354" s="282"/>
      <c r="VRQ354" s="287"/>
      <c r="VRR354" s="282"/>
      <c r="VRS354" s="287"/>
      <c r="VRT354" s="282"/>
      <c r="VRU354" s="287"/>
      <c r="VRV354" s="282"/>
      <c r="VRW354" s="287"/>
      <c r="VRX354" s="282"/>
      <c r="VRY354" s="287"/>
      <c r="VRZ354" s="282"/>
      <c r="VSA354" s="287"/>
      <c r="VSB354" s="282"/>
      <c r="VSC354" s="287"/>
      <c r="VSD354" s="282"/>
      <c r="VSE354" s="287"/>
      <c r="VSF354" s="282"/>
      <c r="VSG354" s="287"/>
      <c r="VSH354" s="282"/>
      <c r="VSI354" s="287"/>
      <c r="VSJ354" s="282"/>
      <c r="VSK354" s="287"/>
      <c r="VSL354" s="282"/>
      <c r="VSM354" s="287"/>
      <c r="VSN354" s="282"/>
      <c r="VSO354" s="287"/>
      <c r="VSP354" s="282"/>
      <c r="VSQ354" s="287"/>
      <c r="VSR354" s="282"/>
      <c r="VSS354" s="287"/>
      <c r="VST354" s="282"/>
      <c r="VSU354" s="287"/>
      <c r="VSV354" s="282"/>
      <c r="VSW354" s="287"/>
      <c r="VSX354" s="282"/>
      <c r="VSY354" s="287"/>
      <c r="VSZ354" s="282"/>
      <c r="VTA354" s="287"/>
      <c r="VTB354" s="282"/>
      <c r="VTC354" s="287"/>
      <c r="VTD354" s="282"/>
      <c r="VTE354" s="287"/>
      <c r="VTF354" s="282"/>
      <c r="VTG354" s="287"/>
      <c r="VTH354" s="282"/>
      <c r="VTI354" s="287"/>
      <c r="VTJ354" s="282"/>
      <c r="VTK354" s="287"/>
      <c r="VTL354" s="282"/>
      <c r="VTM354" s="287"/>
      <c r="VTN354" s="282"/>
      <c r="VTO354" s="287"/>
      <c r="VTP354" s="282"/>
      <c r="VTQ354" s="287"/>
      <c r="VTR354" s="282"/>
      <c r="VTS354" s="287"/>
      <c r="VTT354" s="282"/>
      <c r="VTU354" s="287"/>
      <c r="VTV354" s="282"/>
      <c r="VTW354" s="287"/>
      <c r="VTX354" s="282"/>
      <c r="VTY354" s="287"/>
      <c r="VTZ354" s="282"/>
      <c r="VUA354" s="287"/>
      <c r="VUB354" s="282"/>
      <c r="VUC354" s="287"/>
      <c r="VUD354" s="282"/>
      <c r="VUE354" s="287"/>
      <c r="VUF354" s="282"/>
      <c r="VUG354" s="287"/>
      <c r="VUH354" s="282"/>
      <c r="VUI354" s="287"/>
      <c r="VUJ354" s="282"/>
      <c r="VUK354" s="287"/>
      <c r="VUL354" s="282"/>
      <c r="VUM354" s="287"/>
      <c r="VUN354" s="282"/>
      <c r="VUO354" s="287"/>
      <c r="VUP354" s="282"/>
      <c r="VUQ354" s="287"/>
      <c r="VUR354" s="282"/>
      <c r="VUS354" s="287"/>
      <c r="VUT354" s="282"/>
      <c r="VUU354" s="287"/>
      <c r="VUV354" s="282"/>
      <c r="VUW354" s="287"/>
      <c r="VUX354" s="282"/>
      <c r="VUY354" s="287"/>
      <c r="VUZ354" s="282"/>
      <c r="VVA354" s="287"/>
      <c r="VVB354" s="282"/>
      <c r="VVC354" s="287"/>
      <c r="VVD354" s="282"/>
      <c r="VVE354" s="287"/>
      <c r="VVF354" s="282"/>
      <c r="VVG354" s="287"/>
      <c r="VVH354" s="282"/>
      <c r="VVI354" s="287"/>
      <c r="VVJ354" s="282"/>
      <c r="VVK354" s="287"/>
      <c r="VVL354" s="282"/>
      <c r="VVM354" s="287"/>
      <c r="VVN354" s="282"/>
      <c r="VVO354" s="287"/>
      <c r="VVP354" s="282"/>
      <c r="VVQ354" s="287"/>
      <c r="VVR354" s="282"/>
      <c r="VVS354" s="287"/>
      <c r="VVT354" s="282"/>
      <c r="VVU354" s="287"/>
      <c r="VVV354" s="282"/>
      <c r="VVW354" s="287"/>
      <c r="VVX354" s="282"/>
      <c r="VVY354" s="287"/>
      <c r="VVZ354" s="282"/>
      <c r="VWA354" s="287"/>
      <c r="VWB354" s="282"/>
      <c r="VWC354" s="287"/>
      <c r="VWD354" s="282"/>
      <c r="VWE354" s="287"/>
      <c r="VWF354" s="282"/>
      <c r="VWG354" s="287"/>
      <c r="VWH354" s="282"/>
      <c r="VWI354" s="287"/>
      <c r="VWJ354" s="282"/>
      <c r="VWK354" s="287"/>
      <c r="VWL354" s="282"/>
      <c r="VWM354" s="287"/>
      <c r="VWN354" s="282"/>
      <c r="VWO354" s="287"/>
      <c r="VWP354" s="282"/>
      <c r="VWQ354" s="287"/>
      <c r="VWR354" s="282"/>
      <c r="VWS354" s="287"/>
      <c r="VWT354" s="282"/>
      <c r="VWU354" s="287"/>
      <c r="VWV354" s="282"/>
      <c r="VWW354" s="287"/>
      <c r="VWX354" s="282"/>
      <c r="VWY354" s="287"/>
      <c r="VWZ354" s="282"/>
      <c r="VXA354" s="287"/>
      <c r="VXB354" s="282"/>
      <c r="VXC354" s="287"/>
      <c r="VXD354" s="282"/>
      <c r="VXE354" s="287"/>
      <c r="VXF354" s="282"/>
      <c r="VXG354" s="287"/>
      <c r="VXH354" s="282"/>
      <c r="VXI354" s="287"/>
      <c r="VXJ354" s="282"/>
      <c r="VXK354" s="287"/>
      <c r="VXL354" s="282"/>
      <c r="VXM354" s="287"/>
      <c r="VXN354" s="282"/>
      <c r="VXO354" s="287"/>
      <c r="VXP354" s="282"/>
      <c r="VXQ354" s="287"/>
      <c r="VXR354" s="282"/>
      <c r="VXS354" s="287"/>
      <c r="VXT354" s="282"/>
      <c r="VXU354" s="287"/>
      <c r="VXV354" s="282"/>
      <c r="VXW354" s="287"/>
      <c r="VXX354" s="282"/>
      <c r="VXY354" s="287"/>
      <c r="VXZ354" s="282"/>
      <c r="VYA354" s="287"/>
      <c r="VYB354" s="282"/>
      <c r="VYC354" s="287"/>
      <c r="VYD354" s="282"/>
      <c r="VYE354" s="287"/>
      <c r="VYF354" s="282"/>
      <c r="VYG354" s="287"/>
      <c r="VYH354" s="282"/>
      <c r="VYI354" s="287"/>
      <c r="VYJ354" s="282"/>
      <c r="VYK354" s="287"/>
      <c r="VYL354" s="282"/>
      <c r="VYM354" s="287"/>
      <c r="VYN354" s="282"/>
      <c r="VYO354" s="287"/>
      <c r="VYP354" s="282"/>
      <c r="VYQ354" s="287"/>
      <c r="VYR354" s="282"/>
      <c r="VYS354" s="287"/>
      <c r="VYT354" s="282"/>
      <c r="VYU354" s="287"/>
      <c r="VYV354" s="282"/>
      <c r="VYW354" s="287"/>
      <c r="VYX354" s="282"/>
      <c r="VYY354" s="287"/>
      <c r="VYZ354" s="282"/>
      <c r="VZA354" s="287"/>
      <c r="VZB354" s="282"/>
      <c r="VZC354" s="287"/>
      <c r="VZD354" s="282"/>
      <c r="VZE354" s="287"/>
      <c r="VZF354" s="282"/>
      <c r="VZG354" s="287"/>
      <c r="VZH354" s="282"/>
      <c r="VZI354" s="287"/>
      <c r="VZJ354" s="282"/>
      <c r="VZK354" s="287"/>
      <c r="VZL354" s="282"/>
      <c r="VZM354" s="287"/>
      <c r="VZN354" s="282"/>
      <c r="VZO354" s="287"/>
      <c r="VZP354" s="282"/>
      <c r="VZQ354" s="287"/>
      <c r="VZR354" s="282"/>
      <c r="VZS354" s="287"/>
      <c r="VZT354" s="282"/>
      <c r="VZU354" s="287"/>
      <c r="VZV354" s="282"/>
      <c r="VZW354" s="287"/>
      <c r="VZX354" s="282"/>
      <c r="VZY354" s="287"/>
      <c r="VZZ354" s="282"/>
      <c r="WAA354" s="287"/>
      <c r="WAB354" s="282"/>
      <c r="WAC354" s="287"/>
      <c r="WAD354" s="282"/>
      <c r="WAE354" s="287"/>
      <c r="WAF354" s="282"/>
      <c r="WAG354" s="287"/>
      <c r="WAH354" s="282"/>
      <c r="WAI354" s="287"/>
      <c r="WAJ354" s="282"/>
      <c r="WAK354" s="287"/>
      <c r="WAL354" s="282"/>
      <c r="WAM354" s="287"/>
      <c r="WAN354" s="282"/>
      <c r="WAO354" s="287"/>
      <c r="WAP354" s="282"/>
      <c r="WAQ354" s="287"/>
      <c r="WAR354" s="282"/>
      <c r="WAS354" s="287"/>
      <c r="WAT354" s="282"/>
      <c r="WAU354" s="287"/>
      <c r="WAV354" s="282"/>
      <c r="WAW354" s="287"/>
      <c r="WAX354" s="282"/>
      <c r="WAY354" s="287"/>
      <c r="WAZ354" s="282"/>
      <c r="WBA354" s="287"/>
      <c r="WBB354" s="282"/>
      <c r="WBC354" s="287"/>
      <c r="WBD354" s="282"/>
      <c r="WBE354" s="287"/>
      <c r="WBF354" s="282"/>
      <c r="WBG354" s="287"/>
      <c r="WBH354" s="282"/>
      <c r="WBI354" s="287"/>
      <c r="WBJ354" s="282"/>
      <c r="WBK354" s="287"/>
      <c r="WBL354" s="282"/>
      <c r="WBM354" s="287"/>
      <c r="WBN354" s="282"/>
      <c r="WBO354" s="287"/>
      <c r="WBP354" s="282"/>
      <c r="WBQ354" s="287"/>
      <c r="WBR354" s="282"/>
      <c r="WBS354" s="287"/>
      <c r="WBT354" s="282"/>
      <c r="WBU354" s="287"/>
      <c r="WBV354" s="282"/>
      <c r="WBW354" s="287"/>
      <c r="WBX354" s="282"/>
      <c r="WBY354" s="287"/>
      <c r="WBZ354" s="282"/>
      <c r="WCA354" s="287"/>
      <c r="WCB354" s="282"/>
      <c r="WCC354" s="287"/>
      <c r="WCD354" s="282"/>
      <c r="WCE354" s="287"/>
      <c r="WCF354" s="282"/>
      <c r="WCG354" s="287"/>
      <c r="WCH354" s="282"/>
      <c r="WCI354" s="287"/>
      <c r="WCJ354" s="282"/>
      <c r="WCK354" s="287"/>
      <c r="WCL354" s="282"/>
      <c r="WCM354" s="287"/>
      <c r="WCN354" s="282"/>
      <c r="WCO354" s="287"/>
      <c r="WCP354" s="282"/>
      <c r="WCQ354" s="287"/>
      <c r="WCR354" s="282"/>
      <c r="WCS354" s="287"/>
      <c r="WCT354" s="282"/>
      <c r="WCU354" s="287"/>
      <c r="WCV354" s="282"/>
      <c r="WCW354" s="287"/>
      <c r="WCX354" s="282"/>
      <c r="WCY354" s="287"/>
      <c r="WCZ354" s="282"/>
      <c r="WDA354" s="287"/>
      <c r="WDB354" s="282"/>
      <c r="WDC354" s="287"/>
      <c r="WDD354" s="282"/>
      <c r="WDE354" s="287"/>
      <c r="WDF354" s="282"/>
      <c r="WDG354" s="287"/>
      <c r="WDH354" s="282"/>
      <c r="WDI354" s="287"/>
      <c r="WDJ354" s="282"/>
      <c r="WDK354" s="287"/>
      <c r="WDL354" s="282"/>
      <c r="WDM354" s="287"/>
      <c r="WDN354" s="282"/>
      <c r="WDO354" s="287"/>
      <c r="WDP354" s="282"/>
      <c r="WDQ354" s="287"/>
      <c r="WDR354" s="282"/>
      <c r="WDS354" s="287"/>
      <c r="WDT354" s="282"/>
      <c r="WDU354" s="287"/>
      <c r="WDV354" s="282"/>
      <c r="WDW354" s="287"/>
      <c r="WDX354" s="282"/>
      <c r="WDY354" s="287"/>
      <c r="WDZ354" s="282"/>
      <c r="WEA354" s="287"/>
      <c r="WEB354" s="282"/>
      <c r="WEC354" s="287"/>
      <c r="WED354" s="282"/>
      <c r="WEE354" s="287"/>
      <c r="WEF354" s="282"/>
      <c r="WEG354" s="287"/>
      <c r="WEH354" s="282"/>
      <c r="WEI354" s="287"/>
      <c r="WEJ354" s="282"/>
      <c r="WEK354" s="287"/>
      <c r="WEL354" s="282"/>
      <c r="WEM354" s="287"/>
      <c r="WEN354" s="282"/>
      <c r="WEO354" s="287"/>
      <c r="WEP354" s="282"/>
      <c r="WEQ354" s="287"/>
      <c r="WER354" s="282"/>
      <c r="WES354" s="287"/>
      <c r="WET354" s="282"/>
      <c r="WEU354" s="287"/>
      <c r="WEV354" s="282"/>
      <c r="WEW354" s="287"/>
      <c r="WEX354" s="282"/>
      <c r="WEY354" s="287"/>
      <c r="WEZ354" s="282"/>
      <c r="WFA354" s="287"/>
      <c r="WFB354" s="282"/>
      <c r="WFC354" s="287"/>
      <c r="WFD354" s="282"/>
      <c r="WFE354" s="287"/>
      <c r="WFF354" s="282"/>
      <c r="WFG354" s="287"/>
      <c r="WFH354" s="282"/>
      <c r="WFI354" s="287"/>
      <c r="WFJ354" s="282"/>
      <c r="WFK354" s="287"/>
      <c r="WFL354" s="282"/>
      <c r="WFM354" s="287"/>
      <c r="WFN354" s="282"/>
      <c r="WFO354" s="287"/>
      <c r="WFP354" s="282"/>
      <c r="WFQ354" s="287"/>
      <c r="WFR354" s="282"/>
      <c r="WFS354" s="287"/>
      <c r="WFT354" s="282"/>
      <c r="WFU354" s="287"/>
      <c r="WFV354" s="282"/>
      <c r="WFW354" s="287"/>
      <c r="WFX354" s="282"/>
      <c r="WFY354" s="287"/>
      <c r="WFZ354" s="282"/>
      <c r="WGA354" s="287"/>
      <c r="WGB354" s="282"/>
      <c r="WGC354" s="287"/>
      <c r="WGD354" s="282"/>
      <c r="WGE354" s="287"/>
      <c r="WGF354" s="282"/>
      <c r="WGG354" s="287"/>
      <c r="WGH354" s="282"/>
      <c r="WGI354" s="287"/>
      <c r="WGJ354" s="282"/>
      <c r="WGK354" s="287"/>
      <c r="WGL354" s="282"/>
      <c r="WGM354" s="287"/>
      <c r="WGN354" s="282"/>
      <c r="WGO354" s="287"/>
      <c r="WGP354" s="282"/>
      <c r="WGQ354" s="287"/>
      <c r="WGR354" s="282"/>
      <c r="WGS354" s="287"/>
      <c r="WGT354" s="282"/>
      <c r="WGU354" s="287"/>
      <c r="WGV354" s="282"/>
      <c r="WGW354" s="287"/>
      <c r="WGX354" s="282"/>
      <c r="WGY354" s="287"/>
      <c r="WGZ354" s="282"/>
      <c r="WHA354" s="287"/>
      <c r="WHB354" s="282"/>
      <c r="WHC354" s="287"/>
      <c r="WHD354" s="282"/>
      <c r="WHE354" s="287"/>
      <c r="WHF354" s="282"/>
      <c r="WHG354" s="287"/>
      <c r="WHH354" s="282"/>
      <c r="WHI354" s="287"/>
      <c r="WHJ354" s="282"/>
      <c r="WHK354" s="287"/>
      <c r="WHL354" s="282"/>
      <c r="WHM354" s="287"/>
      <c r="WHN354" s="282"/>
      <c r="WHO354" s="287"/>
      <c r="WHP354" s="282"/>
      <c r="WHQ354" s="287"/>
      <c r="WHR354" s="282"/>
      <c r="WHS354" s="287"/>
      <c r="WHT354" s="282"/>
      <c r="WHU354" s="287"/>
      <c r="WHV354" s="282"/>
      <c r="WHW354" s="287"/>
      <c r="WHX354" s="282"/>
      <c r="WHY354" s="287"/>
      <c r="WHZ354" s="282"/>
      <c r="WIA354" s="287"/>
      <c r="WIB354" s="282"/>
      <c r="WIC354" s="287"/>
      <c r="WID354" s="282"/>
      <c r="WIE354" s="287"/>
      <c r="WIF354" s="282"/>
      <c r="WIG354" s="287"/>
      <c r="WIH354" s="282"/>
      <c r="WII354" s="287"/>
      <c r="WIJ354" s="282"/>
      <c r="WIK354" s="287"/>
      <c r="WIL354" s="282"/>
      <c r="WIM354" s="287"/>
      <c r="WIN354" s="282"/>
      <c r="WIO354" s="287"/>
      <c r="WIP354" s="282"/>
      <c r="WIQ354" s="287"/>
      <c r="WIR354" s="282"/>
      <c r="WIS354" s="287"/>
      <c r="WIT354" s="282"/>
      <c r="WIU354" s="287"/>
      <c r="WIV354" s="282"/>
      <c r="WIW354" s="287"/>
      <c r="WIX354" s="282"/>
      <c r="WIY354" s="287"/>
      <c r="WIZ354" s="282"/>
      <c r="WJA354" s="287"/>
      <c r="WJB354" s="282"/>
      <c r="WJC354" s="287"/>
      <c r="WJD354" s="282"/>
      <c r="WJE354" s="287"/>
      <c r="WJF354" s="282"/>
      <c r="WJG354" s="287"/>
      <c r="WJH354" s="282"/>
      <c r="WJI354" s="287"/>
      <c r="WJJ354" s="282"/>
      <c r="WJK354" s="287"/>
      <c r="WJL354" s="282"/>
      <c r="WJM354" s="287"/>
      <c r="WJN354" s="282"/>
      <c r="WJO354" s="287"/>
      <c r="WJP354" s="282"/>
      <c r="WJQ354" s="287"/>
      <c r="WJR354" s="282"/>
      <c r="WJS354" s="287"/>
      <c r="WJT354" s="282"/>
      <c r="WJU354" s="287"/>
      <c r="WJV354" s="282"/>
      <c r="WJW354" s="287"/>
      <c r="WJX354" s="282"/>
      <c r="WJY354" s="287"/>
      <c r="WJZ354" s="282"/>
      <c r="WKA354" s="287"/>
      <c r="WKB354" s="282"/>
      <c r="WKC354" s="287"/>
      <c r="WKD354" s="282"/>
      <c r="WKE354" s="287"/>
      <c r="WKF354" s="282"/>
      <c r="WKG354" s="287"/>
      <c r="WKH354" s="282"/>
      <c r="WKI354" s="287"/>
      <c r="WKJ354" s="282"/>
      <c r="WKK354" s="287"/>
      <c r="WKL354" s="282"/>
      <c r="WKM354" s="287"/>
      <c r="WKN354" s="282"/>
      <c r="WKO354" s="287"/>
      <c r="WKP354" s="282"/>
      <c r="WKQ354" s="287"/>
      <c r="WKR354" s="282"/>
      <c r="WKS354" s="287"/>
      <c r="WKT354" s="282"/>
      <c r="WKU354" s="287"/>
      <c r="WKV354" s="282"/>
      <c r="WKW354" s="287"/>
      <c r="WKX354" s="282"/>
      <c r="WKY354" s="287"/>
      <c r="WKZ354" s="282"/>
      <c r="WLA354" s="287"/>
      <c r="WLB354" s="282"/>
      <c r="WLC354" s="287"/>
      <c r="WLD354" s="282"/>
      <c r="WLE354" s="287"/>
      <c r="WLF354" s="282"/>
      <c r="WLG354" s="287"/>
      <c r="WLH354" s="282"/>
      <c r="WLI354" s="287"/>
      <c r="WLJ354" s="282"/>
      <c r="WLK354" s="287"/>
      <c r="WLL354" s="282"/>
      <c r="WLM354" s="287"/>
      <c r="WLN354" s="282"/>
      <c r="WLO354" s="287"/>
      <c r="WLP354" s="282"/>
      <c r="WLQ354" s="287"/>
      <c r="WLR354" s="282"/>
      <c r="WLS354" s="287"/>
      <c r="WLT354" s="282"/>
      <c r="WLU354" s="287"/>
      <c r="WLV354" s="282"/>
      <c r="WLW354" s="287"/>
      <c r="WLX354" s="282"/>
      <c r="WLY354" s="287"/>
      <c r="WLZ354" s="282"/>
      <c r="WMA354" s="287"/>
      <c r="WMB354" s="282"/>
      <c r="WMC354" s="287"/>
      <c r="WMD354" s="282"/>
      <c r="WME354" s="287"/>
      <c r="WMF354" s="282"/>
      <c r="WMG354" s="287"/>
      <c r="WMH354" s="282"/>
      <c r="WMI354" s="287"/>
      <c r="WMJ354" s="282"/>
      <c r="WMK354" s="287"/>
      <c r="WML354" s="282"/>
      <c r="WMM354" s="287"/>
      <c r="WMN354" s="282"/>
      <c r="WMO354" s="287"/>
      <c r="WMP354" s="282"/>
      <c r="WMQ354" s="287"/>
      <c r="WMR354" s="282"/>
      <c r="WMS354" s="287"/>
      <c r="WMT354" s="282"/>
      <c r="WMU354" s="287"/>
      <c r="WMV354" s="282"/>
      <c r="WMW354" s="287"/>
      <c r="WMX354" s="282"/>
      <c r="WMY354" s="287"/>
      <c r="WMZ354" s="282"/>
      <c r="WNA354" s="287"/>
      <c r="WNB354" s="282"/>
      <c r="WNC354" s="287"/>
      <c r="WND354" s="282"/>
      <c r="WNE354" s="287"/>
      <c r="WNF354" s="282"/>
      <c r="WNG354" s="287"/>
      <c r="WNH354" s="282"/>
      <c r="WNI354" s="287"/>
      <c r="WNJ354" s="282"/>
      <c r="WNK354" s="287"/>
      <c r="WNL354" s="282"/>
      <c r="WNM354" s="287"/>
      <c r="WNN354" s="282"/>
      <c r="WNO354" s="287"/>
      <c r="WNP354" s="282"/>
      <c r="WNQ354" s="287"/>
      <c r="WNR354" s="282"/>
      <c r="WNS354" s="287"/>
      <c r="WNT354" s="282"/>
      <c r="WNU354" s="287"/>
      <c r="WNV354" s="282"/>
      <c r="WNW354" s="287"/>
      <c r="WNX354" s="282"/>
      <c r="WNY354" s="287"/>
      <c r="WNZ354" s="282"/>
      <c r="WOA354" s="287"/>
      <c r="WOB354" s="282"/>
      <c r="WOC354" s="287"/>
      <c r="WOD354" s="282"/>
      <c r="WOE354" s="287"/>
      <c r="WOF354" s="282"/>
      <c r="WOG354" s="287"/>
      <c r="WOH354" s="282"/>
      <c r="WOI354" s="287"/>
      <c r="WOJ354" s="282"/>
      <c r="WOK354" s="287"/>
      <c r="WOL354" s="282"/>
      <c r="WOM354" s="287"/>
      <c r="WON354" s="282"/>
      <c r="WOO354" s="287"/>
      <c r="WOP354" s="282"/>
      <c r="WOQ354" s="287"/>
      <c r="WOR354" s="282"/>
      <c r="WOS354" s="287"/>
      <c r="WOT354" s="282"/>
      <c r="WOU354" s="287"/>
      <c r="WOV354" s="282"/>
      <c r="WOW354" s="287"/>
      <c r="WOX354" s="282"/>
      <c r="WOY354" s="287"/>
      <c r="WOZ354" s="282"/>
      <c r="WPA354" s="287"/>
      <c r="WPB354" s="282"/>
      <c r="WPC354" s="287"/>
      <c r="WPD354" s="282"/>
      <c r="WPE354" s="287"/>
      <c r="WPF354" s="282"/>
      <c r="WPG354" s="287"/>
      <c r="WPH354" s="282"/>
      <c r="WPI354" s="287"/>
      <c r="WPJ354" s="282"/>
      <c r="WPK354" s="287"/>
      <c r="WPL354" s="282"/>
      <c r="WPM354" s="287"/>
      <c r="WPN354" s="282"/>
      <c r="WPO354" s="287"/>
      <c r="WPP354" s="282"/>
      <c r="WPQ354" s="287"/>
      <c r="WPR354" s="282"/>
      <c r="WPS354" s="287"/>
      <c r="WPT354" s="282"/>
      <c r="WPU354" s="287"/>
      <c r="WPV354" s="282"/>
      <c r="WPW354" s="287"/>
      <c r="WPX354" s="282"/>
      <c r="WPY354" s="287"/>
      <c r="WPZ354" s="282"/>
      <c r="WQA354" s="287"/>
      <c r="WQB354" s="282"/>
      <c r="WQC354" s="287"/>
      <c r="WQD354" s="282"/>
      <c r="WQE354" s="287"/>
      <c r="WQF354" s="282"/>
      <c r="WQG354" s="287"/>
      <c r="WQH354" s="282"/>
      <c r="WQI354" s="287"/>
      <c r="WQJ354" s="282"/>
      <c r="WQK354" s="287"/>
      <c r="WQL354" s="282"/>
      <c r="WQM354" s="287"/>
      <c r="WQN354" s="282"/>
      <c r="WQO354" s="287"/>
      <c r="WQP354" s="282"/>
      <c r="WQQ354" s="287"/>
      <c r="WQR354" s="282"/>
      <c r="WQS354" s="287"/>
      <c r="WQT354" s="282"/>
      <c r="WQU354" s="287"/>
      <c r="WQV354" s="282"/>
      <c r="WQW354" s="287"/>
      <c r="WQX354" s="282"/>
      <c r="WQY354" s="287"/>
      <c r="WQZ354" s="282"/>
      <c r="WRA354" s="287"/>
      <c r="WRB354" s="282"/>
      <c r="WRC354" s="287"/>
      <c r="WRD354" s="282"/>
      <c r="WRE354" s="287"/>
      <c r="WRF354" s="282"/>
      <c r="WRG354" s="287"/>
      <c r="WRH354" s="282"/>
      <c r="WRI354" s="287"/>
      <c r="WRJ354" s="282"/>
      <c r="WRK354" s="287"/>
      <c r="WRL354" s="282"/>
      <c r="WRM354" s="287"/>
      <c r="WRN354" s="282"/>
      <c r="WRO354" s="287"/>
      <c r="WRP354" s="282"/>
      <c r="WRQ354" s="287"/>
      <c r="WRR354" s="282"/>
      <c r="WRS354" s="287"/>
      <c r="WRT354" s="282"/>
      <c r="WRU354" s="287"/>
      <c r="WRV354" s="282"/>
      <c r="WRW354" s="287"/>
      <c r="WRX354" s="282"/>
      <c r="WRY354" s="287"/>
      <c r="WRZ354" s="282"/>
      <c r="WSA354" s="287"/>
      <c r="WSB354" s="282"/>
      <c r="WSC354" s="287"/>
      <c r="WSD354" s="282"/>
      <c r="WSE354" s="287"/>
      <c r="WSF354" s="282"/>
      <c r="WSG354" s="287"/>
      <c r="WSH354" s="282"/>
      <c r="WSI354" s="287"/>
      <c r="WSJ354" s="282"/>
      <c r="WSK354" s="287"/>
      <c r="WSL354" s="282"/>
      <c r="WSM354" s="287"/>
      <c r="WSN354" s="282"/>
      <c r="WSO354" s="287"/>
      <c r="WSP354" s="282"/>
      <c r="WSQ354" s="287"/>
      <c r="WSR354" s="282"/>
      <c r="WSS354" s="287"/>
      <c r="WST354" s="282"/>
      <c r="WSU354" s="287"/>
      <c r="WSV354" s="282"/>
      <c r="WSW354" s="287"/>
      <c r="WSX354" s="282"/>
      <c r="WSY354" s="287"/>
      <c r="WSZ354" s="282"/>
      <c r="WTA354" s="287"/>
      <c r="WTB354" s="282"/>
      <c r="WTC354" s="287"/>
      <c r="WTD354" s="282"/>
      <c r="WTE354" s="287"/>
      <c r="WTF354" s="282"/>
      <c r="WTG354" s="287"/>
      <c r="WTH354" s="282"/>
      <c r="WTI354" s="287"/>
      <c r="WTJ354" s="282"/>
      <c r="WTK354" s="287"/>
      <c r="WTL354" s="282"/>
      <c r="WTM354" s="287"/>
      <c r="WTN354" s="282"/>
      <c r="WTO354" s="287"/>
      <c r="WTP354" s="282"/>
      <c r="WTQ354" s="287"/>
      <c r="WTR354" s="282"/>
      <c r="WTS354" s="287"/>
      <c r="WTT354" s="282"/>
      <c r="WTU354" s="287"/>
      <c r="WTV354" s="282"/>
      <c r="WTW354" s="287"/>
      <c r="WTX354" s="282"/>
      <c r="WTY354" s="287"/>
      <c r="WTZ354" s="282"/>
      <c r="WUA354" s="287"/>
      <c r="WUB354" s="282"/>
      <c r="WUC354" s="287"/>
      <c r="WUD354" s="282"/>
      <c r="WUE354" s="287"/>
      <c r="WUF354" s="282"/>
      <c r="WUG354" s="287"/>
      <c r="WUH354" s="282"/>
      <c r="WUI354" s="287"/>
      <c r="WUJ354" s="282"/>
      <c r="WUK354" s="287"/>
      <c r="WUL354" s="282"/>
      <c r="WUM354" s="287"/>
      <c r="WUN354" s="282"/>
      <c r="WUO354" s="287"/>
      <c r="WUP354" s="282"/>
      <c r="WUQ354" s="287"/>
      <c r="WUR354" s="282"/>
      <c r="WUS354" s="287"/>
      <c r="WUT354" s="282"/>
      <c r="WUU354" s="287"/>
      <c r="WUV354" s="282"/>
      <c r="WUW354" s="287"/>
      <c r="WUX354" s="282"/>
      <c r="WUY354" s="287"/>
      <c r="WUZ354" s="282"/>
      <c r="WVA354" s="287"/>
      <c r="WVB354" s="282"/>
      <c r="WVC354" s="287"/>
      <c r="WVD354" s="282"/>
      <c r="WVE354" s="287"/>
      <c r="WVF354" s="282"/>
      <c r="WVG354" s="287"/>
      <c r="WVH354" s="282"/>
      <c r="WVI354" s="287"/>
      <c r="WVJ354" s="282"/>
      <c r="WVK354" s="287"/>
      <c r="WVL354" s="282"/>
      <c r="WVM354" s="287"/>
      <c r="WVN354" s="282"/>
      <c r="WVO354" s="287"/>
      <c r="WVP354" s="282"/>
      <c r="WVQ354" s="287"/>
      <c r="WVR354" s="282"/>
      <c r="WVS354" s="287"/>
      <c r="WVT354" s="282"/>
      <c r="WVU354" s="287"/>
      <c r="WVV354" s="282"/>
      <c r="WVW354" s="287"/>
      <c r="WVX354" s="282"/>
      <c r="WVY354" s="287"/>
      <c r="WVZ354" s="282"/>
      <c r="WWA354" s="287"/>
      <c r="WWB354" s="282"/>
      <c r="WWC354" s="287"/>
      <c r="WWD354" s="282"/>
      <c r="WWE354" s="287"/>
      <c r="WWF354" s="282"/>
      <c r="WWG354" s="287"/>
      <c r="WWH354" s="282"/>
      <c r="WWI354" s="287"/>
      <c r="WWJ354" s="282"/>
      <c r="WWK354" s="287"/>
      <c r="WWL354" s="282"/>
      <c r="WWM354" s="287"/>
      <c r="WWN354" s="282"/>
      <c r="WWO354" s="287"/>
      <c r="WWP354" s="282"/>
      <c r="WWQ354" s="287"/>
      <c r="WWR354" s="282"/>
      <c r="WWS354" s="287"/>
      <c r="WWT354" s="282"/>
      <c r="WWU354" s="287"/>
      <c r="WWV354" s="282"/>
      <c r="WWW354" s="287"/>
      <c r="WWX354" s="282"/>
      <c r="WWY354" s="287"/>
      <c r="WWZ354" s="282"/>
      <c r="WXA354" s="287"/>
      <c r="WXB354" s="282"/>
      <c r="WXC354" s="287"/>
      <c r="WXD354" s="282"/>
      <c r="WXE354" s="287"/>
      <c r="WXF354" s="282"/>
      <c r="WXG354" s="287"/>
      <c r="WXH354" s="282"/>
      <c r="WXI354" s="287"/>
      <c r="WXJ354" s="282"/>
      <c r="WXK354" s="287"/>
      <c r="WXL354" s="282"/>
      <c r="WXM354" s="287"/>
      <c r="WXN354" s="282"/>
      <c r="WXO354" s="287"/>
      <c r="WXP354" s="282"/>
      <c r="WXQ354" s="287"/>
      <c r="WXR354" s="282"/>
      <c r="WXS354" s="287"/>
      <c r="WXT354" s="282"/>
      <c r="WXU354" s="287"/>
      <c r="WXV354" s="282"/>
      <c r="WXW354" s="287"/>
      <c r="WXX354" s="282"/>
      <c r="WXY354" s="287"/>
      <c r="WXZ354" s="282"/>
      <c r="WYA354" s="287"/>
      <c r="WYB354" s="282"/>
      <c r="WYC354" s="287"/>
      <c r="WYD354" s="282"/>
      <c r="WYE354" s="287"/>
      <c r="WYF354" s="282"/>
      <c r="WYG354" s="287"/>
      <c r="WYH354" s="282"/>
      <c r="WYI354" s="287"/>
      <c r="WYJ354" s="282"/>
      <c r="WYK354" s="287"/>
      <c r="WYL354" s="282"/>
      <c r="WYM354" s="287"/>
      <c r="WYN354" s="282"/>
      <c r="WYO354" s="287"/>
      <c r="WYP354" s="282"/>
      <c r="WYQ354" s="287"/>
      <c r="WYR354" s="282"/>
      <c r="WYS354" s="287"/>
      <c r="WYT354" s="282"/>
      <c r="WYU354" s="287"/>
      <c r="WYV354" s="282"/>
      <c r="WYW354" s="287"/>
      <c r="WYX354" s="282"/>
      <c r="WYY354" s="287"/>
      <c r="WYZ354" s="282"/>
      <c r="WZA354" s="287"/>
      <c r="WZB354" s="282"/>
      <c r="WZC354" s="287"/>
      <c r="WZD354" s="282"/>
      <c r="WZE354" s="287"/>
      <c r="WZF354" s="282"/>
      <c r="WZG354" s="287"/>
      <c r="WZH354" s="282"/>
      <c r="WZI354" s="287"/>
      <c r="WZJ354" s="282"/>
      <c r="WZK354" s="287"/>
      <c r="WZL354" s="282"/>
      <c r="WZM354" s="287"/>
      <c r="WZN354" s="282"/>
      <c r="WZO354" s="287"/>
      <c r="WZP354" s="282"/>
      <c r="WZQ354" s="287"/>
      <c r="WZR354" s="282"/>
      <c r="WZS354" s="287"/>
      <c r="WZT354" s="282"/>
      <c r="WZU354" s="287"/>
      <c r="WZV354" s="282"/>
      <c r="WZW354" s="287"/>
      <c r="WZX354" s="282"/>
      <c r="WZY354" s="287"/>
      <c r="WZZ354" s="282"/>
      <c r="XAA354" s="287"/>
      <c r="XAB354" s="282"/>
      <c r="XAC354" s="287"/>
      <c r="XAD354" s="282"/>
      <c r="XAE354" s="287"/>
      <c r="XAF354" s="282"/>
      <c r="XAG354" s="287"/>
      <c r="XAH354" s="282"/>
      <c r="XAI354" s="287"/>
      <c r="XAJ354" s="282"/>
      <c r="XAK354" s="287"/>
      <c r="XAL354" s="282"/>
      <c r="XAM354" s="287"/>
      <c r="XAN354" s="282"/>
      <c r="XAO354" s="287"/>
      <c r="XAP354" s="282"/>
      <c r="XAQ354" s="287"/>
      <c r="XAR354" s="282"/>
      <c r="XAS354" s="287"/>
      <c r="XAT354" s="282"/>
      <c r="XAU354" s="287"/>
      <c r="XAV354" s="282"/>
      <c r="XAW354" s="287"/>
      <c r="XAX354" s="282"/>
      <c r="XAY354" s="287"/>
      <c r="XAZ354" s="282"/>
      <c r="XBA354" s="287"/>
      <c r="XBB354" s="282"/>
      <c r="XBC354" s="287"/>
      <c r="XBD354" s="282"/>
      <c r="XBE354" s="287"/>
      <c r="XBF354" s="282"/>
      <c r="XBG354" s="287"/>
      <c r="XBH354" s="282"/>
      <c r="XBI354" s="287"/>
      <c r="XBJ354" s="282"/>
      <c r="XBK354" s="287"/>
      <c r="XBL354" s="282"/>
      <c r="XBM354" s="287"/>
      <c r="XBN354" s="282"/>
      <c r="XBO354" s="287"/>
      <c r="XBP354" s="282"/>
      <c r="XBQ354" s="287"/>
      <c r="XBR354" s="282"/>
      <c r="XBS354" s="287"/>
      <c r="XBT354" s="282"/>
      <c r="XBU354" s="287"/>
      <c r="XBV354" s="282"/>
      <c r="XBW354" s="287"/>
      <c r="XBX354" s="282"/>
      <c r="XBY354" s="287"/>
      <c r="XBZ354" s="282"/>
      <c r="XCA354" s="287"/>
      <c r="XCB354" s="282"/>
      <c r="XCC354" s="287"/>
      <c r="XCD354" s="282"/>
      <c r="XCE354" s="287"/>
      <c r="XCF354" s="282"/>
      <c r="XCG354" s="287"/>
      <c r="XCH354" s="282"/>
      <c r="XCI354" s="287"/>
      <c r="XCJ354" s="282"/>
      <c r="XCK354" s="287"/>
      <c r="XCL354" s="282"/>
      <c r="XCM354" s="287"/>
      <c r="XCN354" s="282"/>
      <c r="XCO354" s="287"/>
      <c r="XCP354" s="282"/>
      <c r="XCQ354" s="287"/>
      <c r="XCR354" s="282"/>
      <c r="XCS354" s="287"/>
      <c r="XCT354" s="282"/>
      <c r="XCU354" s="287"/>
      <c r="XCV354" s="282"/>
      <c r="XCW354" s="287"/>
      <c r="XCX354" s="282"/>
      <c r="XCY354" s="287"/>
      <c r="XCZ354" s="282"/>
      <c r="XDA354" s="287"/>
      <c r="XDB354" s="282"/>
      <c r="XDC354" s="287"/>
      <c r="XDD354" s="282"/>
      <c r="XDE354" s="287"/>
      <c r="XDF354" s="282"/>
      <c r="XDG354" s="287"/>
      <c r="XDH354" s="282"/>
      <c r="XDI354" s="287"/>
      <c r="XDJ354" s="282"/>
      <c r="XDK354" s="287"/>
      <c r="XDL354" s="282"/>
      <c r="XDM354" s="287"/>
      <c r="XDN354" s="282"/>
      <c r="XDO354" s="287"/>
      <c r="XDP354" s="282"/>
      <c r="XDQ354" s="287"/>
      <c r="XDR354" s="282"/>
      <c r="XDS354" s="287"/>
      <c r="XDT354" s="282"/>
      <c r="XDU354" s="287"/>
      <c r="XDV354" s="282"/>
      <c r="XDW354" s="287"/>
      <c r="XDX354" s="282"/>
      <c r="XDY354" s="287"/>
      <c r="XDZ354" s="282"/>
      <c r="XEA354" s="287"/>
      <c r="XEB354" s="282"/>
      <c r="XEC354" s="287"/>
      <c r="XED354" s="282"/>
      <c r="XEE354" s="287"/>
      <c r="XEF354" s="282"/>
      <c r="XEG354" s="287"/>
      <c r="XEH354" s="282"/>
      <c r="XEI354" s="287"/>
      <c r="XEJ354" s="282"/>
      <c r="XEK354" s="287"/>
      <c r="XEL354" s="282"/>
      <c r="XEM354" s="287"/>
      <c r="XEN354" s="282"/>
      <c r="XEO354" s="287"/>
      <c r="XEP354" s="282"/>
      <c r="XEQ354" s="287"/>
      <c r="XER354" s="282"/>
      <c r="XES354" s="287"/>
      <c r="XET354" s="282"/>
      <c r="XEU354" s="287"/>
      <c r="XEV354" s="282"/>
      <c r="XEW354" s="287"/>
      <c r="XEX354" s="282"/>
      <c r="XEY354" s="287"/>
      <c r="XEZ354" s="282"/>
      <c r="XFA354" s="287"/>
      <c r="XFB354" s="282"/>
      <c r="XFC354" s="287"/>
      <c r="XFD354" s="282"/>
    </row>
    <row r="355" spans="1:16384" ht="15.75">
      <c r="A355" s="200">
        <v>346000</v>
      </c>
      <c r="B355" s="191" t="s">
        <v>397</v>
      </c>
      <c r="F355" s="158">
        <f t="shared" si="17"/>
        <v>1177</v>
      </c>
      <c r="G355" s="158">
        <v>0</v>
      </c>
      <c r="H355" s="158">
        <v>1176869</v>
      </c>
      <c r="M355" s="282"/>
    </row>
    <row r="356" spans="1:16384" ht="15.75">
      <c r="A356" s="202"/>
      <c r="B356" s="191" t="s">
        <v>410</v>
      </c>
      <c r="F356" s="158">
        <f t="shared" si="17"/>
        <v>195979</v>
      </c>
      <c r="G356" s="158">
        <v>0</v>
      </c>
      <c r="H356" s="158">
        <v>195978979</v>
      </c>
      <c r="M356" s="282"/>
    </row>
    <row r="357" spans="1:16384" ht="15.75">
      <c r="A357" s="200"/>
      <c r="B357" s="191" t="s">
        <v>411</v>
      </c>
      <c r="F357" s="158">
        <f t="shared" si="17"/>
        <v>832833</v>
      </c>
      <c r="G357" s="158">
        <v>0</v>
      </c>
      <c r="H357" s="282">
        <v>832832557</v>
      </c>
      <c r="L357" s="282"/>
      <c r="M357" s="282"/>
      <c r="N357" s="282"/>
      <c r="O357" s="287"/>
      <c r="P357" s="282"/>
    </row>
    <row r="358" spans="1:16384" ht="15.75">
      <c r="A358" s="200"/>
      <c r="B358" s="191"/>
      <c r="F358" s="158">
        <f t="shared" si="17"/>
        <v>0</v>
      </c>
      <c r="G358" s="158">
        <v>0</v>
      </c>
      <c r="M358" s="282"/>
    </row>
    <row r="359" spans="1:16384" ht="15.75">
      <c r="A359" s="204"/>
      <c r="B359" s="191" t="s">
        <v>412</v>
      </c>
      <c r="F359" s="158">
        <f t="shared" si="17"/>
        <v>0</v>
      </c>
      <c r="G359" s="158">
        <v>0</v>
      </c>
      <c r="M359" s="282"/>
    </row>
    <row r="360" spans="1:16384" ht="15.75">
      <c r="A360" s="200" t="s">
        <v>413</v>
      </c>
      <c r="B360" s="191" t="s">
        <v>391</v>
      </c>
      <c r="F360" s="158">
        <f t="shared" si="17"/>
        <v>15054</v>
      </c>
      <c r="G360" s="158">
        <v>0</v>
      </c>
      <c r="H360" s="158">
        <v>15053979</v>
      </c>
      <c r="M360" s="282"/>
    </row>
    <row r="361" spans="1:16384" ht="15.75">
      <c r="A361" s="287" t="s">
        <v>591</v>
      </c>
      <c r="B361" s="282" t="s">
        <v>592</v>
      </c>
      <c r="C361" s="287"/>
      <c r="D361" s="282"/>
      <c r="E361" s="287"/>
      <c r="F361" s="158">
        <f t="shared" si="17"/>
        <v>0</v>
      </c>
      <c r="G361" s="158">
        <v>0</v>
      </c>
      <c r="H361" s="158">
        <v>0</v>
      </c>
      <c r="M361" s="282"/>
    </row>
    <row r="362" spans="1:16384" ht="15.75">
      <c r="A362" s="200" t="s">
        <v>414</v>
      </c>
      <c r="B362" s="191" t="s">
        <v>393</v>
      </c>
      <c r="F362" s="158">
        <f t="shared" si="17"/>
        <v>15376</v>
      </c>
      <c r="G362" s="158">
        <v>0</v>
      </c>
      <c r="H362" s="158">
        <v>15376163</v>
      </c>
      <c r="M362" s="282"/>
    </row>
    <row r="363" spans="1:16384" ht="15.75">
      <c r="A363" s="200">
        <v>353000</v>
      </c>
      <c r="B363" s="191" t="s">
        <v>293</v>
      </c>
      <c r="F363" s="158">
        <f t="shared" si="17"/>
        <v>165171</v>
      </c>
      <c r="G363" s="158">
        <v>0</v>
      </c>
      <c r="H363" s="158">
        <v>165170930</v>
      </c>
      <c r="M363" s="282"/>
    </row>
    <row r="364" spans="1:16384" ht="15.75">
      <c r="A364" s="200">
        <v>354000</v>
      </c>
      <c r="B364" s="191" t="s">
        <v>415</v>
      </c>
      <c r="F364" s="158">
        <f t="shared" si="17"/>
        <v>11288</v>
      </c>
      <c r="G364" s="158">
        <v>0</v>
      </c>
      <c r="H364" s="158">
        <v>11287844</v>
      </c>
      <c r="M364" s="282"/>
    </row>
    <row r="365" spans="1:16384" ht="15.75">
      <c r="A365" s="200">
        <v>355000</v>
      </c>
      <c r="B365" s="191" t="s">
        <v>416</v>
      </c>
      <c r="F365" s="158">
        <f t="shared" si="17"/>
        <v>131612</v>
      </c>
      <c r="G365" s="158">
        <v>0</v>
      </c>
      <c r="H365" s="158">
        <v>131612313</v>
      </c>
      <c r="M365" s="282"/>
    </row>
    <row r="366" spans="1:16384" ht="15.75">
      <c r="A366" s="200">
        <v>356000</v>
      </c>
      <c r="B366" s="191" t="s">
        <v>417</v>
      </c>
      <c r="F366" s="158">
        <f t="shared" si="17"/>
        <v>87274</v>
      </c>
      <c r="G366" s="158">
        <v>0</v>
      </c>
      <c r="H366" s="158">
        <v>87273663</v>
      </c>
      <c r="M366" s="282"/>
    </row>
    <row r="367" spans="1:16384" ht="15.75">
      <c r="A367" s="200">
        <v>357000</v>
      </c>
      <c r="B367" s="191" t="s">
        <v>418</v>
      </c>
      <c r="F367" s="158">
        <f t="shared" si="17"/>
        <v>1963</v>
      </c>
      <c r="G367" s="158">
        <v>0</v>
      </c>
      <c r="H367" s="158">
        <v>1963414</v>
      </c>
      <c r="M367" s="282"/>
    </row>
    <row r="368" spans="1:16384" ht="15.75">
      <c r="A368" s="200">
        <v>358000</v>
      </c>
      <c r="B368" s="191" t="s">
        <v>419</v>
      </c>
      <c r="F368" s="158">
        <f t="shared" si="17"/>
        <v>1540</v>
      </c>
      <c r="G368" s="158">
        <v>0</v>
      </c>
      <c r="H368" s="158">
        <v>1539853</v>
      </c>
      <c r="M368" s="282"/>
    </row>
    <row r="369" spans="1:13" ht="15.75">
      <c r="A369" s="200">
        <v>359000</v>
      </c>
      <c r="B369" s="191" t="s">
        <v>420</v>
      </c>
      <c r="F369" s="158">
        <f t="shared" si="17"/>
        <v>1334</v>
      </c>
      <c r="G369" s="158">
        <v>0</v>
      </c>
      <c r="H369" s="158">
        <v>1334395</v>
      </c>
      <c r="M369" s="282"/>
    </row>
    <row r="370" spans="1:13" ht="15.75">
      <c r="A370" s="202"/>
      <c r="B370" s="191" t="s">
        <v>421</v>
      </c>
      <c r="F370" s="158">
        <f t="shared" si="17"/>
        <v>430613</v>
      </c>
      <c r="G370" s="158">
        <v>0</v>
      </c>
      <c r="H370" s="158">
        <v>430612554</v>
      </c>
      <c r="M370" s="282"/>
    </row>
    <row r="371" spans="1:13" ht="15.75">
      <c r="A371" s="203"/>
      <c r="B371" s="191"/>
      <c r="G371" s="158">
        <v>0</v>
      </c>
      <c r="M371" s="282"/>
    </row>
    <row r="372" spans="1:13" ht="15.75">
      <c r="A372" s="203"/>
      <c r="B372" s="191"/>
      <c r="M372" s="282"/>
    </row>
    <row r="373" spans="1:13" ht="15.75">
      <c r="A373" s="203"/>
      <c r="B373" s="191" t="s">
        <v>422</v>
      </c>
      <c r="F373" s="158">
        <f>ROUND(H373/1000,0)</f>
        <v>3954</v>
      </c>
      <c r="H373" s="158">
        <v>3954169</v>
      </c>
      <c r="M373" s="282"/>
    </row>
    <row r="374" spans="1:13" ht="15.75">
      <c r="A374" s="200">
        <v>360200</v>
      </c>
      <c r="B374" s="191" t="s">
        <v>391</v>
      </c>
      <c r="F374" s="158">
        <f>ROUND(H374/1000,0)</f>
        <v>335</v>
      </c>
      <c r="G374" s="158">
        <v>0</v>
      </c>
      <c r="H374" s="158">
        <v>335419</v>
      </c>
      <c r="M374" s="285"/>
    </row>
    <row r="375" spans="1:13" ht="15.75">
      <c r="A375" s="199">
        <v>360400</v>
      </c>
      <c r="B375" s="194" t="s">
        <v>423</v>
      </c>
      <c r="F375" s="158">
        <f>ROUND(H375/1000,0)</f>
        <v>0</v>
      </c>
      <c r="G375" s="158">
        <v>0</v>
      </c>
      <c r="H375" s="158">
        <v>0</v>
      </c>
      <c r="M375" s="285"/>
    </row>
    <row r="376" spans="1:13" ht="15.75">
      <c r="A376" s="446">
        <v>360500</v>
      </c>
      <c r="B376" s="285" t="s">
        <v>617</v>
      </c>
      <c r="F376" s="158">
        <f>ROUND(H376/1000,0)</f>
        <v>14357</v>
      </c>
      <c r="H376" s="158">
        <v>14357348</v>
      </c>
      <c r="M376" s="282"/>
    </row>
    <row r="377" spans="1:13" ht="15.75">
      <c r="A377" s="200">
        <v>361000</v>
      </c>
      <c r="B377" s="191" t="s">
        <v>393</v>
      </c>
      <c r="F377" s="158">
        <f>ROUND(H377/1000,0)</f>
        <v>82076</v>
      </c>
      <c r="G377" s="158">
        <v>0</v>
      </c>
      <c r="H377" s="158">
        <v>82075805</v>
      </c>
      <c r="M377" s="286"/>
    </row>
    <row r="378" spans="1:13" ht="15.75">
      <c r="A378" s="200">
        <v>362000</v>
      </c>
      <c r="B378" s="190" t="s">
        <v>293</v>
      </c>
      <c r="F378" s="158">
        <f t="shared" ref="F378" si="18">ROUND(H378/1000,0)</f>
        <v>2547</v>
      </c>
      <c r="G378" s="158">
        <v>0</v>
      </c>
      <c r="H378" s="158">
        <v>2547093</v>
      </c>
      <c r="M378" s="282"/>
    </row>
    <row r="379" spans="1:13" ht="15.75">
      <c r="A379" s="287">
        <v>363000</v>
      </c>
      <c r="B379" s="282" t="s">
        <v>587</v>
      </c>
      <c r="F379" s="158">
        <f t="shared" ref="F379:F384" si="19">ROUND(H379/1000,0)</f>
        <v>221767</v>
      </c>
      <c r="G379" s="158">
        <v>0</v>
      </c>
      <c r="H379" s="158">
        <v>221767095</v>
      </c>
      <c r="M379" s="282"/>
    </row>
    <row r="380" spans="1:13" ht="15.75">
      <c r="A380" s="200">
        <v>364000</v>
      </c>
      <c r="B380" s="191" t="s">
        <v>424</v>
      </c>
      <c r="F380" s="158">
        <f t="shared" si="19"/>
        <v>138289</v>
      </c>
      <c r="G380" s="158">
        <v>0</v>
      </c>
      <c r="H380" s="158">
        <v>138289363</v>
      </c>
      <c r="M380" s="282"/>
    </row>
    <row r="381" spans="1:13" ht="15.75">
      <c r="A381" s="200">
        <v>365000</v>
      </c>
      <c r="B381" s="191" t="s">
        <v>417</v>
      </c>
      <c r="F381" s="158">
        <f t="shared" si="19"/>
        <v>64377</v>
      </c>
      <c r="G381" s="158">
        <v>0</v>
      </c>
      <c r="H381" s="158">
        <v>64377129</v>
      </c>
      <c r="M381" s="282"/>
    </row>
    <row r="382" spans="1:13" ht="15.75">
      <c r="A382" s="200">
        <v>366000</v>
      </c>
      <c r="B382" s="191" t="s">
        <v>418</v>
      </c>
      <c r="F382" s="158">
        <f t="shared" si="19"/>
        <v>115717</v>
      </c>
      <c r="G382" s="158">
        <v>0</v>
      </c>
      <c r="H382" s="158">
        <v>115717294</v>
      </c>
      <c r="M382" s="282"/>
    </row>
    <row r="383" spans="1:13" ht="15.75">
      <c r="A383" s="200">
        <v>367000</v>
      </c>
      <c r="B383" s="191" t="s">
        <v>419</v>
      </c>
      <c r="F383" s="158">
        <f t="shared" si="19"/>
        <v>162672</v>
      </c>
      <c r="G383" s="158">
        <v>0</v>
      </c>
      <c r="H383" s="158">
        <v>162672390</v>
      </c>
      <c r="M383" s="282"/>
    </row>
    <row r="384" spans="1:13" ht="15.75">
      <c r="A384" s="200">
        <v>368000</v>
      </c>
      <c r="B384" s="191" t="s">
        <v>329</v>
      </c>
      <c r="F384" s="158">
        <f t="shared" si="19"/>
        <v>101101</v>
      </c>
      <c r="G384" s="158">
        <v>0</v>
      </c>
      <c r="H384" s="158">
        <v>101100928</v>
      </c>
      <c r="M384" s="282"/>
    </row>
    <row r="385" spans="1:13" ht="15.75">
      <c r="A385" s="200" t="s">
        <v>425</v>
      </c>
      <c r="B385" s="191" t="s">
        <v>426</v>
      </c>
      <c r="F385" s="158">
        <f t="shared" ref="F385" si="20">ROUND(H385/1000,0)</f>
        <v>35</v>
      </c>
      <c r="G385" s="158">
        <v>0</v>
      </c>
      <c r="H385" s="158">
        <v>35295</v>
      </c>
      <c r="M385" s="282"/>
    </row>
    <row r="386" spans="1:13" ht="15.75">
      <c r="A386" s="446" t="s">
        <v>618</v>
      </c>
      <c r="B386" s="285" t="s">
        <v>619</v>
      </c>
      <c r="F386" s="158">
        <f>ROUND(H386/1000,0)</f>
        <v>27614</v>
      </c>
      <c r="G386" s="158">
        <v>1</v>
      </c>
      <c r="H386" s="158">
        <v>27614283</v>
      </c>
      <c r="M386" s="285"/>
    </row>
    <row r="387" spans="1:13" ht="15.75">
      <c r="A387" s="199">
        <v>370000</v>
      </c>
      <c r="B387" s="194" t="s">
        <v>331</v>
      </c>
      <c r="F387" s="158">
        <f>ROUND(H387/1000,0)</f>
        <v>35612</v>
      </c>
      <c r="G387" s="158">
        <v>0</v>
      </c>
      <c r="H387" s="158">
        <v>35611754</v>
      </c>
      <c r="M387" s="282"/>
    </row>
    <row r="388" spans="1:13" ht="15.75">
      <c r="A388" s="200" t="s">
        <v>427</v>
      </c>
      <c r="B388" s="191" t="s">
        <v>428</v>
      </c>
      <c r="F388" s="158">
        <f>ROUND(H388/1000,0)</f>
        <v>970455</v>
      </c>
      <c r="G388" s="158">
        <v>0</v>
      </c>
      <c r="H388" s="158">
        <v>970455365</v>
      </c>
      <c r="M388" s="282"/>
    </row>
    <row r="389" spans="1:13" ht="15.75">
      <c r="A389" s="202"/>
      <c r="B389" s="191" t="s">
        <v>429</v>
      </c>
      <c r="F389" s="158">
        <f>ROUND(H389/1000,0)</f>
        <v>0</v>
      </c>
      <c r="G389" s="158">
        <v>0</v>
      </c>
      <c r="M389" s="282"/>
    </row>
    <row r="390" spans="1:13" ht="15.75">
      <c r="A390" s="203"/>
      <c r="B390" s="191"/>
      <c r="M390" s="282"/>
    </row>
    <row r="391" spans="1:13" ht="15.75">
      <c r="A391" s="203"/>
      <c r="B391" s="191" t="s">
        <v>430</v>
      </c>
      <c r="F391" s="158">
        <f t="shared" ref="F391:F397" si="21">ROUND(H391/1000,0)</f>
        <v>0</v>
      </c>
      <c r="G391" s="158">
        <v>0</v>
      </c>
      <c r="M391" s="282"/>
    </row>
    <row r="392" spans="1:13" ht="15.75">
      <c r="A392" s="200" t="s">
        <v>431</v>
      </c>
      <c r="B392" s="191" t="s">
        <v>391</v>
      </c>
      <c r="F392" s="158">
        <f t="shared" si="21"/>
        <v>5855</v>
      </c>
      <c r="G392" s="158">
        <v>0</v>
      </c>
      <c r="H392" s="158">
        <v>5855163</v>
      </c>
      <c r="M392" s="282"/>
    </row>
    <row r="393" spans="1:13" ht="15.75">
      <c r="A393" s="200" t="s">
        <v>432</v>
      </c>
      <c r="B393" s="191" t="s">
        <v>393</v>
      </c>
      <c r="F393" s="158">
        <f t="shared" si="21"/>
        <v>62730</v>
      </c>
      <c r="G393" s="158">
        <v>0</v>
      </c>
      <c r="H393" s="158">
        <v>62729604</v>
      </c>
      <c r="M393" s="282"/>
    </row>
    <row r="394" spans="1:13" ht="15.75">
      <c r="A394" s="200" t="s">
        <v>433</v>
      </c>
      <c r="B394" s="191" t="s">
        <v>434</v>
      </c>
      <c r="F394" s="158">
        <f t="shared" si="21"/>
        <v>36837</v>
      </c>
      <c r="G394" s="158">
        <v>0</v>
      </c>
      <c r="H394" s="158">
        <v>36837169</v>
      </c>
      <c r="M394" s="282"/>
    </row>
    <row r="395" spans="1:13" ht="15.75">
      <c r="A395" s="200" t="s">
        <v>435</v>
      </c>
      <c r="B395" s="191" t="s">
        <v>436</v>
      </c>
      <c r="F395" s="158">
        <f t="shared" si="21"/>
        <v>29329</v>
      </c>
      <c r="G395" s="158">
        <v>0</v>
      </c>
      <c r="H395" s="158">
        <v>29328633</v>
      </c>
      <c r="M395" s="282"/>
    </row>
    <row r="396" spans="1:13" ht="15.75">
      <c r="A396" s="200">
        <v>393000</v>
      </c>
      <c r="B396" s="191" t="s">
        <v>437</v>
      </c>
      <c r="F396" s="158">
        <f t="shared" si="21"/>
        <v>2279</v>
      </c>
      <c r="G396" s="158">
        <v>0</v>
      </c>
      <c r="H396" s="158">
        <v>2278594</v>
      </c>
      <c r="M396" s="282"/>
    </row>
    <row r="397" spans="1:13" ht="15.75">
      <c r="A397" s="200">
        <v>394000</v>
      </c>
      <c r="B397" s="191" t="s">
        <v>438</v>
      </c>
      <c r="F397" s="158">
        <f t="shared" si="21"/>
        <v>8690</v>
      </c>
      <c r="G397" s="158">
        <v>0</v>
      </c>
      <c r="H397" s="158">
        <v>8689747</v>
      </c>
      <c r="M397" s="282"/>
    </row>
    <row r="398" spans="1:13" ht="15.75">
      <c r="A398" s="287">
        <v>394100</v>
      </c>
      <c r="B398" s="282" t="s">
        <v>620</v>
      </c>
      <c r="F398" s="158">
        <f t="shared" ref="F398" si="22">ROUND(H398/1000,0)</f>
        <v>35</v>
      </c>
      <c r="G398" s="158">
        <v>0</v>
      </c>
      <c r="H398" s="158">
        <v>34907</v>
      </c>
      <c r="M398" s="282"/>
    </row>
    <row r="399" spans="1:13" ht="15.75">
      <c r="A399" s="200">
        <v>395000</v>
      </c>
      <c r="B399" s="191" t="s">
        <v>439</v>
      </c>
      <c r="F399" s="158">
        <f t="shared" ref="F399:F432" si="23">ROUND(H399/1000,0)</f>
        <v>641</v>
      </c>
      <c r="G399" s="158">
        <v>1</v>
      </c>
      <c r="H399" s="158">
        <v>640692</v>
      </c>
      <c r="M399" s="282"/>
    </row>
    <row r="400" spans="1:13" ht="15.75">
      <c r="A400" s="200" t="s">
        <v>440</v>
      </c>
      <c r="B400" s="191" t="s">
        <v>441</v>
      </c>
      <c r="F400" s="158">
        <f t="shared" si="23"/>
        <v>21418</v>
      </c>
      <c r="G400" s="158">
        <v>0</v>
      </c>
      <c r="H400" s="158">
        <v>21417784</v>
      </c>
      <c r="M400" s="282"/>
    </row>
    <row r="401" spans="1:13" ht="15.75">
      <c r="A401" s="200" t="s">
        <v>442</v>
      </c>
      <c r="B401" s="191" t="s">
        <v>443</v>
      </c>
      <c r="F401" s="158">
        <f t="shared" si="23"/>
        <v>65177</v>
      </c>
      <c r="G401" s="158">
        <v>0</v>
      </c>
      <c r="H401" s="158">
        <v>65176536</v>
      </c>
      <c r="M401" s="282"/>
    </row>
    <row r="402" spans="1:13" ht="15.75">
      <c r="A402" s="200">
        <v>398000</v>
      </c>
      <c r="B402" s="191" t="s">
        <v>444</v>
      </c>
      <c r="F402" s="158">
        <f t="shared" si="23"/>
        <v>278</v>
      </c>
      <c r="G402" s="158">
        <v>0</v>
      </c>
      <c r="H402" s="158">
        <v>277762</v>
      </c>
      <c r="M402" s="282"/>
    </row>
    <row r="403" spans="1:13" ht="15.75">
      <c r="A403" s="202"/>
      <c r="B403" s="191" t="s">
        <v>445</v>
      </c>
      <c r="F403" s="158">
        <f t="shared" si="23"/>
        <v>233267</v>
      </c>
      <c r="G403" s="158">
        <v>0</v>
      </c>
      <c r="H403" s="158">
        <v>233266591</v>
      </c>
      <c r="M403" s="282"/>
    </row>
    <row r="404" spans="1:13" ht="15.75">
      <c r="A404" s="203"/>
      <c r="B404" s="191"/>
      <c r="F404" s="158">
        <f t="shared" si="23"/>
        <v>0</v>
      </c>
      <c r="G404" s="158">
        <v>0</v>
      </c>
      <c r="M404" s="282"/>
    </row>
    <row r="405" spans="1:13" ht="15.75">
      <c r="A405" s="203"/>
      <c r="B405" s="191" t="s">
        <v>446</v>
      </c>
      <c r="F405" s="158">
        <f t="shared" si="23"/>
        <v>2623224</v>
      </c>
      <c r="G405" s="158">
        <v>0</v>
      </c>
      <c r="H405" s="158">
        <v>2623224292</v>
      </c>
      <c r="M405" s="282"/>
    </row>
    <row r="406" spans="1:13" ht="15.75">
      <c r="A406" s="203"/>
      <c r="B406" s="191"/>
      <c r="F406" s="158">
        <f t="shared" si="23"/>
        <v>0</v>
      </c>
      <c r="G406" s="158">
        <v>0</v>
      </c>
      <c r="M406" s="282"/>
    </row>
    <row r="407" spans="1:13" ht="15.75">
      <c r="A407" s="203"/>
      <c r="B407" s="191"/>
      <c r="F407" s="158">
        <f t="shared" si="23"/>
        <v>0</v>
      </c>
      <c r="G407" s="158">
        <v>0</v>
      </c>
      <c r="M407" s="282"/>
    </row>
    <row r="408" spans="1:13" ht="15.75">
      <c r="A408" s="203"/>
      <c r="B408" s="191" t="s">
        <v>49</v>
      </c>
      <c r="F408" s="158">
        <f t="shared" si="23"/>
        <v>0</v>
      </c>
      <c r="G408" s="158">
        <v>0</v>
      </c>
      <c r="M408" s="282"/>
    </row>
    <row r="409" spans="1:13" ht="15.75">
      <c r="A409" s="203"/>
      <c r="B409" s="191" t="s">
        <v>447</v>
      </c>
      <c r="F409" s="158">
        <f t="shared" si="23"/>
        <v>-192381</v>
      </c>
      <c r="G409" s="158">
        <v>0</v>
      </c>
      <c r="H409" s="158">
        <v>-192381051</v>
      </c>
      <c r="M409" s="282"/>
    </row>
    <row r="410" spans="1:13" ht="15.75">
      <c r="A410" s="200"/>
      <c r="B410" s="191" t="s">
        <v>448</v>
      </c>
      <c r="F410" s="158">
        <f t="shared" si="23"/>
        <v>-89296</v>
      </c>
      <c r="G410" s="158">
        <v>0</v>
      </c>
      <c r="H410" s="158">
        <v>-89296389</v>
      </c>
      <c r="M410" s="282"/>
    </row>
    <row r="411" spans="1:13" ht="15.75">
      <c r="A411" s="203"/>
      <c r="B411" s="191" t="s">
        <v>449</v>
      </c>
      <c r="F411" s="158">
        <f t="shared" si="23"/>
        <v>-69948</v>
      </c>
      <c r="G411" s="158">
        <v>0</v>
      </c>
      <c r="H411" s="158">
        <v>-69948336</v>
      </c>
      <c r="M411" s="282"/>
    </row>
    <row r="412" spans="1:13" ht="15.75">
      <c r="A412" s="203"/>
      <c r="B412" s="191" t="s">
        <v>450</v>
      </c>
      <c r="F412" s="158">
        <f t="shared" si="23"/>
        <v>-135624</v>
      </c>
      <c r="G412" s="158">
        <v>0</v>
      </c>
      <c r="H412" s="158">
        <v>-135623961</v>
      </c>
      <c r="M412" s="282"/>
    </row>
    <row r="413" spans="1:13" ht="15.75">
      <c r="A413" s="203"/>
      <c r="B413" s="191" t="s">
        <v>451</v>
      </c>
      <c r="F413" s="158">
        <f t="shared" si="23"/>
        <v>-295383</v>
      </c>
      <c r="G413" s="158">
        <v>0</v>
      </c>
      <c r="H413" s="158">
        <v>-295382954</v>
      </c>
      <c r="M413" s="282"/>
    </row>
    <row r="414" spans="1:13" ht="15.75">
      <c r="A414" s="203"/>
      <c r="B414" s="191" t="s">
        <v>452</v>
      </c>
      <c r="F414" s="158">
        <f t="shared" si="23"/>
        <v>-79806</v>
      </c>
      <c r="G414" s="158">
        <v>0</v>
      </c>
      <c r="H414" s="158">
        <v>-79806345</v>
      </c>
      <c r="M414" s="282"/>
    </row>
    <row r="415" spans="1:13" ht="15.75">
      <c r="A415" s="198"/>
      <c r="B415" s="191" t="s">
        <v>453</v>
      </c>
      <c r="F415" s="158">
        <f t="shared" si="23"/>
        <v>-862439</v>
      </c>
      <c r="G415" s="158">
        <v>0</v>
      </c>
      <c r="H415" s="158">
        <v>-862439036</v>
      </c>
      <c r="M415" s="282"/>
    </row>
    <row r="416" spans="1:13" ht="15.75">
      <c r="A416" s="198"/>
      <c r="B416" s="191"/>
      <c r="F416" s="158">
        <f t="shared" si="23"/>
        <v>0</v>
      </c>
      <c r="G416" s="158">
        <v>0</v>
      </c>
      <c r="M416" s="282"/>
    </row>
    <row r="417" spans="1:13" ht="15.75">
      <c r="A417" s="198"/>
      <c r="B417" s="191" t="s">
        <v>89</v>
      </c>
      <c r="F417" s="158">
        <f t="shared" si="23"/>
        <v>0</v>
      </c>
      <c r="G417" s="158">
        <v>0</v>
      </c>
      <c r="M417" s="282"/>
    </row>
    <row r="418" spans="1:13" ht="15.75">
      <c r="A418" s="203"/>
      <c r="B418" s="191" t="s">
        <v>454</v>
      </c>
      <c r="F418" s="158">
        <f t="shared" si="23"/>
        <v>-7188</v>
      </c>
      <c r="G418" s="158">
        <v>0</v>
      </c>
      <c r="H418" s="158">
        <v>-7187708</v>
      </c>
      <c r="M418" s="282"/>
    </row>
    <row r="419" spans="1:13" ht="15.75">
      <c r="A419" s="203"/>
      <c r="B419" s="191" t="s">
        <v>455</v>
      </c>
      <c r="F419" s="158">
        <f t="shared" si="23"/>
        <v>-190</v>
      </c>
      <c r="G419" s="158">
        <v>0</v>
      </c>
      <c r="H419" s="158">
        <v>-189685</v>
      </c>
      <c r="M419" s="282"/>
    </row>
    <row r="420" spans="1:13" ht="15.75">
      <c r="A420" s="203"/>
      <c r="B420" s="191" t="s">
        <v>456</v>
      </c>
      <c r="F420" s="158">
        <f t="shared" si="23"/>
        <v>-827</v>
      </c>
      <c r="G420" s="158">
        <v>0</v>
      </c>
      <c r="H420" s="158">
        <v>-826752</v>
      </c>
      <c r="M420" s="282"/>
    </row>
    <row r="421" spans="1:13" ht="15.75">
      <c r="A421" s="203"/>
      <c r="B421" s="191" t="s">
        <v>457</v>
      </c>
      <c r="F421" s="158">
        <f t="shared" si="23"/>
        <v>-22709</v>
      </c>
      <c r="G421" s="158">
        <v>0</v>
      </c>
      <c r="H421" s="158">
        <v>-22708500</v>
      </c>
      <c r="M421" s="282"/>
    </row>
    <row r="422" spans="1:13" ht="15.75">
      <c r="A422" s="203"/>
      <c r="B422" s="191" t="s">
        <v>458</v>
      </c>
      <c r="F422" s="158">
        <f t="shared" si="23"/>
        <v>-287</v>
      </c>
      <c r="G422" s="158">
        <v>0</v>
      </c>
      <c r="H422" s="158">
        <v>-287484</v>
      </c>
      <c r="M422" s="282"/>
    </row>
    <row r="423" spans="1:13" ht="15.75">
      <c r="A423" s="203"/>
      <c r="B423" s="191" t="s">
        <v>459</v>
      </c>
      <c r="F423" s="158">
        <f t="shared" si="23"/>
        <v>-31200</v>
      </c>
      <c r="G423" s="158">
        <v>0</v>
      </c>
      <c r="H423" s="158">
        <v>-31200129</v>
      </c>
      <c r="M423" s="282"/>
    </row>
    <row r="424" spans="1:13" ht="15.75">
      <c r="A424" s="203"/>
      <c r="B424" s="191"/>
      <c r="F424" s="158">
        <f t="shared" si="23"/>
        <v>0</v>
      </c>
      <c r="G424" s="158">
        <v>0</v>
      </c>
      <c r="M424" s="282"/>
    </row>
    <row r="425" spans="1:13" ht="15.75">
      <c r="A425" s="203"/>
      <c r="B425" s="191" t="s">
        <v>460</v>
      </c>
      <c r="F425" s="158">
        <f t="shared" si="23"/>
        <v>-893639</v>
      </c>
      <c r="G425" s="158">
        <v>0</v>
      </c>
      <c r="H425" s="158">
        <v>-893639165</v>
      </c>
      <c r="M425" s="282"/>
    </row>
    <row r="426" spans="1:13" ht="15.75">
      <c r="A426" s="203"/>
      <c r="B426" s="191"/>
      <c r="F426" s="158">
        <f t="shared" si="23"/>
        <v>0</v>
      </c>
      <c r="G426" s="158">
        <v>0</v>
      </c>
      <c r="M426" s="282"/>
    </row>
    <row r="427" spans="1:13" ht="15.75">
      <c r="A427" s="198"/>
      <c r="B427" s="191" t="s">
        <v>461</v>
      </c>
      <c r="F427" s="158">
        <f t="shared" si="23"/>
        <v>1729585</v>
      </c>
      <c r="G427" s="158">
        <v>0</v>
      </c>
      <c r="H427" s="158">
        <v>1729585127</v>
      </c>
      <c r="M427" s="282"/>
    </row>
    <row r="428" spans="1:13" ht="15.75">
      <c r="A428" s="198"/>
      <c r="B428" s="191"/>
      <c r="F428" s="158">
        <f t="shared" si="23"/>
        <v>0</v>
      </c>
      <c r="G428" s="158">
        <v>0</v>
      </c>
      <c r="M428" s="291"/>
    </row>
    <row r="429" spans="1:13" ht="15.75">
      <c r="A429" s="205"/>
      <c r="B429" s="206" t="s">
        <v>462</v>
      </c>
      <c r="F429" s="158">
        <f t="shared" si="23"/>
        <v>0</v>
      </c>
      <c r="G429" s="158">
        <v>0</v>
      </c>
      <c r="M429" s="292"/>
    </row>
    <row r="430" spans="1:13" ht="15.75">
      <c r="A430" s="207"/>
      <c r="B430" s="205" t="s">
        <v>463</v>
      </c>
      <c r="F430" s="158">
        <f t="shared" si="23"/>
        <v>0</v>
      </c>
      <c r="G430" s="158">
        <v>0</v>
      </c>
      <c r="H430" s="158">
        <v>0</v>
      </c>
      <c r="M430" s="291"/>
    </row>
    <row r="431" spans="1:13" ht="15.75">
      <c r="A431" s="207"/>
      <c r="B431" s="206" t="s">
        <v>464</v>
      </c>
      <c r="F431" s="158">
        <f t="shared" si="23"/>
        <v>-67</v>
      </c>
      <c r="G431" s="158">
        <v>0</v>
      </c>
      <c r="H431" s="158">
        <v>-67238</v>
      </c>
      <c r="M431" s="291"/>
    </row>
    <row r="432" spans="1:13" ht="15.75">
      <c r="A432" s="207"/>
      <c r="B432" s="206" t="s">
        <v>465</v>
      </c>
      <c r="F432" s="158">
        <f t="shared" si="23"/>
        <v>-312064</v>
      </c>
      <c r="G432" s="158">
        <v>0</v>
      </c>
      <c r="H432" s="158">
        <v>-312064301</v>
      </c>
      <c r="M432" s="291"/>
    </row>
    <row r="433" spans="1:13" ht="15.75">
      <c r="A433" s="207"/>
      <c r="B433" s="206" t="s">
        <v>466</v>
      </c>
      <c r="F433" s="158">
        <f t="shared" ref="F433:F434" si="24">ROUND(H433/1000,0)</f>
        <v>-32392</v>
      </c>
      <c r="G433" s="158">
        <v>0</v>
      </c>
      <c r="H433" s="158">
        <v>-32392361</v>
      </c>
      <c r="M433" s="291"/>
    </row>
    <row r="434" spans="1:13" ht="15.75">
      <c r="A434" s="207"/>
      <c r="B434" s="206" t="s">
        <v>572</v>
      </c>
      <c r="F434" s="158">
        <f t="shared" si="24"/>
        <v>-753</v>
      </c>
      <c r="G434" s="158">
        <v>0</v>
      </c>
      <c r="H434" s="158">
        <v>-753365</v>
      </c>
      <c r="M434" s="291"/>
    </row>
    <row r="435" spans="1:13" ht="15.75">
      <c r="A435" s="207"/>
      <c r="B435" s="206" t="s">
        <v>467</v>
      </c>
      <c r="F435" s="158">
        <f>ROUND(H435/1000,0)</f>
        <v>0</v>
      </c>
      <c r="G435" s="158">
        <v>0</v>
      </c>
      <c r="H435" s="158">
        <v>0</v>
      </c>
      <c r="M435" s="291"/>
    </row>
    <row r="436" spans="1:13" ht="15.75">
      <c r="A436" s="207"/>
      <c r="B436" s="206" t="s">
        <v>468</v>
      </c>
      <c r="F436" s="158">
        <f>ROUND(H436/1000,0)</f>
        <v>0</v>
      </c>
      <c r="G436" s="158">
        <v>0</v>
      </c>
      <c r="H436" s="158">
        <v>0</v>
      </c>
      <c r="M436" s="291"/>
    </row>
    <row r="437" spans="1:13" ht="15.75">
      <c r="A437" s="207"/>
      <c r="B437" s="206" t="s">
        <v>469</v>
      </c>
      <c r="F437" s="158">
        <f>ROUND(H437/1000,0)</f>
        <v>-7636</v>
      </c>
      <c r="G437" s="158">
        <v>0</v>
      </c>
      <c r="H437" s="158">
        <v>-7635537</v>
      </c>
      <c r="M437" s="291"/>
    </row>
    <row r="438" spans="1:13" ht="15.75">
      <c r="A438" s="207"/>
      <c r="B438" s="206" t="s">
        <v>573</v>
      </c>
      <c r="F438" s="158">
        <f>ROUND(H438/1000,0)</f>
        <v>254</v>
      </c>
      <c r="G438" s="158">
        <v>0</v>
      </c>
      <c r="H438" s="158">
        <v>254221</v>
      </c>
      <c r="M438" s="291"/>
    </row>
    <row r="439" spans="1:13" ht="15.75">
      <c r="A439" s="207"/>
      <c r="B439" s="206" t="s">
        <v>470</v>
      </c>
      <c r="F439" s="158">
        <f t="shared" ref="F439:F478" si="25">ROUND(H439/1000,0)</f>
        <v>-2047</v>
      </c>
      <c r="G439" s="158">
        <v>0</v>
      </c>
      <c r="H439" s="158">
        <v>-2046972</v>
      </c>
      <c r="M439" s="282"/>
    </row>
    <row r="440" spans="1:13" ht="15.75">
      <c r="A440" s="203"/>
      <c r="B440" s="191" t="s">
        <v>471</v>
      </c>
      <c r="F440" s="158">
        <f t="shared" si="25"/>
        <v>-354706</v>
      </c>
      <c r="G440" s="158">
        <v>0</v>
      </c>
      <c r="H440" s="158">
        <v>-354705553</v>
      </c>
      <c r="M440" s="282"/>
    </row>
    <row r="441" spans="1:13" ht="15.75">
      <c r="A441" s="198"/>
      <c r="B441" s="191"/>
      <c r="F441" s="158">
        <f t="shared" si="25"/>
        <v>0</v>
      </c>
      <c r="G441" s="158">
        <v>0</v>
      </c>
      <c r="M441" s="282"/>
    </row>
    <row r="442" spans="1:13" ht="12.75">
      <c r="A442" s="198"/>
      <c r="B442" s="191" t="s">
        <v>472</v>
      </c>
      <c r="F442" s="158">
        <f t="shared" si="25"/>
        <v>1374880</v>
      </c>
      <c r="G442" s="158">
        <v>0</v>
      </c>
      <c r="H442" s="158">
        <v>1374879574</v>
      </c>
    </row>
    <row r="443" spans="1:13" ht="15.75">
      <c r="F443" s="158">
        <f t="shared" si="25"/>
        <v>0</v>
      </c>
      <c r="G443" s="158">
        <v>0</v>
      </c>
      <c r="M443" s="282"/>
    </row>
    <row r="444" spans="1:13" ht="15.75">
      <c r="A444" s="190"/>
      <c r="B444" s="191" t="s">
        <v>473</v>
      </c>
      <c r="C444" s="190"/>
      <c r="F444" s="158">
        <f t="shared" si="25"/>
        <v>0</v>
      </c>
      <c r="G444" s="158">
        <v>0</v>
      </c>
      <c r="M444" s="282"/>
    </row>
    <row r="445" spans="1:13" ht="15.75">
      <c r="A445" s="208"/>
      <c r="B445" s="191" t="s">
        <v>474</v>
      </c>
      <c r="C445" s="191"/>
      <c r="F445" s="158">
        <f t="shared" si="25"/>
        <v>0</v>
      </c>
      <c r="G445" s="158">
        <v>0</v>
      </c>
      <c r="H445" s="158">
        <v>0</v>
      </c>
      <c r="M445" s="282"/>
    </row>
    <row r="446" spans="1:13" ht="15.75">
      <c r="A446" s="208"/>
      <c r="B446" s="191" t="s">
        <v>475</v>
      </c>
      <c r="C446" s="191"/>
      <c r="F446" s="158">
        <f t="shared" si="25"/>
        <v>0</v>
      </c>
      <c r="G446" s="158">
        <v>0</v>
      </c>
      <c r="H446" s="158">
        <v>0</v>
      </c>
      <c r="M446" s="293"/>
    </row>
    <row r="447" spans="1:13" ht="15.75">
      <c r="A447" s="208"/>
      <c r="B447" s="198" t="s">
        <v>476</v>
      </c>
      <c r="C447" s="191"/>
      <c r="F447" s="158">
        <f t="shared" si="25"/>
        <v>-504</v>
      </c>
      <c r="G447" s="158">
        <v>0</v>
      </c>
      <c r="H447" s="158">
        <v>-504357</v>
      </c>
      <c r="M447" s="293"/>
    </row>
    <row r="448" spans="1:13" ht="15.75">
      <c r="A448" s="208"/>
      <c r="B448" s="198" t="s">
        <v>477</v>
      </c>
      <c r="C448" s="191"/>
      <c r="F448" s="158">
        <f t="shared" si="25"/>
        <v>1111</v>
      </c>
      <c r="G448" s="158">
        <v>0</v>
      </c>
      <c r="H448" s="158">
        <v>1110999</v>
      </c>
      <c r="M448" s="293"/>
    </row>
    <row r="449" spans="1:13" ht="15.75">
      <c r="A449" s="208"/>
      <c r="B449" s="198" t="s">
        <v>478</v>
      </c>
      <c r="C449" s="191"/>
      <c r="F449" s="158">
        <f t="shared" si="25"/>
        <v>-936</v>
      </c>
      <c r="G449" s="158">
        <v>0</v>
      </c>
      <c r="H449" s="158">
        <v>-936413</v>
      </c>
      <c r="M449" s="293"/>
    </row>
    <row r="450" spans="1:13" ht="15.75">
      <c r="A450" s="208"/>
      <c r="B450" s="198" t="s">
        <v>574</v>
      </c>
      <c r="C450" s="191"/>
      <c r="F450" s="158">
        <f t="shared" si="25"/>
        <v>-5248</v>
      </c>
      <c r="G450" s="158">
        <v>0</v>
      </c>
      <c r="H450" s="158">
        <v>-5247725</v>
      </c>
      <c r="M450" s="293"/>
    </row>
    <row r="451" spans="1:13" ht="15.75">
      <c r="A451" s="208"/>
      <c r="B451" s="198" t="s">
        <v>479</v>
      </c>
      <c r="C451" s="191"/>
      <c r="F451" s="158">
        <f t="shared" si="25"/>
        <v>4910</v>
      </c>
      <c r="G451" s="158">
        <v>0</v>
      </c>
      <c r="H451" s="158">
        <v>4910046</v>
      </c>
      <c r="M451" s="282"/>
    </row>
    <row r="452" spans="1:13" ht="15.75">
      <c r="A452" s="208"/>
      <c r="B452" s="191" t="s">
        <v>480</v>
      </c>
      <c r="C452" s="191"/>
      <c r="F452" s="158">
        <f t="shared" si="25"/>
        <v>135</v>
      </c>
      <c r="G452" s="158">
        <v>0</v>
      </c>
      <c r="H452" s="158">
        <v>135401</v>
      </c>
      <c r="M452" s="293"/>
    </row>
    <row r="453" spans="1:13" ht="15.75">
      <c r="A453" s="208"/>
      <c r="B453" s="198" t="s">
        <v>481</v>
      </c>
      <c r="C453" s="191"/>
      <c r="F453" s="158">
        <f t="shared" si="25"/>
        <v>0</v>
      </c>
      <c r="G453" s="158">
        <v>0</v>
      </c>
      <c r="H453" s="158">
        <v>0</v>
      </c>
      <c r="M453" s="293"/>
    </row>
    <row r="454" spans="1:13" ht="15.75">
      <c r="A454" s="208"/>
      <c r="B454" s="198" t="s">
        <v>482</v>
      </c>
      <c r="C454" s="191"/>
      <c r="F454" s="158">
        <f t="shared" si="25"/>
        <v>0</v>
      </c>
      <c r="G454" s="158">
        <v>0</v>
      </c>
      <c r="H454" s="158">
        <v>0</v>
      </c>
      <c r="M454" s="282"/>
    </row>
    <row r="455" spans="1:13" ht="15.75">
      <c r="A455" s="208"/>
      <c r="B455" s="191" t="s">
        <v>483</v>
      </c>
      <c r="C455" s="191"/>
      <c r="F455" s="158">
        <f t="shared" si="25"/>
        <v>0</v>
      </c>
      <c r="G455" s="158">
        <v>0</v>
      </c>
      <c r="H455" s="158">
        <v>0</v>
      </c>
      <c r="M455" s="293"/>
    </row>
    <row r="456" spans="1:13" ht="15.75">
      <c r="A456" s="208"/>
      <c r="B456" s="198" t="s">
        <v>484</v>
      </c>
      <c r="C456" s="191"/>
      <c r="F456" s="158">
        <f t="shared" si="25"/>
        <v>7758</v>
      </c>
      <c r="G456" s="158">
        <v>0</v>
      </c>
      <c r="H456" s="158">
        <v>7758038</v>
      </c>
      <c r="M456" s="285"/>
    </row>
    <row r="457" spans="1:13" ht="15.75">
      <c r="A457" s="209"/>
      <c r="B457" s="194" t="s">
        <v>485</v>
      </c>
      <c r="C457" s="194"/>
      <c r="F457" s="158">
        <f t="shared" si="25"/>
        <v>-1394</v>
      </c>
      <c r="G457" s="158">
        <v>0</v>
      </c>
      <c r="H457" s="158">
        <v>-1394283</v>
      </c>
      <c r="M457" s="285"/>
    </row>
    <row r="458" spans="1:13" ht="15.75">
      <c r="A458" s="209"/>
      <c r="B458" s="194" t="s">
        <v>486</v>
      </c>
      <c r="C458" s="194"/>
      <c r="F458" s="158">
        <f t="shared" si="25"/>
        <v>672</v>
      </c>
      <c r="G458" s="158">
        <v>0</v>
      </c>
      <c r="H458" s="158">
        <v>671855</v>
      </c>
      <c r="M458" s="285"/>
    </row>
    <row r="459" spans="1:13" ht="15.75">
      <c r="A459" s="209"/>
      <c r="B459" s="194" t="s">
        <v>487</v>
      </c>
      <c r="C459" s="194"/>
      <c r="F459" s="158">
        <f t="shared" si="25"/>
        <v>0</v>
      </c>
      <c r="G459" s="158">
        <v>0</v>
      </c>
      <c r="H459" s="158">
        <v>0</v>
      </c>
      <c r="M459" s="291"/>
    </row>
    <row r="460" spans="1:13" ht="15.75">
      <c r="A460" s="210"/>
      <c r="B460" s="206" t="s">
        <v>488</v>
      </c>
      <c r="C460" s="206"/>
      <c r="F460" s="158">
        <f t="shared" si="25"/>
        <v>-235</v>
      </c>
      <c r="G460" s="158">
        <v>0</v>
      </c>
      <c r="H460" s="158">
        <v>-235150</v>
      </c>
      <c r="M460" s="285"/>
    </row>
    <row r="461" spans="1:13" ht="15.75">
      <c r="A461" s="209"/>
      <c r="B461" s="194" t="s">
        <v>575</v>
      </c>
      <c r="C461" s="194"/>
      <c r="F461" s="158">
        <f t="shared" si="25"/>
        <v>49</v>
      </c>
      <c r="G461" s="158">
        <v>0</v>
      </c>
      <c r="H461" s="158">
        <v>48871</v>
      </c>
      <c r="M461" s="291"/>
    </row>
    <row r="462" spans="1:13" ht="15.75">
      <c r="A462" s="210"/>
      <c r="B462" s="206" t="s">
        <v>489</v>
      </c>
      <c r="C462" s="206"/>
      <c r="F462" s="158">
        <f t="shared" si="25"/>
        <v>0</v>
      </c>
      <c r="G462" s="158">
        <v>0</v>
      </c>
      <c r="H462" s="158">
        <v>0</v>
      </c>
      <c r="M462" s="285"/>
    </row>
    <row r="463" spans="1:13" ht="15.75">
      <c r="A463" s="209"/>
      <c r="B463" s="194" t="s">
        <v>490</v>
      </c>
      <c r="C463" s="194"/>
      <c r="F463" s="158">
        <f t="shared" si="25"/>
        <v>322</v>
      </c>
      <c r="G463" s="158">
        <v>0</v>
      </c>
      <c r="H463" s="158">
        <v>322149</v>
      </c>
      <c r="M463" s="285"/>
    </row>
    <row r="464" spans="1:13" ht="15.75">
      <c r="A464" s="209"/>
      <c r="B464" s="194" t="s">
        <v>491</v>
      </c>
      <c r="C464" s="194"/>
      <c r="F464" s="158">
        <f t="shared" si="25"/>
        <v>-113</v>
      </c>
      <c r="G464" s="158">
        <v>0</v>
      </c>
      <c r="H464" s="158">
        <v>-112733</v>
      </c>
      <c r="M464" s="285"/>
    </row>
    <row r="465" spans="1:13" ht="15.75">
      <c r="A465" s="209"/>
      <c r="B465" s="194" t="s">
        <v>492</v>
      </c>
      <c r="C465" s="194"/>
      <c r="F465" s="158">
        <f t="shared" ref="F465:F471" si="26">ROUND(H465/1000,0)</f>
        <v>205</v>
      </c>
      <c r="G465" s="158">
        <v>0</v>
      </c>
      <c r="H465" s="158">
        <v>204562</v>
      </c>
      <c r="M465" s="285"/>
    </row>
    <row r="466" spans="1:13" ht="15.75">
      <c r="A466" s="209"/>
      <c r="B466" s="194" t="s">
        <v>493</v>
      </c>
      <c r="C466" s="194"/>
      <c r="F466" s="158">
        <f t="shared" si="26"/>
        <v>-72</v>
      </c>
      <c r="G466" s="158">
        <v>0</v>
      </c>
      <c r="H466" s="158">
        <v>-71621</v>
      </c>
      <c r="M466" s="294"/>
    </row>
    <row r="467" spans="1:13" ht="15.75">
      <c r="A467" s="209"/>
      <c r="B467" s="211" t="s">
        <v>494</v>
      </c>
      <c r="C467" s="194"/>
      <c r="F467" s="158">
        <f t="shared" si="26"/>
        <v>338</v>
      </c>
      <c r="G467" s="158">
        <v>0</v>
      </c>
      <c r="H467" s="158">
        <v>338292</v>
      </c>
      <c r="M467" s="285"/>
    </row>
    <row r="468" spans="1:13" ht="15.75">
      <c r="A468" s="209"/>
      <c r="B468" s="194" t="s">
        <v>495</v>
      </c>
      <c r="C468" s="194"/>
      <c r="F468" s="158">
        <f t="shared" si="26"/>
        <v>-119</v>
      </c>
      <c r="G468" s="158">
        <v>0</v>
      </c>
      <c r="H468" s="158">
        <v>-118743</v>
      </c>
      <c r="M468" s="293"/>
    </row>
    <row r="469" spans="1:13" ht="15.75">
      <c r="A469" s="209"/>
      <c r="B469" s="198" t="s">
        <v>496</v>
      </c>
      <c r="C469" s="194"/>
      <c r="F469" s="158">
        <f t="shared" si="26"/>
        <v>0</v>
      </c>
      <c r="G469" s="158">
        <v>0</v>
      </c>
      <c r="H469" s="158">
        <v>0</v>
      </c>
      <c r="M469" s="285"/>
    </row>
    <row r="470" spans="1:13" ht="15.75">
      <c r="A470" s="209"/>
      <c r="B470" s="194" t="s">
        <v>497</v>
      </c>
      <c r="C470" s="194"/>
      <c r="F470" s="158">
        <f t="shared" si="26"/>
        <v>0</v>
      </c>
      <c r="G470" s="158">
        <v>0</v>
      </c>
      <c r="H470" s="158">
        <v>0</v>
      </c>
      <c r="M470" s="293"/>
    </row>
    <row r="471" spans="1:13" ht="15.75">
      <c r="A471" s="209"/>
      <c r="B471" s="198" t="s">
        <v>498</v>
      </c>
      <c r="C471" s="194"/>
      <c r="F471" s="158">
        <f t="shared" si="26"/>
        <v>0</v>
      </c>
      <c r="G471" s="158">
        <v>0</v>
      </c>
      <c r="H471" s="158">
        <v>0</v>
      </c>
      <c r="M471" s="293"/>
    </row>
    <row r="472" spans="1:13" ht="15.75">
      <c r="A472" s="209"/>
      <c r="B472" s="198" t="s">
        <v>499</v>
      </c>
      <c r="C472" s="194"/>
      <c r="F472" s="158">
        <f t="shared" si="25"/>
        <v>-592</v>
      </c>
      <c r="G472" s="158">
        <v>0</v>
      </c>
      <c r="H472" s="158">
        <v>-592425</v>
      </c>
      <c r="M472" s="293"/>
    </row>
    <row r="473" spans="1:13" ht="15.75">
      <c r="A473" s="209"/>
      <c r="B473" s="198" t="s">
        <v>500</v>
      </c>
      <c r="C473" s="194"/>
      <c r="F473" s="158">
        <f t="shared" si="25"/>
        <v>-1720</v>
      </c>
      <c r="G473" s="158">
        <v>0</v>
      </c>
      <c r="H473" s="158">
        <v>-1720323</v>
      </c>
      <c r="M473" s="293"/>
    </row>
    <row r="474" spans="1:13" ht="15.75">
      <c r="A474" s="209"/>
      <c r="B474" s="198" t="s">
        <v>501</v>
      </c>
      <c r="C474" s="194"/>
      <c r="F474" s="158">
        <f t="shared" si="25"/>
        <v>65480</v>
      </c>
      <c r="G474" s="158">
        <v>0</v>
      </c>
      <c r="H474" s="158">
        <v>65480278</v>
      </c>
      <c r="M474" s="293"/>
    </row>
    <row r="475" spans="1:13" ht="15.75">
      <c r="A475" s="209"/>
      <c r="B475" s="198" t="s">
        <v>502</v>
      </c>
      <c r="C475" s="194"/>
      <c r="F475" s="158">
        <f t="shared" si="25"/>
        <v>0</v>
      </c>
      <c r="G475" s="158">
        <v>0</v>
      </c>
      <c r="H475" s="158">
        <v>0</v>
      </c>
      <c r="M475" s="282"/>
    </row>
    <row r="476" spans="1:13" ht="15.75">
      <c r="A476" s="208"/>
      <c r="B476" s="191" t="s">
        <v>503</v>
      </c>
      <c r="C476" s="191"/>
      <c r="F476" s="158">
        <f t="shared" si="25"/>
        <v>70047</v>
      </c>
      <c r="G476" s="158">
        <v>0</v>
      </c>
      <c r="H476" s="158">
        <v>70046718</v>
      </c>
      <c r="M476" s="282"/>
    </row>
    <row r="477" spans="1:13" ht="15.75">
      <c r="A477" s="208"/>
      <c r="B477" s="191"/>
      <c r="C477" s="191"/>
      <c r="F477" s="158">
        <f t="shared" si="25"/>
        <v>0</v>
      </c>
      <c r="G477" s="158">
        <v>0</v>
      </c>
      <c r="M477" s="282"/>
    </row>
    <row r="478" spans="1:13" ht="12.75">
      <c r="A478" s="208"/>
      <c r="B478" s="191" t="s">
        <v>504</v>
      </c>
      <c r="C478" s="191"/>
      <c r="F478" s="158">
        <f t="shared" si="25"/>
        <v>1444926</v>
      </c>
      <c r="G478" s="158">
        <v>0</v>
      </c>
      <c r="H478" s="158">
        <v>1444926292</v>
      </c>
    </row>
    <row r="479" spans="1:13">
      <c r="G479" s="158">
        <v>0</v>
      </c>
    </row>
  </sheetData>
  <printOptions horizontalCentered="1"/>
  <pageMargins left="1" right="1" top="0.5" bottom="0.5" header="0.5" footer="0.5"/>
  <pageSetup scale="90" orientation="portrait" horizontalDpi="300" verticalDpi="300" r:id="rId1"/>
  <headerFooter alignWithMargins="0"/>
  <rowBreaks count="1" manualBreakCount="1">
    <brk id="57" max="6"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BI82"/>
  <sheetViews>
    <sheetView view="pageBreakPreview" zoomScaleNormal="85" zoomScaleSheetLayoutView="100" workbookViewId="0">
      <selection activeCell="N39" sqref="N39"/>
    </sheetView>
  </sheetViews>
  <sheetFormatPr defaultColWidth="9.140625" defaultRowHeight="12.75"/>
  <cols>
    <col min="1" max="1" width="11.5703125" style="1" customWidth="1"/>
    <col min="2" max="2" width="9.140625" style="1"/>
    <col min="3" max="3" width="42" style="1" customWidth="1"/>
    <col min="4" max="4" width="5.85546875" style="1" customWidth="1"/>
    <col min="5" max="5" width="20.140625" style="51" customWidth="1"/>
    <col min="6" max="6" width="19.85546875" style="1" bestFit="1" customWidth="1"/>
    <col min="7" max="9" width="9.140625" style="1"/>
    <col min="10" max="11" width="14.7109375" style="1" customWidth="1"/>
    <col min="12" max="16" width="9.140625" style="1"/>
    <col min="17" max="17" width="9.140625" style="12"/>
    <col min="18" max="36" width="9.140625" style="1"/>
    <col min="37" max="37" width="14.7109375" style="1" customWidth="1"/>
    <col min="38" max="38" width="17" style="1" customWidth="1"/>
    <col min="39" max="39" width="18" style="1" customWidth="1"/>
    <col min="40" max="40" width="17" style="1" customWidth="1"/>
    <col min="41" max="41" width="15.85546875" style="1" customWidth="1"/>
    <col min="42" max="51" width="9.140625" style="1"/>
    <col min="52" max="52" width="11.42578125" style="1" customWidth="1"/>
    <col min="53" max="16384" width="9.140625" style="1"/>
  </cols>
  <sheetData>
    <row r="1" spans="1:52" ht="13.5">
      <c r="A1" s="55" t="s">
        <v>90</v>
      </c>
      <c r="B1" s="55"/>
      <c r="C1" s="55"/>
      <c r="D1" s="55"/>
      <c r="E1" s="67"/>
      <c r="G1" s="56"/>
    </row>
    <row r="2" spans="1:52" ht="13.5" customHeight="1">
      <c r="A2" s="889" t="s">
        <v>146</v>
      </c>
      <c r="B2" s="889"/>
      <c r="C2" s="889"/>
      <c r="D2" s="889"/>
      <c r="E2" s="889"/>
      <c r="G2" s="56"/>
    </row>
    <row r="3" spans="1:52">
      <c r="A3" s="885" t="s">
        <v>199</v>
      </c>
      <c r="B3" s="885"/>
      <c r="C3" s="885"/>
      <c r="D3" s="885"/>
      <c r="E3" s="885"/>
      <c r="F3" s="279"/>
      <c r="G3" s="279"/>
      <c r="X3" s="3"/>
      <c r="Y3" s="3"/>
      <c r="Z3" s="3"/>
      <c r="AA3" s="3"/>
      <c r="AB3" s="3"/>
      <c r="AC3" s="3"/>
      <c r="AD3" s="3"/>
      <c r="AE3" s="3"/>
      <c r="AF3" s="3"/>
      <c r="AG3" s="3"/>
      <c r="AH3" s="3"/>
      <c r="AI3" s="3"/>
      <c r="AJ3" s="3"/>
      <c r="AK3" s="3"/>
      <c r="AL3" s="3"/>
      <c r="AM3" s="3"/>
      <c r="AN3" s="3"/>
      <c r="AO3" s="3"/>
      <c r="AP3" s="3"/>
      <c r="AQ3" s="430"/>
      <c r="AR3" s="3"/>
      <c r="AS3" s="3"/>
      <c r="AT3" s="3"/>
    </row>
    <row r="4" spans="1:52" ht="13.5">
      <c r="A4" s="55" t="str">
        <f>'ADJ DETAIL-INPUT-Restate'!A5</f>
        <v>TWELVE MONTHS ENDED DECEMBER 31, 2016</v>
      </c>
      <c r="B4" s="55"/>
      <c r="C4" s="55"/>
      <c r="D4" s="55"/>
      <c r="E4" s="67"/>
      <c r="G4" s="56"/>
      <c r="J4" s="401">
        <v>2017</v>
      </c>
      <c r="K4" s="401" t="s">
        <v>607</v>
      </c>
      <c r="X4" s="3"/>
      <c r="Y4" s="3"/>
      <c r="Z4" s="3"/>
      <c r="AA4" s="3"/>
      <c r="AB4" s="3"/>
      <c r="AC4" s="3"/>
      <c r="AD4" s="3"/>
      <c r="AE4" s="3"/>
      <c r="AF4" s="3"/>
      <c r="AG4" s="3"/>
      <c r="AH4" s="3"/>
      <c r="AI4" s="3"/>
      <c r="AJ4" s="3"/>
      <c r="AK4" s="3"/>
      <c r="AL4" s="3"/>
      <c r="AM4" s="3"/>
      <c r="AN4" s="3"/>
      <c r="AO4" s="3"/>
      <c r="AP4" s="3"/>
      <c r="AQ4" s="3"/>
      <c r="AR4" s="3"/>
      <c r="AS4" s="3"/>
      <c r="AT4" s="3"/>
    </row>
    <row r="5" spans="1:52">
      <c r="G5" s="56"/>
      <c r="J5" s="64" t="s">
        <v>147</v>
      </c>
      <c r="K5" s="64" t="s">
        <v>147</v>
      </c>
      <c r="V5" s="281"/>
      <c r="X5" s="3"/>
      <c r="Y5" s="3"/>
      <c r="Z5" s="3"/>
      <c r="AA5" s="3"/>
      <c r="AB5" s="3"/>
      <c r="AC5" s="3"/>
      <c r="AD5" s="3"/>
      <c r="AE5" s="3"/>
      <c r="AF5" s="3"/>
      <c r="AG5" s="3"/>
      <c r="AH5" s="3"/>
      <c r="AI5" s="3"/>
      <c r="AJ5" s="3"/>
      <c r="AK5" s="3"/>
      <c r="AL5" s="3"/>
      <c r="AM5" s="3"/>
      <c r="AN5" s="3"/>
      <c r="AO5" s="3"/>
      <c r="AP5" s="3"/>
      <c r="AQ5" s="3"/>
      <c r="AR5" s="3"/>
      <c r="AS5" s="3"/>
      <c r="AT5" s="430"/>
    </row>
    <row r="6" spans="1:52" s="2" customFormat="1" ht="13.5">
      <c r="A6" s="2" t="s">
        <v>94</v>
      </c>
      <c r="E6" s="68"/>
      <c r="G6" s="57"/>
      <c r="J6" s="65" t="s">
        <v>136</v>
      </c>
      <c r="K6" s="65" t="s">
        <v>136</v>
      </c>
      <c r="Q6" s="83"/>
      <c r="X6" s="429"/>
      <c r="Y6" s="429"/>
      <c r="Z6" s="429"/>
      <c r="AA6" s="429"/>
      <c r="AB6" s="429"/>
      <c r="AC6" s="429"/>
      <c r="AD6" s="429"/>
      <c r="AE6" s="429"/>
      <c r="AF6" s="429"/>
      <c r="AG6" s="429"/>
      <c r="AH6" s="429"/>
      <c r="AI6" s="429"/>
      <c r="AJ6" s="429"/>
      <c r="AK6" s="429"/>
      <c r="AL6" s="429"/>
      <c r="AM6" s="429"/>
      <c r="AN6" s="429"/>
      <c r="AO6" s="429"/>
      <c r="AP6" s="429"/>
      <c r="AQ6" s="429"/>
      <c r="AR6" s="429"/>
      <c r="AS6" s="429"/>
      <c r="AT6" s="429"/>
      <c r="AZ6" s="281" t="s">
        <v>578</v>
      </c>
    </row>
    <row r="7" spans="1:52" s="2" customFormat="1" ht="13.5">
      <c r="A7" s="58" t="s">
        <v>19</v>
      </c>
      <c r="C7" s="58" t="s">
        <v>56</v>
      </c>
      <c r="D7" s="4"/>
      <c r="E7" s="69" t="s">
        <v>138</v>
      </c>
      <c r="G7" s="57"/>
      <c r="K7" s="398"/>
      <c r="Q7" s="83"/>
      <c r="X7" s="429"/>
      <c r="Y7" s="429"/>
      <c r="Z7" s="429"/>
      <c r="AA7" s="429"/>
      <c r="AB7" s="429"/>
      <c r="AC7" s="429"/>
      <c r="AD7" s="429"/>
      <c r="AE7" s="429"/>
      <c r="AF7" s="429"/>
      <c r="AG7" s="429"/>
      <c r="AH7" s="429"/>
      <c r="AI7" s="429"/>
      <c r="AJ7" s="429"/>
      <c r="AK7" s="429"/>
      <c r="AL7" s="429"/>
      <c r="AM7" s="429"/>
      <c r="AN7" s="429"/>
      <c r="AO7" s="429"/>
      <c r="AP7" s="429"/>
      <c r="AQ7" s="429"/>
      <c r="AR7" s="429"/>
      <c r="AS7" s="429"/>
      <c r="AT7" s="429"/>
    </row>
    <row r="8" spans="1:52">
      <c r="G8" s="56"/>
      <c r="X8" s="3"/>
      <c r="Y8" s="3"/>
      <c r="Z8" s="3"/>
      <c r="AA8" s="3"/>
      <c r="AB8" s="3"/>
      <c r="AC8" s="3"/>
      <c r="AD8" s="3"/>
      <c r="AE8" s="3"/>
      <c r="AF8" s="3"/>
      <c r="AG8" s="3"/>
      <c r="AH8" s="3"/>
      <c r="AI8" s="3"/>
      <c r="AJ8" s="3"/>
      <c r="AK8" s="3"/>
      <c r="AL8" s="3"/>
      <c r="AM8" s="3"/>
      <c r="AN8" s="3"/>
      <c r="AO8" s="3"/>
      <c r="AP8" s="3"/>
      <c r="AQ8" s="3"/>
      <c r="AR8" s="3"/>
      <c r="AS8" s="3"/>
      <c r="AT8" s="3"/>
    </row>
    <row r="9" spans="1:52">
      <c r="A9" s="5">
        <v>1</v>
      </c>
      <c r="C9" s="59" t="s">
        <v>29</v>
      </c>
      <c r="E9" s="70">
        <v>1</v>
      </c>
      <c r="J9" s="60" t="e">
        <f>#REF!</f>
        <v>#REF!</v>
      </c>
      <c r="K9" s="60" t="e">
        <f>#REF!</f>
        <v>#REF!</v>
      </c>
    </row>
    <row r="10" spans="1:52">
      <c r="A10" s="5"/>
      <c r="E10" s="70"/>
      <c r="J10" s="56"/>
      <c r="K10" s="56"/>
    </row>
    <row r="11" spans="1:52">
      <c r="A11" s="5"/>
      <c r="C11" s="52" t="s">
        <v>139</v>
      </c>
      <c r="D11" s="53"/>
      <c r="E11" s="70"/>
      <c r="J11" s="56"/>
      <c r="K11" s="56"/>
    </row>
    <row r="12" spans="1:52">
      <c r="A12" s="5">
        <v>2</v>
      </c>
      <c r="C12" s="53" t="s">
        <v>140</v>
      </c>
      <c r="D12" s="53"/>
      <c r="E12" s="71">
        <v>6.5779999999999996E-3</v>
      </c>
      <c r="J12" s="56" t="e">
        <f>ROUND($J$9*E12,0)</f>
        <v>#REF!</v>
      </c>
      <c r="K12" s="56" t="e">
        <f>ROUND($K$9*E12,0)</f>
        <v>#REF!</v>
      </c>
    </row>
    <row r="13" spans="1:52">
      <c r="A13" s="5"/>
      <c r="C13" s="53"/>
      <c r="D13" s="53"/>
      <c r="E13" s="71"/>
      <c r="J13" s="56"/>
      <c r="K13" s="56"/>
    </row>
    <row r="14" spans="1:52">
      <c r="A14" s="5">
        <v>3</v>
      </c>
      <c r="C14" s="53" t="s">
        <v>141</v>
      </c>
      <c r="D14" s="53"/>
      <c r="E14" s="71">
        <v>2E-3</v>
      </c>
      <c r="J14" s="56" t="e">
        <f>ROUND($J$9*E14,0)</f>
        <v>#REF!</v>
      </c>
      <c r="K14" s="56" t="e">
        <f>ROUND($K$9*E14,0)</f>
        <v>#REF!</v>
      </c>
    </row>
    <row r="15" spans="1:52">
      <c r="A15" s="5"/>
      <c r="C15" s="53"/>
      <c r="D15" s="53"/>
      <c r="E15" s="71"/>
      <c r="J15" s="56"/>
      <c r="K15" s="56"/>
      <c r="AP15" s="125"/>
    </row>
    <row r="16" spans="1:52">
      <c r="A16" s="5">
        <v>4</v>
      </c>
      <c r="C16" s="53" t="s">
        <v>142</v>
      </c>
      <c r="D16" s="53"/>
      <c r="E16" s="71">
        <v>3.8478999999999999E-2</v>
      </c>
      <c r="J16" s="56" t="e">
        <f>ROUND($J$9*E16,0)</f>
        <v>#REF!</v>
      </c>
      <c r="K16" s="56" t="e">
        <f>ROUND($K$9*E16,0)</f>
        <v>#REF!</v>
      </c>
    </row>
    <row r="17" spans="1:61">
      <c r="A17" s="5"/>
      <c r="C17" s="53"/>
      <c r="D17" s="53"/>
      <c r="E17" s="273"/>
      <c r="J17" s="56"/>
      <c r="K17" s="56"/>
    </row>
    <row r="18" spans="1:61">
      <c r="A18" s="5">
        <v>6</v>
      </c>
      <c r="C18" s="53" t="s">
        <v>143</v>
      </c>
      <c r="D18" s="53"/>
      <c r="E18" s="72">
        <f>SUM(E12:E16)</f>
        <v>4.7057000000000002E-2</v>
      </c>
      <c r="J18" s="61" t="e">
        <f>SUM(J12:J16)</f>
        <v>#REF!</v>
      </c>
      <c r="K18" s="61" t="e">
        <f>SUM(K12:K16)</f>
        <v>#REF!</v>
      </c>
    </row>
    <row r="19" spans="1:61">
      <c r="C19" s="53"/>
      <c r="D19" s="53"/>
      <c r="E19" s="71"/>
      <c r="J19" s="56"/>
      <c r="K19" s="56"/>
      <c r="L19" s="138"/>
    </row>
    <row r="20" spans="1:61">
      <c r="A20" s="5">
        <v>7</v>
      </c>
      <c r="C20" s="53" t="s">
        <v>144</v>
      </c>
      <c r="D20" s="53"/>
      <c r="E20" s="71">
        <f>E9-E18</f>
        <v>0.95294299999999998</v>
      </c>
      <c r="J20" s="62" t="e">
        <f>J9-J18</f>
        <v>#REF!</v>
      </c>
      <c r="K20" s="62" t="e">
        <f>K9-K18</f>
        <v>#REF!</v>
      </c>
      <c r="AP20" s="125"/>
    </row>
    <row r="21" spans="1:61">
      <c r="C21" s="53"/>
      <c r="D21" s="53"/>
      <c r="E21" s="71"/>
      <c r="J21" s="62"/>
      <c r="K21" s="62"/>
      <c r="BC21" s="1">
        <v>109</v>
      </c>
      <c r="BI21" s="1">
        <v>-2</v>
      </c>
    </row>
    <row r="22" spans="1:61">
      <c r="A22" s="5">
        <v>8</v>
      </c>
      <c r="C22" s="53" t="s">
        <v>145</v>
      </c>
      <c r="D22" s="54"/>
      <c r="E22" s="73">
        <f>ROUND(E20*0.35,6)</f>
        <v>0.33352999999999999</v>
      </c>
      <c r="G22" s="56"/>
      <c r="J22" s="63" t="e">
        <f>ROUND(J20*0.35,0)</f>
        <v>#REF!</v>
      </c>
      <c r="K22" s="63" t="e">
        <f>ROUND(K20*0.35,0)</f>
        <v>#REF!</v>
      </c>
    </row>
    <row r="23" spans="1:61">
      <c r="C23" s="53"/>
      <c r="D23" s="53"/>
      <c r="E23" s="71"/>
      <c r="G23" s="56"/>
      <c r="L23" s="71"/>
    </row>
    <row r="24" spans="1:61" ht="13.5" thickBot="1">
      <c r="A24" s="5">
        <v>9</v>
      </c>
      <c r="C24" s="52" t="s">
        <v>146</v>
      </c>
      <c r="D24" s="53"/>
      <c r="E24" s="374">
        <f>ROUND(E20-E22,6)</f>
        <v>0.61941299999999999</v>
      </c>
      <c r="J24" s="84" t="e">
        <f>J20-J22</f>
        <v>#REF!</v>
      </c>
      <c r="K24" s="84" t="e">
        <f>K20-K22</f>
        <v>#REF!</v>
      </c>
    </row>
    <row r="25" spans="1:61" ht="13.5" thickTop="1">
      <c r="BG25" s="1">
        <v>622</v>
      </c>
    </row>
    <row r="26" spans="1:61">
      <c r="J26" s="87" t="e">
        <f>J24/E24</f>
        <v>#REF!</v>
      </c>
      <c r="K26" s="87" t="e">
        <f>K24/E24</f>
        <v>#REF!</v>
      </c>
    </row>
    <row r="27" spans="1:61" ht="12.75" customHeight="1">
      <c r="C27" s="890"/>
      <c r="D27" s="890"/>
      <c r="E27" s="890"/>
    </row>
    <row r="28" spans="1:61">
      <c r="C28" s="427"/>
      <c r="D28" s="427"/>
      <c r="E28" s="427"/>
    </row>
    <row r="29" spans="1:61">
      <c r="BI29" s="1">
        <v>-281</v>
      </c>
    </row>
    <row r="30" spans="1:61">
      <c r="A30" s="885"/>
      <c r="B30" s="885"/>
      <c r="C30" s="885"/>
      <c r="D30" s="885"/>
      <c r="E30" s="885"/>
    </row>
    <row r="31" spans="1:61" s="3" customFormat="1" ht="15.75" customHeight="1">
      <c r="A31" s="888"/>
      <c r="B31" s="888"/>
      <c r="C31" s="888"/>
      <c r="D31" s="888"/>
      <c r="E31" s="888"/>
      <c r="Q31" s="82"/>
      <c r="BG31" s="3">
        <v>393</v>
      </c>
    </row>
    <row r="32" spans="1:61" s="3" customFormat="1">
      <c r="A32" s="888"/>
      <c r="B32" s="888"/>
      <c r="C32" s="888"/>
      <c r="D32" s="888"/>
      <c r="E32" s="888"/>
      <c r="J32" s="4"/>
      <c r="K32" s="400"/>
      <c r="Q32" s="82"/>
    </row>
    <row r="33" spans="5:61" s="3" customFormat="1">
      <c r="E33" s="103"/>
      <c r="J33" s="4"/>
      <c r="K33" s="400"/>
      <c r="Q33" s="82"/>
    </row>
    <row r="34" spans="5:61" s="3" customFormat="1">
      <c r="E34" s="103"/>
      <c r="J34" s="4"/>
      <c r="K34" s="400"/>
      <c r="Q34" s="82"/>
    </row>
    <row r="35" spans="5:61" s="3" customFormat="1">
      <c r="E35" s="103"/>
      <c r="Q35" s="82"/>
    </row>
    <row r="36" spans="5:61" s="3" customFormat="1">
      <c r="E36" s="71"/>
      <c r="J36" s="104"/>
      <c r="K36" s="104"/>
      <c r="Q36" s="82"/>
    </row>
    <row r="37" spans="5:61" s="3" customFormat="1">
      <c r="E37" s="71"/>
      <c r="J37" s="62"/>
      <c r="K37" s="62"/>
      <c r="Q37" s="82"/>
    </row>
    <row r="38" spans="5:61" s="3" customFormat="1">
      <c r="E38" s="71"/>
      <c r="J38" s="62"/>
      <c r="K38" s="62"/>
      <c r="Q38" s="82"/>
    </row>
    <row r="39" spans="5:61" s="3" customFormat="1">
      <c r="E39" s="71"/>
      <c r="J39" s="62"/>
      <c r="K39" s="62"/>
      <c r="Q39" s="82"/>
      <c r="BI39" s="3">
        <v>-51</v>
      </c>
    </row>
    <row r="40" spans="5:61" s="3" customFormat="1">
      <c r="E40" s="71"/>
      <c r="J40" s="62"/>
      <c r="K40" s="62"/>
      <c r="Q40" s="82"/>
    </row>
    <row r="41" spans="5:61" s="3" customFormat="1">
      <c r="E41" s="71"/>
      <c r="F41" s="71"/>
      <c r="J41" s="62"/>
      <c r="K41" s="62"/>
      <c r="Q41" s="82"/>
    </row>
    <row r="42" spans="5:61" s="3" customFormat="1">
      <c r="J42" s="62"/>
      <c r="K42" s="62"/>
      <c r="Q42" s="82"/>
    </row>
    <row r="43" spans="5:61" s="3" customFormat="1">
      <c r="E43" s="71"/>
      <c r="J43" s="62"/>
      <c r="K43" s="62"/>
      <c r="Q43" s="82"/>
    </row>
    <row r="44" spans="5:61" s="3" customFormat="1">
      <c r="E44" s="71"/>
      <c r="J44" s="62"/>
      <c r="K44" s="62"/>
      <c r="Q44" s="82"/>
    </row>
    <row r="45" spans="5:61" s="3" customFormat="1">
      <c r="E45" s="71"/>
      <c r="J45" s="62"/>
      <c r="K45" s="62"/>
      <c r="Q45" s="82"/>
    </row>
    <row r="46" spans="5:61" s="3" customFormat="1">
      <c r="E46" s="105"/>
      <c r="J46" s="106"/>
      <c r="K46" s="106"/>
      <c r="Q46" s="82"/>
      <c r="AP46" s="126"/>
    </row>
    <row r="47" spans="5:61" s="3" customFormat="1">
      <c r="E47" s="71"/>
      <c r="J47" s="62"/>
      <c r="K47" s="62"/>
      <c r="Q47" s="82"/>
    </row>
    <row r="48" spans="5:61" s="3" customFormat="1">
      <c r="E48" s="71"/>
      <c r="G48" s="86"/>
      <c r="J48" s="62"/>
      <c r="K48" s="62"/>
      <c r="M48" s="86"/>
      <c r="N48" s="86"/>
      <c r="Q48" s="82"/>
      <c r="Y48" s="86"/>
    </row>
    <row r="49" spans="5:42" s="3" customFormat="1">
      <c r="E49" s="71"/>
      <c r="J49" s="62"/>
      <c r="K49" s="62"/>
      <c r="Q49" s="82"/>
    </row>
    <row r="50" spans="5:42" s="3" customFormat="1">
      <c r="E50" s="71"/>
      <c r="J50" s="62"/>
      <c r="K50" s="62"/>
      <c r="N50" s="86"/>
      <c r="Q50" s="82"/>
    </row>
    <row r="51" spans="5:42" s="3" customFormat="1">
      <c r="E51" s="71"/>
      <c r="Q51" s="82"/>
    </row>
    <row r="52" spans="5:42" s="3" customFormat="1">
      <c r="E52" s="105"/>
      <c r="J52" s="62"/>
      <c r="K52" s="62"/>
      <c r="Q52" s="82"/>
    </row>
    <row r="53" spans="5:42" s="3" customFormat="1">
      <c r="E53" s="103"/>
      <c r="Q53" s="82"/>
    </row>
    <row r="56" spans="5:42">
      <c r="AP56" s="124"/>
    </row>
    <row r="61" spans="5:42">
      <c r="AP61" s="124"/>
    </row>
    <row r="66" spans="42:42">
      <c r="AP66" s="124"/>
    </row>
    <row r="81" spans="5:5">
      <c r="E81" s="266"/>
    </row>
    <row r="82" spans="5:5">
      <c r="E82" s="266"/>
    </row>
  </sheetData>
  <mergeCells count="6">
    <mergeCell ref="A30:E30"/>
    <mergeCell ref="A31:E31"/>
    <mergeCell ref="A32:E32"/>
    <mergeCell ref="A2:E2"/>
    <mergeCell ref="A3:E3"/>
    <mergeCell ref="C27:E27"/>
  </mergeCells>
  <phoneticPr fontId="0" type="noConversion"/>
  <pageMargins left="0.75" right="0.51" top="0.75" bottom="0.5" header="0.5" footer="0.5"/>
  <pageSetup firstPageNumber="4" orientation="portrait" r:id="rId1"/>
  <headerFooter scaleWithDoc="0" alignWithMargins="0">
    <oddHeader>&amp;LK-Factor Study
(Electric)
&amp;RExh. EMA-4</oddHeader>
    <oddFooter>&amp;RPage &amp;P of 19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E4:K25"/>
  <sheetViews>
    <sheetView topLeftCell="A4" zoomScale="115" zoomScaleNormal="115" workbookViewId="0">
      <selection activeCell="F10" sqref="F10"/>
    </sheetView>
  </sheetViews>
  <sheetFormatPr defaultRowHeight="12.75"/>
  <cols>
    <col min="5" max="5" width="37" customWidth="1"/>
    <col min="6" max="6" width="13.28515625" customWidth="1"/>
    <col min="7" max="7" width="13.5703125" customWidth="1"/>
    <col min="8" max="8" width="12" customWidth="1"/>
    <col min="9" max="9" width="13.42578125" customWidth="1"/>
  </cols>
  <sheetData>
    <row r="4" spans="5:11" ht="13.5" thickBot="1">
      <c r="F4" s="740"/>
      <c r="G4" s="740"/>
      <c r="H4" s="740"/>
      <c r="I4" s="741"/>
      <c r="J4" s="741"/>
      <c r="K4" s="741"/>
    </row>
    <row r="5" spans="5:11" ht="14.25">
      <c r="E5" s="753" t="s">
        <v>845</v>
      </c>
      <c r="F5" s="754" t="s">
        <v>834</v>
      </c>
      <c r="G5" s="754" t="s">
        <v>835</v>
      </c>
      <c r="H5" s="755" t="s">
        <v>836</v>
      </c>
      <c r="I5" s="741"/>
      <c r="J5" s="741"/>
      <c r="K5" s="741"/>
    </row>
    <row r="6" spans="5:11" ht="45.75" customHeight="1">
      <c r="E6" s="742" t="s">
        <v>846</v>
      </c>
      <c r="F6" s="743" t="s">
        <v>840</v>
      </c>
      <c r="G6" s="743" t="s">
        <v>841</v>
      </c>
      <c r="H6" s="744" t="s">
        <v>844</v>
      </c>
    </row>
    <row r="7" spans="5:11" ht="19.5" customHeight="1">
      <c r="E7" s="746" t="s">
        <v>38</v>
      </c>
      <c r="F7" s="747">
        <f>'2007-2016 Data'!T167</f>
        <v>2.8369356623313181E-2</v>
      </c>
      <c r="G7" s="747">
        <f>'2007-2016 Data'!M199</f>
        <v>0.3573623040489835</v>
      </c>
      <c r="H7" s="748">
        <f>F7*G7</f>
        <v>1.0138138647294489E-2</v>
      </c>
    </row>
    <row r="8" spans="5:11" ht="19.5" customHeight="1">
      <c r="E8" s="746" t="s">
        <v>860</v>
      </c>
      <c r="F8" s="747">
        <f>'2007-2016 Data'!T171</f>
        <v>9.1261083983235194E-2</v>
      </c>
      <c r="G8" s="747">
        <f>'2007-2016 Data'!M198</f>
        <v>0.20051949770646785</v>
      </c>
      <c r="H8" s="748">
        <f>F8*G8</f>
        <v>1.8299626720466099E-2</v>
      </c>
    </row>
    <row r="9" spans="5:11" ht="19.5" customHeight="1">
      <c r="E9" s="746" t="s">
        <v>842</v>
      </c>
      <c r="F9" s="747">
        <f>'2007-2016 Data'!T173</f>
        <v>4.529165909887143E-2</v>
      </c>
      <c r="G9" s="747">
        <f>'2007-2016 Data'!M200</f>
        <v>9.81597699268488E-2</v>
      </c>
      <c r="H9" s="748">
        <f>F9*G9</f>
        <v>4.4458188367504873E-3</v>
      </c>
    </row>
    <row r="10" spans="5:11" ht="19.5" customHeight="1">
      <c r="E10" s="749" t="s">
        <v>642</v>
      </c>
      <c r="F10" s="747">
        <f>'2007-2016 Data'!T175</f>
        <v>4.805117077128554E-2</v>
      </c>
      <c r="G10" s="766">
        <f>'2007-2016 Data'!M201</f>
        <v>0.3439584283176999</v>
      </c>
      <c r="H10" s="748">
        <f>F10*G10</f>
        <v>1.6527605177316773E-2</v>
      </c>
    </row>
    <row r="11" spans="5:11" ht="17.25" customHeight="1">
      <c r="E11" s="749" t="s">
        <v>848</v>
      </c>
      <c r="F11" s="408"/>
      <c r="G11" s="765">
        <f>SUM(G7:G10)</f>
        <v>1</v>
      </c>
      <c r="H11" s="750">
        <f>'2007-2016 Data'!T202</f>
        <v>-1.0200000000000001E-2</v>
      </c>
    </row>
    <row r="12" spans="5:11" ht="19.5" customHeight="1" thickBot="1">
      <c r="E12" s="751" t="s">
        <v>849</v>
      </c>
      <c r="F12" s="752"/>
      <c r="G12" s="752"/>
      <c r="H12" s="756">
        <f>SUM(H7:H11)</f>
        <v>3.9211189381827848E-2</v>
      </c>
    </row>
    <row r="13" spans="5:11" ht="28.5" customHeight="1" thickBot="1">
      <c r="E13" s="891" t="s">
        <v>847</v>
      </c>
      <c r="F13" s="892"/>
      <c r="G13" s="892"/>
      <c r="H13" s="893"/>
    </row>
    <row r="14" spans="5:11" ht="28.5" customHeight="1" thickBot="1">
      <c r="E14" s="894" t="s">
        <v>861</v>
      </c>
      <c r="F14" s="892"/>
      <c r="G14" s="892"/>
      <c r="H14" s="893"/>
    </row>
    <row r="15" spans="5:11" ht="13.5" thickBot="1"/>
    <row r="16" spans="5:11" ht="14.25">
      <c r="E16" s="753" t="s">
        <v>850</v>
      </c>
      <c r="F16" s="754" t="s">
        <v>834</v>
      </c>
      <c r="G16" s="754" t="s">
        <v>835</v>
      </c>
      <c r="H16" s="754" t="s">
        <v>836</v>
      </c>
      <c r="I16" s="755" t="s">
        <v>837</v>
      </c>
    </row>
    <row r="17" spans="5:9" ht="47.25">
      <c r="E17" s="742" t="s">
        <v>846</v>
      </c>
      <c r="F17" s="743" t="s">
        <v>840</v>
      </c>
      <c r="G17" s="743" t="s">
        <v>858</v>
      </c>
      <c r="H17" s="743" t="s">
        <v>841</v>
      </c>
      <c r="I17" s="744" t="s">
        <v>844</v>
      </c>
    </row>
    <row r="18" spans="5:9" ht="15.75">
      <c r="E18" s="746" t="s">
        <v>851</v>
      </c>
      <c r="F18" s="747"/>
      <c r="G18" s="747">
        <f>'2007-2016 Data'!V167</f>
        <v>2.5532420960981864E-2</v>
      </c>
      <c r="H18" s="747">
        <f>G7</f>
        <v>0.3573623040489835</v>
      </c>
      <c r="I18" s="748">
        <f>H18*G18</f>
        <v>9.1243247825650402E-3</v>
      </c>
    </row>
    <row r="19" spans="5:9" ht="15.75">
      <c r="E19" s="746" t="s">
        <v>508</v>
      </c>
      <c r="F19" s="747">
        <f>'2007-2016 Data'!T171</f>
        <v>9.1261083983235194E-2</v>
      </c>
      <c r="G19" s="747"/>
      <c r="H19" s="747">
        <f>G8</f>
        <v>0.20051949770646785</v>
      </c>
      <c r="I19" s="748">
        <f>H19*F19</f>
        <v>1.8299626720466099E-2</v>
      </c>
    </row>
    <row r="20" spans="5:9" ht="15.75">
      <c r="E20" s="746" t="s">
        <v>842</v>
      </c>
      <c r="F20" s="747">
        <f>'2007-2016 Data'!T173</f>
        <v>4.529165909887143E-2</v>
      </c>
      <c r="G20" s="747"/>
      <c r="H20" s="747">
        <f>G9</f>
        <v>9.81597699268488E-2</v>
      </c>
      <c r="I20" s="748">
        <f>H20*F20</f>
        <v>4.4458188367504873E-3</v>
      </c>
    </row>
    <row r="21" spans="5:9" ht="15.75">
      <c r="E21" s="749" t="s">
        <v>642</v>
      </c>
      <c r="F21" s="747"/>
      <c r="G21" s="747">
        <f>'2007-2016 Data'!V175</f>
        <v>3.0408737162420218E-2</v>
      </c>
      <c r="H21" s="766">
        <f>G10</f>
        <v>0.3439584283176999</v>
      </c>
      <c r="I21" s="748">
        <f>H21*G21</f>
        <v>1.0459341441512091E-2</v>
      </c>
    </row>
    <row r="22" spans="5:9" ht="15.75">
      <c r="E22" s="749" t="s">
        <v>852</v>
      </c>
      <c r="F22" s="408"/>
      <c r="G22" s="745"/>
      <c r="H22" s="765">
        <f>SUM(H18:H21)</f>
        <v>1</v>
      </c>
      <c r="I22" s="750">
        <f>H11</f>
        <v>-1.0200000000000001E-2</v>
      </c>
    </row>
    <row r="23" spans="5:9" ht="16.5" thickBot="1">
      <c r="E23" s="751" t="s">
        <v>849</v>
      </c>
      <c r="F23" s="752"/>
      <c r="G23" s="752"/>
      <c r="H23" s="752"/>
      <c r="I23" s="756">
        <f>SUM(I18:I22)</f>
        <v>3.2129111781293712E-2</v>
      </c>
    </row>
    <row r="24" spans="5:9" ht="27" customHeight="1" thickBot="1">
      <c r="E24" s="829" t="s">
        <v>847</v>
      </c>
      <c r="F24" s="830"/>
      <c r="G24" s="830"/>
      <c r="H24" s="830"/>
      <c r="I24" s="831"/>
    </row>
    <row r="25" spans="5:9" ht="28.5" customHeight="1" thickBot="1">
      <c r="E25" s="829" t="s">
        <v>859</v>
      </c>
      <c r="F25" s="830"/>
      <c r="G25" s="830"/>
      <c r="H25" s="830"/>
      <c r="I25" s="831"/>
    </row>
  </sheetData>
  <mergeCells count="4">
    <mergeCell ref="E13:H13"/>
    <mergeCell ref="E24:I24"/>
    <mergeCell ref="E25:I25"/>
    <mergeCell ref="E14:H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AB205"/>
  <sheetViews>
    <sheetView tabSelected="1" zoomScale="115" zoomScaleNormal="115" workbookViewId="0">
      <selection activeCell="O34" sqref="O34"/>
    </sheetView>
  </sheetViews>
  <sheetFormatPr defaultRowHeight="12.75"/>
  <cols>
    <col min="1" max="1" width="0.7109375" customWidth="1"/>
    <col min="2" max="3" width="9.140625" hidden="1" customWidth="1"/>
    <col min="4" max="4" width="1.28515625" customWidth="1"/>
    <col min="5" max="5" width="67" customWidth="1"/>
    <col min="6" max="6" width="10.85546875" customWidth="1"/>
    <col min="7" max="8" width="12" customWidth="1"/>
    <col min="9" max="9" width="15.140625" customWidth="1"/>
  </cols>
  <sheetData>
    <row r="2" spans="5:11" ht="15.75">
      <c r="E2" s="825" t="s">
        <v>63</v>
      </c>
      <c r="F2" s="825"/>
      <c r="G2" s="825"/>
      <c r="H2" s="825"/>
      <c r="I2" s="825"/>
    </row>
    <row r="3" spans="5:11" ht="15.75">
      <c r="E3" s="825" t="s">
        <v>866</v>
      </c>
      <c r="F3" s="825"/>
      <c r="G3" s="825"/>
      <c r="H3" s="825"/>
      <c r="I3" s="825"/>
    </row>
    <row r="4" spans="5:11" ht="2.25" customHeight="1">
      <c r="F4" s="740"/>
      <c r="G4" s="740"/>
      <c r="H4" s="740"/>
      <c r="I4" s="741"/>
      <c r="J4" s="741"/>
      <c r="K4" s="741"/>
    </row>
    <row r="5" spans="5:11" ht="14.25" hidden="1">
      <c r="E5" s="753" t="s">
        <v>845</v>
      </c>
      <c r="F5" s="754" t="s">
        <v>834</v>
      </c>
      <c r="G5" s="754" t="s">
        <v>835</v>
      </c>
      <c r="H5" s="755" t="s">
        <v>836</v>
      </c>
      <c r="I5" s="741"/>
      <c r="J5" s="741"/>
      <c r="K5" s="741"/>
    </row>
    <row r="6" spans="5:11" ht="15.75" hidden="1" customHeight="1">
      <c r="E6" s="742" t="s">
        <v>846</v>
      </c>
      <c r="F6" s="743" t="s">
        <v>840</v>
      </c>
      <c r="G6" s="743" t="s">
        <v>841</v>
      </c>
      <c r="H6" s="744" t="s">
        <v>844</v>
      </c>
    </row>
    <row r="7" spans="5:11" ht="15.75" hidden="1" customHeight="1">
      <c r="E7" s="746" t="s">
        <v>38</v>
      </c>
      <c r="F7" s="747">
        <f>'2007-2016 Data'!T167</f>
        <v>2.8369356623313181E-2</v>
      </c>
      <c r="G7" s="747">
        <f>'2007-2016 Data'!M199</f>
        <v>0.3573623040489835</v>
      </c>
      <c r="H7" s="748">
        <f>F7*G7</f>
        <v>1.0138138647294489E-2</v>
      </c>
    </row>
    <row r="8" spans="5:11" ht="15.75" hidden="1" customHeight="1">
      <c r="E8" s="746" t="s">
        <v>860</v>
      </c>
      <c r="F8" s="747">
        <f>'2007-2016 Data'!T171</f>
        <v>9.1261083983235194E-2</v>
      </c>
      <c r="G8" s="747">
        <f>'2007-2016 Data'!M198</f>
        <v>0.20051949770646785</v>
      </c>
      <c r="H8" s="748">
        <f>F8*G8</f>
        <v>1.8299626720466099E-2</v>
      </c>
    </row>
    <row r="9" spans="5:11" ht="15.75" hidden="1" customHeight="1">
      <c r="E9" s="746" t="s">
        <v>842</v>
      </c>
      <c r="F9" s="747">
        <f>'2007-2016 Data'!T173</f>
        <v>4.529165909887143E-2</v>
      </c>
      <c r="G9" s="747">
        <f>'2007-2016 Data'!M200</f>
        <v>9.81597699268488E-2</v>
      </c>
      <c r="H9" s="748">
        <f>F9*G9</f>
        <v>4.4458188367504873E-3</v>
      </c>
    </row>
    <row r="10" spans="5:11" ht="15.75" hidden="1" customHeight="1">
      <c r="E10" s="749" t="s">
        <v>642</v>
      </c>
      <c r="F10" s="747">
        <f>'2007-2016 Data'!T175</f>
        <v>4.805117077128554E-2</v>
      </c>
      <c r="G10" s="766">
        <f>'2007-2016 Data'!M201</f>
        <v>0.3439584283176999</v>
      </c>
      <c r="H10" s="748">
        <f>F10*G10</f>
        <v>1.6527605177316773E-2</v>
      </c>
    </row>
    <row r="11" spans="5:11" ht="15.75" hidden="1" customHeight="1">
      <c r="E11" s="749" t="s">
        <v>848</v>
      </c>
      <c r="F11" s="408"/>
      <c r="G11" s="765">
        <f>SUM(G7:G10)</f>
        <v>1</v>
      </c>
      <c r="H11" s="750">
        <f>'2007-2016 Data'!T202</f>
        <v>-1.0200000000000001E-2</v>
      </c>
    </row>
    <row r="12" spans="5:11" ht="15.75" hidden="1" customHeight="1" thickBot="1">
      <c r="E12" s="751" t="s">
        <v>849</v>
      </c>
      <c r="F12" s="752"/>
      <c r="G12" s="752"/>
      <c r="H12" s="756">
        <f>SUM(H7:H11)</f>
        <v>3.9211189381827848E-2</v>
      </c>
    </row>
    <row r="13" spans="5:11" ht="15.75" hidden="1" customHeight="1" thickBot="1">
      <c r="E13" s="829" t="s">
        <v>847</v>
      </c>
      <c r="F13" s="830"/>
      <c r="G13" s="830"/>
      <c r="H13" s="831"/>
    </row>
    <row r="14" spans="5:11" ht="15.75" hidden="1" customHeight="1" thickBot="1">
      <c r="E14" s="835" t="s">
        <v>861</v>
      </c>
      <c r="F14" s="836"/>
      <c r="G14" s="836"/>
      <c r="H14" s="837"/>
    </row>
    <row r="15" spans="5:11" ht="14.25" thickBot="1">
      <c r="E15" s="821" t="s">
        <v>893</v>
      </c>
    </row>
    <row r="16" spans="5:11" ht="15.75">
      <c r="E16" s="788" t="s">
        <v>883</v>
      </c>
      <c r="F16" s="754" t="s">
        <v>834</v>
      </c>
      <c r="G16" s="754" t="s">
        <v>835</v>
      </c>
      <c r="H16" s="754" t="s">
        <v>836</v>
      </c>
      <c r="I16" s="755" t="s">
        <v>837</v>
      </c>
    </row>
    <row r="17" spans="5:11" ht="45.75" customHeight="1">
      <c r="E17" s="742" t="s">
        <v>846</v>
      </c>
      <c r="F17" s="743" t="s">
        <v>871</v>
      </c>
      <c r="G17" s="743" t="s">
        <v>877</v>
      </c>
      <c r="H17" s="743" t="s">
        <v>841</v>
      </c>
      <c r="I17" s="744" t="s">
        <v>878</v>
      </c>
    </row>
    <row r="18" spans="5:11" ht="15.75">
      <c r="E18" s="790" t="s">
        <v>868</v>
      </c>
      <c r="F18" s="791"/>
      <c r="G18" s="791">
        <f>G30</f>
        <v>2.3599999999999999E-2</v>
      </c>
      <c r="H18" s="791">
        <f>'2007-2016 Data'!M199</f>
        <v>0.3573623040489835</v>
      </c>
      <c r="I18" s="792">
        <f>H18*G18</f>
        <v>8.4337503755560102E-3</v>
      </c>
      <c r="K18" s="773"/>
    </row>
    <row r="19" spans="5:11" ht="15.75">
      <c r="E19" s="746" t="s">
        <v>508</v>
      </c>
      <c r="F19" s="747">
        <f>'2007-2016 Data'!T171</f>
        <v>9.1261083983235194E-2</v>
      </c>
      <c r="G19" s="747"/>
      <c r="H19" s="791">
        <f>'2007-2016 Data'!M198</f>
        <v>0.20051949770646785</v>
      </c>
      <c r="I19" s="748">
        <f>H19*F19</f>
        <v>1.8299626720466099E-2</v>
      </c>
    </row>
    <row r="20" spans="5:11" ht="15.75">
      <c r="E20" s="746" t="s">
        <v>842</v>
      </c>
      <c r="F20" s="747">
        <f>'2007-2016 Data'!T173</f>
        <v>4.529165909887143E-2</v>
      </c>
      <c r="G20" s="747"/>
      <c r="H20" s="791">
        <f>'2007-2016 Data'!M200</f>
        <v>9.81597699268488E-2</v>
      </c>
      <c r="I20" s="748">
        <f>H20*F20</f>
        <v>4.4458188367504873E-3</v>
      </c>
    </row>
    <row r="21" spans="5:11" ht="15.75">
      <c r="E21" s="793" t="s">
        <v>870</v>
      </c>
      <c r="F21" s="791"/>
      <c r="G21" s="791">
        <f>'2007-2016 Data'!V175</f>
        <v>3.0408737162420218E-2</v>
      </c>
      <c r="H21" s="794">
        <f>'2007-2016 Data'!M201</f>
        <v>0.3439584283176999</v>
      </c>
      <c r="I21" s="792">
        <f>H21*G21</f>
        <v>1.0459341441512091E-2</v>
      </c>
    </row>
    <row r="22" spans="5:11" ht="16.5" thickBot="1">
      <c r="E22" s="793" t="s">
        <v>881</v>
      </c>
      <c r="F22" s="795"/>
      <c r="G22" s="796"/>
      <c r="H22" s="797">
        <f>SUM(H18:H21)</f>
        <v>1</v>
      </c>
      <c r="I22" s="792">
        <f>H11</f>
        <v>-1.0200000000000001E-2</v>
      </c>
    </row>
    <row r="23" spans="5:11" ht="16.5" thickBot="1">
      <c r="E23" s="751" t="s">
        <v>894</v>
      </c>
      <c r="F23" s="752"/>
      <c r="G23" s="752"/>
      <c r="H23" s="752"/>
      <c r="I23" s="820">
        <f>SUM(I18:I22)</f>
        <v>3.1438537374284689E-2</v>
      </c>
    </row>
    <row r="24" spans="5:11" ht="13.5" thickBot="1">
      <c r="E24" s="826" t="s">
        <v>876</v>
      </c>
      <c r="F24" s="827"/>
      <c r="G24" s="827"/>
      <c r="H24" s="827"/>
      <c r="I24" s="828"/>
    </row>
    <row r="25" spans="5:11" ht="13.5" thickBot="1">
      <c r="E25" s="829" t="s">
        <v>879</v>
      </c>
      <c r="F25" s="830"/>
      <c r="G25" s="830"/>
      <c r="H25" s="830"/>
      <c r="I25" s="831"/>
    </row>
    <row r="26" spans="5:11" ht="13.5" thickBot="1">
      <c r="E26" s="832" t="s">
        <v>880</v>
      </c>
      <c r="F26" s="833"/>
      <c r="G26" s="833"/>
      <c r="H26" s="833"/>
      <c r="I26" s="834"/>
    </row>
    <row r="27" spans="5:11" ht="6.75" customHeight="1" thickBot="1"/>
    <row r="28" spans="5:11" ht="15.75">
      <c r="E28" s="789" t="s">
        <v>882</v>
      </c>
      <c r="F28" s="754" t="s">
        <v>834</v>
      </c>
      <c r="G28" s="754" t="s">
        <v>835</v>
      </c>
      <c r="H28" s="754" t="s">
        <v>836</v>
      </c>
      <c r="I28" s="755" t="s">
        <v>837</v>
      </c>
    </row>
    <row r="29" spans="5:11" ht="42.75" customHeight="1">
      <c r="E29" s="742" t="s">
        <v>846</v>
      </c>
      <c r="F29" s="743" t="s">
        <v>872</v>
      </c>
      <c r="G29" s="743" t="s">
        <v>877</v>
      </c>
      <c r="H29" s="743" t="s">
        <v>841</v>
      </c>
      <c r="I29" s="744" t="s">
        <v>878</v>
      </c>
    </row>
    <row r="30" spans="5:11" ht="15.75">
      <c r="E30" s="790" t="s">
        <v>889</v>
      </c>
      <c r="F30" s="791"/>
      <c r="G30" s="791">
        <v>2.3599999999999999E-2</v>
      </c>
      <c r="H30" s="791">
        <f>H18</f>
        <v>0.3573623040489835</v>
      </c>
      <c r="I30" s="792">
        <f>H30*G30</f>
        <v>8.4337503755560102E-3</v>
      </c>
    </row>
    <row r="31" spans="5:11" ht="15.75">
      <c r="E31" s="746" t="s">
        <v>508</v>
      </c>
      <c r="F31" s="747">
        <v>4.7E-2</v>
      </c>
      <c r="G31" s="747"/>
      <c r="H31" s="791">
        <f t="shared" ref="H31:H33" si="0">H19</f>
        <v>0.20051949770646785</v>
      </c>
      <c r="I31" s="748">
        <f>H31*F31</f>
        <v>9.4244163922039895E-3</v>
      </c>
    </row>
    <row r="32" spans="5:11" ht="15.75">
      <c r="E32" s="746" t="s">
        <v>842</v>
      </c>
      <c r="F32" s="747">
        <v>5.1299999999999998E-2</v>
      </c>
      <c r="G32" s="747"/>
      <c r="H32" s="791">
        <f t="shared" si="0"/>
        <v>9.81597699268488E-2</v>
      </c>
      <c r="I32" s="748">
        <f>H32*F32</f>
        <v>5.0355961972473433E-3</v>
      </c>
    </row>
    <row r="33" spans="5:9" ht="15.75">
      <c r="E33" s="793" t="s">
        <v>870</v>
      </c>
      <c r="F33" s="791"/>
      <c r="G33" s="791">
        <f>G21</f>
        <v>3.0408737162420218E-2</v>
      </c>
      <c r="H33" s="794">
        <f t="shared" si="0"/>
        <v>0.3439584283176999</v>
      </c>
      <c r="I33" s="792">
        <f>H33*G33</f>
        <v>1.0459341441512091E-2</v>
      </c>
    </row>
    <row r="34" spans="5:9" ht="16.5" thickBot="1">
      <c r="E34" s="793" t="s">
        <v>881</v>
      </c>
      <c r="F34" s="795"/>
      <c r="G34" s="796"/>
      <c r="H34" s="797">
        <f>SUM(H30:H33)</f>
        <v>1</v>
      </c>
      <c r="I34" s="792">
        <v>-1.0200000000000001E-2</v>
      </c>
    </row>
    <row r="35" spans="5:9" ht="16.5" thickBot="1">
      <c r="E35" s="751" t="s">
        <v>895</v>
      </c>
      <c r="F35" s="752"/>
      <c r="G35" s="752"/>
      <c r="H35" s="752"/>
      <c r="I35" s="820">
        <f>SUM(I30:I34)</f>
        <v>2.3153104406519437E-2</v>
      </c>
    </row>
    <row r="36" spans="5:9" ht="13.5" thickBot="1">
      <c r="E36" s="826" t="s">
        <v>869</v>
      </c>
      <c r="F36" s="827"/>
      <c r="G36" s="827"/>
      <c r="H36" s="827"/>
      <c r="I36" s="828"/>
    </row>
    <row r="37" spans="5:9" ht="13.5" thickBot="1">
      <c r="E37" s="829" t="s">
        <v>879</v>
      </c>
      <c r="F37" s="830"/>
      <c r="G37" s="830"/>
      <c r="H37" s="830"/>
      <c r="I37" s="831"/>
    </row>
    <row r="38" spans="5:9" ht="13.5" thickBot="1">
      <c r="E38" s="832" t="s">
        <v>880</v>
      </c>
      <c r="F38" s="833"/>
      <c r="G38" s="833"/>
      <c r="H38" s="833"/>
      <c r="I38" s="834"/>
    </row>
    <row r="164" spans="20:28">
      <c r="T164" s="779"/>
      <c r="W164" s="779"/>
      <c r="X164" s="779"/>
      <c r="Y164" s="779"/>
      <c r="Z164" s="779"/>
      <c r="AA164" s="779"/>
      <c r="AB164" s="779"/>
    </row>
    <row r="165" spans="20:28">
      <c r="T165" s="779"/>
      <c r="W165" s="779"/>
      <c r="X165" s="779"/>
      <c r="Y165" s="779"/>
      <c r="Z165" s="779"/>
      <c r="AA165" s="779"/>
      <c r="AB165" s="779"/>
    </row>
    <row r="166" spans="20:28">
      <c r="T166" s="779"/>
      <c r="V166" s="785"/>
      <c r="W166" s="779"/>
      <c r="X166" s="779"/>
      <c r="Y166" s="779"/>
      <c r="Z166" s="779"/>
      <c r="AA166" s="779"/>
      <c r="AB166" s="779"/>
    </row>
    <row r="167" spans="20:28">
      <c r="T167" s="779"/>
      <c r="W167" s="779"/>
      <c r="X167" s="779"/>
      <c r="Y167" s="779"/>
      <c r="Z167" s="779"/>
      <c r="AA167" s="779"/>
      <c r="AB167" s="779"/>
    </row>
    <row r="168" spans="20:28" ht="2.25" hidden="1" customHeight="1">
      <c r="T168" s="779"/>
      <c r="W168" s="779"/>
      <c r="X168" s="779"/>
      <c r="Y168" s="779"/>
      <c r="Z168" s="779"/>
      <c r="AA168" s="779"/>
      <c r="AB168" s="779"/>
    </row>
    <row r="169" spans="20:28" ht="11.25" customHeight="1">
      <c r="T169" s="779"/>
      <c r="W169" s="779"/>
      <c r="X169" s="779"/>
      <c r="Y169" s="779"/>
      <c r="Z169" s="779"/>
      <c r="AA169" s="779"/>
      <c r="AB169" s="779"/>
    </row>
    <row r="170" spans="20:28">
      <c r="T170" s="779"/>
      <c r="W170" s="779"/>
      <c r="X170" s="779"/>
      <c r="Y170" s="779"/>
      <c r="Z170" s="779"/>
      <c r="AA170" s="779"/>
      <c r="AB170" s="779"/>
    </row>
    <row r="171" spans="20:28">
      <c r="T171" s="779"/>
      <c r="W171" s="779"/>
      <c r="X171" s="779"/>
      <c r="Y171" s="779"/>
      <c r="Z171" s="779"/>
      <c r="AA171" s="779"/>
      <c r="AB171" s="779"/>
    </row>
    <row r="172" spans="20:28">
      <c r="T172" s="779"/>
      <c r="W172" s="779"/>
      <c r="X172" s="779"/>
      <c r="Y172" s="779"/>
      <c r="Z172" s="779"/>
      <c r="AA172" s="779"/>
      <c r="AB172" s="779"/>
    </row>
    <row r="173" spans="20:28">
      <c r="T173" s="779"/>
      <c r="W173" s="779"/>
      <c r="X173" s="779"/>
      <c r="Y173" s="779"/>
      <c r="Z173" s="779"/>
      <c r="AA173" s="779"/>
      <c r="AB173" s="779"/>
    </row>
    <row r="174" spans="20:28">
      <c r="T174" s="779"/>
      <c r="W174" s="779"/>
      <c r="X174" s="779"/>
      <c r="Y174" s="779"/>
      <c r="Z174" s="779"/>
      <c r="AA174" s="779"/>
      <c r="AB174" s="779"/>
    </row>
    <row r="175" spans="20:28">
      <c r="T175" s="779"/>
      <c r="W175" s="779"/>
      <c r="X175" s="779"/>
      <c r="Y175" s="779"/>
      <c r="Z175" s="779"/>
      <c r="AA175" s="779"/>
      <c r="AB175" s="779"/>
    </row>
    <row r="176" spans="20:28">
      <c r="T176" s="779"/>
      <c r="W176" s="779"/>
      <c r="X176" s="779"/>
      <c r="Y176" s="779"/>
      <c r="Z176" s="779"/>
      <c r="AA176" s="779"/>
      <c r="AB176" s="779"/>
    </row>
    <row r="177" spans="20:28">
      <c r="T177" s="779"/>
      <c r="W177" s="779"/>
      <c r="X177" s="779"/>
      <c r="Y177" s="779"/>
      <c r="Z177" s="779"/>
      <c r="AA177" s="779"/>
      <c r="AB177" s="779"/>
    </row>
    <row r="178" spans="20:28">
      <c r="T178" s="779"/>
      <c r="W178" s="779"/>
      <c r="X178" s="779"/>
      <c r="Y178" s="779"/>
      <c r="Z178" s="779"/>
      <c r="AA178" s="779"/>
      <c r="AB178" s="779"/>
    </row>
    <row r="179" spans="20:28">
      <c r="T179" s="779"/>
      <c r="W179" s="779"/>
      <c r="X179" s="779"/>
      <c r="Y179" s="779"/>
      <c r="Z179" s="779"/>
      <c r="AA179" s="779"/>
      <c r="AB179" s="779"/>
    </row>
    <row r="180" spans="20:28">
      <c r="T180" s="779"/>
    </row>
    <row r="181" spans="20:28">
      <c r="T181" s="779"/>
    </row>
    <row r="182" spans="20:28">
      <c r="T182" s="779"/>
    </row>
    <row r="183" spans="20:28">
      <c r="T183" s="779"/>
    </row>
    <row r="184" spans="20:28">
      <c r="T184" s="779"/>
    </row>
    <row r="185" spans="20:28">
      <c r="T185" s="779"/>
    </row>
    <row r="186" spans="20:28">
      <c r="T186" s="779"/>
    </row>
    <row r="187" spans="20:28">
      <c r="T187" s="779"/>
    </row>
    <row r="188" spans="20:28">
      <c r="T188" s="779"/>
    </row>
    <row r="189" spans="20:28">
      <c r="T189" s="779"/>
    </row>
    <row r="190" spans="20:28">
      <c r="T190" s="779"/>
    </row>
    <row r="191" spans="20:28">
      <c r="T191" s="779"/>
    </row>
    <row r="192" spans="20:28">
      <c r="T192" s="779"/>
    </row>
    <row r="193" spans="4:26">
      <c r="T193" s="779"/>
    </row>
    <row r="194" spans="4:26">
      <c r="T194" s="779"/>
    </row>
    <row r="195" spans="4:26">
      <c r="T195" s="779"/>
      <c r="V195" s="779"/>
      <c r="W195" s="779"/>
      <c r="X195" s="779"/>
      <c r="Y195" s="779"/>
    </row>
    <row r="196" spans="4:26">
      <c r="T196" s="779"/>
      <c r="V196" s="779"/>
      <c r="W196" s="779"/>
      <c r="X196" s="779"/>
      <c r="Y196" s="779"/>
    </row>
    <row r="197" spans="4:26">
      <c r="T197" s="779"/>
      <c r="V197" s="779"/>
      <c r="W197" s="779"/>
      <c r="X197" s="779"/>
      <c r="Y197" s="779"/>
    </row>
    <row r="198" spans="4:26">
      <c r="T198" s="779"/>
      <c r="V198" s="785"/>
      <c r="W198" s="779"/>
      <c r="X198" s="779"/>
      <c r="Y198" s="779"/>
    </row>
    <row r="199" spans="4:26">
      <c r="T199" s="779"/>
      <c r="V199" s="779"/>
      <c r="W199" s="779"/>
      <c r="X199" s="779"/>
      <c r="Y199" s="779"/>
    </row>
    <row r="200" spans="4:26">
      <c r="T200" s="779"/>
      <c r="V200" s="779"/>
      <c r="W200" s="779"/>
      <c r="X200" s="779"/>
      <c r="Y200" s="779"/>
    </row>
    <row r="201" spans="4:26">
      <c r="T201" s="779"/>
      <c r="V201" s="779"/>
      <c r="W201" s="779"/>
      <c r="X201" s="779"/>
      <c r="Y201" s="779"/>
    </row>
    <row r="202" spans="4:26">
      <c r="T202" s="779"/>
      <c r="V202" s="779"/>
      <c r="W202" s="779"/>
      <c r="X202" s="779"/>
      <c r="Y202" s="779"/>
    </row>
    <row r="203" spans="4:26">
      <c r="T203" s="779"/>
      <c r="V203" s="785"/>
      <c r="W203" s="779"/>
      <c r="X203" s="779"/>
      <c r="Y203" s="779"/>
      <c r="Z203" s="783"/>
    </row>
    <row r="204" spans="4:26">
      <c r="T204" s="779"/>
      <c r="V204" s="779"/>
      <c r="W204" s="779"/>
      <c r="X204" s="779"/>
      <c r="Y204" s="779"/>
    </row>
    <row r="205" spans="4:26">
      <c r="D205" s="787"/>
      <c r="V205" s="779"/>
      <c r="W205" s="779"/>
      <c r="X205" s="779"/>
      <c r="Y205" s="779"/>
    </row>
  </sheetData>
  <mergeCells count="10">
    <mergeCell ref="E2:I2"/>
    <mergeCell ref="E3:I3"/>
    <mergeCell ref="E36:I36"/>
    <mergeCell ref="E37:I37"/>
    <mergeCell ref="E38:I38"/>
    <mergeCell ref="E13:H13"/>
    <mergeCell ref="E14:H14"/>
    <mergeCell ref="E24:I24"/>
    <mergeCell ref="E25:I25"/>
    <mergeCell ref="E26:I26"/>
  </mergeCells>
  <pageMargins left="0.7" right="0.7" top="0.75" bottom="0.75" header="0.3" footer="0.3"/>
  <pageSetup orientation="landscape" r:id="rId1"/>
  <headerFooter>
    <oddHeader>&amp;RExh. EMA-13</oddHeader>
    <oddFooter>&amp;RPage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P206"/>
  <sheetViews>
    <sheetView tabSelected="1" view="pageBreakPreview" topLeftCell="A31" zoomScaleNormal="100" zoomScaleSheetLayoutView="100" workbookViewId="0">
      <selection activeCell="O34" sqref="O34"/>
    </sheetView>
  </sheetViews>
  <sheetFormatPr defaultColWidth="10.7109375" defaultRowHeight="12"/>
  <cols>
    <col min="1" max="1" width="4.7109375" style="304" customWidth="1"/>
    <col min="2" max="3" width="1.7109375" style="303" customWidth="1"/>
    <col min="4" max="4" width="37.42578125" style="303" customWidth="1"/>
    <col min="5" max="5" width="0.140625" style="330" hidden="1" customWidth="1"/>
    <col min="6" max="6" width="11.42578125" style="329" hidden="1" customWidth="1"/>
    <col min="7" max="12" width="9.85546875" style="329" hidden="1" customWidth="1"/>
    <col min="13" max="13" width="10.140625" style="329" hidden="1" customWidth="1"/>
    <col min="14" max="14" width="10.42578125" style="329" hidden="1" customWidth="1"/>
    <col min="15" max="15" width="11.5703125" style="329" hidden="1" customWidth="1"/>
    <col min="16" max="16" width="0.140625" style="329" hidden="1" customWidth="1"/>
    <col min="17" max="17" width="9.5703125" style="329" hidden="1" customWidth="1"/>
    <col min="18" max="18" width="12" style="329" hidden="1" customWidth="1"/>
    <col min="19" max="19" width="10.85546875" style="330" hidden="1" customWidth="1"/>
    <col min="20" max="20" width="17.28515625" style="330" hidden="1" customWidth="1"/>
    <col min="21" max="21" width="10.28515625" style="329" hidden="1" customWidth="1"/>
    <col min="22" max="22" width="10.85546875" style="329" hidden="1" customWidth="1"/>
    <col min="23" max="23" width="10" style="330" hidden="1" customWidth="1"/>
    <col min="24" max="24" width="12" style="330" hidden="1" customWidth="1"/>
    <col min="25" max="25" width="10" style="330" hidden="1" customWidth="1"/>
    <col min="26" max="26" width="12.85546875" style="330" hidden="1" customWidth="1"/>
    <col min="27" max="27" width="0.28515625" style="330" hidden="1" customWidth="1"/>
    <col min="28" max="28" width="10" style="329" hidden="1" customWidth="1"/>
    <col min="29" max="29" width="12.42578125" style="328" customWidth="1"/>
    <col min="30" max="30" width="11.28515625" style="330" bestFit="1" customWidth="1"/>
    <col min="31" max="31" width="11.5703125" style="331" bestFit="1" customWidth="1"/>
    <col min="32" max="32" width="8.85546875" style="303" bestFit="1" customWidth="1"/>
    <col min="33" max="34" width="9.140625" style="303" customWidth="1"/>
    <col min="35" max="35" width="11.42578125" style="303" customWidth="1"/>
    <col min="36" max="36" width="11.28515625" style="303" customWidth="1"/>
    <col min="37" max="37" width="9.28515625" style="303" customWidth="1"/>
    <col min="38" max="38" width="9.140625" style="303" customWidth="1"/>
    <col min="39" max="39" width="10.42578125" style="303" customWidth="1"/>
    <col min="40" max="40" width="2.7109375" style="303" customWidth="1"/>
    <col min="41" max="42" width="10.5703125" style="303" customWidth="1"/>
    <col min="43" max="16384" width="10.7109375" style="303"/>
  </cols>
  <sheetData>
    <row r="1" spans="1:42" ht="3.75" customHeight="1">
      <c r="D1" s="845"/>
      <c r="E1" s="845"/>
      <c r="F1" s="330"/>
      <c r="G1" s="330"/>
      <c r="H1" s="330"/>
      <c r="I1" s="330"/>
      <c r="J1" s="330"/>
      <c r="K1" s="330"/>
      <c r="L1" s="330"/>
      <c r="M1" s="330"/>
      <c r="N1" s="330"/>
      <c r="O1" s="330"/>
      <c r="P1" s="330"/>
      <c r="Q1" s="330"/>
    </row>
    <row r="2" spans="1:42" ht="12.75" customHeight="1">
      <c r="A2" s="428" t="s">
        <v>150</v>
      </c>
      <c r="D2" s="304"/>
      <c r="E2" s="476" t="s">
        <v>631</v>
      </c>
      <c r="F2" s="295" t="s">
        <v>598</v>
      </c>
      <c r="G2" s="328"/>
      <c r="H2" s="328"/>
      <c r="I2" s="328"/>
      <c r="J2" s="332"/>
      <c r="K2" s="328"/>
      <c r="L2" s="328"/>
      <c r="M2" s="328"/>
      <c r="N2" s="328"/>
      <c r="O2" s="328"/>
      <c r="P2" s="328"/>
      <c r="Q2" s="328"/>
      <c r="R2" s="330"/>
      <c r="U2" s="330"/>
      <c r="V2" s="330"/>
      <c r="W2" s="378"/>
      <c r="X2" s="378"/>
      <c r="AB2" s="330"/>
      <c r="AD2" s="378"/>
    </row>
    <row r="3" spans="1:42" ht="14.25" customHeight="1">
      <c r="A3" s="428" t="s">
        <v>715</v>
      </c>
      <c r="D3" s="304"/>
      <c r="E3" s="476" t="s">
        <v>632</v>
      </c>
      <c r="G3" s="331"/>
      <c r="H3" s="331"/>
      <c r="I3" s="328"/>
      <c r="J3" s="328"/>
      <c r="K3" s="328"/>
      <c r="L3" s="328"/>
      <c r="M3" s="328"/>
      <c r="N3" s="457"/>
      <c r="O3" s="328"/>
      <c r="P3" s="435"/>
      <c r="Q3" s="435"/>
      <c r="R3" s="330"/>
      <c r="U3" s="330"/>
      <c r="V3" s="330"/>
      <c r="W3" s="438"/>
      <c r="X3" s="438"/>
      <c r="Y3" s="438"/>
      <c r="Z3" s="846" t="s">
        <v>625</v>
      </c>
      <c r="AB3" s="330"/>
      <c r="AD3" s="478" t="s">
        <v>633</v>
      </c>
      <c r="AE3" s="438"/>
    </row>
    <row r="4" spans="1:42" ht="14.25" customHeight="1">
      <c r="A4" s="777" t="s">
        <v>867</v>
      </c>
      <c r="D4" s="304"/>
      <c r="E4" s="466"/>
      <c r="G4" s="330"/>
      <c r="H4" s="330"/>
      <c r="I4" s="330"/>
      <c r="J4" s="328"/>
      <c r="K4" s="330"/>
      <c r="L4" s="330"/>
      <c r="M4" s="330"/>
      <c r="N4" s="457"/>
      <c r="O4" s="330"/>
      <c r="P4" s="436"/>
      <c r="Q4" s="436"/>
      <c r="R4" s="332"/>
      <c r="S4" s="332"/>
      <c r="T4" s="332"/>
      <c r="U4" s="332"/>
      <c r="V4" s="332"/>
      <c r="W4" s="458"/>
      <c r="X4" s="389"/>
      <c r="Y4" s="436"/>
      <c r="Z4" s="846"/>
      <c r="AB4" s="330"/>
      <c r="AD4" s="478" t="s">
        <v>634</v>
      </c>
    </row>
    <row r="5" spans="1:42" ht="12.75" customHeight="1">
      <c r="A5" s="428" t="s">
        <v>608</v>
      </c>
      <c r="D5" s="304"/>
      <c r="E5" s="467"/>
      <c r="F5" s="364"/>
      <c r="G5" s="447"/>
      <c r="H5" s="364"/>
      <c r="I5" s="382"/>
      <c r="J5" s="382"/>
      <c r="K5" s="382"/>
      <c r="L5" s="382"/>
      <c r="M5" s="382"/>
      <c r="N5" s="457"/>
      <c r="O5" s="382"/>
      <c r="P5" s="436"/>
      <c r="Q5" s="436"/>
      <c r="R5" s="382"/>
      <c r="S5" s="382"/>
      <c r="T5" s="447"/>
      <c r="U5" s="382"/>
      <c r="V5" s="382"/>
      <c r="W5" s="458"/>
      <c r="X5" s="382"/>
      <c r="Y5" s="447"/>
      <c r="Z5" s="846"/>
      <c r="AA5" s="382" t="s">
        <v>202</v>
      </c>
      <c r="AB5" s="382" t="s">
        <v>202</v>
      </c>
      <c r="AC5" s="382"/>
      <c r="AD5" s="483" t="s">
        <v>623</v>
      </c>
    </row>
    <row r="6" spans="1:42" s="306" customFormat="1" ht="12" customHeight="1">
      <c r="A6" s="428" t="s">
        <v>151</v>
      </c>
      <c r="D6" s="305"/>
      <c r="E6" s="335"/>
      <c r="F6" s="333"/>
      <c r="G6" s="330"/>
      <c r="H6" s="333"/>
      <c r="I6" s="376"/>
      <c r="J6" s="431"/>
      <c r="K6" s="376"/>
      <c r="L6" s="376"/>
      <c r="M6" s="376"/>
      <c r="N6" s="376"/>
      <c r="O6" s="376"/>
      <c r="P6" s="437"/>
      <c r="Q6" s="437"/>
      <c r="R6" s="431"/>
      <c r="S6" s="376"/>
      <c r="T6" s="376"/>
      <c r="U6" s="376"/>
      <c r="V6" s="376"/>
      <c r="W6" s="384"/>
      <c r="X6" s="384"/>
      <c r="Y6" s="437"/>
      <c r="Z6" s="847"/>
      <c r="AA6" s="332"/>
      <c r="AB6" s="382"/>
      <c r="AC6" s="277"/>
      <c r="AD6" s="437"/>
      <c r="AE6" s="459"/>
      <c r="AF6" s="303"/>
      <c r="AG6" s="303"/>
      <c r="AH6" s="303"/>
      <c r="AI6" s="303"/>
      <c r="AJ6" s="303"/>
      <c r="AK6" s="303"/>
      <c r="AL6" s="303"/>
      <c r="AM6" s="303"/>
      <c r="AN6" s="303"/>
      <c r="AO6" s="303"/>
      <c r="AP6" s="303"/>
    </row>
    <row r="7" spans="1:42" s="306" customFormat="1" ht="12" customHeight="1">
      <c r="A7" s="307"/>
      <c r="B7" s="308"/>
      <c r="C7" s="309"/>
      <c r="D7" s="309"/>
      <c r="E7" s="366"/>
      <c r="F7" s="367" t="s">
        <v>1</v>
      </c>
      <c r="G7" s="385" t="s">
        <v>1</v>
      </c>
      <c r="H7" s="367" t="s">
        <v>213</v>
      </c>
      <c r="I7" s="367" t="s">
        <v>3</v>
      </c>
      <c r="J7" s="385" t="s">
        <v>5</v>
      </c>
      <c r="K7" s="367" t="s">
        <v>13</v>
      </c>
      <c r="L7" s="367" t="s">
        <v>14</v>
      </c>
      <c r="M7" s="367" t="s">
        <v>4</v>
      </c>
      <c r="N7" s="385" t="s">
        <v>550</v>
      </c>
      <c r="O7" s="367" t="s">
        <v>6</v>
      </c>
      <c r="P7" s="367" t="s">
        <v>5</v>
      </c>
      <c r="Q7" s="367" t="s">
        <v>186</v>
      </c>
      <c r="R7" s="334" t="s">
        <v>581</v>
      </c>
      <c r="S7" s="334" t="s">
        <v>3</v>
      </c>
      <c r="T7" s="334" t="s">
        <v>602</v>
      </c>
      <c r="U7" s="131" t="s">
        <v>3</v>
      </c>
      <c r="V7" s="131" t="s">
        <v>93</v>
      </c>
      <c r="W7" s="377" t="s">
        <v>630</v>
      </c>
      <c r="X7" s="377" t="s">
        <v>603</v>
      </c>
      <c r="Y7" s="131" t="s">
        <v>5</v>
      </c>
      <c r="Z7" s="377" t="s">
        <v>611</v>
      </c>
      <c r="AA7" s="334" t="s">
        <v>553</v>
      </c>
      <c r="AB7" s="132" t="s">
        <v>553</v>
      </c>
      <c r="AC7" s="131" t="s">
        <v>18</v>
      </c>
      <c r="AD7" s="478" t="s">
        <v>633</v>
      </c>
      <c r="AE7" s="481" t="s">
        <v>622</v>
      </c>
      <c r="AF7" s="303"/>
      <c r="AG7" s="303"/>
      <c r="AH7" s="303"/>
      <c r="AI7" s="303"/>
      <c r="AJ7" s="303"/>
      <c r="AK7" s="303"/>
      <c r="AL7" s="303"/>
      <c r="AM7" s="303"/>
      <c r="AN7" s="303"/>
      <c r="AO7" s="303"/>
      <c r="AP7" s="303"/>
    </row>
    <row r="8" spans="1:42" s="306" customFormat="1">
      <c r="A8" s="310" t="s">
        <v>7</v>
      </c>
      <c r="B8" s="311"/>
      <c r="C8" s="312"/>
      <c r="D8" s="312"/>
      <c r="E8" s="335" t="s">
        <v>219</v>
      </c>
      <c r="F8" s="368" t="s">
        <v>8</v>
      </c>
      <c r="G8" s="380" t="s">
        <v>217</v>
      </c>
      <c r="H8" s="368" t="s">
        <v>95</v>
      </c>
      <c r="I8" s="368" t="s">
        <v>11</v>
      </c>
      <c r="J8" s="380" t="s">
        <v>12</v>
      </c>
      <c r="K8" s="368" t="s">
        <v>26</v>
      </c>
      <c r="L8" s="368" t="s">
        <v>26</v>
      </c>
      <c r="M8" s="368" t="s">
        <v>15</v>
      </c>
      <c r="N8" s="380" t="s">
        <v>621</v>
      </c>
      <c r="O8" s="368" t="s">
        <v>17</v>
      </c>
      <c r="P8" s="368" t="s">
        <v>187</v>
      </c>
      <c r="Q8" s="368" t="s">
        <v>215</v>
      </c>
      <c r="R8" s="335" t="s">
        <v>148</v>
      </c>
      <c r="S8" s="336" t="s">
        <v>583</v>
      </c>
      <c r="T8" s="336" t="s">
        <v>628</v>
      </c>
      <c r="U8" s="335" t="s">
        <v>91</v>
      </c>
      <c r="V8" s="335" t="s">
        <v>2</v>
      </c>
      <c r="W8" s="335" t="s">
        <v>624</v>
      </c>
      <c r="X8" s="335" t="s">
        <v>604</v>
      </c>
      <c r="Y8" s="335" t="s">
        <v>16</v>
      </c>
      <c r="Z8" s="456" t="s">
        <v>10</v>
      </c>
      <c r="AA8" s="336"/>
      <c r="AB8" s="133"/>
      <c r="AC8" s="335" t="s">
        <v>30</v>
      </c>
      <c r="AD8" s="478" t="s">
        <v>634</v>
      </c>
      <c r="AE8" s="482" t="s">
        <v>18</v>
      </c>
      <c r="AF8" s="303"/>
      <c r="AG8" s="303"/>
      <c r="AH8" s="303"/>
      <c r="AI8" s="303"/>
      <c r="AJ8" s="303"/>
      <c r="AK8" s="303"/>
      <c r="AL8" s="303"/>
      <c r="AM8" s="303"/>
      <c r="AN8" s="303"/>
      <c r="AO8" s="303"/>
      <c r="AP8" s="303"/>
    </row>
    <row r="9" spans="1:42" s="306" customFormat="1">
      <c r="A9" s="313" t="s">
        <v>19</v>
      </c>
      <c r="B9" s="314"/>
      <c r="C9" s="315"/>
      <c r="D9" s="315" t="s">
        <v>20</v>
      </c>
      <c r="E9" s="337" t="s">
        <v>220</v>
      </c>
      <c r="F9" s="369" t="s">
        <v>21</v>
      </c>
      <c r="G9" s="381" t="s">
        <v>218</v>
      </c>
      <c r="H9" s="369" t="s">
        <v>52</v>
      </c>
      <c r="I9" s="369" t="s">
        <v>24</v>
      </c>
      <c r="J9" s="381" t="s">
        <v>25</v>
      </c>
      <c r="K9" s="369" t="s">
        <v>52</v>
      </c>
      <c r="L9" s="369" t="s">
        <v>52</v>
      </c>
      <c r="M9" s="369" t="s">
        <v>27</v>
      </c>
      <c r="N9" s="381" t="s">
        <v>26</v>
      </c>
      <c r="O9" s="369" t="s">
        <v>600</v>
      </c>
      <c r="P9" s="369" t="s">
        <v>24</v>
      </c>
      <c r="Q9" s="369" t="s">
        <v>216</v>
      </c>
      <c r="R9" s="337" t="s">
        <v>52</v>
      </c>
      <c r="S9" s="338" t="s">
        <v>584</v>
      </c>
      <c r="T9" s="338" t="s">
        <v>629</v>
      </c>
      <c r="U9" s="337" t="s">
        <v>92</v>
      </c>
      <c r="V9" s="337" t="s">
        <v>22</v>
      </c>
      <c r="W9" s="337"/>
      <c r="X9" s="337" t="s">
        <v>610</v>
      </c>
      <c r="Y9" s="337" t="s">
        <v>28</v>
      </c>
      <c r="Z9" s="337" t="s">
        <v>23</v>
      </c>
      <c r="AA9" s="338"/>
      <c r="AB9" s="134"/>
      <c r="AC9" s="337" t="s">
        <v>52</v>
      </c>
      <c r="AD9" s="484" t="s">
        <v>623</v>
      </c>
      <c r="AE9" s="463" t="s">
        <v>104</v>
      </c>
      <c r="AF9" s="303"/>
      <c r="AG9" s="303"/>
      <c r="AH9" s="303"/>
      <c r="AI9" s="303"/>
      <c r="AJ9" s="303"/>
      <c r="AK9" s="303"/>
      <c r="AL9" s="303"/>
      <c r="AM9" s="303"/>
      <c r="AN9" s="303"/>
      <c r="AO9" s="303"/>
      <c r="AP9" s="303"/>
    </row>
    <row r="10" spans="1:42" s="355" customFormat="1">
      <c r="B10" s="358" t="s">
        <v>523</v>
      </c>
      <c r="E10" s="356">
        <v>1</v>
      </c>
      <c r="F10" s="356">
        <f>1+0.01</f>
        <v>1.01</v>
      </c>
      <c r="G10" s="356">
        <f>F10+0.01</f>
        <v>1.02</v>
      </c>
      <c r="H10" s="356">
        <f>G10+0.01</f>
        <v>1.03</v>
      </c>
      <c r="I10" s="356">
        <v>2.0099999999999998</v>
      </c>
      <c r="J10" s="357">
        <f>I10+0.01</f>
        <v>2.0199999999999996</v>
      </c>
      <c r="K10" s="356">
        <f t="shared" ref="K10:R10" si="0">J10+0.01</f>
        <v>2.0299999999999994</v>
      </c>
      <c r="L10" s="356">
        <f t="shared" si="0"/>
        <v>2.0399999999999991</v>
      </c>
      <c r="M10" s="356">
        <f t="shared" si="0"/>
        <v>2.0499999999999989</v>
      </c>
      <c r="N10" s="356">
        <f t="shared" si="0"/>
        <v>2.0599999999999987</v>
      </c>
      <c r="O10" s="356">
        <f t="shared" si="0"/>
        <v>2.0699999999999985</v>
      </c>
      <c r="P10" s="356">
        <f t="shared" si="0"/>
        <v>2.0799999999999983</v>
      </c>
      <c r="Q10" s="356">
        <f t="shared" si="0"/>
        <v>2.0899999999999981</v>
      </c>
      <c r="R10" s="357">
        <f t="shared" si="0"/>
        <v>2.0999999999999979</v>
      </c>
      <c r="S10" s="357">
        <f t="shared" ref="S10" si="1">R10+0.01</f>
        <v>2.1099999999999977</v>
      </c>
      <c r="T10" s="357">
        <f t="shared" ref="T10" si="2">S10+0.01</f>
        <v>2.1199999999999974</v>
      </c>
      <c r="U10" s="357">
        <f t="shared" ref="U10" si="3">T10+0.01</f>
        <v>2.1299999999999972</v>
      </c>
      <c r="V10" s="357">
        <f t="shared" ref="V10" si="4">U10+0.01</f>
        <v>2.139999999999997</v>
      </c>
      <c r="W10" s="357">
        <f t="shared" ref="W10" si="5">V10+0.01</f>
        <v>2.1499999999999968</v>
      </c>
      <c r="X10" s="357">
        <f t="shared" ref="X10" si="6">W10+0.01</f>
        <v>2.1599999999999966</v>
      </c>
      <c r="Y10" s="357">
        <f t="shared" ref="Y10" si="7">X10+0.01</f>
        <v>2.1699999999999964</v>
      </c>
      <c r="Z10" s="357">
        <f>Y10+0.01</f>
        <v>2.1799999999999962</v>
      </c>
      <c r="AA10" s="357">
        <f>Y10+0.01</f>
        <v>2.1799999999999962</v>
      </c>
      <c r="AB10" s="357">
        <f t="shared" ref="AB10" si="8">AA10+0.01</f>
        <v>2.1899999999999959</v>
      </c>
      <c r="AC10" s="357" t="s">
        <v>548</v>
      </c>
      <c r="AD10" s="357" t="s">
        <v>633</v>
      </c>
      <c r="AE10" s="464" t="s">
        <v>654</v>
      </c>
      <c r="AF10" s="303"/>
      <c r="AG10" s="303"/>
      <c r="AH10" s="303"/>
      <c r="AI10" s="303"/>
      <c r="AJ10" s="303"/>
      <c r="AK10" s="303"/>
      <c r="AL10" s="303"/>
      <c r="AM10" s="303"/>
      <c r="AN10" s="303"/>
      <c r="AO10" s="303"/>
      <c r="AP10" s="303"/>
    </row>
    <row r="11" spans="1:42" s="355" customFormat="1">
      <c r="B11" s="358" t="s">
        <v>524</v>
      </c>
      <c r="E11" s="356" t="s">
        <v>525</v>
      </c>
      <c r="F11" s="356" t="s">
        <v>526</v>
      </c>
      <c r="G11" s="356" t="s">
        <v>527</v>
      </c>
      <c r="H11" s="356" t="s">
        <v>528</v>
      </c>
      <c r="I11" s="356" t="s">
        <v>529</v>
      </c>
      <c r="J11" s="357" t="s">
        <v>555</v>
      </c>
      <c r="K11" s="356" t="s">
        <v>530</v>
      </c>
      <c r="L11" s="356" t="s">
        <v>531</v>
      </c>
      <c r="M11" s="356" t="s">
        <v>532</v>
      </c>
      <c r="N11" s="356" t="s">
        <v>533</v>
      </c>
      <c r="O11" s="356" t="s">
        <v>554</v>
      </c>
      <c r="P11" s="356" t="s">
        <v>536</v>
      </c>
      <c r="Q11" s="356" t="s">
        <v>537</v>
      </c>
      <c r="R11" s="356" t="s">
        <v>582</v>
      </c>
      <c r="S11" s="357" t="s">
        <v>585</v>
      </c>
      <c r="T11" s="357" t="s">
        <v>538</v>
      </c>
      <c r="U11" s="356" t="s">
        <v>534</v>
      </c>
      <c r="V11" s="356" t="s">
        <v>535</v>
      </c>
      <c r="W11" s="220" t="s">
        <v>539</v>
      </c>
      <c r="X11" s="220" t="s">
        <v>593</v>
      </c>
      <c r="Y11" s="357" t="s">
        <v>540</v>
      </c>
      <c r="Z11" s="357" t="s">
        <v>612</v>
      </c>
      <c r="AA11" s="356" t="s">
        <v>553</v>
      </c>
      <c r="AB11" s="356" t="s">
        <v>553</v>
      </c>
      <c r="AC11" s="357"/>
      <c r="AD11" s="220"/>
      <c r="AE11" s="464"/>
      <c r="AF11" s="303"/>
      <c r="AG11" s="303"/>
      <c r="AH11" s="303"/>
      <c r="AI11" s="303"/>
      <c r="AJ11" s="303"/>
      <c r="AK11" s="303"/>
      <c r="AL11" s="303"/>
      <c r="AM11" s="303"/>
      <c r="AN11" s="303"/>
      <c r="AO11" s="303"/>
      <c r="AP11" s="303"/>
    </row>
    <row r="12" spans="1:42" s="355" customFormat="1" ht="5.25" customHeight="1">
      <c r="B12" s="358"/>
      <c r="E12" s="356"/>
      <c r="F12" s="356"/>
      <c r="G12" s="356"/>
      <c r="H12" s="356"/>
      <c r="I12" s="356"/>
      <c r="J12" s="357"/>
      <c r="K12" s="356"/>
      <c r="L12" s="356"/>
      <c r="M12" s="356"/>
      <c r="N12" s="356"/>
      <c r="O12" s="356"/>
      <c r="P12" s="356"/>
      <c r="Q12" s="356"/>
      <c r="R12" s="356"/>
      <c r="S12" s="357"/>
      <c r="T12" s="357"/>
      <c r="U12" s="356"/>
      <c r="V12" s="356"/>
      <c r="W12" s="220"/>
      <c r="X12" s="220"/>
      <c r="Y12" s="356"/>
      <c r="Z12" s="357"/>
      <c r="AA12" s="356"/>
      <c r="AB12" s="356"/>
      <c r="AC12" s="357"/>
      <c r="AD12" s="220"/>
      <c r="AE12" s="464"/>
      <c r="AF12" s="303"/>
      <c r="AG12" s="303"/>
      <c r="AH12" s="303"/>
      <c r="AI12" s="303"/>
      <c r="AJ12" s="303"/>
      <c r="AK12" s="303"/>
      <c r="AL12" s="303"/>
      <c r="AM12" s="303"/>
      <c r="AN12" s="303"/>
      <c r="AO12" s="303"/>
      <c r="AP12" s="303"/>
    </row>
    <row r="13" spans="1:42">
      <c r="B13" s="303" t="s">
        <v>152</v>
      </c>
      <c r="W13" s="339"/>
      <c r="X13" s="339"/>
      <c r="Y13" s="339"/>
      <c r="Z13" s="339"/>
      <c r="AD13" s="339"/>
      <c r="AE13" s="432"/>
    </row>
    <row r="14" spans="1:42" s="317" customFormat="1">
      <c r="A14" s="316">
        <v>1</v>
      </c>
      <c r="B14" s="317" t="s">
        <v>153</v>
      </c>
      <c r="E14" s="346">
        <f>'ROO INPUT'!F14</f>
        <v>516333</v>
      </c>
      <c r="F14" s="354">
        <v>0</v>
      </c>
      <c r="G14" s="354">
        <v>0</v>
      </c>
      <c r="H14" s="354">
        <v>0</v>
      </c>
      <c r="I14" s="354">
        <v>-17807</v>
      </c>
      <c r="J14" s="354">
        <v>0</v>
      </c>
      <c r="K14" s="354">
        <v>0</v>
      </c>
      <c r="L14" s="354">
        <v>0</v>
      </c>
      <c r="M14" s="354">
        <v>0</v>
      </c>
      <c r="N14" s="354">
        <v>0</v>
      </c>
      <c r="O14" s="354">
        <v>0</v>
      </c>
      <c r="P14" s="354">
        <v>0</v>
      </c>
      <c r="Q14" s="354">
        <v>0</v>
      </c>
      <c r="R14" s="354">
        <v>7392</v>
      </c>
      <c r="S14" s="354">
        <v>-18203</v>
      </c>
      <c r="T14" s="354">
        <v>0</v>
      </c>
      <c r="U14" s="354">
        <v>4698</v>
      </c>
      <c r="V14" s="354">
        <v>0</v>
      </c>
      <c r="W14" s="354">
        <v>0</v>
      </c>
      <c r="X14" s="354">
        <v>0</v>
      </c>
      <c r="Y14" s="354">
        <v>0</v>
      </c>
      <c r="Z14" s="354">
        <v>0</v>
      </c>
      <c r="AA14" s="354">
        <v>0</v>
      </c>
      <c r="AB14" s="354">
        <v>0</v>
      </c>
      <c r="AC14" s="188">
        <f>SUM(E14:AB14)</f>
        <v>492413</v>
      </c>
      <c r="AD14" s="354">
        <v>-92915</v>
      </c>
      <c r="AE14" s="460">
        <f t="shared" ref="AE14:AE19" si="9">SUM(AC14:AD14)</f>
        <v>399498</v>
      </c>
      <c r="AF14" s="303"/>
      <c r="AG14" s="303"/>
      <c r="AH14" s="303"/>
      <c r="AI14" s="303"/>
      <c r="AJ14" s="303"/>
      <c r="AK14" s="303"/>
      <c r="AL14" s="303"/>
      <c r="AM14" s="303"/>
      <c r="AN14" s="303"/>
      <c r="AO14" s="303"/>
      <c r="AP14" s="303"/>
    </row>
    <row r="15" spans="1:42" s="318" customFormat="1">
      <c r="A15" s="316">
        <v>2</v>
      </c>
      <c r="B15" s="318" t="s">
        <v>154</v>
      </c>
      <c r="E15" s="321" t="s">
        <v>892</v>
      </c>
      <c r="F15" s="329">
        <v>0</v>
      </c>
      <c r="G15" s="329">
        <v>0</v>
      </c>
      <c r="H15" s="329">
        <v>0</v>
      </c>
      <c r="I15" s="329">
        <v>0</v>
      </c>
      <c r="J15" s="330">
        <v>0</v>
      </c>
      <c r="K15" s="329">
        <v>0</v>
      </c>
      <c r="L15" s="329">
        <v>0</v>
      </c>
      <c r="M15" s="329">
        <v>0</v>
      </c>
      <c r="N15" s="329">
        <v>0</v>
      </c>
      <c r="O15" s="329">
        <v>0</v>
      </c>
      <c r="P15" s="329">
        <v>0</v>
      </c>
      <c r="Q15" s="329">
        <v>0</v>
      </c>
      <c r="R15" s="329">
        <v>0</v>
      </c>
      <c r="S15" s="330">
        <v>0</v>
      </c>
      <c r="T15" s="330">
        <v>0</v>
      </c>
      <c r="U15" s="329" t="s">
        <v>551</v>
      </c>
      <c r="V15" s="329">
        <v>0</v>
      </c>
      <c r="W15" s="339">
        <v>0</v>
      </c>
      <c r="X15" s="339">
        <v>0</v>
      </c>
      <c r="Y15" s="330">
        <v>0</v>
      </c>
      <c r="Z15" s="330">
        <v>0</v>
      </c>
      <c r="AA15" s="330">
        <v>0</v>
      </c>
      <c r="AB15" s="329">
        <v>0</v>
      </c>
      <c r="AC15" s="328">
        <f>SUM(E15:AB15)</f>
        <v>0</v>
      </c>
      <c r="AD15" s="339">
        <v>0</v>
      </c>
      <c r="AE15" s="432">
        <f t="shared" si="9"/>
        <v>0</v>
      </c>
      <c r="AF15" s="303"/>
      <c r="AG15" s="303"/>
      <c r="AH15" s="303"/>
      <c r="AI15" s="303"/>
      <c r="AJ15" s="303"/>
      <c r="AK15" s="303"/>
      <c r="AL15" s="303"/>
      <c r="AM15" s="303"/>
      <c r="AN15" s="303"/>
      <c r="AO15" s="303"/>
      <c r="AP15" s="303"/>
    </row>
    <row r="16" spans="1:42" s="318" customFormat="1">
      <c r="A16" s="316">
        <v>3</v>
      </c>
      <c r="B16" s="318" t="s">
        <v>155</v>
      </c>
      <c r="E16" s="351">
        <f>'ROO INPUT'!F16</f>
        <v>78098</v>
      </c>
      <c r="F16" s="341">
        <v>0</v>
      </c>
      <c r="G16" s="341">
        <v>0</v>
      </c>
      <c r="H16" s="341">
        <v>0</v>
      </c>
      <c r="I16" s="341">
        <v>0</v>
      </c>
      <c r="J16" s="340">
        <v>0</v>
      </c>
      <c r="K16" s="341">
        <v>0</v>
      </c>
      <c r="L16" s="341">
        <v>0</v>
      </c>
      <c r="M16" s="341">
        <v>0</v>
      </c>
      <c r="N16" s="341">
        <v>0</v>
      </c>
      <c r="O16" s="341">
        <v>0</v>
      </c>
      <c r="P16" s="341">
        <v>0</v>
      </c>
      <c r="Q16" s="341">
        <v>0</v>
      </c>
      <c r="R16" s="341">
        <v>0</v>
      </c>
      <c r="S16" s="340">
        <v>0</v>
      </c>
      <c r="T16" s="340">
        <v>0</v>
      </c>
      <c r="U16" s="341">
        <v>0</v>
      </c>
      <c r="V16" s="341">
        <v>0</v>
      </c>
      <c r="W16" s="340">
        <v>0</v>
      </c>
      <c r="X16" s="340">
        <v>0</v>
      </c>
      <c r="Y16" s="340">
        <v>0</v>
      </c>
      <c r="Z16" s="340">
        <v>-20773</v>
      </c>
      <c r="AA16" s="340">
        <v>0</v>
      </c>
      <c r="AB16" s="341">
        <v>0</v>
      </c>
      <c r="AC16" s="135">
        <f>SUM(E16:AB16)</f>
        <v>57325</v>
      </c>
      <c r="AD16" s="340">
        <v>-57325</v>
      </c>
      <c r="AE16" s="433">
        <f t="shared" si="9"/>
        <v>0</v>
      </c>
      <c r="AF16" s="303"/>
      <c r="AG16" s="303"/>
      <c r="AH16" s="303"/>
      <c r="AI16" s="303"/>
      <c r="AJ16" s="303"/>
      <c r="AK16" s="303"/>
      <c r="AL16" s="303"/>
      <c r="AM16" s="303"/>
      <c r="AN16" s="303"/>
      <c r="AO16" s="303"/>
      <c r="AP16" s="303"/>
    </row>
    <row r="17" spans="1:42" s="318" customFormat="1">
      <c r="A17" s="316">
        <v>4</v>
      </c>
      <c r="B17" s="318" t="s">
        <v>156</v>
      </c>
      <c r="E17" s="321">
        <f t="shared" ref="E17:AC17" si="10">SUM(E14:E16)</f>
        <v>594431</v>
      </c>
      <c r="F17" s="329">
        <f t="shared" si="10"/>
        <v>0</v>
      </c>
      <c r="G17" s="329">
        <f t="shared" si="10"/>
        <v>0</v>
      </c>
      <c r="H17" s="329">
        <f t="shared" si="10"/>
        <v>0</v>
      </c>
      <c r="I17" s="329">
        <f t="shared" si="10"/>
        <v>-17807</v>
      </c>
      <c r="J17" s="330">
        <f t="shared" ref="J17" si="11">SUM(J14:J16)</f>
        <v>0</v>
      </c>
      <c r="K17" s="329">
        <f t="shared" si="10"/>
        <v>0</v>
      </c>
      <c r="L17" s="329">
        <f t="shared" si="10"/>
        <v>0</v>
      </c>
      <c r="M17" s="329">
        <f t="shared" si="10"/>
        <v>0</v>
      </c>
      <c r="N17" s="329">
        <f t="shared" si="10"/>
        <v>0</v>
      </c>
      <c r="O17" s="329">
        <f t="shared" si="10"/>
        <v>0</v>
      </c>
      <c r="P17" s="329">
        <f t="shared" si="10"/>
        <v>0</v>
      </c>
      <c r="Q17" s="329">
        <f t="shared" si="10"/>
        <v>0</v>
      </c>
      <c r="R17" s="329">
        <f t="shared" si="10"/>
        <v>7392</v>
      </c>
      <c r="S17" s="330">
        <f t="shared" ref="S17" si="12">SUM(S14:S16)</f>
        <v>-18203</v>
      </c>
      <c r="T17" s="330">
        <f>SUM(T14:T16)</f>
        <v>0</v>
      </c>
      <c r="U17" s="329">
        <f>SUM(U14:U16)</f>
        <v>4698</v>
      </c>
      <c r="V17" s="329">
        <f>SUM(V14:V16)</f>
        <v>0</v>
      </c>
      <c r="W17" s="339">
        <f t="shared" ref="W17" si="13">SUM(W14:W16)</f>
        <v>0</v>
      </c>
      <c r="X17" s="339">
        <f t="shared" ref="X17" si="14">SUM(X14:X16)</f>
        <v>0</v>
      </c>
      <c r="Y17" s="330">
        <f>SUM(Y14:Y16)</f>
        <v>0</v>
      </c>
      <c r="Z17" s="330">
        <f t="shared" ref="Z17" si="15">SUM(Z14:Z16)</f>
        <v>-20773</v>
      </c>
      <c r="AA17" s="330">
        <f>SUM(AA14:AA16)</f>
        <v>0</v>
      </c>
      <c r="AB17" s="329">
        <f>SUM(AB14:AB16)</f>
        <v>0</v>
      </c>
      <c r="AC17" s="328">
        <f t="shared" si="10"/>
        <v>549738</v>
      </c>
      <c r="AD17" s="339">
        <f t="shared" ref="AD17" si="16">SUM(AD14:AD16)</f>
        <v>-150240</v>
      </c>
      <c r="AE17" s="432">
        <f t="shared" si="9"/>
        <v>399498</v>
      </c>
      <c r="AF17" s="303"/>
      <c r="AG17" s="303"/>
      <c r="AH17" s="303"/>
      <c r="AI17" s="303"/>
      <c r="AJ17" s="303"/>
      <c r="AK17" s="303"/>
      <c r="AL17" s="303"/>
      <c r="AM17" s="303"/>
      <c r="AN17" s="303"/>
      <c r="AO17" s="303"/>
      <c r="AP17" s="303"/>
    </row>
    <row r="18" spans="1:42" s="318" customFormat="1">
      <c r="A18" s="316">
        <v>5</v>
      </c>
      <c r="B18" s="318" t="s">
        <v>157</v>
      </c>
      <c r="E18" s="351">
        <f>'ROO INPUT'!F18</f>
        <v>81735</v>
      </c>
      <c r="F18" s="341">
        <v>0</v>
      </c>
      <c r="G18" s="341">
        <v>0</v>
      </c>
      <c r="H18" s="341">
        <v>0</v>
      </c>
      <c r="I18" s="341">
        <v>-14</v>
      </c>
      <c r="J18" s="340">
        <v>0</v>
      </c>
      <c r="K18" s="341">
        <v>0</v>
      </c>
      <c r="L18" s="341">
        <v>0</v>
      </c>
      <c r="M18" s="341">
        <v>0</v>
      </c>
      <c r="N18" s="341">
        <v>0</v>
      </c>
      <c r="O18" s="341">
        <v>0</v>
      </c>
      <c r="P18" s="341">
        <v>0</v>
      </c>
      <c r="Q18" s="341">
        <v>0</v>
      </c>
      <c r="R18" s="341">
        <v>-5775</v>
      </c>
      <c r="S18" s="340">
        <v>684</v>
      </c>
      <c r="T18" s="340">
        <v>-2566</v>
      </c>
      <c r="U18" s="341">
        <v>0</v>
      </c>
      <c r="V18" s="341">
        <v>0</v>
      </c>
      <c r="W18" s="340">
        <v>0</v>
      </c>
      <c r="X18" s="340">
        <v>0</v>
      </c>
      <c r="Y18" s="340">
        <v>0</v>
      </c>
      <c r="Z18" s="340">
        <f>-77721-Z16</f>
        <v>-56948</v>
      </c>
      <c r="AA18" s="340">
        <v>0</v>
      </c>
      <c r="AB18" s="341">
        <v>0</v>
      </c>
      <c r="AC18" s="135">
        <f>SUM(E18:AB18)</f>
        <v>17116</v>
      </c>
      <c r="AD18" s="340">
        <v>-10225</v>
      </c>
      <c r="AE18" s="433">
        <f t="shared" si="9"/>
        <v>6891</v>
      </c>
      <c r="AF18" s="303"/>
      <c r="AG18" s="303"/>
      <c r="AH18" s="303"/>
      <c r="AI18" s="303"/>
      <c r="AJ18" s="303"/>
      <c r="AK18" s="303"/>
      <c r="AL18" s="303"/>
      <c r="AM18" s="303"/>
      <c r="AN18" s="303"/>
      <c r="AO18" s="303"/>
      <c r="AP18" s="303"/>
    </row>
    <row r="19" spans="1:42" s="318" customFormat="1">
      <c r="A19" s="316">
        <v>6</v>
      </c>
      <c r="B19" s="318" t="s">
        <v>158</v>
      </c>
      <c r="E19" s="321">
        <f t="shared" ref="E19:AC19" si="17">SUM(E17:E18)</f>
        <v>676166</v>
      </c>
      <c r="F19" s="329">
        <f t="shared" si="17"/>
        <v>0</v>
      </c>
      <c r="G19" s="329">
        <f t="shared" si="17"/>
        <v>0</v>
      </c>
      <c r="H19" s="823">
        <f t="shared" si="17"/>
        <v>0</v>
      </c>
      <c r="I19" s="329">
        <f t="shared" si="17"/>
        <v>-17821</v>
      </c>
      <c r="J19" s="330">
        <f t="shared" ref="J19" si="18">SUM(J17:J18)</f>
        <v>0</v>
      </c>
      <c r="K19" s="329">
        <f t="shared" si="17"/>
        <v>0</v>
      </c>
      <c r="L19" s="329">
        <f t="shared" si="17"/>
        <v>0</v>
      </c>
      <c r="M19" s="329">
        <f t="shared" si="17"/>
        <v>0</v>
      </c>
      <c r="N19" s="329">
        <f t="shared" si="17"/>
        <v>0</v>
      </c>
      <c r="O19" s="329">
        <f t="shared" si="17"/>
        <v>0</v>
      </c>
      <c r="P19" s="329">
        <f t="shared" si="17"/>
        <v>0</v>
      </c>
      <c r="Q19" s="329">
        <f t="shared" si="17"/>
        <v>0</v>
      </c>
      <c r="R19" s="329">
        <f t="shared" si="17"/>
        <v>1617</v>
      </c>
      <c r="S19" s="330">
        <f t="shared" ref="S19" si="19">SUM(S17:S18)</f>
        <v>-17519</v>
      </c>
      <c r="T19" s="330">
        <f>SUM(T17:T18)</f>
        <v>-2566</v>
      </c>
      <c r="U19" s="329">
        <f>SUM(U17:U18)</f>
        <v>4698</v>
      </c>
      <c r="V19" s="329">
        <f>SUM(V17:V18)</f>
        <v>0</v>
      </c>
      <c r="W19" s="339">
        <f t="shared" ref="W19:X19" si="20">SUM(W17:W18)</f>
        <v>0</v>
      </c>
      <c r="X19" s="339">
        <f t="shared" si="20"/>
        <v>0</v>
      </c>
      <c r="Y19" s="330">
        <f>SUM(Y17:Y18)</f>
        <v>0</v>
      </c>
      <c r="Z19" s="330">
        <f t="shared" ref="Z19" si="21">SUM(Z17:Z18)</f>
        <v>-77721</v>
      </c>
      <c r="AA19" s="330">
        <f>SUM(AA17:AA18)</f>
        <v>0</v>
      </c>
      <c r="AB19" s="329">
        <f>SUM(AB17:AB18)</f>
        <v>0</v>
      </c>
      <c r="AC19" s="328">
        <f t="shared" si="17"/>
        <v>566854</v>
      </c>
      <c r="AD19" s="339">
        <f t="shared" ref="AD19" si="22">SUM(AD17:AD18)</f>
        <v>-160465</v>
      </c>
      <c r="AE19" s="432">
        <f t="shared" si="9"/>
        <v>406389</v>
      </c>
      <c r="AF19" s="303"/>
      <c r="AG19" s="303"/>
      <c r="AH19" s="303"/>
      <c r="AI19" s="303"/>
      <c r="AJ19" s="303"/>
      <c r="AK19" s="303"/>
      <c r="AL19" s="303"/>
      <c r="AM19" s="303"/>
      <c r="AN19" s="303"/>
      <c r="AO19" s="303"/>
      <c r="AP19" s="303"/>
    </row>
    <row r="20" spans="1:42" s="318" customFormat="1">
      <c r="A20" s="316"/>
      <c r="E20" s="321"/>
      <c r="F20" s="329"/>
      <c r="G20" s="329"/>
      <c r="H20" s="823"/>
      <c r="I20" s="329"/>
      <c r="J20" s="330"/>
      <c r="K20" s="329"/>
      <c r="L20" s="329"/>
      <c r="M20" s="329"/>
      <c r="N20" s="329"/>
      <c r="O20" s="329"/>
      <c r="P20" s="329"/>
      <c r="Q20" s="329"/>
      <c r="R20" s="329"/>
      <c r="S20" s="330"/>
      <c r="T20" s="330"/>
      <c r="U20" s="329"/>
      <c r="V20" s="329"/>
      <c r="W20" s="339"/>
      <c r="X20" s="339"/>
      <c r="Y20" s="330"/>
      <c r="Z20" s="330"/>
      <c r="AA20" s="330"/>
      <c r="AB20" s="329"/>
      <c r="AC20" s="328"/>
      <c r="AD20" s="339"/>
      <c r="AE20" s="432"/>
      <c r="AF20" s="303"/>
      <c r="AG20" s="303"/>
      <c r="AH20" s="303"/>
      <c r="AI20" s="303"/>
      <c r="AJ20" s="303"/>
      <c r="AK20" s="303"/>
      <c r="AL20" s="303"/>
      <c r="AM20" s="303"/>
      <c r="AN20" s="303"/>
      <c r="AO20" s="303"/>
      <c r="AP20" s="303"/>
    </row>
    <row r="21" spans="1:42" s="318" customFormat="1">
      <c r="A21" s="316"/>
      <c r="B21" s="318" t="s">
        <v>159</v>
      </c>
      <c r="E21" s="321"/>
      <c r="F21" s="329"/>
      <c r="G21" s="329"/>
      <c r="H21" s="329"/>
      <c r="I21" s="329"/>
      <c r="J21" s="330"/>
      <c r="K21" s="329"/>
      <c r="L21" s="329"/>
      <c r="M21" s="329"/>
      <c r="N21" s="329"/>
      <c r="O21" s="329"/>
      <c r="P21" s="329"/>
      <c r="Q21" s="329"/>
      <c r="R21" s="329"/>
      <c r="S21" s="330"/>
      <c r="T21" s="330"/>
      <c r="U21" s="329"/>
      <c r="V21" s="329"/>
      <c r="W21" s="339"/>
      <c r="X21" s="339"/>
      <c r="Y21" s="330"/>
      <c r="Z21" s="330"/>
      <c r="AA21" s="330"/>
      <c r="AB21" s="329"/>
      <c r="AC21" s="328"/>
      <c r="AD21" s="339"/>
      <c r="AE21" s="432"/>
      <c r="AF21" s="303"/>
      <c r="AG21" s="303"/>
      <c r="AH21" s="303"/>
      <c r="AI21" s="303"/>
      <c r="AJ21" s="303"/>
      <c r="AK21" s="303"/>
      <c r="AL21" s="303"/>
      <c r="AM21" s="303"/>
      <c r="AN21" s="303"/>
      <c r="AO21" s="303"/>
      <c r="AP21" s="303"/>
    </row>
    <row r="22" spans="1:42" s="318" customFormat="1">
      <c r="A22" s="316"/>
      <c r="B22" s="318" t="s">
        <v>160</v>
      </c>
      <c r="E22" s="321"/>
      <c r="F22" s="329"/>
      <c r="G22" s="329"/>
      <c r="H22" s="329"/>
      <c r="I22" s="329"/>
      <c r="J22" s="330"/>
      <c r="K22" s="329"/>
      <c r="L22" s="329"/>
      <c r="M22" s="329"/>
      <c r="N22" s="329"/>
      <c r="O22" s="329"/>
      <c r="P22" s="329"/>
      <c r="Q22" s="329"/>
      <c r="R22" s="329"/>
      <c r="S22" s="330"/>
      <c r="T22" s="330"/>
      <c r="U22" s="329"/>
      <c r="V22" s="329"/>
      <c r="W22" s="339"/>
      <c r="X22" s="339"/>
      <c r="Y22" s="330"/>
      <c r="Z22" s="330"/>
      <c r="AA22" s="330"/>
      <c r="AB22" s="329"/>
      <c r="AC22" s="328"/>
      <c r="AD22" s="339"/>
      <c r="AE22" s="432">
        <f t="shared" ref="AE22:AE28" si="23">SUM(AC22:AD22)</f>
        <v>0</v>
      </c>
      <c r="AF22" s="303"/>
      <c r="AG22" s="303"/>
      <c r="AH22" s="303"/>
      <c r="AI22" s="303"/>
      <c r="AJ22" s="303"/>
      <c r="AK22" s="303"/>
      <c r="AL22" s="303"/>
      <c r="AM22" s="303"/>
      <c r="AN22" s="303"/>
      <c r="AO22" s="303"/>
      <c r="AP22" s="303"/>
    </row>
    <row r="23" spans="1:42" s="318" customFormat="1">
      <c r="A23" s="316">
        <v>7</v>
      </c>
      <c r="C23" s="318" t="s">
        <v>161</v>
      </c>
      <c r="E23" s="321">
        <f>'ROO INPUT'!F23</f>
        <v>184672</v>
      </c>
      <c r="F23" s="329">
        <v>0</v>
      </c>
      <c r="G23" s="329">
        <v>4</v>
      </c>
      <c r="H23" s="329">
        <v>0</v>
      </c>
      <c r="I23" s="329">
        <v>0</v>
      </c>
      <c r="J23" s="330">
        <v>0</v>
      </c>
      <c r="K23" s="329">
        <v>0</v>
      </c>
      <c r="L23" s="329">
        <v>0</v>
      </c>
      <c r="M23" s="329">
        <v>0</v>
      </c>
      <c r="N23" s="329">
        <v>0</v>
      </c>
      <c r="O23" s="329">
        <v>0</v>
      </c>
      <c r="P23" s="329">
        <v>0</v>
      </c>
      <c r="Q23" s="329">
        <v>0</v>
      </c>
      <c r="R23" s="329">
        <v>0</v>
      </c>
      <c r="S23" s="330">
        <v>-383</v>
      </c>
      <c r="T23" s="330">
        <v>-5</v>
      </c>
      <c r="U23" s="329">
        <v>-2270</v>
      </c>
      <c r="V23" s="329">
        <v>-4</v>
      </c>
      <c r="W23" s="339">
        <v>0</v>
      </c>
      <c r="X23" s="339">
        <v>-1174</v>
      </c>
      <c r="Y23" s="330">
        <v>0</v>
      </c>
      <c r="Z23" s="330">
        <f>-65881-Z24</f>
        <v>-46240</v>
      </c>
      <c r="AA23" s="330">
        <v>0</v>
      </c>
      <c r="AB23" s="329">
        <v>0</v>
      </c>
      <c r="AC23" s="328">
        <f>SUM(E23:AB23)</f>
        <v>134600</v>
      </c>
      <c r="AD23" s="339">
        <f>-156093-AD24</f>
        <v>-78962</v>
      </c>
      <c r="AE23" s="432">
        <f t="shared" si="23"/>
        <v>55638</v>
      </c>
      <c r="AF23" s="303"/>
      <c r="AG23" s="303"/>
      <c r="AH23" s="303"/>
      <c r="AI23" s="303"/>
      <c r="AJ23" s="303"/>
      <c r="AK23" s="303"/>
      <c r="AL23" s="303"/>
      <c r="AM23" s="303"/>
      <c r="AN23" s="303"/>
      <c r="AO23" s="303"/>
      <c r="AP23" s="303"/>
    </row>
    <row r="24" spans="1:42" s="318" customFormat="1">
      <c r="A24" s="316">
        <v>8</v>
      </c>
      <c r="C24" s="318" t="s">
        <v>162</v>
      </c>
      <c r="E24" s="321">
        <f>'ROO INPUT'!F24</f>
        <v>96772</v>
      </c>
      <c r="F24" s="329">
        <v>0</v>
      </c>
      <c r="G24" s="329"/>
      <c r="H24" s="329">
        <v>0</v>
      </c>
      <c r="I24" s="329">
        <v>0</v>
      </c>
      <c r="J24" s="330">
        <v>0</v>
      </c>
      <c r="K24" s="329">
        <v>0</v>
      </c>
      <c r="L24" s="329">
        <v>0</v>
      </c>
      <c r="M24" s="329">
        <v>0</v>
      </c>
      <c r="N24" s="329">
        <v>0</v>
      </c>
      <c r="O24" s="329">
        <v>0</v>
      </c>
      <c r="P24" s="329">
        <v>0</v>
      </c>
      <c r="Q24" s="329">
        <v>0</v>
      </c>
      <c r="R24" s="329">
        <v>0</v>
      </c>
      <c r="S24" s="330">
        <v>0</v>
      </c>
      <c r="T24" s="330">
        <v>0</v>
      </c>
      <c r="U24" s="329">
        <v>0</v>
      </c>
      <c r="V24" s="329">
        <v>0</v>
      </c>
      <c r="W24" s="339">
        <v>0</v>
      </c>
      <c r="X24" s="339">
        <v>0</v>
      </c>
      <c r="Y24" s="330">
        <v>0</v>
      </c>
      <c r="Z24" s="330">
        <v>-19641</v>
      </c>
      <c r="AA24" s="330">
        <v>0</v>
      </c>
      <c r="AB24" s="329">
        <v>0</v>
      </c>
      <c r="AC24" s="328">
        <f>SUM(E24:AB24)</f>
        <v>77131</v>
      </c>
      <c r="AD24" s="339">
        <v>-77131</v>
      </c>
      <c r="AE24" s="432">
        <f t="shared" si="23"/>
        <v>0</v>
      </c>
      <c r="AF24" s="303"/>
      <c r="AG24" s="303"/>
      <c r="AH24" s="303"/>
      <c r="AI24" s="303"/>
      <c r="AJ24" s="303"/>
      <c r="AK24" s="303"/>
      <c r="AL24" s="303"/>
      <c r="AM24" s="303"/>
      <c r="AN24" s="303"/>
      <c r="AO24" s="303"/>
      <c r="AP24" s="303"/>
    </row>
    <row r="25" spans="1:42" s="318" customFormat="1">
      <c r="A25" s="316">
        <v>9</v>
      </c>
      <c r="C25" s="318" t="s">
        <v>509</v>
      </c>
      <c r="E25" s="321">
        <f>'ROO INPUT'!F25</f>
        <v>26677</v>
      </c>
      <c r="F25" s="329">
        <v>0</v>
      </c>
      <c r="G25" s="329">
        <v>0</v>
      </c>
      <c r="H25" s="329">
        <v>0</v>
      </c>
      <c r="I25" s="329">
        <v>0</v>
      </c>
      <c r="J25" s="330">
        <v>0</v>
      </c>
      <c r="K25" s="329">
        <v>0</v>
      </c>
      <c r="L25" s="321">
        <f>'ROO INPUT'!M25</f>
        <v>0</v>
      </c>
      <c r="M25" s="329">
        <v>0</v>
      </c>
      <c r="N25" s="329">
        <v>0</v>
      </c>
      <c r="O25" s="329">
        <v>0</v>
      </c>
      <c r="P25" s="329">
        <v>0</v>
      </c>
      <c r="Q25" s="329">
        <v>0</v>
      </c>
      <c r="R25" s="329">
        <v>0</v>
      </c>
      <c r="S25" s="330">
        <v>0</v>
      </c>
      <c r="T25" s="330">
        <v>0</v>
      </c>
      <c r="U25" s="329">
        <v>0</v>
      </c>
      <c r="V25" s="329">
        <v>0</v>
      </c>
      <c r="W25" s="339">
        <v>0</v>
      </c>
      <c r="X25" s="339">
        <v>0</v>
      </c>
      <c r="Y25" s="330">
        <v>0</v>
      </c>
      <c r="Z25" s="330">
        <v>0</v>
      </c>
      <c r="AA25" s="330">
        <v>0</v>
      </c>
      <c r="AB25" s="329">
        <v>0</v>
      </c>
      <c r="AC25" s="328">
        <f>SUM(E25:AB25)</f>
        <v>26677</v>
      </c>
      <c r="AD25" s="339">
        <v>0</v>
      </c>
      <c r="AE25" s="432">
        <f t="shared" si="23"/>
        <v>26677</v>
      </c>
      <c r="AF25" s="303"/>
      <c r="AG25" s="303"/>
      <c r="AH25" s="303"/>
      <c r="AI25" s="303"/>
      <c r="AJ25" s="303"/>
      <c r="AK25" s="303"/>
      <c r="AL25" s="303"/>
      <c r="AM25" s="303"/>
      <c r="AN25" s="303"/>
      <c r="AO25" s="303"/>
      <c r="AP25" s="303"/>
    </row>
    <row r="26" spans="1:42" s="318" customFormat="1" ht="12.75" thickBot="1">
      <c r="A26" s="316">
        <v>10</v>
      </c>
      <c r="C26" s="321" t="s">
        <v>505</v>
      </c>
      <c r="D26" s="321"/>
      <c r="E26" s="321">
        <f>'ROO INPUT'!F26</f>
        <v>4310</v>
      </c>
      <c r="F26" s="330">
        <v>0</v>
      </c>
      <c r="G26" s="330">
        <v>0</v>
      </c>
      <c r="H26" s="330">
        <v>0</v>
      </c>
      <c r="I26" s="330">
        <v>0</v>
      </c>
      <c r="J26" s="330">
        <v>0</v>
      </c>
      <c r="K26" s="330">
        <v>0</v>
      </c>
      <c r="L26" s="330">
        <v>0</v>
      </c>
      <c r="M26" s="330">
        <v>0</v>
      </c>
      <c r="N26" s="330">
        <v>0</v>
      </c>
      <c r="O26" s="330">
        <v>0</v>
      </c>
      <c r="P26" s="330">
        <v>0</v>
      </c>
      <c r="Q26" s="330">
        <v>0</v>
      </c>
      <c r="R26" s="330">
        <v>0</v>
      </c>
      <c r="S26" s="330">
        <v>395</v>
      </c>
      <c r="T26" s="330">
        <v>0</v>
      </c>
      <c r="U26" s="330">
        <v>0</v>
      </c>
      <c r="V26" s="330">
        <v>0</v>
      </c>
      <c r="W26" s="339">
        <v>0</v>
      </c>
      <c r="X26" s="339">
        <v>0</v>
      </c>
      <c r="Y26" s="330">
        <v>0</v>
      </c>
      <c r="Z26" s="330"/>
      <c r="AA26" s="330">
        <v>0</v>
      </c>
      <c r="AB26" s="330">
        <v>0</v>
      </c>
      <c r="AC26" s="328">
        <f>SUM(E26:AB26)</f>
        <v>4705</v>
      </c>
      <c r="AD26" s="339">
        <v>0</v>
      </c>
      <c r="AE26" s="432">
        <f t="shared" si="23"/>
        <v>4705</v>
      </c>
      <c r="AF26" s="303"/>
      <c r="AG26" s="303"/>
      <c r="AH26" s="303"/>
      <c r="AI26" s="303"/>
      <c r="AJ26" s="303"/>
      <c r="AK26" s="303"/>
      <c r="AL26" s="303"/>
      <c r="AM26" s="303"/>
      <c r="AN26" s="303"/>
      <c r="AO26" s="303"/>
      <c r="AP26" s="303"/>
    </row>
    <row r="27" spans="1:42" s="318" customFormat="1" ht="13.5" thickBot="1">
      <c r="A27" s="316">
        <v>11</v>
      </c>
      <c r="C27" s="318" t="s">
        <v>163</v>
      </c>
      <c r="E27" s="351">
        <f>'ROO INPUT'!F27</f>
        <v>14904</v>
      </c>
      <c r="F27" s="341">
        <v>0</v>
      </c>
      <c r="G27" s="341">
        <v>0</v>
      </c>
      <c r="H27" s="341">
        <v>0</v>
      </c>
      <c r="I27" s="341">
        <v>0</v>
      </c>
      <c r="J27" s="340">
        <v>86</v>
      </c>
      <c r="K27" s="341">
        <v>0</v>
      </c>
      <c r="L27" s="341">
        <v>0</v>
      </c>
      <c r="M27" s="341">
        <v>0</v>
      </c>
      <c r="N27" s="341">
        <v>0</v>
      </c>
      <c r="O27" s="341">
        <v>0</v>
      </c>
      <c r="P27" s="341">
        <v>0</v>
      </c>
      <c r="Q27" s="341">
        <v>0</v>
      </c>
      <c r="R27" s="341">
        <v>0</v>
      </c>
      <c r="S27" s="340">
        <v>0</v>
      </c>
      <c r="T27" s="340">
        <v>0</v>
      </c>
      <c r="U27" s="341">
        <v>0</v>
      </c>
      <c r="V27" s="341">
        <v>0</v>
      </c>
      <c r="W27" s="340">
        <v>0</v>
      </c>
      <c r="X27" s="340">
        <v>0</v>
      </c>
      <c r="Y27" s="340">
        <v>0</v>
      </c>
      <c r="Z27" s="340">
        <v>0</v>
      </c>
      <c r="AA27" s="340">
        <v>0</v>
      </c>
      <c r="AB27" s="341">
        <v>0</v>
      </c>
      <c r="AC27" s="135">
        <f>SUM(E27:AB27)</f>
        <v>14990</v>
      </c>
      <c r="AD27" s="340">
        <v>0</v>
      </c>
      <c r="AE27" s="433">
        <f t="shared" si="23"/>
        <v>14990</v>
      </c>
      <c r="AF27" s="303"/>
      <c r="AG27" s="851" t="s">
        <v>884</v>
      </c>
      <c r="AH27" s="852"/>
      <c r="AI27" s="852"/>
      <c r="AJ27" s="852"/>
      <c r="AK27" s="852"/>
      <c r="AL27" s="852"/>
      <c r="AM27" s="853"/>
      <c r="AN27" s="303"/>
      <c r="AO27" s="303"/>
      <c r="AP27" s="303"/>
    </row>
    <row r="28" spans="1:42" s="318" customFormat="1" ht="12.75" thickBot="1">
      <c r="A28" s="316">
        <v>12</v>
      </c>
      <c r="B28" s="318" t="s">
        <v>164</v>
      </c>
      <c r="E28" s="321">
        <f t="shared" ref="E28:AC28" si="24">SUM(E23:E27)</f>
        <v>327335</v>
      </c>
      <c r="F28" s="329">
        <f t="shared" si="24"/>
        <v>0</v>
      </c>
      <c r="G28" s="329">
        <f t="shared" si="24"/>
        <v>4</v>
      </c>
      <c r="H28" s="329">
        <f t="shared" si="24"/>
        <v>0</v>
      </c>
      <c r="I28" s="329">
        <f t="shared" si="24"/>
        <v>0</v>
      </c>
      <c r="J28" s="330">
        <f t="shared" ref="J28" si="25">SUM(J23:J27)</f>
        <v>86</v>
      </c>
      <c r="K28" s="329">
        <f t="shared" si="24"/>
        <v>0</v>
      </c>
      <c r="L28" s="329">
        <f t="shared" si="24"/>
        <v>0</v>
      </c>
      <c r="M28" s="329">
        <f t="shared" si="24"/>
        <v>0</v>
      </c>
      <c r="N28" s="329">
        <f t="shared" si="24"/>
        <v>0</v>
      </c>
      <c r="O28" s="329">
        <f t="shared" si="24"/>
        <v>0</v>
      </c>
      <c r="P28" s="329">
        <f t="shared" si="24"/>
        <v>0</v>
      </c>
      <c r="Q28" s="329">
        <f t="shared" si="24"/>
        <v>0</v>
      </c>
      <c r="R28" s="329">
        <f t="shared" si="24"/>
        <v>0</v>
      </c>
      <c r="S28" s="330">
        <f t="shared" ref="S28" si="26">SUM(S23:S27)</f>
        <v>12</v>
      </c>
      <c r="T28" s="330">
        <f>SUM(T23:T27)</f>
        <v>-5</v>
      </c>
      <c r="U28" s="329">
        <f>SUM(U23:U27)</f>
        <v>-2270</v>
      </c>
      <c r="V28" s="329">
        <f>SUM(V23:V27)</f>
        <v>-4</v>
      </c>
      <c r="W28" s="339">
        <f t="shared" ref="W28" si="27">SUM(W23:W27)</f>
        <v>0</v>
      </c>
      <c r="X28" s="339">
        <f t="shared" ref="X28" si="28">SUM(X23:X27)</f>
        <v>-1174</v>
      </c>
      <c r="Y28" s="330">
        <f>SUM(Y23:Y27)</f>
        <v>0</v>
      </c>
      <c r="Z28" s="330">
        <f t="shared" ref="Z28" si="29">SUM(Z23:Z27)</f>
        <v>-65881</v>
      </c>
      <c r="AA28" s="330">
        <f>SUM(AA23:AA27)</f>
        <v>0</v>
      </c>
      <c r="AB28" s="329">
        <f>SUM(AB23:AB27)</f>
        <v>0</v>
      </c>
      <c r="AC28" s="328">
        <f t="shared" si="24"/>
        <v>258103</v>
      </c>
      <c r="AD28" s="339">
        <f t="shared" ref="AD28" si="30">SUM(AD23:AD27)</f>
        <v>-156093</v>
      </c>
      <c r="AE28" s="432">
        <f t="shared" si="23"/>
        <v>102010</v>
      </c>
      <c r="AF28" s="303"/>
      <c r="AG28" s="303"/>
      <c r="AH28" s="303"/>
      <c r="AI28" s="303"/>
      <c r="AJ28" s="303"/>
      <c r="AK28" s="303"/>
      <c r="AL28" s="303"/>
      <c r="AM28" s="303"/>
      <c r="AN28" s="303"/>
      <c r="AO28" s="303"/>
      <c r="AP28" s="303"/>
    </row>
    <row r="29" spans="1:42" s="318" customFormat="1" ht="12" customHeight="1">
      <c r="A29" s="316"/>
      <c r="E29" s="321"/>
      <c r="F29" s="329"/>
      <c r="G29" s="329"/>
      <c r="H29" s="329"/>
      <c r="I29" s="329"/>
      <c r="J29" s="330"/>
      <c r="K29" s="329"/>
      <c r="L29" s="329"/>
      <c r="M29" s="329"/>
      <c r="N29" s="329"/>
      <c r="O29" s="329"/>
      <c r="P29" s="329"/>
      <c r="Q29" s="329"/>
      <c r="R29" s="329"/>
      <c r="S29" s="330"/>
      <c r="T29" s="330"/>
      <c r="U29" s="329"/>
      <c r="V29" s="329"/>
      <c r="W29" s="339"/>
      <c r="X29" s="339"/>
      <c r="Y29" s="330"/>
      <c r="Z29" s="330"/>
      <c r="AA29" s="330"/>
      <c r="AB29" s="329"/>
      <c r="AC29" s="328"/>
      <c r="AD29" s="339"/>
      <c r="AE29" s="432"/>
      <c r="AF29" s="303"/>
      <c r="AG29" s="717"/>
      <c r="AH29" s="718" t="s">
        <v>639</v>
      </c>
      <c r="AI29" s="719"/>
      <c r="AJ29" s="719"/>
      <c r="AK29" s="719"/>
      <c r="AL29" s="719"/>
      <c r="AM29" s="720"/>
      <c r="AN29" s="303"/>
      <c r="AO29" s="303"/>
      <c r="AP29" s="303"/>
    </row>
    <row r="30" spans="1:42" s="318" customFormat="1" ht="12.75">
      <c r="A30" s="316"/>
      <c r="B30" s="318" t="s">
        <v>165</v>
      </c>
      <c r="E30" s="321"/>
      <c r="F30" s="329"/>
      <c r="G30" s="329"/>
      <c r="H30" s="329"/>
      <c r="I30" s="329"/>
      <c r="J30" s="330"/>
      <c r="K30" s="329"/>
      <c r="L30" s="329"/>
      <c r="M30" s="329"/>
      <c r="N30" s="329"/>
      <c r="O30" s="329"/>
      <c r="P30" s="329"/>
      <c r="Q30" s="329"/>
      <c r="R30" s="329"/>
      <c r="S30" s="330"/>
      <c r="T30" s="330"/>
      <c r="U30" s="329"/>
      <c r="V30" s="329"/>
      <c r="W30" s="339"/>
      <c r="X30" s="339"/>
      <c r="Y30" s="330"/>
      <c r="Z30" s="330"/>
      <c r="AA30" s="330"/>
      <c r="AB30" s="329"/>
      <c r="AC30" s="328"/>
      <c r="AD30" s="339"/>
      <c r="AE30" s="432">
        <f t="shared" ref="AE30:AE35" si="31">SUM(AC30:AD30)</f>
        <v>0</v>
      </c>
      <c r="AF30" s="303"/>
      <c r="AG30" s="711"/>
      <c r="AH30" s="491"/>
      <c r="AI30" s="492" t="s">
        <v>95</v>
      </c>
      <c r="AJ30" s="492"/>
      <c r="AK30" s="493" t="s">
        <v>96</v>
      </c>
      <c r="AL30" s="324"/>
      <c r="AM30" s="712"/>
      <c r="AN30" s="303"/>
      <c r="AO30" s="303"/>
      <c r="AP30" s="303"/>
    </row>
    <row r="31" spans="1:42" s="318" customFormat="1" ht="12.75">
      <c r="A31" s="316">
        <v>13</v>
      </c>
      <c r="C31" s="318" t="s">
        <v>161</v>
      </c>
      <c r="E31" s="325">
        <f>'ROO INPUT'!F31</f>
        <v>21420</v>
      </c>
      <c r="F31" s="329">
        <v>0</v>
      </c>
      <c r="G31" s="329">
        <v>0</v>
      </c>
      <c r="H31" s="823">
        <v>0</v>
      </c>
      <c r="I31" s="329">
        <v>0</v>
      </c>
      <c r="J31" s="330">
        <v>0</v>
      </c>
      <c r="K31" s="329">
        <v>0</v>
      </c>
      <c r="L31" s="329">
        <v>0</v>
      </c>
      <c r="M31" s="329">
        <v>0</v>
      </c>
      <c r="N31" s="329">
        <v>0</v>
      </c>
      <c r="O31" s="329">
        <v>0</v>
      </c>
      <c r="P31" s="329">
        <v>0</v>
      </c>
      <c r="Q31" s="329">
        <v>0</v>
      </c>
      <c r="R31" s="329">
        <v>0</v>
      </c>
      <c r="S31" s="330">
        <v>0</v>
      </c>
      <c r="T31" s="330">
        <v>-2</v>
      </c>
      <c r="U31" s="329">
        <v>0</v>
      </c>
      <c r="V31" s="329">
        <v>0</v>
      </c>
      <c r="W31" s="339"/>
      <c r="X31" s="339">
        <v>0</v>
      </c>
      <c r="Y31" s="330">
        <v>0</v>
      </c>
      <c r="Z31" s="330">
        <v>0</v>
      </c>
      <c r="AA31" s="330">
        <v>0</v>
      </c>
      <c r="AB31" s="329">
        <v>0</v>
      </c>
      <c r="AC31" s="328">
        <f>SUM(E31:AB31)</f>
        <v>21418</v>
      </c>
      <c r="AD31" s="339">
        <v>0</v>
      </c>
      <c r="AE31" s="432">
        <f t="shared" si="31"/>
        <v>21418</v>
      </c>
      <c r="AF31" s="303"/>
      <c r="AG31" s="711"/>
      <c r="AH31" s="494" t="s">
        <v>97</v>
      </c>
      <c r="AI31" s="488" t="s">
        <v>99</v>
      </c>
      <c r="AJ31" s="488" t="s">
        <v>100</v>
      </c>
      <c r="AK31" s="495" t="s">
        <v>100</v>
      </c>
      <c r="AL31" s="324"/>
      <c r="AM31" s="850" t="s">
        <v>643</v>
      </c>
      <c r="AN31" s="303"/>
      <c r="AO31" s="303"/>
      <c r="AP31" s="303"/>
    </row>
    <row r="32" spans="1:42" s="318" customFormat="1" ht="12.75">
      <c r="A32" s="316">
        <v>14</v>
      </c>
      <c r="C32" s="318" t="s">
        <v>508</v>
      </c>
      <c r="E32" s="325">
        <f>'ROO INPUT'!F32</f>
        <v>27913</v>
      </c>
      <c r="F32" s="329">
        <v>0</v>
      </c>
      <c r="G32" s="329">
        <v>0</v>
      </c>
      <c r="H32" s="823">
        <v>0</v>
      </c>
      <c r="I32" s="329">
        <v>0</v>
      </c>
      <c r="J32" s="330">
        <v>0</v>
      </c>
      <c r="K32" s="329">
        <v>0</v>
      </c>
      <c r="L32" s="329">
        <v>0</v>
      </c>
      <c r="M32" s="329">
        <v>0</v>
      </c>
      <c r="N32" s="329">
        <v>0</v>
      </c>
      <c r="O32" s="329">
        <v>0</v>
      </c>
      <c r="P32" s="329">
        <v>0</v>
      </c>
      <c r="Q32" s="329">
        <v>-94</v>
      </c>
      <c r="R32" s="329">
        <v>0</v>
      </c>
      <c r="S32" s="330">
        <v>0</v>
      </c>
      <c r="T32" s="330">
        <v>0</v>
      </c>
      <c r="U32" s="329">
        <v>0</v>
      </c>
      <c r="V32" s="329">
        <v>0</v>
      </c>
      <c r="W32" s="339">
        <v>0</v>
      </c>
      <c r="X32" s="339">
        <v>0</v>
      </c>
      <c r="Y32" s="330">
        <v>0</v>
      </c>
      <c r="Z32" s="330">
        <v>0</v>
      </c>
      <c r="AA32" s="330">
        <v>0</v>
      </c>
      <c r="AB32" s="329">
        <v>0</v>
      </c>
      <c r="AC32" s="328">
        <f>SUM(E32:AB32)</f>
        <v>27819</v>
      </c>
      <c r="AD32" s="339">
        <v>0</v>
      </c>
      <c r="AE32" s="432">
        <f t="shared" si="31"/>
        <v>27819</v>
      </c>
      <c r="AF32" s="303"/>
      <c r="AG32" s="711"/>
      <c r="AH32" s="496" t="s">
        <v>549</v>
      </c>
      <c r="AI32" s="489">
        <f>100%-AI33</f>
        <v>0.51500000000000001</v>
      </c>
      <c r="AJ32" s="254">
        <v>5.1999999999999998E-2</v>
      </c>
      <c r="AK32" s="497">
        <f>ROUND(AI32*AJ32,4)</f>
        <v>2.6800000000000001E-2</v>
      </c>
      <c r="AL32" s="721" t="s">
        <v>25</v>
      </c>
      <c r="AM32" s="850"/>
      <c r="AN32" s="303"/>
      <c r="AO32" s="303"/>
      <c r="AP32" s="303"/>
    </row>
    <row r="33" spans="1:42" s="318" customFormat="1" ht="12.75">
      <c r="A33" s="316">
        <v>15</v>
      </c>
      <c r="C33" s="318" t="s">
        <v>505</v>
      </c>
      <c r="E33" s="325">
        <v>0</v>
      </c>
      <c r="F33" s="329">
        <v>0</v>
      </c>
      <c r="G33" s="329">
        <v>0</v>
      </c>
      <c r="H33" s="329">
        <v>0</v>
      </c>
      <c r="I33" s="329">
        <v>0</v>
      </c>
      <c r="J33" s="330">
        <v>0</v>
      </c>
      <c r="K33" s="329">
        <v>0</v>
      </c>
      <c r="L33" s="329">
        <v>0</v>
      </c>
      <c r="M33" s="329">
        <v>0</v>
      </c>
      <c r="N33" s="329">
        <v>0</v>
      </c>
      <c r="O33" s="329">
        <v>0</v>
      </c>
      <c r="P33" s="329">
        <v>0</v>
      </c>
      <c r="Q33" s="329">
        <v>0</v>
      </c>
      <c r="R33" s="329">
        <v>0</v>
      </c>
      <c r="S33" s="330">
        <v>0</v>
      </c>
      <c r="T33" s="330">
        <v>0</v>
      </c>
      <c r="U33" s="329">
        <v>0</v>
      </c>
      <c r="V33" s="329">
        <v>0</v>
      </c>
      <c r="W33" s="339">
        <v>0</v>
      </c>
      <c r="X33" s="339">
        <v>0</v>
      </c>
      <c r="Y33" s="330">
        <v>0</v>
      </c>
      <c r="Z33" s="330">
        <v>0</v>
      </c>
      <c r="AA33" s="330">
        <v>0</v>
      </c>
      <c r="AB33" s="329">
        <v>0</v>
      </c>
      <c r="AC33" s="328">
        <f>SUM(E33:AB33)</f>
        <v>0</v>
      </c>
      <c r="AD33" s="339">
        <v>0</v>
      </c>
      <c r="AE33" s="432">
        <f t="shared" si="31"/>
        <v>0</v>
      </c>
      <c r="AF33" s="306"/>
      <c r="AG33" s="700"/>
      <c r="AH33" s="496" t="s">
        <v>9</v>
      </c>
      <c r="AI33" s="489">
        <v>0.48499999999999999</v>
      </c>
      <c r="AJ33" s="490">
        <v>9.5000000000000001E-2</v>
      </c>
      <c r="AK33" s="497">
        <f>ROUND(AI33*AJ33,4)</f>
        <v>4.6100000000000002E-2</v>
      </c>
      <c r="AL33" s="722">
        <f>0.35/0.65</f>
        <v>0.53846153846153844</v>
      </c>
      <c r="AM33" s="723">
        <f>AK33*AL33</f>
        <v>2.4823076923076923E-2</v>
      </c>
      <c r="AN33" s="502"/>
      <c r="AO33" s="502"/>
      <c r="AP33" s="502"/>
    </row>
    <row r="34" spans="1:42" s="318" customFormat="1" ht="12.75">
      <c r="A34" s="316">
        <v>16</v>
      </c>
      <c r="C34" s="318" t="s">
        <v>163</v>
      </c>
      <c r="E34" s="351">
        <f>'ROO INPUT'!F34</f>
        <v>45258</v>
      </c>
      <c r="F34" s="341">
        <v>0</v>
      </c>
      <c r="G34" s="341">
        <v>0</v>
      </c>
      <c r="H34" s="341">
        <v>0</v>
      </c>
      <c r="I34" s="341">
        <v>-17674</v>
      </c>
      <c r="J34" s="340">
        <v>-336</v>
      </c>
      <c r="K34" s="341">
        <v>0</v>
      </c>
      <c r="L34" s="341">
        <v>0</v>
      </c>
      <c r="M34" s="341">
        <v>0</v>
      </c>
      <c r="N34" s="341">
        <v>0</v>
      </c>
      <c r="O34" s="341">
        <v>0</v>
      </c>
      <c r="P34" s="341">
        <v>-62</v>
      </c>
      <c r="Q34" s="341">
        <v>0</v>
      </c>
      <c r="R34" s="341">
        <v>284</v>
      </c>
      <c r="S34" s="341">
        <f>ROUND(S$14*'CF '!$E$16,0)</f>
        <v>-700</v>
      </c>
      <c r="T34" s="341">
        <v>0</v>
      </c>
      <c r="U34" s="341">
        <f>ROUND(U$14*'CF '!$E$16,0)</f>
        <v>181</v>
      </c>
      <c r="V34" s="341">
        <v>0</v>
      </c>
      <c r="W34" s="340">
        <v>0</v>
      </c>
      <c r="X34" s="340">
        <v>0</v>
      </c>
      <c r="Y34" s="340">
        <v>0</v>
      </c>
      <c r="Z34" s="340">
        <v>0</v>
      </c>
      <c r="AA34" s="340">
        <v>0</v>
      </c>
      <c r="AB34" s="341">
        <v>0</v>
      </c>
      <c r="AC34" s="135">
        <f>SUM(E34:AB34)</f>
        <v>26951</v>
      </c>
      <c r="AD34" s="504">
        <f>$AD$14*'CF '!E16</f>
        <v>-3575.2762849999999</v>
      </c>
      <c r="AE34" s="433">
        <f t="shared" si="31"/>
        <v>23375.723715</v>
      </c>
      <c r="AF34" s="306"/>
      <c r="AG34" s="724"/>
      <c r="AH34" s="498" t="s">
        <v>104</v>
      </c>
      <c r="AI34" s="499">
        <f>SUM(AI32:AI33)</f>
        <v>1</v>
      </c>
      <c r="AJ34" s="500"/>
      <c r="AK34" s="501">
        <f>SUM(AK32:AK33)</f>
        <v>7.2900000000000006E-2</v>
      </c>
      <c r="AL34" s="722"/>
      <c r="AM34" s="725"/>
      <c r="AN34" s="306"/>
      <c r="AO34" s="306"/>
      <c r="AP34" s="306"/>
    </row>
    <row r="35" spans="1:42" s="318" customFormat="1" ht="15.75">
      <c r="A35" s="316">
        <v>17</v>
      </c>
      <c r="B35" s="318" t="s">
        <v>166</v>
      </c>
      <c r="E35" s="321">
        <f t="shared" ref="E35:AC35" si="32">SUM(E31:E34)</f>
        <v>94591</v>
      </c>
      <c r="F35" s="329">
        <f t="shared" si="32"/>
        <v>0</v>
      </c>
      <c r="G35" s="329">
        <f t="shared" si="32"/>
        <v>0</v>
      </c>
      <c r="H35" s="329">
        <f t="shared" si="32"/>
        <v>0</v>
      </c>
      <c r="I35" s="329">
        <f t="shared" si="32"/>
        <v>-17674</v>
      </c>
      <c r="J35" s="330">
        <f t="shared" ref="J35" si="33">SUM(J31:J34)</f>
        <v>-336</v>
      </c>
      <c r="K35" s="329">
        <f t="shared" si="32"/>
        <v>0</v>
      </c>
      <c r="L35" s="329">
        <f t="shared" si="32"/>
        <v>0</v>
      </c>
      <c r="M35" s="329">
        <f t="shared" si="32"/>
        <v>0</v>
      </c>
      <c r="N35" s="329">
        <f t="shared" si="32"/>
        <v>0</v>
      </c>
      <c r="O35" s="329">
        <f t="shared" si="32"/>
        <v>0</v>
      </c>
      <c r="P35" s="329">
        <f t="shared" si="32"/>
        <v>-62</v>
      </c>
      <c r="Q35" s="329">
        <f t="shared" si="32"/>
        <v>-94</v>
      </c>
      <c r="R35" s="329">
        <f t="shared" si="32"/>
        <v>284</v>
      </c>
      <c r="S35" s="330">
        <f t="shared" ref="S35" si="34">SUM(S31:S34)</f>
        <v>-700</v>
      </c>
      <c r="T35" s="330">
        <f>SUM(T31:T34)</f>
        <v>-2</v>
      </c>
      <c r="U35" s="329">
        <f>SUM(U31:U34)</f>
        <v>181</v>
      </c>
      <c r="V35" s="329">
        <f>SUM(V31:V34)</f>
        <v>0</v>
      </c>
      <c r="W35" s="339">
        <f t="shared" ref="W35" si="35">SUM(W31:W34)</f>
        <v>0</v>
      </c>
      <c r="X35" s="339">
        <f t="shared" ref="X35" si="36">SUM(X31:X34)</f>
        <v>0</v>
      </c>
      <c r="Y35" s="330">
        <f>SUM(Y31:Y34)</f>
        <v>0</v>
      </c>
      <c r="Z35" s="330">
        <f t="shared" ref="Z35" si="37">SUM(Z31:Z34)</f>
        <v>0</v>
      </c>
      <c r="AA35" s="330">
        <f>SUM(AA31:AA34)</f>
        <v>0</v>
      </c>
      <c r="AB35" s="329">
        <f>SUM(AB31:AB34)</f>
        <v>0</v>
      </c>
      <c r="AC35" s="328">
        <f t="shared" si="32"/>
        <v>76188</v>
      </c>
      <c r="AD35" s="339">
        <f t="shared" ref="AD35" si="38">SUM(AD31:AD34)</f>
        <v>-3575.2762849999999</v>
      </c>
      <c r="AE35" s="432">
        <f t="shared" si="31"/>
        <v>72612.723715</v>
      </c>
      <c r="AF35" s="306"/>
      <c r="AG35" s="724"/>
      <c r="AH35" s="312"/>
      <c r="AI35" s="312"/>
      <c r="AJ35" s="726" t="s">
        <v>831</v>
      </c>
      <c r="AK35" s="503">
        <f>AM33</f>
        <v>2.4823076923076923E-2</v>
      </c>
      <c r="AL35" s="312"/>
      <c r="AM35" s="727"/>
      <c r="AN35" s="417"/>
      <c r="AO35" s="417"/>
      <c r="AP35" s="417"/>
    </row>
    <row r="36" spans="1:42" s="318" customFormat="1" ht="13.5" customHeight="1" thickBot="1">
      <c r="E36" s="321"/>
      <c r="F36" s="329"/>
      <c r="G36" s="329"/>
      <c r="H36" s="329"/>
      <c r="I36" s="329"/>
      <c r="J36" s="330"/>
      <c r="K36" s="329"/>
      <c r="L36" s="329"/>
      <c r="M36" s="329"/>
      <c r="N36" s="329"/>
      <c r="O36" s="329"/>
      <c r="P36" s="329"/>
      <c r="Q36" s="329"/>
      <c r="R36" s="329"/>
      <c r="S36" s="330"/>
      <c r="T36" s="330"/>
      <c r="U36" s="329"/>
      <c r="V36" s="329"/>
      <c r="W36" s="339"/>
      <c r="X36" s="339"/>
      <c r="Y36" s="330"/>
      <c r="Z36" s="330"/>
      <c r="AA36" s="330"/>
      <c r="AB36" s="329"/>
      <c r="AC36" s="328"/>
      <c r="AD36" s="339"/>
      <c r="AE36" s="432"/>
      <c r="AF36" s="306"/>
      <c r="AG36" s="728"/>
      <c r="AH36" s="729"/>
      <c r="AI36" s="730"/>
      <c r="AJ36" s="731" t="s">
        <v>832</v>
      </c>
      <c r="AK36" s="757">
        <f>AK34+AK35</f>
        <v>9.7723076923076926E-2</v>
      </c>
      <c r="AL36" s="729"/>
      <c r="AM36" s="732"/>
      <c r="AN36" s="306"/>
      <c r="AO36" s="306"/>
      <c r="AP36" s="306"/>
    </row>
    <row r="37" spans="1:42" s="318" customFormat="1">
      <c r="A37" s="316">
        <v>18</v>
      </c>
      <c r="B37" s="318" t="s">
        <v>167</v>
      </c>
      <c r="E37" s="325">
        <f>'ROO INPUT'!F37</f>
        <v>11733</v>
      </c>
      <c r="F37" s="329">
        <v>0</v>
      </c>
      <c r="G37" s="329">
        <v>8</v>
      </c>
      <c r="H37" s="329">
        <v>0</v>
      </c>
      <c r="I37" s="329">
        <v>0</v>
      </c>
      <c r="J37" s="330">
        <v>0</v>
      </c>
      <c r="K37" s="329">
        <v>1321</v>
      </c>
      <c r="L37" s="329">
        <v>0</v>
      </c>
      <c r="M37" s="329">
        <v>0</v>
      </c>
      <c r="N37" s="329">
        <v>0</v>
      </c>
      <c r="O37" s="329">
        <v>0</v>
      </c>
      <c r="P37" s="329">
        <v>0</v>
      </c>
      <c r="Q37" s="329">
        <v>0</v>
      </c>
      <c r="R37" s="329">
        <f>ROUND(R$14*'CF '!$E$12,0)</f>
        <v>49</v>
      </c>
      <c r="S37" s="329">
        <f>ROUND(S$14*'CF '!$E$12,0)</f>
        <v>-120</v>
      </c>
      <c r="T37" s="329">
        <v>0</v>
      </c>
      <c r="U37" s="329">
        <f>ROUND(U$14*'CF '!$E$12,0)-1</f>
        <v>30</v>
      </c>
      <c r="V37" s="329">
        <v>0</v>
      </c>
      <c r="W37" s="339">
        <v>0</v>
      </c>
      <c r="X37" s="339">
        <v>0</v>
      </c>
      <c r="Y37" s="330">
        <v>0</v>
      </c>
      <c r="Z37" s="330">
        <v>0</v>
      </c>
      <c r="AA37" s="330">
        <v>0</v>
      </c>
      <c r="AB37" s="329"/>
      <c r="AC37" s="328">
        <f>SUM(E37:AB37)</f>
        <v>13021</v>
      </c>
      <c r="AD37" s="326">
        <f>$AD$14*'CF '!E12</f>
        <v>-611.19486999999992</v>
      </c>
      <c r="AE37" s="480">
        <f>SUM(AC37:AD37)</f>
        <v>12409.805130000001</v>
      </c>
      <c r="AF37" s="355"/>
      <c r="AG37" s="355"/>
      <c r="AH37" s="355"/>
      <c r="AI37" s="355"/>
      <c r="AJ37" s="355"/>
      <c r="AK37" s="854" t="s">
        <v>853</v>
      </c>
      <c r="AL37" s="856" t="s">
        <v>854</v>
      </c>
      <c r="AM37" s="355"/>
      <c r="AN37" s="355"/>
      <c r="AO37" s="355"/>
      <c r="AP37" s="355"/>
    </row>
    <row r="38" spans="1:42" s="318" customFormat="1" ht="12.75" thickBot="1">
      <c r="A38" s="316">
        <v>19</v>
      </c>
      <c r="B38" s="318" t="s">
        <v>168</v>
      </c>
      <c r="E38" s="325">
        <f>'ROO INPUT'!F38</f>
        <v>18081</v>
      </c>
      <c r="F38" s="329">
        <v>0</v>
      </c>
      <c r="G38" s="329">
        <v>0</v>
      </c>
      <c r="H38" s="329">
        <v>0</v>
      </c>
      <c r="I38" s="329">
        <v>0</v>
      </c>
      <c r="J38" s="330">
        <v>0</v>
      </c>
      <c r="K38" s="329">
        <v>0</v>
      </c>
      <c r="L38" s="329">
        <v>0</v>
      </c>
      <c r="M38" s="329">
        <v>0</v>
      </c>
      <c r="N38" s="329">
        <v>0</v>
      </c>
      <c r="O38" s="329">
        <v>0</v>
      </c>
      <c r="P38" s="329">
        <v>0</v>
      </c>
      <c r="Q38" s="329">
        <v>0</v>
      </c>
      <c r="R38" s="329">
        <v>0</v>
      </c>
      <c r="S38" s="330">
        <v>-16675</v>
      </c>
      <c r="T38" s="330">
        <v>0</v>
      </c>
      <c r="U38" s="329">
        <v>0</v>
      </c>
      <c r="V38" s="329">
        <v>0</v>
      </c>
      <c r="W38" s="339">
        <v>0</v>
      </c>
      <c r="X38" s="339">
        <v>0</v>
      </c>
      <c r="Y38" s="330">
        <v>0</v>
      </c>
      <c r="Z38" s="330">
        <v>0</v>
      </c>
      <c r="AA38" s="330">
        <v>0</v>
      </c>
      <c r="AB38" s="329">
        <v>0</v>
      </c>
      <c r="AC38" s="328">
        <f>SUM(E38:AB38)</f>
        <v>1406</v>
      </c>
      <c r="AD38" s="339">
        <v>0</v>
      </c>
      <c r="AE38" s="432">
        <f>SUM(AC38:AD38)</f>
        <v>1406</v>
      </c>
      <c r="AF38" s="355"/>
      <c r="AG38" s="355"/>
      <c r="AH38" s="355"/>
      <c r="AI38" s="355"/>
      <c r="AJ38" s="355"/>
      <c r="AK38" s="855"/>
      <c r="AL38" s="857"/>
      <c r="AM38" s="355"/>
      <c r="AN38" s="355"/>
      <c r="AO38" s="355"/>
      <c r="AP38" s="355"/>
    </row>
    <row r="39" spans="1:42" s="318" customFormat="1">
      <c r="A39" s="316">
        <v>20</v>
      </c>
      <c r="B39" s="318" t="s">
        <v>169</v>
      </c>
      <c r="E39" s="325">
        <f>'ROO INPUT'!F39</f>
        <v>0</v>
      </c>
      <c r="F39" s="329">
        <v>0</v>
      </c>
      <c r="G39" s="329">
        <v>0</v>
      </c>
      <c r="H39" s="329">
        <v>0</v>
      </c>
      <c r="I39" s="329">
        <v>0</v>
      </c>
      <c r="J39" s="330">
        <v>0</v>
      </c>
      <c r="K39" s="329">
        <v>0</v>
      </c>
      <c r="L39" s="329">
        <v>0</v>
      </c>
      <c r="M39" s="329">
        <v>0</v>
      </c>
      <c r="N39" s="329">
        <v>0</v>
      </c>
      <c r="O39" s="329">
        <v>0</v>
      </c>
      <c r="P39" s="329">
        <v>0</v>
      </c>
      <c r="Q39" s="329">
        <v>0</v>
      </c>
      <c r="R39" s="329">
        <v>0</v>
      </c>
      <c r="S39" s="330">
        <v>0</v>
      </c>
      <c r="T39" s="330">
        <v>0</v>
      </c>
      <c r="U39" s="329">
        <v>0</v>
      </c>
      <c r="V39" s="329">
        <v>0</v>
      </c>
      <c r="W39" s="339">
        <v>0</v>
      </c>
      <c r="X39" s="339">
        <v>0</v>
      </c>
      <c r="Y39" s="330">
        <v>0</v>
      </c>
      <c r="Z39" s="330">
        <v>0</v>
      </c>
      <c r="AA39" s="330">
        <v>0</v>
      </c>
      <c r="AB39" s="329">
        <v>0</v>
      </c>
      <c r="AC39" s="328">
        <f>SUM(E39:AB39)</f>
        <v>0</v>
      </c>
      <c r="AD39" s="339">
        <v>0</v>
      </c>
      <c r="AE39" s="432">
        <f>SUM(AC39:AD39)</f>
        <v>0</v>
      </c>
      <c r="AF39" s="355"/>
      <c r="AG39" s="708"/>
      <c r="AH39" s="698"/>
      <c r="AI39" s="848" t="s">
        <v>641</v>
      </c>
      <c r="AJ39" s="709" t="s">
        <v>646</v>
      </c>
      <c r="AK39" s="758" t="s">
        <v>648</v>
      </c>
      <c r="AL39" s="709" t="s">
        <v>650</v>
      </c>
      <c r="AM39" s="710"/>
      <c r="AN39" s="355"/>
      <c r="AO39" s="355"/>
      <c r="AP39" s="355"/>
    </row>
    <row r="40" spans="1:42" s="318" customFormat="1">
      <c r="A40" s="316"/>
      <c r="E40" s="321"/>
      <c r="F40" s="329"/>
      <c r="G40" s="329"/>
      <c r="H40" s="329"/>
      <c r="I40" s="329"/>
      <c r="J40" s="330"/>
      <c r="K40" s="329"/>
      <c r="L40" s="329"/>
      <c r="M40" s="329"/>
      <c r="N40" s="329"/>
      <c r="O40" s="329"/>
      <c r="P40" s="329"/>
      <c r="Q40" s="329"/>
      <c r="R40" s="329"/>
      <c r="S40" s="330"/>
      <c r="T40" s="330"/>
      <c r="U40" s="329"/>
      <c r="V40" s="329"/>
      <c r="W40" s="339"/>
      <c r="X40" s="339"/>
      <c r="Y40" s="330"/>
      <c r="Z40" s="330"/>
      <c r="AA40" s="330"/>
      <c r="AB40" s="329"/>
      <c r="AC40" s="328"/>
      <c r="AD40" s="339"/>
      <c r="AE40" s="432"/>
      <c r="AF40" s="303"/>
      <c r="AG40" s="711"/>
      <c r="AH40" s="683"/>
      <c r="AI40" s="849"/>
      <c r="AJ40" s="486" t="s">
        <v>647</v>
      </c>
      <c r="AK40" s="759" t="s">
        <v>649</v>
      </c>
      <c r="AL40" s="485" t="s">
        <v>649</v>
      </c>
      <c r="AM40" s="712"/>
      <c r="AN40" s="303"/>
      <c r="AO40" s="303"/>
      <c r="AP40" s="303"/>
    </row>
    <row r="41" spans="1:42" s="318" customFormat="1" ht="12.75" customHeight="1">
      <c r="B41" s="318" t="s">
        <v>170</v>
      </c>
      <c r="E41" s="321"/>
      <c r="F41" s="329"/>
      <c r="G41" s="329"/>
      <c r="H41" s="329"/>
      <c r="I41" s="329"/>
      <c r="J41" s="330"/>
      <c r="K41" s="329"/>
      <c r="L41" s="329"/>
      <c r="M41" s="329"/>
      <c r="N41" s="329"/>
      <c r="O41" s="329"/>
      <c r="P41" s="329"/>
      <c r="Q41" s="329"/>
      <c r="R41" s="329"/>
      <c r="S41" s="330"/>
      <c r="T41" s="330"/>
      <c r="U41" s="329"/>
      <c r="V41" s="329"/>
      <c r="W41" s="339"/>
      <c r="X41" s="339"/>
      <c r="Y41" s="330"/>
      <c r="Z41" s="330"/>
      <c r="AA41" s="330"/>
      <c r="AB41" s="329"/>
      <c r="AC41" s="328"/>
      <c r="AD41" s="339"/>
      <c r="AE41" s="432"/>
      <c r="AF41" s="317"/>
      <c r="AG41" s="700"/>
      <c r="AH41" s="713" t="s">
        <v>636</v>
      </c>
      <c r="AI41" s="343">
        <f>AE25+AE32+AE43</f>
        <v>78373</v>
      </c>
      <c r="AJ41" s="218">
        <f>AI41/$AI$47</f>
        <v>0.20051949770646785</v>
      </c>
      <c r="AK41" s="803">
        <f>'2007-2016 Data'!T171</f>
        <v>9.1261083983235194E-2</v>
      </c>
      <c r="AL41" s="513"/>
      <c r="AM41" s="843" t="s">
        <v>863</v>
      </c>
      <c r="AN41" s="317"/>
      <c r="AO41" s="317"/>
      <c r="AP41" s="317"/>
    </row>
    <row r="42" spans="1:42" s="318" customFormat="1">
      <c r="A42" s="316">
        <v>21</v>
      </c>
      <c r="C42" s="318" t="s">
        <v>161</v>
      </c>
      <c r="E42" s="325">
        <f>'ROO INPUT'!F42</f>
        <v>50568</v>
      </c>
      <c r="F42" s="329">
        <v>0</v>
      </c>
      <c r="G42" s="329">
        <v>0</v>
      </c>
      <c r="H42" s="329">
        <v>0</v>
      </c>
      <c r="I42" s="329">
        <v>0</v>
      </c>
      <c r="J42" s="329">
        <v>0</v>
      </c>
      <c r="K42" s="329">
        <v>0</v>
      </c>
      <c r="L42" s="329">
        <v>7</v>
      </c>
      <c r="M42" s="329">
        <v>151</v>
      </c>
      <c r="N42" s="329">
        <v>0</v>
      </c>
      <c r="O42" s="329">
        <v>-31</v>
      </c>
      <c r="P42" s="329">
        <v>0</v>
      </c>
      <c r="Q42" s="329">
        <v>0</v>
      </c>
      <c r="R42" s="329">
        <f>ROUND(R$14*'CF '!$E$14,0)</f>
        <v>15</v>
      </c>
      <c r="S42" s="329">
        <f>ROUND(S$14*'CF '!$E$14,0)</f>
        <v>-36</v>
      </c>
      <c r="T42" s="329">
        <v>-1068</v>
      </c>
      <c r="U42" s="329">
        <f>ROUND(U$14*'CF '!$E$14,0)</f>
        <v>9</v>
      </c>
      <c r="V42" s="329">
        <v>0</v>
      </c>
      <c r="W42" s="339">
        <v>-626</v>
      </c>
      <c r="X42" s="339">
        <v>0</v>
      </c>
      <c r="Y42" s="330">
        <v>0</v>
      </c>
      <c r="Z42" s="330">
        <v>0</v>
      </c>
      <c r="AA42" s="330">
        <v>0</v>
      </c>
      <c r="AB42" s="329">
        <v>0</v>
      </c>
      <c r="AC42" s="328">
        <f>SUM(E42:AB42)</f>
        <v>48989</v>
      </c>
      <c r="AD42" s="326">
        <f>$AD$14*'CF '!E14</f>
        <v>-185.83</v>
      </c>
      <c r="AE42" s="480">
        <f>SUM(AC42:AD42)</f>
        <v>48803.17</v>
      </c>
      <c r="AG42" s="700"/>
      <c r="AH42" s="715" t="s">
        <v>637</v>
      </c>
      <c r="AI42" s="683">
        <f>AE23+AE31+AE38+AE37+AE42</f>
        <v>139674.97512999998</v>
      </c>
      <c r="AJ42" s="218">
        <f>AI42/$AI$47</f>
        <v>0.3573623040489835</v>
      </c>
      <c r="AK42" s="760">
        <f>'2007-2016 Data'!T167</f>
        <v>2.8369356623313181E-2</v>
      </c>
      <c r="AL42" s="804">
        <f>'Revised Year 2-3 - Table'!G18</f>
        <v>2.3599999999999999E-2</v>
      </c>
      <c r="AM42" s="843"/>
    </row>
    <row r="43" spans="1:42" s="318" customFormat="1">
      <c r="A43" s="316">
        <v>22</v>
      </c>
      <c r="C43" s="318" t="s">
        <v>508</v>
      </c>
      <c r="E43" s="325">
        <f>'ROO INPUT'!F43</f>
        <v>23877</v>
      </c>
      <c r="F43" s="329">
        <v>0</v>
      </c>
      <c r="G43" s="329">
        <v>0</v>
      </c>
      <c r="H43" s="329">
        <v>0</v>
      </c>
      <c r="I43" s="329">
        <v>0</v>
      </c>
      <c r="J43" s="329">
        <v>0</v>
      </c>
      <c r="K43" s="329">
        <v>0</v>
      </c>
      <c r="L43" s="329">
        <v>0</v>
      </c>
      <c r="M43" s="329">
        <v>0</v>
      </c>
      <c r="N43" s="329">
        <v>0</v>
      </c>
      <c r="O43" s="329">
        <v>0</v>
      </c>
      <c r="P43" s="329">
        <v>0</v>
      </c>
      <c r="Q43" s="329">
        <v>0</v>
      </c>
      <c r="R43" s="329">
        <v>0</v>
      </c>
      <c r="S43" s="330">
        <v>0</v>
      </c>
      <c r="T43" s="330">
        <v>0</v>
      </c>
      <c r="U43" s="329">
        <v>0</v>
      </c>
      <c r="V43" s="329">
        <v>0</v>
      </c>
      <c r="W43" s="339">
        <v>0</v>
      </c>
      <c r="X43" s="339">
        <v>0</v>
      </c>
      <c r="Y43" s="330">
        <v>0</v>
      </c>
      <c r="Z43" s="330">
        <v>0</v>
      </c>
      <c r="AA43" s="330">
        <v>0</v>
      </c>
      <c r="AB43" s="329">
        <v>0</v>
      </c>
      <c r="AC43" s="328">
        <f>SUM(E43:AB43)</f>
        <v>23877</v>
      </c>
      <c r="AD43" s="339">
        <v>0</v>
      </c>
      <c r="AE43" s="432">
        <f>SUM(AC43:AD43)</f>
        <v>23877</v>
      </c>
      <c r="AG43" s="700"/>
      <c r="AH43" s="715" t="s">
        <v>638</v>
      </c>
      <c r="AI43" s="683">
        <f>AE27+AE34</f>
        <v>38365.723715</v>
      </c>
      <c r="AJ43" s="218">
        <f>AI43/$AI$47</f>
        <v>9.81597699268488E-2</v>
      </c>
      <c r="AK43" s="803">
        <f>'2007-2016 Data'!T173</f>
        <v>4.529165909887143E-2</v>
      </c>
      <c r="AL43" s="683"/>
      <c r="AM43" s="736"/>
    </row>
    <row r="44" spans="1:42" s="318" customFormat="1" ht="12.75" customHeight="1">
      <c r="A44" s="345">
        <v>23</v>
      </c>
      <c r="C44" s="318" t="s">
        <v>163</v>
      </c>
      <c r="E44" s="351">
        <f>'ROO INPUT'!F44</f>
        <v>0</v>
      </c>
      <c r="F44" s="341">
        <v>0</v>
      </c>
      <c r="G44" s="341">
        <v>0</v>
      </c>
      <c r="H44" s="341">
        <v>0</v>
      </c>
      <c r="I44" s="341">
        <v>0</v>
      </c>
      <c r="J44" s="341">
        <v>0</v>
      </c>
      <c r="K44" s="341">
        <v>0</v>
      </c>
      <c r="L44" s="341">
        <v>0</v>
      </c>
      <c r="M44" s="341">
        <v>0</v>
      </c>
      <c r="N44" s="341">
        <v>0</v>
      </c>
      <c r="O44" s="341">
        <v>0</v>
      </c>
      <c r="P44" s="341">
        <v>0</v>
      </c>
      <c r="Q44" s="341">
        <v>0</v>
      </c>
      <c r="R44" s="341">
        <v>0</v>
      </c>
      <c r="S44" s="340">
        <v>0</v>
      </c>
      <c r="T44" s="340">
        <v>0</v>
      </c>
      <c r="U44" s="341">
        <v>0</v>
      </c>
      <c r="V44" s="341">
        <v>0</v>
      </c>
      <c r="W44" s="340">
        <v>0</v>
      </c>
      <c r="X44" s="340">
        <v>0</v>
      </c>
      <c r="Y44" s="340">
        <v>0</v>
      </c>
      <c r="Z44" s="340">
        <v>0</v>
      </c>
      <c r="AA44" s="340">
        <v>0</v>
      </c>
      <c r="AB44" s="341">
        <v>0</v>
      </c>
      <c r="AC44" s="135">
        <f>SUM(E44:AB44)</f>
        <v>0</v>
      </c>
      <c r="AD44" s="340">
        <v>0</v>
      </c>
      <c r="AE44" s="433">
        <f>SUM(AC44:AD44)</f>
        <v>0</v>
      </c>
      <c r="AG44" s="700"/>
      <c r="AH44" s="715" t="s">
        <v>642</v>
      </c>
      <c r="AI44" s="683"/>
      <c r="AJ44" s="683"/>
      <c r="AK44" s="760"/>
      <c r="AL44" s="683"/>
      <c r="AM44" s="841" t="s">
        <v>885</v>
      </c>
      <c r="AN44" s="842"/>
    </row>
    <row r="45" spans="1:42" s="318" customFormat="1" ht="12.75" customHeight="1">
      <c r="A45" s="316">
        <v>24</v>
      </c>
      <c r="B45" s="318" t="s">
        <v>171</v>
      </c>
      <c r="E45" s="351">
        <f t="shared" ref="E45:AC45" si="39">SUM(E42:E44)</f>
        <v>74445</v>
      </c>
      <c r="F45" s="341">
        <f t="shared" si="39"/>
        <v>0</v>
      </c>
      <c r="G45" s="341">
        <f t="shared" si="39"/>
        <v>0</v>
      </c>
      <c r="H45" s="341">
        <f t="shared" si="39"/>
        <v>0</v>
      </c>
      <c r="I45" s="341">
        <f t="shared" si="39"/>
        <v>0</v>
      </c>
      <c r="J45" s="341">
        <f t="shared" ref="J45" si="40">SUM(J42:J44)</f>
        <v>0</v>
      </c>
      <c r="K45" s="341">
        <f t="shared" si="39"/>
        <v>0</v>
      </c>
      <c r="L45" s="341">
        <f t="shared" si="39"/>
        <v>7</v>
      </c>
      <c r="M45" s="341">
        <f t="shared" si="39"/>
        <v>151</v>
      </c>
      <c r="N45" s="341">
        <f t="shared" si="39"/>
        <v>0</v>
      </c>
      <c r="O45" s="341">
        <f t="shared" si="39"/>
        <v>-31</v>
      </c>
      <c r="P45" s="341">
        <f t="shared" si="39"/>
        <v>0</v>
      </c>
      <c r="Q45" s="341">
        <f t="shared" si="39"/>
        <v>0</v>
      </c>
      <c r="R45" s="341">
        <f t="shared" si="39"/>
        <v>15</v>
      </c>
      <c r="S45" s="340">
        <f t="shared" ref="S45" si="41">SUM(S42:S44)</f>
        <v>-36</v>
      </c>
      <c r="T45" s="340">
        <f>SUM(T42:T44)</f>
        <v>-1068</v>
      </c>
      <c r="U45" s="341">
        <f>SUM(U42:U44)</f>
        <v>9</v>
      </c>
      <c r="V45" s="341">
        <f>SUM(V42:V44)</f>
        <v>0</v>
      </c>
      <c r="W45" s="340">
        <f t="shared" ref="W45" si="42">SUM(W42:W44)</f>
        <v>-626</v>
      </c>
      <c r="X45" s="340">
        <f t="shared" ref="X45" si="43">SUM(X42:X44)</f>
        <v>0</v>
      </c>
      <c r="Y45" s="340">
        <f>SUM(Y42:Y44)</f>
        <v>0</v>
      </c>
      <c r="Z45" s="340">
        <f t="shared" ref="Z45" si="44">SUM(Z42:Z44)</f>
        <v>0</v>
      </c>
      <c r="AA45" s="340">
        <f>SUM(AA42:AA44)</f>
        <v>0</v>
      </c>
      <c r="AB45" s="341">
        <f>SUM(AB42:AB44)</f>
        <v>0</v>
      </c>
      <c r="AC45" s="135">
        <f t="shared" si="39"/>
        <v>72866</v>
      </c>
      <c r="AD45" s="340">
        <f t="shared" ref="AD45" si="45">SUM(AD42:AD44)</f>
        <v>-185.83</v>
      </c>
      <c r="AE45" s="433">
        <f>SUM(AC45:AD45)</f>
        <v>72680.17</v>
      </c>
      <c r="AG45" s="700"/>
      <c r="AH45" s="507">
        <f>AE76</f>
        <v>1375684</v>
      </c>
      <c r="AI45" s="683">
        <f>AH45*AK36</f>
        <v>134436.07335384615</v>
      </c>
      <c r="AJ45" s="508">
        <f>AI45/$AI$47</f>
        <v>0.3439584283176999</v>
      </c>
      <c r="AK45" s="760">
        <f>'2007-2016 Data'!T175</f>
        <v>4.805117077128554E-2</v>
      </c>
      <c r="AL45" s="804">
        <f>'2007-2016 Data'!V175</f>
        <v>3.0408737162420218E-2</v>
      </c>
      <c r="AM45" s="841"/>
      <c r="AN45" s="842"/>
    </row>
    <row r="46" spans="1:42" s="318" customFormat="1" ht="18" customHeight="1" thickBot="1">
      <c r="A46" s="316">
        <v>25</v>
      </c>
      <c r="B46" s="318" t="s">
        <v>172</v>
      </c>
      <c r="E46" s="351">
        <f t="shared" ref="E46:AC46" si="46">E45+E39+E38+E37+E35+E28</f>
        <v>526185</v>
      </c>
      <c r="F46" s="341">
        <f t="shared" si="46"/>
        <v>0</v>
      </c>
      <c r="G46" s="341">
        <f t="shared" si="46"/>
        <v>12</v>
      </c>
      <c r="H46" s="341">
        <f t="shared" si="46"/>
        <v>0</v>
      </c>
      <c r="I46" s="341">
        <f t="shared" si="46"/>
        <v>-17674</v>
      </c>
      <c r="J46" s="341">
        <f t="shared" ref="J46" si="47">J45+J39+J38+J37+J35+J28</f>
        <v>-250</v>
      </c>
      <c r="K46" s="341">
        <f t="shared" si="46"/>
        <v>1321</v>
      </c>
      <c r="L46" s="341">
        <f t="shared" si="46"/>
        <v>7</v>
      </c>
      <c r="M46" s="341">
        <f t="shared" si="46"/>
        <v>151</v>
      </c>
      <c r="N46" s="341">
        <f t="shared" si="46"/>
        <v>0</v>
      </c>
      <c r="O46" s="341">
        <f t="shared" si="46"/>
        <v>-31</v>
      </c>
      <c r="P46" s="341">
        <f t="shared" si="46"/>
        <v>-62</v>
      </c>
      <c r="Q46" s="341">
        <f t="shared" si="46"/>
        <v>-94</v>
      </c>
      <c r="R46" s="341">
        <f t="shared" si="46"/>
        <v>348</v>
      </c>
      <c r="S46" s="340">
        <f t="shared" ref="S46" si="48">S45+S39+S38+S37+S35+S28</f>
        <v>-17519</v>
      </c>
      <c r="T46" s="340">
        <f>T45+T39+T38+T37+T35+T28</f>
        <v>-1075</v>
      </c>
      <c r="U46" s="341">
        <f>U45+U39+U38+U37+U35+U28</f>
        <v>-2050</v>
      </c>
      <c r="V46" s="341">
        <f>V45+V39+V38+V37+V35+V28</f>
        <v>-4</v>
      </c>
      <c r="W46" s="340">
        <f t="shared" ref="W46" si="49">W45+W39+W38+W37+W35+W28</f>
        <v>-626</v>
      </c>
      <c r="X46" s="340">
        <f t="shared" ref="X46" si="50">X45+X39+X38+X37+X35+X28</f>
        <v>-1174</v>
      </c>
      <c r="Y46" s="340">
        <f>Y45+Y39+Y38+Y37+Y35+Y28</f>
        <v>0</v>
      </c>
      <c r="Z46" s="340">
        <f t="shared" ref="Z46" si="51">Z45+Z39+Z38+Z37+Z35+Z28</f>
        <v>-65881</v>
      </c>
      <c r="AA46" s="340">
        <f>AA45+AA39+AA38+AA37+AA35+AA28</f>
        <v>0</v>
      </c>
      <c r="AB46" s="341">
        <f>AB45+AB39+AB38+AB37+AB35+AB28</f>
        <v>0</v>
      </c>
      <c r="AC46" s="135">
        <f t="shared" si="46"/>
        <v>421584</v>
      </c>
      <c r="AD46" s="340">
        <f t="shared" ref="AD46" si="52">AD45+AD39+AD38+AD37+AD35+AD28</f>
        <v>-160465.30115499999</v>
      </c>
      <c r="AE46" s="433">
        <f>SUM(AC46:AD46)</f>
        <v>261118.69884500001</v>
      </c>
      <c r="AG46" s="700"/>
      <c r="AH46" s="716" t="s">
        <v>644</v>
      </c>
      <c r="AI46" s="683"/>
      <c r="AJ46" s="696">
        <f>SUM(AJ41:AJ45)</f>
        <v>1</v>
      </c>
      <c r="AK46" s="760"/>
      <c r="AL46" s="683"/>
      <c r="AM46" s="841"/>
      <c r="AN46" s="842"/>
    </row>
    <row r="47" spans="1:42" s="318" customFormat="1" ht="13.5" thickBot="1">
      <c r="E47" s="321"/>
      <c r="F47" s="329"/>
      <c r="G47" s="329"/>
      <c r="H47" s="329"/>
      <c r="I47" s="329"/>
      <c r="J47" s="329"/>
      <c r="K47" s="329"/>
      <c r="L47" s="329"/>
      <c r="M47" s="329"/>
      <c r="N47" s="329"/>
      <c r="O47" s="329"/>
      <c r="P47" s="329"/>
      <c r="Q47" s="329"/>
      <c r="R47" s="329"/>
      <c r="S47" s="330"/>
      <c r="T47" s="330"/>
      <c r="U47" s="329"/>
      <c r="V47" s="329"/>
      <c r="W47" s="339"/>
      <c r="X47" s="339"/>
      <c r="Y47" s="330"/>
      <c r="Z47" s="330"/>
      <c r="AA47" s="330"/>
      <c r="AB47" s="329"/>
      <c r="AC47" s="328"/>
      <c r="AD47" s="339"/>
      <c r="AE47" s="432"/>
      <c r="AG47" s="700"/>
      <c r="AH47" s="715" t="s">
        <v>645</v>
      </c>
      <c r="AI47" s="798">
        <f>SUM(AI41:AI45)</f>
        <v>390849.7721988461</v>
      </c>
      <c r="AJ47" s="799" t="s">
        <v>855</v>
      </c>
      <c r="AK47" s="800"/>
      <c r="AL47" s="761"/>
      <c r="AM47" s="762"/>
    </row>
    <row r="48" spans="1:42" s="318" customFormat="1">
      <c r="A48" s="316">
        <v>26</v>
      </c>
      <c r="B48" s="318" t="s">
        <v>173</v>
      </c>
      <c r="E48" s="321">
        <f t="shared" ref="E48:AC48" si="53">E19-E46</f>
        <v>149981</v>
      </c>
      <c r="F48" s="329">
        <f t="shared" si="53"/>
        <v>0</v>
      </c>
      <c r="G48" s="329">
        <f t="shared" si="53"/>
        <v>-12</v>
      </c>
      <c r="H48" s="329">
        <f t="shared" si="53"/>
        <v>0</v>
      </c>
      <c r="I48" s="329">
        <f t="shared" si="53"/>
        <v>-147</v>
      </c>
      <c r="J48" s="329">
        <f t="shared" ref="J48" si="54">J19-J46</f>
        <v>250</v>
      </c>
      <c r="K48" s="329">
        <f t="shared" si="53"/>
        <v>-1321</v>
      </c>
      <c r="L48" s="329">
        <f t="shared" si="53"/>
        <v>-7</v>
      </c>
      <c r="M48" s="329">
        <f t="shared" si="53"/>
        <v>-151</v>
      </c>
      <c r="N48" s="329">
        <f t="shared" si="53"/>
        <v>0</v>
      </c>
      <c r="O48" s="329">
        <f t="shared" si="53"/>
        <v>31</v>
      </c>
      <c r="P48" s="329">
        <f t="shared" si="53"/>
        <v>62</v>
      </c>
      <c r="Q48" s="329">
        <f t="shared" si="53"/>
        <v>94</v>
      </c>
      <c r="R48" s="329">
        <f t="shared" si="53"/>
        <v>1269</v>
      </c>
      <c r="S48" s="330">
        <f t="shared" ref="S48" si="55">S19-S46</f>
        <v>0</v>
      </c>
      <c r="T48" s="330">
        <f>T19-T46</f>
        <v>-1491</v>
      </c>
      <c r="U48" s="329">
        <f>U19-U46</f>
        <v>6748</v>
      </c>
      <c r="V48" s="329">
        <f>V19-V46</f>
        <v>4</v>
      </c>
      <c r="W48" s="339">
        <f t="shared" ref="W48" si="56">W19-W46</f>
        <v>626</v>
      </c>
      <c r="X48" s="339">
        <f t="shared" ref="X48" si="57">X19-X46</f>
        <v>1174</v>
      </c>
      <c r="Y48" s="330">
        <f>Y19-Y46</f>
        <v>0</v>
      </c>
      <c r="Z48" s="330">
        <f t="shared" ref="Z48" si="58">Z19-Z46</f>
        <v>-11840</v>
      </c>
      <c r="AA48" s="330">
        <f>AA19-AA46</f>
        <v>0</v>
      </c>
      <c r="AB48" s="329">
        <f>AB19-AB46</f>
        <v>0</v>
      </c>
      <c r="AC48" s="328">
        <f t="shared" si="53"/>
        <v>145270</v>
      </c>
      <c r="AD48" s="339">
        <f t="shared" ref="AD48" si="59">AD19-AD46</f>
        <v>0.30115499999374151</v>
      </c>
      <c r="AE48" s="432">
        <f>SUM(AC48:AD48)</f>
        <v>145270.30115499999</v>
      </c>
      <c r="AG48" s="700"/>
      <c r="AH48" s="507" t="s">
        <v>640</v>
      </c>
      <c r="AI48" s="683"/>
      <c r="AJ48" s="714"/>
      <c r="AK48" s="683"/>
      <c r="AL48" s="683"/>
      <c r="AM48" s="701"/>
    </row>
    <row r="49" spans="1:42" s="318" customFormat="1" ht="14.25" customHeight="1" thickBot="1">
      <c r="A49" s="316"/>
      <c r="E49" s="321"/>
      <c r="F49" s="329"/>
      <c r="G49" s="329"/>
      <c r="H49" s="329"/>
      <c r="I49" s="329"/>
      <c r="J49" s="329"/>
      <c r="K49" s="329"/>
      <c r="L49" s="329"/>
      <c r="M49" s="329"/>
      <c r="N49" s="329"/>
      <c r="O49" s="329"/>
      <c r="P49" s="329"/>
      <c r="Q49" s="329"/>
      <c r="R49" s="329"/>
      <c r="S49" s="330"/>
      <c r="T49" s="330"/>
      <c r="U49" s="329"/>
      <c r="V49" s="329"/>
      <c r="W49" s="339"/>
      <c r="X49" s="339"/>
      <c r="Y49" s="330"/>
      <c r="Z49" s="330"/>
      <c r="AA49" s="330"/>
      <c r="AB49" s="329"/>
      <c r="AC49" s="328"/>
      <c r="AD49" s="339"/>
      <c r="AE49" s="432"/>
      <c r="AG49" s="703"/>
      <c r="AH49" s="704" t="s">
        <v>857</v>
      </c>
      <c r="AI49" s="704"/>
      <c r="AJ49" s="704"/>
      <c r="AK49" s="704"/>
      <c r="AL49" s="704"/>
      <c r="AM49" s="707"/>
    </row>
    <row r="50" spans="1:42" s="318" customFormat="1" ht="12.75" thickBot="1">
      <c r="A50" s="320"/>
      <c r="B50" s="318" t="s">
        <v>174</v>
      </c>
      <c r="E50" s="321"/>
      <c r="F50" s="329"/>
      <c r="G50" s="329"/>
      <c r="H50" s="329"/>
      <c r="I50" s="329"/>
      <c r="J50" s="329"/>
      <c r="K50" s="329"/>
      <c r="L50" s="329"/>
      <c r="M50" s="329"/>
      <c r="N50" s="329"/>
      <c r="O50" s="329"/>
      <c r="P50" s="329"/>
      <c r="Q50" s="329"/>
      <c r="R50" s="329"/>
      <c r="S50" s="330"/>
      <c r="T50" s="330"/>
      <c r="U50" s="329"/>
      <c r="V50" s="329"/>
      <c r="W50" s="339"/>
      <c r="X50" s="339"/>
      <c r="Y50" s="330"/>
      <c r="Z50" s="330"/>
      <c r="AA50" s="330"/>
      <c r="AB50" s="329"/>
      <c r="AC50" s="328"/>
      <c r="AD50" s="339"/>
      <c r="AE50" s="432"/>
    </row>
    <row r="51" spans="1:42" s="318" customFormat="1">
      <c r="A51" s="345">
        <v>27</v>
      </c>
      <c r="B51" s="318" t="s">
        <v>541</v>
      </c>
      <c r="D51" s="359"/>
      <c r="E51" s="325">
        <f>'ROO INPUT'!F51</f>
        <v>-25741</v>
      </c>
      <c r="F51" s="329">
        <f>F48*0.35</f>
        <v>0</v>
      </c>
      <c r="G51" s="329">
        <f>G48*0.35</f>
        <v>-4.1999999999999993</v>
      </c>
      <c r="H51" s="329">
        <f>H48*0.35</f>
        <v>0</v>
      </c>
      <c r="I51" s="329">
        <f>I48*0.35</f>
        <v>-51.449999999999996</v>
      </c>
      <c r="J51" s="329">
        <f t="shared" ref="J51" si="60">J48*0.35</f>
        <v>87.5</v>
      </c>
      <c r="K51" s="329">
        <f>K48*0.35</f>
        <v>-462.34999999999997</v>
      </c>
      <c r="L51" s="329">
        <f>L48*0.35</f>
        <v>-2.4499999999999997</v>
      </c>
      <c r="M51" s="329">
        <f>M48*0.35</f>
        <v>-52.849999999999994</v>
      </c>
      <c r="N51" s="329">
        <v>110</v>
      </c>
      <c r="O51" s="329">
        <f t="shared" ref="O51:R51" si="61">O48*0.35</f>
        <v>10.85</v>
      </c>
      <c r="P51" s="329">
        <f t="shared" si="61"/>
        <v>21.7</v>
      </c>
      <c r="Q51" s="329">
        <f t="shared" si="61"/>
        <v>32.9</v>
      </c>
      <c r="R51" s="329">
        <f t="shared" si="61"/>
        <v>444.15</v>
      </c>
      <c r="S51" s="330">
        <f t="shared" ref="S51" si="62">S48*0.35</f>
        <v>0</v>
      </c>
      <c r="T51" s="330">
        <f>T48*0.35</f>
        <v>-521.85</v>
      </c>
      <c r="U51" s="330">
        <v>1567</v>
      </c>
      <c r="V51" s="330">
        <f>V48*0.35</f>
        <v>1.4</v>
      </c>
      <c r="W51" s="343">
        <f t="shared" ref="W51" si="63">W48*0.35</f>
        <v>219.1</v>
      </c>
      <c r="X51" s="343">
        <f t="shared" ref="X51" si="64">X48*0.35</f>
        <v>410.9</v>
      </c>
      <c r="Y51" s="330">
        <f>'DEBT CALC'!E47</f>
        <v>-455</v>
      </c>
      <c r="Z51" s="329">
        <f t="shared" ref="Z51" si="65">Z48*0.35</f>
        <v>-4144</v>
      </c>
      <c r="AA51" s="329">
        <f>AA48*0.35</f>
        <v>0</v>
      </c>
      <c r="AB51" s="329">
        <f>AB48*0.35</f>
        <v>0</v>
      </c>
      <c r="AC51" s="328">
        <f>SUM(E51:AB51)</f>
        <v>-28529.649999999994</v>
      </c>
      <c r="AD51" s="343">
        <f t="shared" ref="AD51" si="66">AD48*0.35</f>
        <v>0.10540424999780952</v>
      </c>
      <c r="AE51" s="432">
        <f>SUM(AC51:AD51)</f>
        <v>-28529.544595749998</v>
      </c>
      <c r="AH51" s="697" t="s">
        <v>652</v>
      </c>
      <c r="AI51" s="698"/>
      <c r="AJ51" s="698"/>
      <c r="AK51" s="698"/>
      <c r="AL51" s="698"/>
      <c r="AM51" s="699"/>
    </row>
    <row r="52" spans="1:42" s="321" customFormat="1">
      <c r="A52" s="316">
        <v>28</v>
      </c>
      <c r="B52" s="321" t="s">
        <v>221</v>
      </c>
      <c r="E52" s="325">
        <f>'ROO INPUT'!F52</f>
        <v>0</v>
      </c>
      <c r="F52" s="330">
        <f>(F80*'Cost of Capital'!$F$10)*-0.35</f>
        <v>-7.9270099999999992</v>
      </c>
      <c r="G52" s="330">
        <f>(G80*'Cost of Capital'!$F$10)*-0.35</f>
        <v>0</v>
      </c>
      <c r="H52" s="330">
        <f>(H80*'Cost of Capital'!$F$10)*-0.35</f>
        <v>29.564009999999996</v>
      </c>
      <c r="I52" s="330">
        <f>(I80*'Cost of Capital'!$F$10)*-0.35</f>
        <v>0</v>
      </c>
      <c r="J52" s="330">
        <f>(J80*'Cost of Capital'!$F$10)*-0.35</f>
        <v>0</v>
      </c>
      <c r="K52" s="330">
        <f>(K80*'Cost of Capital'!$F$10)*-0.35</f>
        <v>0</v>
      </c>
      <c r="L52" s="330">
        <f>(L80*'Cost of Capital'!$F$10)*-0.35</f>
        <v>0</v>
      </c>
      <c r="M52" s="330">
        <f>(M80*'Cost of Capital'!$F$10)*-0.35</f>
        <v>0</v>
      </c>
      <c r="N52" s="330">
        <f>(N80*'Cost of Capital'!$F$10)*-0.35</f>
        <v>0</v>
      </c>
      <c r="O52" s="330">
        <f>(O80*'Cost of Capital'!$F$10)*-0.35</f>
        <v>0</v>
      </c>
      <c r="P52" s="330">
        <f>(P80*'Cost of Capital'!$F$10)*-0.35</f>
        <v>0</v>
      </c>
      <c r="Q52" s="330">
        <f>(Q80*'Cost of Capital'!$F$10)*-0.35</f>
        <v>0</v>
      </c>
      <c r="R52" s="330">
        <f>(R80*'Cost of Capital'!$F$10)*-0.35</f>
        <v>0</v>
      </c>
      <c r="S52" s="330">
        <f>(S80*'Cost of Capital'!$F$10)*-0.35</f>
        <v>0</v>
      </c>
      <c r="T52" s="330">
        <f>(T80*'Cost of Capital'!$F$10)*-0.35</f>
        <v>0</v>
      </c>
      <c r="U52" s="330">
        <f>(U80*'Cost of Capital'!$F$10)*-0.35</f>
        <v>0</v>
      </c>
      <c r="V52" s="330">
        <f>(V80*'Cost of Capital'!$F$10)*-0.35</f>
        <v>0</v>
      </c>
      <c r="W52" s="330">
        <f>(W80*'Cost of Capital'!$F$10)*-0.35</f>
        <v>0</v>
      </c>
      <c r="X52" s="330">
        <f>(X80*'Cost of Capital'!$F$10)*-0.35</f>
        <v>0</v>
      </c>
      <c r="Y52" s="330">
        <f>(Y80*'Cost of Capital'!$F$10)*-0.35</f>
        <v>0</v>
      </c>
      <c r="Z52" s="330">
        <f>(Z80*'Cost of Capital'!$F$10)*-0.35</f>
        <v>0</v>
      </c>
      <c r="AA52" s="330">
        <f>(AA80*'Cost of Capital'!$F$10)*-0.35</f>
        <v>0</v>
      </c>
      <c r="AB52" s="330">
        <f>(AB80*'Cost of Capital'!$F$10)*-0.35</f>
        <v>0</v>
      </c>
      <c r="AC52" s="328">
        <f>SUM(E52:AB52)</f>
        <v>21.636999999999997</v>
      </c>
      <c r="AD52" s="330">
        <f>(AD80*'Cost of Capital'!$F$10)*-0.35</f>
        <v>0</v>
      </c>
      <c r="AE52" s="432">
        <f>SUM(AC52:AD52)</f>
        <v>21.636999999999997</v>
      </c>
      <c r="AF52" s="318"/>
      <c r="AG52" s="318"/>
      <c r="AH52" s="700"/>
      <c r="AI52" s="683"/>
      <c r="AJ52" s="683"/>
      <c r="AK52" s="683"/>
      <c r="AL52" s="506" t="s">
        <v>653</v>
      </c>
      <c r="AM52" s="701"/>
      <c r="AN52" s="318"/>
      <c r="AO52" s="318"/>
      <c r="AP52" s="318"/>
    </row>
    <row r="53" spans="1:42" s="318" customFormat="1" ht="12.75" thickBot="1">
      <c r="A53" s="316">
        <v>29</v>
      </c>
      <c r="B53" s="318" t="s">
        <v>175</v>
      </c>
      <c r="E53" s="325">
        <f>'ROO INPUT'!F53</f>
        <v>66436</v>
      </c>
      <c r="F53" s="329">
        <v>0</v>
      </c>
      <c r="G53" s="329">
        <v>0</v>
      </c>
      <c r="H53" s="329">
        <v>0</v>
      </c>
      <c r="I53" s="329">
        <v>0</v>
      </c>
      <c r="J53" s="329">
        <v>0</v>
      </c>
      <c r="K53" s="329">
        <v>0</v>
      </c>
      <c r="L53" s="329">
        <v>0</v>
      </c>
      <c r="M53" s="329">
        <v>0</v>
      </c>
      <c r="N53" s="329">
        <v>-40</v>
      </c>
      <c r="O53" s="329">
        <v>0</v>
      </c>
      <c r="P53" s="329">
        <v>0</v>
      </c>
      <c r="Q53" s="329">
        <v>0</v>
      </c>
      <c r="R53" s="329">
        <v>0</v>
      </c>
      <c r="S53" s="330">
        <v>0</v>
      </c>
      <c r="T53" s="330">
        <v>0</v>
      </c>
      <c r="U53" s="330">
        <v>795</v>
      </c>
      <c r="V53" s="330">
        <v>0</v>
      </c>
      <c r="W53" s="339">
        <v>0</v>
      </c>
      <c r="X53" s="339">
        <v>0</v>
      </c>
      <c r="Y53" s="330">
        <v>0</v>
      </c>
      <c r="Z53" s="330">
        <v>0</v>
      </c>
      <c r="AA53" s="330">
        <v>0</v>
      </c>
      <c r="AB53" s="329">
        <v>0</v>
      </c>
      <c r="AC53" s="328">
        <f>SUM(E53:AB53)</f>
        <v>67191</v>
      </c>
      <c r="AD53" s="339">
        <v>0</v>
      </c>
      <c r="AE53" s="432">
        <f>SUM(AC53:AD53)</f>
        <v>67191</v>
      </c>
      <c r="AH53" s="700"/>
      <c r="AI53" s="325"/>
      <c r="AJ53" s="325"/>
      <c r="AK53" s="702">
        <v>9356</v>
      </c>
      <c r="AL53" s="509">
        <f>AK53/2.333</f>
        <v>4010.2871838834117</v>
      </c>
      <c r="AM53" s="701"/>
    </row>
    <row r="54" spans="1:42" s="318" customFormat="1" ht="13.5" thickTop="1" thickBot="1">
      <c r="A54" s="320">
        <v>30</v>
      </c>
      <c r="B54" s="318" t="s">
        <v>210</v>
      </c>
      <c r="E54" s="351">
        <f>'ROO INPUT'!F54</f>
        <v>-325</v>
      </c>
      <c r="F54" s="341">
        <v>0</v>
      </c>
      <c r="G54" s="341">
        <v>0</v>
      </c>
      <c r="H54" s="341">
        <v>0</v>
      </c>
      <c r="I54" s="341">
        <v>0</v>
      </c>
      <c r="J54" s="341">
        <v>0</v>
      </c>
      <c r="K54" s="341">
        <v>0</v>
      </c>
      <c r="L54" s="341">
        <v>0</v>
      </c>
      <c r="M54" s="341">
        <v>0</v>
      </c>
      <c r="N54" s="341">
        <v>-1</v>
      </c>
      <c r="O54" s="341">
        <v>0</v>
      </c>
      <c r="P54" s="341">
        <v>0</v>
      </c>
      <c r="Q54" s="341">
        <v>0</v>
      </c>
      <c r="R54" s="341">
        <v>0</v>
      </c>
      <c r="S54" s="340">
        <v>0</v>
      </c>
      <c r="T54" s="340">
        <v>0</v>
      </c>
      <c r="U54" s="341">
        <v>0</v>
      </c>
      <c r="V54" s="341">
        <v>0</v>
      </c>
      <c r="W54" s="340">
        <v>0</v>
      </c>
      <c r="X54" s="340">
        <v>0</v>
      </c>
      <c r="Y54" s="340">
        <v>0</v>
      </c>
      <c r="Z54" s="340">
        <v>0</v>
      </c>
      <c r="AA54" s="340">
        <v>0</v>
      </c>
      <c r="AB54" s="341">
        <v>0</v>
      </c>
      <c r="AC54" s="135">
        <f>SUM(E54:AB54)</f>
        <v>-326</v>
      </c>
      <c r="AD54" s="340">
        <v>0</v>
      </c>
      <c r="AE54" s="433">
        <f>SUM(AC54:AD54)</f>
        <v>-326</v>
      </c>
      <c r="AH54" s="703"/>
      <c r="AI54" s="704"/>
      <c r="AJ54" s="704"/>
      <c r="AK54" s="705" t="s">
        <v>833</v>
      </c>
      <c r="AL54" s="706">
        <f>(AL53/AI47*-1)+0.006%</f>
        <v>-1.0200431165975365E-2</v>
      </c>
      <c r="AM54" s="707"/>
    </row>
    <row r="55" spans="1:42">
      <c r="W55" s="339"/>
      <c r="X55" s="339"/>
      <c r="AD55" s="339"/>
      <c r="AE55" s="432"/>
      <c r="AF55" s="318"/>
      <c r="AG55" s="318"/>
      <c r="AI55" s="318"/>
      <c r="AJ55" s="318"/>
      <c r="AK55" s="318"/>
      <c r="AL55" s="318"/>
      <c r="AM55" s="318"/>
      <c r="AN55" s="318"/>
      <c r="AO55" s="318"/>
      <c r="AP55" s="318"/>
    </row>
    <row r="56" spans="1:42" s="317" customFormat="1" ht="12.75" thickBot="1">
      <c r="A56" s="319">
        <v>31</v>
      </c>
      <c r="B56" s="317" t="s">
        <v>176</v>
      </c>
      <c r="E56" s="352">
        <f t="shared" ref="E56:AC56" si="67">E48-SUM(E51:E54)</f>
        <v>109611</v>
      </c>
      <c r="F56" s="353">
        <f t="shared" si="67"/>
        <v>7.9270099999999992</v>
      </c>
      <c r="G56" s="353">
        <f t="shared" si="67"/>
        <v>-7.8000000000000007</v>
      </c>
      <c r="H56" s="353">
        <f t="shared" si="67"/>
        <v>-29.564009999999996</v>
      </c>
      <c r="I56" s="353">
        <f t="shared" si="67"/>
        <v>-95.550000000000011</v>
      </c>
      <c r="J56" s="353">
        <f t="shared" ref="J56" si="68">J48-SUM(J51:J54)</f>
        <v>162.5</v>
      </c>
      <c r="K56" s="353">
        <f t="shared" si="67"/>
        <v>-858.65000000000009</v>
      </c>
      <c r="L56" s="353">
        <f t="shared" si="67"/>
        <v>-4.5500000000000007</v>
      </c>
      <c r="M56" s="353">
        <f t="shared" si="67"/>
        <v>-98.15</v>
      </c>
      <c r="N56" s="353">
        <f t="shared" si="67"/>
        <v>-69</v>
      </c>
      <c r="O56" s="353">
        <f t="shared" si="67"/>
        <v>20.149999999999999</v>
      </c>
      <c r="P56" s="353">
        <f t="shared" si="67"/>
        <v>40.299999999999997</v>
      </c>
      <c r="Q56" s="353">
        <f t="shared" si="67"/>
        <v>61.1</v>
      </c>
      <c r="R56" s="353">
        <f t="shared" si="67"/>
        <v>824.85</v>
      </c>
      <c r="S56" s="352">
        <f t="shared" ref="S56" si="69">S48-SUM(S51:S54)</f>
        <v>0</v>
      </c>
      <c r="T56" s="352">
        <f t="shared" ref="T56:Z56" si="70">T48-SUM(T51:T54)</f>
        <v>-969.15</v>
      </c>
      <c r="U56" s="353">
        <f t="shared" si="70"/>
        <v>4386</v>
      </c>
      <c r="V56" s="353">
        <f t="shared" si="70"/>
        <v>2.6</v>
      </c>
      <c r="W56" s="370">
        <f t="shared" ref="W56" si="71">W48-SUM(W51:W54)</f>
        <v>406.9</v>
      </c>
      <c r="X56" s="370">
        <f t="shared" si="70"/>
        <v>763.1</v>
      </c>
      <c r="Y56" s="370">
        <f t="shared" si="70"/>
        <v>455</v>
      </c>
      <c r="Z56" s="352">
        <f t="shared" si="70"/>
        <v>-7696</v>
      </c>
      <c r="AA56" s="352">
        <f>AA48-SUM(AA51:AA54)</f>
        <v>0</v>
      </c>
      <c r="AB56" s="353">
        <f>AB48-SUM(AB51:AB54)</f>
        <v>0</v>
      </c>
      <c r="AC56" s="245">
        <f t="shared" si="67"/>
        <v>106913.01299999999</v>
      </c>
      <c r="AD56" s="370">
        <f t="shared" ref="AD56" si="72">AD48-SUM(AD51:AD54)</f>
        <v>0.19575074999593201</v>
      </c>
      <c r="AE56" s="461">
        <f>SUM(AC56:AD56)</f>
        <v>106913.20875074998</v>
      </c>
      <c r="AF56" s="318"/>
      <c r="AG56" s="318"/>
      <c r="AH56" s="318"/>
      <c r="AI56" s="318"/>
      <c r="AJ56" s="318"/>
      <c r="AK56" s="318"/>
      <c r="AL56" s="318"/>
      <c r="AM56" s="318"/>
      <c r="AN56" s="318"/>
      <c r="AO56" s="318"/>
      <c r="AP56" s="318"/>
    </row>
    <row r="57" spans="1:42" ht="6" customHeight="1" thickTop="1">
      <c r="A57" s="319"/>
      <c r="W57" s="339"/>
      <c r="X57" s="339"/>
      <c r="AD57" s="339"/>
      <c r="AE57" s="432"/>
      <c r="AF57" s="318"/>
      <c r="AG57" s="318"/>
      <c r="AH57" s="318"/>
      <c r="AI57" s="318"/>
      <c r="AJ57" s="318"/>
      <c r="AK57" s="318"/>
      <c r="AL57" s="318"/>
      <c r="AM57" s="318"/>
      <c r="AN57" s="318"/>
      <c r="AO57" s="318"/>
      <c r="AP57" s="318"/>
    </row>
    <row r="58" spans="1:42" ht="3" customHeight="1" thickBot="1">
      <c r="A58" s="319"/>
      <c r="B58" s="303" t="s">
        <v>177</v>
      </c>
      <c r="W58" s="339"/>
      <c r="X58" s="339"/>
      <c r="AD58" s="339"/>
      <c r="AE58" s="432"/>
      <c r="AF58" s="318"/>
      <c r="AG58" s="318"/>
      <c r="AK58" s="318"/>
      <c r="AL58" s="318"/>
      <c r="AM58" s="318"/>
      <c r="AN58" s="318"/>
      <c r="AO58" s="318"/>
      <c r="AP58" s="318"/>
    </row>
    <row r="59" spans="1:42">
      <c r="B59" s="303" t="s">
        <v>178</v>
      </c>
      <c r="W59" s="339"/>
      <c r="X59" s="339"/>
      <c r="AD59" s="339"/>
      <c r="AE59" s="432"/>
      <c r="AF59" s="318"/>
      <c r="AG59" s="733"/>
      <c r="AH59" s="719"/>
      <c r="AI59" s="764" t="s">
        <v>856</v>
      </c>
      <c r="AK59" s="318"/>
      <c r="AL59" s="318"/>
      <c r="AM59" s="318"/>
      <c r="AN59" s="318"/>
      <c r="AO59" s="318"/>
      <c r="AP59" s="318"/>
    </row>
    <row r="60" spans="1:42" s="317" customFormat="1">
      <c r="A60" s="349">
        <v>32</v>
      </c>
      <c r="C60" s="317" t="s">
        <v>179</v>
      </c>
      <c r="E60" s="326">
        <f>'ROO INPUT'!F60</f>
        <v>156057</v>
      </c>
      <c r="F60" s="317">
        <v>0</v>
      </c>
      <c r="G60" s="317">
        <v>0</v>
      </c>
      <c r="H60" s="317">
        <v>0</v>
      </c>
      <c r="I60" s="317">
        <v>0</v>
      </c>
      <c r="J60" s="317">
        <v>0</v>
      </c>
      <c r="K60" s="317">
        <v>0</v>
      </c>
      <c r="L60" s="317">
        <v>0</v>
      </c>
      <c r="M60" s="317">
        <v>0</v>
      </c>
      <c r="N60" s="317">
        <v>0</v>
      </c>
      <c r="O60" s="317">
        <v>0</v>
      </c>
      <c r="P60" s="317">
        <v>0</v>
      </c>
      <c r="Q60" s="317">
        <v>0</v>
      </c>
      <c r="R60" s="317">
        <v>0</v>
      </c>
      <c r="S60" s="346">
        <v>0</v>
      </c>
      <c r="T60" s="346">
        <v>0</v>
      </c>
      <c r="U60" s="317">
        <v>0</v>
      </c>
      <c r="V60" s="317">
        <v>0</v>
      </c>
      <c r="W60" s="326">
        <v>0</v>
      </c>
      <c r="X60" s="326">
        <v>0</v>
      </c>
      <c r="Y60" s="346">
        <v>0</v>
      </c>
      <c r="Z60" s="346">
        <v>0</v>
      </c>
      <c r="AA60" s="346">
        <v>0</v>
      </c>
      <c r="AB60" s="317">
        <v>0</v>
      </c>
      <c r="AC60" s="188">
        <f>SUM(E60:AB60)</f>
        <v>156057</v>
      </c>
      <c r="AD60" s="326">
        <v>0</v>
      </c>
      <c r="AE60" s="460">
        <f t="shared" ref="AE60:AE65" si="73">SUM(AC60:AD60)</f>
        <v>156057</v>
      </c>
      <c r="AF60" s="318"/>
      <c r="AG60" s="700"/>
      <c r="AH60" s="683"/>
      <c r="AI60" s="801" t="s">
        <v>635</v>
      </c>
      <c r="AJ60" s="326"/>
      <c r="AK60" s="325"/>
      <c r="AL60" s="325"/>
      <c r="AM60" s="325"/>
      <c r="AN60" s="318"/>
      <c r="AO60" s="318"/>
      <c r="AP60" s="318"/>
    </row>
    <row r="61" spans="1:42" s="318" customFormat="1">
      <c r="A61" s="319">
        <v>33</v>
      </c>
      <c r="C61" s="318" t="s">
        <v>180</v>
      </c>
      <c r="E61" s="325">
        <f>'ROO INPUT'!F61</f>
        <v>832833</v>
      </c>
      <c r="F61" s="329">
        <v>0</v>
      </c>
      <c r="G61" s="329">
        <v>0</v>
      </c>
      <c r="H61" s="329">
        <v>0</v>
      </c>
      <c r="I61" s="329">
        <v>0</v>
      </c>
      <c r="J61" s="329">
        <v>0</v>
      </c>
      <c r="K61" s="329">
        <v>0</v>
      </c>
      <c r="L61" s="329">
        <v>0</v>
      </c>
      <c r="M61" s="329">
        <v>0</v>
      </c>
      <c r="N61" s="329">
        <v>0</v>
      </c>
      <c r="O61" s="329">
        <v>0</v>
      </c>
      <c r="P61" s="329">
        <v>0</v>
      </c>
      <c r="Q61" s="329">
        <v>0</v>
      </c>
      <c r="R61" s="329">
        <v>0</v>
      </c>
      <c r="S61" s="330">
        <v>0</v>
      </c>
      <c r="T61" s="330">
        <v>0</v>
      </c>
      <c r="U61" s="329">
        <v>0</v>
      </c>
      <c r="V61" s="329">
        <v>0</v>
      </c>
      <c r="W61" s="339">
        <v>0</v>
      </c>
      <c r="X61" s="339">
        <v>0</v>
      </c>
      <c r="Y61" s="330">
        <v>0</v>
      </c>
      <c r="Z61" s="330">
        <v>0</v>
      </c>
      <c r="AA61" s="330">
        <v>0</v>
      </c>
      <c r="AB61" s="329">
        <v>0</v>
      </c>
      <c r="AC61" s="214">
        <f>SUM(E61:AB61)</f>
        <v>832833</v>
      </c>
      <c r="AD61" s="339">
        <v>0</v>
      </c>
      <c r="AE61" s="432">
        <f t="shared" si="73"/>
        <v>832833</v>
      </c>
      <c r="AG61" s="700"/>
      <c r="AH61" s="683"/>
      <c r="AI61" s="802" t="s">
        <v>651</v>
      </c>
      <c r="AJ61" s="325"/>
      <c r="AK61" s="325"/>
      <c r="AL61" s="325"/>
      <c r="AM61" s="325"/>
    </row>
    <row r="62" spans="1:42" s="318" customFormat="1" ht="12.75" customHeight="1">
      <c r="A62" s="319">
        <v>34</v>
      </c>
      <c r="C62" s="318" t="s">
        <v>181</v>
      </c>
      <c r="E62" s="325">
        <f>'ROO INPUT'!F62</f>
        <v>430613</v>
      </c>
      <c r="F62" s="329">
        <v>0</v>
      </c>
      <c r="G62" s="329">
        <v>0</v>
      </c>
      <c r="H62" s="329">
        <v>0</v>
      </c>
      <c r="I62" s="329">
        <v>0</v>
      </c>
      <c r="J62" s="329">
        <v>0</v>
      </c>
      <c r="K62" s="329">
        <v>0</v>
      </c>
      <c r="L62" s="329">
        <v>0</v>
      </c>
      <c r="M62" s="329">
        <v>0</v>
      </c>
      <c r="N62" s="329">
        <v>0</v>
      </c>
      <c r="O62" s="329">
        <v>0</v>
      </c>
      <c r="P62" s="329">
        <v>0</v>
      </c>
      <c r="Q62" s="329">
        <v>0</v>
      </c>
      <c r="R62" s="329">
        <v>0</v>
      </c>
      <c r="S62" s="330">
        <v>0</v>
      </c>
      <c r="T62" s="330">
        <v>0</v>
      </c>
      <c r="U62" s="329">
        <v>0</v>
      </c>
      <c r="V62" s="329">
        <v>0</v>
      </c>
      <c r="W62" s="339">
        <v>0</v>
      </c>
      <c r="X62" s="339">
        <v>0</v>
      </c>
      <c r="Y62" s="330">
        <v>0</v>
      </c>
      <c r="Z62" s="330">
        <v>0</v>
      </c>
      <c r="AA62" s="330">
        <v>0</v>
      </c>
      <c r="AB62" s="329">
        <v>0</v>
      </c>
      <c r="AC62" s="214">
        <f>SUM(E62:AB62)</f>
        <v>430613</v>
      </c>
      <c r="AD62" s="339">
        <v>0</v>
      </c>
      <c r="AE62" s="432">
        <f t="shared" si="73"/>
        <v>430613</v>
      </c>
      <c r="AG62" s="700"/>
      <c r="AH62" s="734" t="s">
        <v>636</v>
      </c>
      <c r="AI62" s="690">
        <f>AJ41*AK41</f>
        <v>1.8299626720466099E-2</v>
      </c>
      <c r="AJ62" s="373" t="s">
        <v>864</v>
      </c>
      <c r="AK62" s="774"/>
      <c r="AL62" s="325"/>
      <c r="AM62" s="325"/>
    </row>
    <row r="63" spans="1:42" s="318" customFormat="1" ht="12" customHeight="1">
      <c r="A63" s="319">
        <v>35</v>
      </c>
      <c r="C63" s="318" t="s">
        <v>165</v>
      </c>
      <c r="E63" s="325">
        <f>'ROO INPUT'!F63</f>
        <v>970455</v>
      </c>
      <c r="F63" s="329">
        <v>0</v>
      </c>
      <c r="G63" s="329">
        <v>0</v>
      </c>
      <c r="H63" s="329">
        <v>0</v>
      </c>
      <c r="I63" s="329">
        <v>0</v>
      </c>
      <c r="J63" s="329">
        <v>0</v>
      </c>
      <c r="K63" s="329">
        <v>0</v>
      </c>
      <c r="L63" s="329">
        <v>0</v>
      </c>
      <c r="M63" s="329">
        <v>0</v>
      </c>
      <c r="N63" s="329">
        <v>0</v>
      </c>
      <c r="O63" s="329">
        <v>0</v>
      </c>
      <c r="P63" s="329">
        <v>0</v>
      </c>
      <c r="Q63" s="329">
        <v>0</v>
      </c>
      <c r="R63" s="329">
        <v>0</v>
      </c>
      <c r="S63" s="330">
        <v>0</v>
      </c>
      <c r="T63" s="330">
        <v>0</v>
      </c>
      <c r="U63" s="329">
        <v>0</v>
      </c>
      <c r="V63" s="329">
        <v>0</v>
      </c>
      <c r="W63" s="339">
        <v>0</v>
      </c>
      <c r="X63" s="339">
        <v>0</v>
      </c>
      <c r="Y63" s="330">
        <v>0</v>
      </c>
      <c r="Z63" s="330">
        <v>0</v>
      </c>
      <c r="AA63" s="330">
        <v>0</v>
      </c>
      <c r="AB63" s="329">
        <v>0</v>
      </c>
      <c r="AC63" s="214">
        <f>SUM(E63:AB63)</f>
        <v>970455</v>
      </c>
      <c r="AD63" s="339">
        <v>0</v>
      </c>
      <c r="AE63" s="432">
        <f t="shared" si="73"/>
        <v>970455</v>
      </c>
      <c r="AG63" s="700"/>
      <c r="AH63" s="735" t="s">
        <v>637</v>
      </c>
      <c r="AI63" s="690">
        <f>AJ42*AL42</f>
        <v>8.4337503755560102E-3</v>
      </c>
      <c r="AJ63" s="373" t="s">
        <v>863</v>
      </c>
      <c r="AK63" s="844"/>
      <c r="AL63" s="844"/>
      <c r="AM63" s="325"/>
    </row>
    <row r="64" spans="1:42" s="318" customFormat="1">
      <c r="A64" s="319">
        <v>36</v>
      </c>
      <c r="C64" s="318" t="s">
        <v>182</v>
      </c>
      <c r="E64" s="351">
        <f>'ROO INPUT'!F64-1</f>
        <v>233266</v>
      </c>
      <c r="F64" s="341">
        <v>0</v>
      </c>
      <c r="G64" s="341">
        <v>0</v>
      </c>
      <c r="H64" s="341">
        <v>0</v>
      </c>
      <c r="I64" s="341">
        <v>0</v>
      </c>
      <c r="J64" s="341">
        <v>0</v>
      </c>
      <c r="K64" s="341">
        <v>0</v>
      </c>
      <c r="L64" s="341">
        <v>0</v>
      </c>
      <c r="M64" s="341">
        <v>0</v>
      </c>
      <c r="N64" s="341">
        <v>0</v>
      </c>
      <c r="O64" s="341">
        <v>0</v>
      </c>
      <c r="P64" s="341">
        <v>0</v>
      </c>
      <c r="Q64" s="341">
        <v>0</v>
      </c>
      <c r="R64" s="341">
        <v>0</v>
      </c>
      <c r="S64" s="340">
        <v>0</v>
      </c>
      <c r="T64" s="340">
        <v>0</v>
      </c>
      <c r="U64" s="341">
        <v>0</v>
      </c>
      <c r="V64" s="341">
        <v>0</v>
      </c>
      <c r="W64" s="340">
        <v>0</v>
      </c>
      <c r="X64" s="340">
        <v>0</v>
      </c>
      <c r="Y64" s="340">
        <v>0</v>
      </c>
      <c r="Z64" s="340">
        <v>0</v>
      </c>
      <c r="AA64" s="340">
        <v>0</v>
      </c>
      <c r="AB64" s="341">
        <v>0</v>
      </c>
      <c r="AC64" s="215">
        <f>SUM(E64:AB64)</f>
        <v>233266</v>
      </c>
      <c r="AD64" s="340">
        <v>0</v>
      </c>
      <c r="AE64" s="433">
        <f t="shared" si="73"/>
        <v>233266</v>
      </c>
      <c r="AG64" s="700"/>
      <c r="AH64" s="735" t="s">
        <v>638</v>
      </c>
      <c r="AI64" s="690">
        <f>AJ43*AK43</f>
        <v>4.4458188367504873E-3</v>
      </c>
      <c r="AJ64" s="373" t="s">
        <v>864</v>
      </c>
      <c r="AK64" s="325"/>
      <c r="AL64" s="325"/>
      <c r="AM64" s="325"/>
    </row>
    <row r="65" spans="1:42" s="318" customFormat="1">
      <c r="A65" s="319">
        <v>37</v>
      </c>
      <c r="B65" s="318" t="s">
        <v>183</v>
      </c>
      <c r="E65" s="330">
        <f t="shared" ref="E65:AC65" si="74">SUM(E60:E64)</f>
        <v>2623224</v>
      </c>
      <c r="F65" s="329">
        <f t="shared" si="74"/>
        <v>0</v>
      </c>
      <c r="G65" s="329">
        <f t="shared" si="74"/>
        <v>0</v>
      </c>
      <c r="H65" s="329">
        <f t="shared" si="74"/>
        <v>0</v>
      </c>
      <c r="I65" s="329">
        <f t="shared" si="74"/>
        <v>0</v>
      </c>
      <c r="J65" s="329">
        <f t="shared" ref="J65" si="75">SUM(J60:J64)</f>
        <v>0</v>
      </c>
      <c r="K65" s="329">
        <f t="shared" si="74"/>
        <v>0</v>
      </c>
      <c r="L65" s="329">
        <f t="shared" si="74"/>
        <v>0</v>
      </c>
      <c r="M65" s="329">
        <f t="shared" si="74"/>
        <v>0</v>
      </c>
      <c r="N65" s="329">
        <f t="shared" si="74"/>
        <v>0</v>
      </c>
      <c r="O65" s="329">
        <f t="shared" si="74"/>
        <v>0</v>
      </c>
      <c r="P65" s="329">
        <f t="shared" si="74"/>
        <v>0</v>
      </c>
      <c r="Q65" s="329">
        <f t="shared" si="74"/>
        <v>0</v>
      </c>
      <c r="R65" s="329">
        <f t="shared" si="74"/>
        <v>0</v>
      </c>
      <c r="S65" s="330">
        <f t="shared" ref="S65" si="76">SUM(S60:S64)</f>
        <v>0</v>
      </c>
      <c r="T65" s="330">
        <f>SUM(T60:T64)</f>
        <v>0</v>
      </c>
      <c r="U65" s="329">
        <f>SUM(U60:U64)</f>
        <v>0</v>
      </c>
      <c r="V65" s="329">
        <f>SUM(V60:V64)</f>
        <v>0</v>
      </c>
      <c r="W65" s="339">
        <f t="shared" ref="W65" si="77">SUM(W60:W64)</f>
        <v>0</v>
      </c>
      <c r="X65" s="339">
        <f t="shared" ref="X65" si="78">SUM(X60:X64)</f>
        <v>0</v>
      </c>
      <c r="Y65" s="330">
        <f>SUM(Y60:Y64)</f>
        <v>0</v>
      </c>
      <c r="Z65" s="330">
        <f t="shared" ref="Z65" si="79">SUM(Z60:Z64)</f>
        <v>0</v>
      </c>
      <c r="AA65" s="330">
        <f>SUM(AA60:AA64)</f>
        <v>0</v>
      </c>
      <c r="AB65" s="329">
        <f>SUM(AB60:AB64)</f>
        <v>0</v>
      </c>
      <c r="AC65" s="214">
        <f t="shared" si="74"/>
        <v>2623224</v>
      </c>
      <c r="AD65" s="339">
        <f t="shared" ref="AD65" si="80">SUM(AD60:AD64)</f>
        <v>0</v>
      </c>
      <c r="AE65" s="432">
        <f t="shared" si="73"/>
        <v>2623224</v>
      </c>
      <c r="AG65" s="700"/>
      <c r="AH65" s="735" t="s">
        <v>642</v>
      </c>
      <c r="AI65" s="690">
        <f>AJ45*AL45</f>
        <v>1.0459341441512091E-2</v>
      </c>
      <c r="AJ65" s="373" t="s">
        <v>865</v>
      </c>
      <c r="AK65" s="840"/>
      <c r="AL65" s="840"/>
      <c r="AM65" s="840"/>
    </row>
    <row r="66" spans="1:42" s="318" customFormat="1" ht="14.25" customHeight="1">
      <c r="A66" s="319"/>
      <c r="B66" s="318" t="s">
        <v>514</v>
      </c>
      <c r="E66" s="330"/>
      <c r="F66" s="329"/>
      <c r="G66" s="329"/>
      <c r="H66" s="329"/>
      <c r="I66" s="329"/>
      <c r="J66" s="329"/>
      <c r="K66" s="329"/>
      <c r="L66" s="329"/>
      <c r="M66" s="329"/>
      <c r="N66" s="329"/>
      <c r="O66" s="329"/>
      <c r="P66" s="329"/>
      <c r="Q66" s="329"/>
      <c r="R66" s="329"/>
      <c r="S66" s="330"/>
      <c r="T66" s="330"/>
      <c r="U66" s="329"/>
      <c r="V66" s="329"/>
      <c r="W66" s="339"/>
      <c r="X66" s="339"/>
      <c r="Y66" s="330"/>
      <c r="Z66" s="330">
        <v>0</v>
      </c>
      <c r="AA66" s="330"/>
      <c r="AB66" s="329"/>
      <c r="AC66" s="214"/>
      <c r="AD66" s="339"/>
      <c r="AE66" s="432"/>
      <c r="AG66" s="700"/>
      <c r="AH66" s="683"/>
      <c r="AI66" s="775"/>
      <c r="AJ66" s="655"/>
      <c r="AK66" s="840"/>
      <c r="AL66" s="840"/>
      <c r="AM66" s="840"/>
    </row>
    <row r="67" spans="1:42" s="318" customFormat="1">
      <c r="A67" s="319">
        <v>38</v>
      </c>
      <c r="C67" s="317" t="s">
        <v>179</v>
      </c>
      <c r="E67" s="325">
        <f>'ROO INPUT'!F67</f>
        <v>-30914</v>
      </c>
      <c r="F67" s="329">
        <v>0</v>
      </c>
      <c r="G67" s="329">
        <v>0</v>
      </c>
      <c r="H67" s="329">
        <v>0</v>
      </c>
      <c r="I67" s="329">
        <v>0</v>
      </c>
      <c r="J67" s="329">
        <v>0</v>
      </c>
      <c r="K67" s="329">
        <v>0</v>
      </c>
      <c r="L67" s="329">
        <v>0</v>
      </c>
      <c r="M67" s="329">
        <v>0</v>
      </c>
      <c r="N67" s="329">
        <v>0</v>
      </c>
      <c r="O67" s="329">
        <v>0</v>
      </c>
      <c r="P67" s="329">
        <v>0</v>
      </c>
      <c r="Q67" s="329">
        <v>0</v>
      </c>
      <c r="R67" s="329">
        <v>0</v>
      </c>
      <c r="S67" s="330">
        <v>0</v>
      </c>
      <c r="T67" s="330">
        <v>0</v>
      </c>
      <c r="U67" s="329">
        <v>0</v>
      </c>
      <c r="V67" s="329">
        <v>0</v>
      </c>
      <c r="W67" s="343">
        <v>0</v>
      </c>
      <c r="X67" s="343">
        <v>0</v>
      </c>
      <c r="Y67" s="329">
        <v>0</v>
      </c>
      <c r="Z67" s="329">
        <v>0</v>
      </c>
      <c r="AA67" s="329">
        <v>0</v>
      </c>
      <c r="AB67" s="329">
        <v>0</v>
      </c>
      <c r="AC67" s="214">
        <f>SUM(E67:AB67)</f>
        <v>-30914</v>
      </c>
      <c r="AD67" s="343">
        <v>0</v>
      </c>
      <c r="AE67" s="432">
        <f t="shared" ref="AE67:AE72" si="81">SUM(AC67:AD67)</f>
        <v>-30914</v>
      </c>
      <c r="AG67" s="700"/>
      <c r="AH67" s="735" t="s">
        <v>29</v>
      </c>
      <c r="AI67" s="695">
        <f>AL54</f>
        <v>-1.0200431165975365E-2</v>
      </c>
      <c r="AJ67" s="373" t="s">
        <v>865</v>
      </c>
      <c r="AK67" s="325"/>
      <c r="AL67" s="325"/>
      <c r="AM67" s="325"/>
    </row>
    <row r="68" spans="1:42" s="318" customFormat="1" ht="12.75" thickBot="1">
      <c r="A68" s="319">
        <v>39</v>
      </c>
      <c r="C68" s="318" t="s">
        <v>180</v>
      </c>
      <c r="E68" s="325">
        <f>'ROO INPUT'!F68</f>
        <v>-351625</v>
      </c>
      <c r="F68" s="329">
        <v>0</v>
      </c>
      <c r="G68" s="329">
        <v>0</v>
      </c>
      <c r="H68" s="329">
        <v>0</v>
      </c>
      <c r="I68" s="329">
        <v>0</v>
      </c>
      <c r="J68" s="329">
        <v>0</v>
      </c>
      <c r="K68" s="329">
        <v>0</v>
      </c>
      <c r="L68" s="329">
        <v>0</v>
      </c>
      <c r="M68" s="329">
        <v>0</v>
      </c>
      <c r="N68" s="329">
        <v>0</v>
      </c>
      <c r="O68" s="329">
        <v>0</v>
      </c>
      <c r="P68" s="329">
        <v>0</v>
      </c>
      <c r="Q68" s="329">
        <v>0</v>
      </c>
      <c r="R68" s="329">
        <v>0</v>
      </c>
      <c r="S68" s="330">
        <v>0</v>
      </c>
      <c r="T68" s="330">
        <v>0</v>
      </c>
      <c r="U68" s="329">
        <v>0</v>
      </c>
      <c r="V68" s="329">
        <v>0</v>
      </c>
      <c r="W68" s="343">
        <v>0</v>
      </c>
      <c r="X68" s="343">
        <v>0</v>
      </c>
      <c r="Y68" s="329">
        <v>0</v>
      </c>
      <c r="Z68" s="329">
        <v>0</v>
      </c>
      <c r="AA68" s="329">
        <v>0</v>
      </c>
      <c r="AB68" s="329">
        <v>0</v>
      </c>
      <c r="AC68" s="214">
        <f>SUM(E68:AB68)</f>
        <v>-351625</v>
      </c>
      <c r="AD68" s="343">
        <v>0</v>
      </c>
      <c r="AE68" s="460">
        <f t="shared" si="81"/>
        <v>-351625</v>
      </c>
      <c r="AG68" s="703"/>
      <c r="AH68" s="704"/>
      <c r="AI68" s="776">
        <f>SUM(AI62:AI67)</f>
        <v>3.1438106208309322E-2</v>
      </c>
      <c r="AJ68" s="373"/>
      <c r="AK68" s="325"/>
      <c r="AL68" s="325"/>
      <c r="AM68" s="325"/>
    </row>
    <row r="69" spans="1:42" s="318" customFormat="1">
      <c r="A69" s="319">
        <v>40</v>
      </c>
      <c r="C69" s="318" t="s">
        <v>181</v>
      </c>
      <c r="E69" s="325">
        <f>'ROO INPUT'!F69</f>
        <v>-135624</v>
      </c>
      <c r="F69" s="329">
        <v>0</v>
      </c>
      <c r="G69" s="329">
        <v>0</v>
      </c>
      <c r="H69" s="329">
        <v>0</v>
      </c>
      <c r="I69" s="329">
        <v>0</v>
      </c>
      <c r="J69" s="329">
        <v>0</v>
      </c>
      <c r="K69" s="329">
        <v>0</v>
      </c>
      <c r="L69" s="329">
        <v>0</v>
      </c>
      <c r="M69" s="329">
        <v>0</v>
      </c>
      <c r="N69" s="329">
        <v>0</v>
      </c>
      <c r="O69" s="329">
        <v>0</v>
      </c>
      <c r="P69" s="329">
        <v>0</v>
      </c>
      <c r="Q69" s="329">
        <v>0</v>
      </c>
      <c r="R69" s="329">
        <v>0</v>
      </c>
      <c r="S69" s="330">
        <v>0</v>
      </c>
      <c r="T69" s="330">
        <v>0</v>
      </c>
      <c r="U69" s="329">
        <v>0</v>
      </c>
      <c r="V69" s="329">
        <v>0</v>
      </c>
      <c r="W69" s="343">
        <v>0</v>
      </c>
      <c r="X69" s="343">
        <v>0</v>
      </c>
      <c r="Y69" s="329">
        <v>0</v>
      </c>
      <c r="Z69" s="329">
        <v>0</v>
      </c>
      <c r="AA69" s="329">
        <v>0</v>
      </c>
      <c r="AB69" s="329">
        <v>0</v>
      </c>
      <c r="AC69" s="214">
        <f>SUM(E69:AB69)</f>
        <v>-135624</v>
      </c>
      <c r="AD69" s="343">
        <v>0</v>
      </c>
      <c r="AE69" s="432">
        <f t="shared" si="81"/>
        <v>-135624</v>
      </c>
    </row>
    <row r="70" spans="1:42" s="318" customFormat="1">
      <c r="A70" s="319">
        <v>41</v>
      </c>
      <c r="C70" s="318" t="s">
        <v>165</v>
      </c>
      <c r="E70" s="325">
        <f>'ROO INPUT'!F70</f>
        <v>-295383</v>
      </c>
      <c r="F70" s="329">
        <v>0</v>
      </c>
      <c r="G70" s="329">
        <v>0</v>
      </c>
      <c r="H70" s="329">
        <v>0</v>
      </c>
      <c r="I70" s="329">
        <v>0</v>
      </c>
      <c r="J70" s="329">
        <v>0</v>
      </c>
      <c r="K70" s="329">
        <v>0</v>
      </c>
      <c r="L70" s="329">
        <v>0</v>
      </c>
      <c r="M70" s="329">
        <v>0</v>
      </c>
      <c r="N70" s="329">
        <v>0</v>
      </c>
      <c r="O70" s="329">
        <v>0</v>
      </c>
      <c r="P70" s="329">
        <v>0</v>
      </c>
      <c r="Q70" s="329">
        <v>0</v>
      </c>
      <c r="R70" s="329">
        <v>0</v>
      </c>
      <c r="S70" s="330">
        <v>0</v>
      </c>
      <c r="T70" s="330">
        <v>0</v>
      </c>
      <c r="U70" s="329">
        <v>0</v>
      </c>
      <c r="V70" s="329">
        <v>0</v>
      </c>
      <c r="W70" s="343">
        <v>0</v>
      </c>
      <c r="X70" s="343">
        <v>0</v>
      </c>
      <c r="Y70" s="329">
        <v>0</v>
      </c>
      <c r="Z70" s="329">
        <v>0</v>
      </c>
      <c r="AA70" s="329">
        <v>0</v>
      </c>
      <c r="AB70" s="329">
        <v>0</v>
      </c>
      <c r="AC70" s="214">
        <f>SUM(E70:AB70)</f>
        <v>-295383</v>
      </c>
      <c r="AD70" s="343">
        <v>0</v>
      </c>
      <c r="AE70" s="432">
        <f t="shared" si="81"/>
        <v>-295383</v>
      </c>
    </row>
    <row r="71" spans="1:42" s="318" customFormat="1">
      <c r="A71" s="319">
        <v>42</v>
      </c>
      <c r="C71" s="318" t="s">
        <v>182</v>
      </c>
      <c r="E71" s="325">
        <f>'ROO INPUT'!F71</f>
        <v>-80093</v>
      </c>
      <c r="F71" s="329">
        <v>0</v>
      </c>
      <c r="G71" s="329">
        <v>0</v>
      </c>
      <c r="H71" s="329">
        <v>0</v>
      </c>
      <c r="I71" s="329">
        <v>0</v>
      </c>
      <c r="J71" s="329">
        <v>0</v>
      </c>
      <c r="K71" s="329">
        <v>0</v>
      </c>
      <c r="L71" s="329">
        <v>0</v>
      </c>
      <c r="M71" s="329">
        <v>0</v>
      </c>
      <c r="N71" s="329">
        <v>0</v>
      </c>
      <c r="O71" s="329">
        <v>0</v>
      </c>
      <c r="P71" s="329">
        <v>0</v>
      </c>
      <c r="Q71" s="329">
        <v>0</v>
      </c>
      <c r="R71" s="329">
        <v>0</v>
      </c>
      <c r="S71" s="330">
        <v>0</v>
      </c>
      <c r="T71" s="330">
        <v>0</v>
      </c>
      <c r="U71" s="329">
        <v>0</v>
      </c>
      <c r="V71" s="329">
        <v>0</v>
      </c>
      <c r="W71" s="341">
        <v>0</v>
      </c>
      <c r="X71" s="341">
        <v>0</v>
      </c>
      <c r="Y71" s="329">
        <v>0</v>
      </c>
      <c r="Z71" s="329">
        <v>0</v>
      </c>
      <c r="AA71" s="329">
        <v>0</v>
      </c>
      <c r="AB71" s="329">
        <v>0</v>
      </c>
      <c r="AC71" s="214">
        <f>SUM(E71:AB71)</f>
        <v>-80093</v>
      </c>
      <c r="AD71" s="341">
        <v>0</v>
      </c>
      <c r="AE71" s="433">
        <f t="shared" si="81"/>
        <v>-80093</v>
      </c>
    </row>
    <row r="72" spans="1:42" s="318" customFormat="1">
      <c r="A72" s="319">
        <v>43</v>
      </c>
      <c r="B72" s="318" t="s">
        <v>225</v>
      </c>
      <c r="E72" s="350">
        <f t="shared" ref="E72:AC72" si="82">SUM(E67:E71)</f>
        <v>-893639</v>
      </c>
      <c r="F72" s="350">
        <f t="shared" si="82"/>
        <v>0</v>
      </c>
      <c r="G72" s="350">
        <f t="shared" si="82"/>
        <v>0</v>
      </c>
      <c r="H72" s="350">
        <f t="shared" si="82"/>
        <v>0</v>
      </c>
      <c r="I72" s="350">
        <f t="shared" si="82"/>
        <v>0</v>
      </c>
      <c r="J72" s="350">
        <f t="shared" ref="J72" si="83">SUM(J67:J71)</f>
        <v>0</v>
      </c>
      <c r="K72" s="350">
        <f t="shared" si="82"/>
        <v>0</v>
      </c>
      <c r="L72" s="350">
        <f t="shared" si="82"/>
        <v>0</v>
      </c>
      <c r="M72" s="350">
        <f t="shared" si="82"/>
        <v>0</v>
      </c>
      <c r="N72" s="350">
        <f t="shared" si="82"/>
        <v>0</v>
      </c>
      <c r="O72" s="350">
        <f t="shared" si="82"/>
        <v>0</v>
      </c>
      <c r="P72" s="350">
        <f t="shared" si="82"/>
        <v>0</v>
      </c>
      <c r="Q72" s="350">
        <f t="shared" si="82"/>
        <v>0</v>
      </c>
      <c r="R72" s="350">
        <f t="shared" si="82"/>
        <v>0</v>
      </c>
      <c r="S72" s="350">
        <f t="shared" ref="S72" si="84">SUM(S67:S71)</f>
        <v>0</v>
      </c>
      <c r="T72" s="350">
        <f>SUM(T67:T71)</f>
        <v>0</v>
      </c>
      <c r="U72" s="350">
        <f>SUM(U67:U71)</f>
        <v>0</v>
      </c>
      <c r="V72" s="350">
        <f>SUM(V67:V71)</f>
        <v>0</v>
      </c>
      <c r="W72" s="347">
        <f t="shared" ref="W72" si="85">SUM(W67:W71)</f>
        <v>0</v>
      </c>
      <c r="X72" s="347">
        <f t="shared" ref="X72" si="86">SUM(X67:X71)</f>
        <v>0</v>
      </c>
      <c r="Y72" s="350">
        <f>SUM(Y67:Y71)</f>
        <v>0</v>
      </c>
      <c r="Z72" s="350">
        <f t="shared" ref="Z72" si="87">SUM(Z67:Z71)</f>
        <v>0</v>
      </c>
      <c r="AA72" s="350">
        <f>SUM(AA67:AA71)</f>
        <v>0</v>
      </c>
      <c r="AB72" s="350">
        <f>SUM(AB67:AB71)</f>
        <v>0</v>
      </c>
      <c r="AC72" s="216">
        <f t="shared" si="82"/>
        <v>-893639</v>
      </c>
      <c r="AD72" s="347">
        <f t="shared" ref="AD72" si="88">SUM(AD67:AD71)</f>
        <v>0</v>
      </c>
      <c r="AE72" s="432">
        <f t="shared" si="81"/>
        <v>-893639</v>
      </c>
    </row>
    <row r="73" spans="1:42" s="318" customFormat="1">
      <c r="A73" s="319">
        <v>44</v>
      </c>
      <c r="B73" s="318" t="s">
        <v>226</v>
      </c>
      <c r="E73" s="350">
        <f>E65+E72</f>
        <v>1729585</v>
      </c>
      <c r="F73" s="350">
        <f t="shared" ref="F73:AB73" si="89">F65+F72</f>
        <v>0</v>
      </c>
      <c r="G73" s="350">
        <f t="shared" si="89"/>
        <v>0</v>
      </c>
      <c r="H73" s="350">
        <f t="shared" si="89"/>
        <v>0</v>
      </c>
      <c r="I73" s="350">
        <f t="shared" si="89"/>
        <v>0</v>
      </c>
      <c r="J73" s="350">
        <f t="shared" si="89"/>
        <v>0</v>
      </c>
      <c r="K73" s="350">
        <f t="shared" si="89"/>
        <v>0</v>
      </c>
      <c r="L73" s="350">
        <f t="shared" si="89"/>
        <v>0</v>
      </c>
      <c r="M73" s="350">
        <f t="shared" si="89"/>
        <v>0</v>
      </c>
      <c r="N73" s="350">
        <f t="shared" si="89"/>
        <v>0</v>
      </c>
      <c r="O73" s="350">
        <f t="shared" si="89"/>
        <v>0</v>
      </c>
      <c r="P73" s="350">
        <f t="shared" si="89"/>
        <v>0</v>
      </c>
      <c r="Q73" s="350">
        <f t="shared" si="89"/>
        <v>0</v>
      </c>
      <c r="R73" s="350">
        <f t="shared" si="89"/>
        <v>0</v>
      </c>
      <c r="S73" s="350">
        <f t="shared" ref="S73" si="90">S65+S72</f>
        <v>0</v>
      </c>
      <c r="T73" s="350">
        <f>T65+T72</f>
        <v>0</v>
      </c>
      <c r="U73" s="350">
        <f t="shared" si="89"/>
        <v>0</v>
      </c>
      <c r="V73" s="350">
        <f t="shared" si="89"/>
        <v>0</v>
      </c>
      <c r="W73" s="339">
        <f t="shared" ref="W73:X73" si="91">W65+W72</f>
        <v>0</v>
      </c>
      <c r="X73" s="339">
        <f t="shared" si="91"/>
        <v>0</v>
      </c>
      <c r="Y73" s="350">
        <f>Y65+Y72</f>
        <v>0</v>
      </c>
      <c r="Z73" s="350">
        <f>Z65+Z72</f>
        <v>0</v>
      </c>
      <c r="AA73" s="350">
        <f t="shared" si="89"/>
        <v>0</v>
      </c>
      <c r="AB73" s="350">
        <f t="shared" si="89"/>
        <v>0</v>
      </c>
      <c r="AC73" s="217">
        <f>AC65+AC72</f>
        <v>1729585</v>
      </c>
      <c r="AD73" s="339">
        <f>AD65+AD72</f>
        <v>0</v>
      </c>
      <c r="AE73" s="434">
        <f t="shared" ref="AE73" si="92">AE65+AE72</f>
        <v>1729585</v>
      </c>
    </row>
    <row r="74" spans="1:42" s="318" customFormat="1" ht="12.75" customHeight="1">
      <c r="A74" s="319"/>
      <c r="E74" s="339"/>
      <c r="F74" s="339"/>
      <c r="G74" s="339"/>
      <c r="H74" s="339"/>
      <c r="I74" s="339"/>
      <c r="J74" s="339"/>
      <c r="K74" s="339"/>
      <c r="L74" s="339"/>
      <c r="M74" s="339"/>
      <c r="N74" s="339"/>
      <c r="O74" s="339"/>
      <c r="P74" s="339"/>
      <c r="Q74" s="339"/>
      <c r="R74" s="339"/>
      <c r="S74" s="339"/>
      <c r="T74" s="339"/>
      <c r="U74" s="339"/>
      <c r="V74" s="339"/>
      <c r="W74" s="339"/>
      <c r="X74" s="339"/>
      <c r="Y74" s="339"/>
      <c r="Z74" s="339"/>
      <c r="AA74" s="339"/>
      <c r="AB74" s="339"/>
      <c r="AC74" s="222"/>
      <c r="AD74" s="339"/>
      <c r="AE74" s="432"/>
    </row>
    <row r="75" spans="1:42" s="318" customFormat="1">
      <c r="A75" s="320">
        <v>45</v>
      </c>
      <c r="B75" s="318" t="s">
        <v>184</v>
      </c>
      <c r="E75" s="340">
        <f>'ROO INPUT'!F75-1</f>
        <v>-354707</v>
      </c>
      <c r="F75" s="341">
        <v>806</v>
      </c>
      <c r="G75" s="341">
        <v>0</v>
      </c>
      <c r="H75" s="341">
        <v>0</v>
      </c>
      <c r="I75" s="341">
        <v>0</v>
      </c>
      <c r="J75" s="341">
        <v>0</v>
      </c>
      <c r="K75" s="341">
        <v>0</v>
      </c>
      <c r="L75" s="341">
        <v>0</v>
      </c>
      <c r="M75" s="341">
        <v>0</v>
      </c>
      <c r="N75" s="341">
        <v>0</v>
      </c>
      <c r="O75" s="341">
        <v>0</v>
      </c>
      <c r="P75" s="341">
        <v>0</v>
      </c>
      <c r="Q75" s="341">
        <v>0</v>
      </c>
      <c r="R75" s="341">
        <v>0</v>
      </c>
      <c r="S75" s="340">
        <v>0</v>
      </c>
      <c r="T75" s="340">
        <v>0</v>
      </c>
      <c r="U75" s="341">
        <v>0</v>
      </c>
      <c r="V75" s="341">
        <v>0</v>
      </c>
      <c r="W75" s="340">
        <v>0</v>
      </c>
      <c r="X75" s="340">
        <v>0</v>
      </c>
      <c r="Y75" s="340">
        <v>0</v>
      </c>
      <c r="Z75" s="340">
        <v>0</v>
      </c>
      <c r="AA75" s="340">
        <v>0</v>
      </c>
      <c r="AB75" s="341">
        <v>0</v>
      </c>
      <c r="AC75" s="215">
        <f>SUM(E75:AB75)</f>
        <v>-353901</v>
      </c>
      <c r="AD75" s="340">
        <v>0</v>
      </c>
      <c r="AE75" s="433">
        <f>SUM(AC75:AD75)</f>
        <v>-353901</v>
      </c>
    </row>
    <row r="76" spans="1:42" s="318" customFormat="1">
      <c r="A76" s="320">
        <v>46</v>
      </c>
      <c r="C76" s="318" t="s">
        <v>515</v>
      </c>
      <c r="E76" s="339">
        <f>SUM(E73:E75)</f>
        <v>1374878</v>
      </c>
      <c r="F76" s="339">
        <f t="shared" ref="F76:AC76" si="93">SUM(F73:F75)</f>
        <v>806</v>
      </c>
      <c r="G76" s="339">
        <f t="shared" si="93"/>
        <v>0</v>
      </c>
      <c r="H76" s="339">
        <f t="shared" si="93"/>
        <v>0</v>
      </c>
      <c r="I76" s="339">
        <f t="shared" si="93"/>
        <v>0</v>
      </c>
      <c r="J76" s="339">
        <f t="shared" ref="J76" si="94">SUM(J73:J75)</f>
        <v>0</v>
      </c>
      <c r="K76" s="339">
        <f t="shared" si="93"/>
        <v>0</v>
      </c>
      <c r="L76" s="339">
        <f t="shared" si="93"/>
        <v>0</v>
      </c>
      <c r="M76" s="339">
        <f t="shared" si="93"/>
        <v>0</v>
      </c>
      <c r="N76" s="339">
        <f t="shared" si="93"/>
        <v>0</v>
      </c>
      <c r="O76" s="339">
        <f t="shared" si="93"/>
        <v>0</v>
      </c>
      <c r="P76" s="339">
        <f t="shared" si="93"/>
        <v>0</v>
      </c>
      <c r="Q76" s="339">
        <f t="shared" si="93"/>
        <v>0</v>
      </c>
      <c r="R76" s="339">
        <f t="shared" si="93"/>
        <v>0</v>
      </c>
      <c r="S76" s="339">
        <f t="shared" ref="S76" si="95">SUM(S73:S75)</f>
        <v>0</v>
      </c>
      <c r="T76" s="339">
        <f>SUM(T73:T75)</f>
        <v>0</v>
      </c>
      <c r="U76" s="339">
        <f>SUM(U73:U75)</f>
        <v>0</v>
      </c>
      <c r="V76" s="339">
        <f>SUM(V73:V75)</f>
        <v>0</v>
      </c>
      <c r="W76" s="339">
        <f t="shared" ref="W76" si="96">SUM(W73:W75)</f>
        <v>0</v>
      </c>
      <c r="X76" s="339">
        <f t="shared" ref="X76" si="97">SUM(X73:X75)</f>
        <v>0</v>
      </c>
      <c r="Y76" s="339">
        <f>SUM(Y73:Y75)</f>
        <v>0</v>
      </c>
      <c r="Z76" s="339">
        <f t="shared" ref="Z76" si="98">SUM(Z73:Z75)</f>
        <v>0</v>
      </c>
      <c r="AA76" s="339">
        <f>SUM(AA73:AA75)</f>
        <v>0</v>
      </c>
      <c r="AB76" s="339">
        <f>SUM(AB73:AB75)</f>
        <v>0</v>
      </c>
      <c r="AC76" s="222">
        <f t="shared" si="93"/>
        <v>1375684</v>
      </c>
      <c r="AD76" s="339">
        <f t="shared" ref="AD76" si="99">SUM(AD73:AD75)</f>
        <v>0</v>
      </c>
      <c r="AE76" s="432">
        <f t="shared" ref="AE76" si="100">SUM(AE73:AE75)</f>
        <v>1375684</v>
      </c>
      <c r="AF76" s="683"/>
      <c r="AG76" s="683"/>
      <c r="AH76" s="683"/>
      <c r="AI76" s="683"/>
      <c r="AJ76" s="683"/>
      <c r="AK76" s="683"/>
      <c r="AL76" s="683"/>
      <c r="AM76" s="683"/>
    </row>
    <row r="77" spans="1:42" s="318" customFormat="1">
      <c r="A77" s="319">
        <v>47</v>
      </c>
      <c r="B77" s="318" t="s">
        <v>579</v>
      </c>
      <c r="E77" s="339">
        <f>'ROO INPUT'!F77+2</f>
        <v>4568</v>
      </c>
      <c r="F77" s="329">
        <v>0</v>
      </c>
      <c r="G77" s="329">
        <v>0</v>
      </c>
      <c r="H77" s="329">
        <v>0</v>
      </c>
      <c r="I77" s="329">
        <v>0</v>
      </c>
      <c r="J77" s="329">
        <v>0</v>
      </c>
      <c r="K77" s="329">
        <v>0</v>
      </c>
      <c r="L77" s="329">
        <v>0</v>
      </c>
      <c r="M77" s="329">
        <v>0</v>
      </c>
      <c r="N77" s="329">
        <v>0</v>
      </c>
      <c r="O77" s="329">
        <v>0</v>
      </c>
      <c r="P77" s="329">
        <v>0</v>
      </c>
      <c r="Q77" s="329">
        <v>0</v>
      </c>
      <c r="R77" s="329">
        <v>0</v>
      </c>
      <c r="S77" s="330">
        <v>0</v>
      </c>
      <c r="T77" s="330">
        <v>0</v>
      </c>
      <c r="U77" s="329">
        <v>0</v>
      </c>
      <c r="V77" s="329">
        <v>0</v>
      </c>
      <c r="W77" s="339">
        <v>0</v>
      </c>
      <c r="X77" s="339">
        <v>0</v>
      </c>
      <c r="Y77" s="330">
        <v>0</v>
      </c>
      <c r="Z77" s="330">
        <v>0</v>
      </c>
      <c r="AA77" s="330">
        <v>0</v>
      </c>
      <c r="AB77" s="329">
        <v>0</v>
      </c>
      <c r="AC77" s="214">
        <f>SUM(E77:AB77)</f>
        <v>4568</v>
      </c>
      <c r="AD77" s="339">
        <v>0</v>
      </c>
      <c r="AE77" s="432">
        <f>SUM(AC77:AD77)</f>
        <v>4568</v>
      </c>
      <c r="AF77" s="683"/>
      <c r="AG77" s="683"/>
      <c r="AH77" s="683"/>
      <c r="AI77" s="683"/>
      <c r="AJ77" s="683"/>
      <c r="AK77" s="683"/>
      <c r="AL77" s="683"/>
      <c r="AM77" s="683"/>
    </row>
    <row r="78" spans="1:42" s="318" customFormat="1">
      <c r="A78" s="319">
        <v>48</v>
      </c>
      <c r="B78" s="318" t="s">
        <v>212</v>
      </c>
      <c r="E78" s="340">
        <f>'ROO INPUT'!F78</f>
        <v>65480</v>
      </c>
      <c r="F78" s="341">
        <v>0</v>
      </c>
      <c r="G78" s="341">
        <v>0</v>
      </c>
      <c r="H78" s="341">
        <v>-3006</v>
      </c>
      <c r="I78" s="341">
        <v>0</v>
      </c>
      <c r="J78" s="341">
        <v>0</v>
      </c>
      <c r="K78" s="341">
        <v>0</v>
      </c>
      <c r="L78" s="341">
        <v>0</v>
      </c>
      <c r="M78" s="341">
        <v>0</v>
      </c>
      <c r="N78" s="341">
        <v>0</v>
      </c>
      <c r="O78" s="341">
        <v>0</v>
      </c>
      <c r="P78" s="341">
        <v>0</v>
      </c>
      <c r="Q78" s="341">
        <v>0</v>
      </c>
      <c r="R78" s="341">
        <v>0</v>
      </c>
      <c r="S78" s="340">
        <v>0</v>
      </c>
      <c r="T78" s="340">
        <v>0</v>
      </c>
      <c r="U78" s="341">
        <v>0</v>
      </c>
      <c r="V78" s="341">
        <v>0</v>
      </c>
      <c r="W78" s="340">
        <v>0</v>
      </c>
      <c r="X78" s="340">
        <v>0</v>
      </c>
      <c r="Y78" s="340">
        <v>0</v>
      </c>
      <c r="Z78" s="340">
        <v>0</v>
      </c>
      <c r="AA78" s="340">
        <v>0</v>
      </c>
      <c r="AB78" s="341">
        <v>0</v>
      </c>
      <c r="AC78" s="215">
        <f>SUM(E78:AB78)</f>
        <v>62474</v>
      </c>
      <c r="AD78" s="340">
        <v>0</v>
      </c>
      <c r="AE78" s="433">
        <f>SUM(AC78:AD78)</f>
        <v>62474</v>
      </c>
      <c r="AF78" s="683"/>
      <c r="AG78" s="838"/>
      <c r="AH78" s="838"/>
      <c r="AI78" s="838"/>
      <c r="AJ78" s="838"/>
      <c r="AK78" s="838"/>
      <c r="AL78" s="838"/>
      <c r="AM78" s="683"/>
    </row>
    <row r="79" spans="1:42" s="318" customFormat="1">
      <c r="A79" s="320"/>
      <c r="E79" s="339"/>
      <c r="F79" s="329"/>
      <c r="G79" s="329"/>
      <c r="H79" s="329"/>
      <c r="I79" s="329"/>
      <c r="J79" s="329"/>
      <c r="K79" s="329"/>
      <c r="L79" s="329"/>
      <c r="M79" s="329"/>
      <c r="N79" s="329"/>
      <c r="O79" s="329"/>
      <c r="P79" s="329"/>
      <c r="Q79" s="329"/>
      <c r="R79" s="329"/>
      <c r="S79" s="330"/>
      <c r="T79" s="330"/>
      <c r="U79" s="329"/>
      <c r="V79" s="329"/>
      <c r="W79" s="339"/>
      <c r="X79" s="339"/>
      <c r="Y79" s="330"/>
      <c r="Z79" s="330"/>
      <c r="AA79" s="330"/>
      <c r="AB79" s="329"/>
      <c r="AC79" s="328"/>
      <c r="AD79" s="339"/>
      <c r="AE79" s="432"/>
      <c r="AF79" s="325"/>
      <c r="AG79" s="218"/>
      <c r="AH79" s="218"/>
      <c r="AI79" s="218"/>
      <c r="AJ79" s="683"/>
      <c r="AK79" s="218"/>
      <c r="AL79" s="218"/>
      <c r="AM79" s="325"/>
      <c r="AN79" s="321"/>
      <c r="AO79" s="321"/>
      <c r="AP79" s="321"/>
    </row>
    <row r="80" spans="1:42" s="317" customFormat="1" ht="13.5" customHeight="1" thickBot="1">
      <c r="A80" s="316">
        <v>49</v>
      </c>
      <c r="B80" s="317" t="s">
        <v>185</v>
      </c>
      <c r="E80" s="370">
        <f t="shared" ref="E80:AC80" si="101">SUM(E76:E78)</f>
        <v>1444926</v>
      </c>
      <c r="F80" s="352">
        <f t="shared" si="101"/>
        <v>806</v>
      </c>
      <c r="G80" s="352">
        <f t="shared" si="101"/>
        <v>0</v>
      </c>
      <c r="H80" s="352">
        <f t="shared" si="101"/>
        <v>-3006</v>
      </c>
      <c r="I80" s="352">
        <f t="shared" si="101"/>
        <v>0</v>
      </c>
      <c r="J80" s="352">
        <f t="shared" si="101"/>
        <v>0</v>
      </c>
      <c r="K80" s="352">
        <f t="shared" si="101"/>
        <v>0</v>
      </c>
      <c r="L80" s="352">
        <f t="shared" si="101"/>
        <v>0</v>
      </c>
      <c r="M80" s="352">
        <f t="shared" si="101"/>
        <v>0</v>
      </c>
      <c r="N80" s="352">
        <f t="shared" si="101"/>
        <v>0</v>
      </c>
      <c r="O80" s="352">
        <f t="shared" si="101"/>
        <v>0</v>
      </c>
      <c r="P80" s="352">
        <f t="shared" si="101"/>
        <v>0</v>
      </c>
      <c r="Q80" s="352">
        <f t="shared" si="101"/>
        <v>0</v>
      </c>
      <c r="R80" s="352">
        <f t="shared" si="101"/>
        <v>0</v>
      </c>
      <c r="S80" s="352">
        <f>SUM(S76:S78)</f>
        <v>0</v>
      </c>
      <c r="T80" s="352">
        <f>SUM(T76:T78)</f>
        <v>0</v>
      </c>
      <c r="U80" s="352">
        <f t="shared" si="101"/>
        <v>0</v>
      </c>
      <c r="V80" s="352">
        <f t="shared" si="101"/>
        <v>0</v>
      </c>
      <c r="W80" s="352">
        <f t="shared" si="101"/>
        <v>0</v>
      </c>
      <c r="X80" s="352">
        <f t="shared" ref="X80" si="102">SUM(X76:X78)</f>
        <v>0</v>
      </c>
      <c r="Y80" s="352">
        <f>SUM(Y76:Y78)</f>
        <v>0</v>
      </c>
      <c r="Z80" s="352">
        <f t="shared" ref="Z80" si="103">SUM(Z76:Z78)</f>
        <v>0</v>
      </c>
      <c r="AA80" s="352">
        <f t="shared" si="101"/>
        <v>0</v>
      </c>
      <c r="AB80" s="352">
        <f t="shared" si="101"/>
        <v>0</v>
      </c>
      <c r="AC80" s="219">
        <f t="shared" si="101"/>
        <v>1442726</v>
      </c>
      <c r="AD80" s="352">
        <f t="shared" ref="AD80" si="104">SUM(AD76:AD78)</f>
        <v>0</v>
      </c>
      <c r="AE80" s="461">
        <f t="shared" ref="AE80" si="105">SUM(AE76:AE78)</f>
        <v>1442726</v>
      </c>
      <c r="AF80" s="805"/>
      <c r="AG80" s="805"/>
      <c r="AH80" s="805"/>
      <c r="AI80" s="806"/>
      <c r="AJ80" s="807"/>
      <c r="AK80" s="805"/>
      <c r="AL80" s="805"/>
      <c r="AM80" s="807"/>
      <c r="AN80" s="510"/>
      <c r="AO80" s="510"/>
      <c r="AP80" s="510"/>
    </row>
    <row r="81" spans="1:42" ht="18" customHeight="1" thickTop="1">
      <c r="A81" s="316"/>
      <c r="E81" s="322"/>
      <c r="F81" s="371"/>
      <c r="G81" s="371"/>
      <c r="H81" s="371"/>
      <c r="I81" s="371"/>
      <c r="J81" s="371"/>
      <c r="K81" s="371"/>
      <c r="L81" s="371"/>
      <c r="M81" s="371"/>
      <c r="N81" s="371"/>
      <c r="O81" s="371"/>
      <c r="P81" s="371"/>
      <c r="Q81" s="371"/>
      <c r="W81" s="379"/>
      <c r="X81" s="379"/>
      <c r="AC81" s="277"/>
      <c r="AD81" s="379"/>
      <c r="AE81" s="811"/>
      <c r="AF81" s="808"/>
      <c r="AG81" s="808"/>
      <c r="AH81" s="809"/>
      <c r="AI81" s="809"/>
      <c r="AJ81" s="512"/>
      <c r="AK81" s="512"/>
      <c r="AL81" s="512"/>
      <c r="AM81" s="512"/>
      <c r="AN81" s="512"/>
      <c r="AO81" s="512"/>
      <c r="AP81" s="512"/>
    </row>
    <row r="82" spans="1:42" ht="15.75" customHeight="1">
      <c r="E82" s="342"/>
      <c r="F82" s="342"/>
      <c r="G82" s="342"/>
      <c r="H82" s="342"/>
      <c r="I82" s="342"/>
      <c r="J82" s="342"/>
      <c r="K82" s="342"/>
      <c r="L82" s="342"/>
      <c r="M82" s="342"/>
      <c r="N82" s="342"/>
      <c r="O82" s="342"/>
      <c r="P82" s="342"/>
      <c r="Q82" s="342"/>
      <c r="R82" s="342"/>
      <c r="S82" s="342"/>
      <c r="T82" s="342"/>
      <c r="U82" s="342"/>
      <c r="V82" s="342"/>
      <c r="W82" s="342"/>
      <c r="X82" s="342"/>
      <c r="Y82" s="342"/>
      <c r="Z82" s="342"/>
      <c r="AA82" s="342"/>
      <c r="AB82" s="342"/>
      <c r="AC82" s="342"/>
      <c r="AD82" s="342"/>
      <c r="AE82" s="812"/>
      <c r="AF82" s="343"/>
      <c r="AG82" s="683"/>
      <c r="AH82" s="683"/>
      <c r="AI82" s="683"/>
      <c r="AJ82" s="507"/>
      <c r="AK82" s="507"/>
      <c r="AL82" s="507"/>
      <c r="AM82" s="507"/>
      <c r="AN82" s="507"/>
      <c r="AO82" s="507"/>
      <c r="AP82" s="507"/>
    </row>
    <row r="83" spans="1:42" ht="26.25" customHeight="1">
      <c r="B83" s="363"/>
      <c r="E83" s="303"/>
      <c r="W83" s="329"/>
      <c r="X83" s="329"/>
      <c r="AD83" s="329"/>
      <c r="AE83" s="478"/>
      <c r="AF83" s="513"/>
      <c r="AG83" s="683"/>
      <c r="AH83" s="683"/>
      <c r="AI83" s="683"/>
      <c r="AJ83" s="513"/>
      <c r="AK83" s="839"/>
      <c r="AL83" s="839"/>
      <c r="AM83" s="513"/>
      <c r="AN83" s="513"/>
      <c r="AO83" s="513"/>
      <c r="AP83" s="513"/>
    </row>
    <row r="84" spans="1:42" ht="63.75" customHeight="1">
      <c r="E84" s="322"/>
      <c r="W84" s="365"/>
      <c r="X84" s="365"/>
      <c r="AD84" s="365"/>
      <c r="AE84" s="465"/>
      <c r="AF84" s="324"/>
      <c r="AG84" s="324"/>
      <c r="AH84" s="324"/>
      <c r="AI84" s="324"/>
      <c r="AJ84" s="810"/>
      <c r="AK84" s="324"/>
      <c r="AL84" s="324"/>
      <c r="AM84" s="810"/>
      <c r="AN84" s="511"/>
      <c r="AO84" s="511"/>
      <c r="AP84" s="511"/>
    </row>
    <row r="85" spans="1:42">
      <c r="E85" s="322">
        <f>'Cost of Capital'!F14</f>
        <v>7.7600000000000002E-2</v>
      </c>
      <c r="AE85" s="505"/>
      <c r="AG85" s="317"/>
      <c r="AH85" s="317"/>
      <c r="AI85" s="317"/>
      <c r="AJ85" s="317"/>
      <c r="AK85" s="317"/>
      <c r="AL85" s="317"/>
    </row>
    <row r="86" spans="1:42">
      <c r="E86" s="322"/>
      <c r="AE86" s="328"/>
    </row>
    <row r="87" spans="1:42">
      <c r="D87" s="303" t="s">
        <v>137</v>
      </c>
      <c r="E87" s="372">
        <f>'CF '!E24</f>
        <v>0.61941299999999999</v>
      </c>
      <c r="AF87" s="317"/>
      <c r="AM87" s="317"/>
      <c r="AN87" s="317"/>
      <c r="AO87" s="317"/>
      <c r="AP87" s="317"/>
    </row>
    <row r="88" spans="1:42">
      <c r="AF88" s="318"/>
      <c r="AM88" s="318"/>
      <c r="AN88" s="318"/>
      <c r="AO88" s="318"/>
      <c r="AP88" s="318"/>
    </row>
    <row r="89" spans="1:42">
      <c r="D89" s="303" t="s">
        <v>189</v>
      </c>
      <c r="E89" s="347">
        <f t="shared" ref="E89:AC89" si="106">E80*$E$85-E56</f>
        <v>2515.2575999999972</v>
      </c>
      <c r="F89" s="347">
        <f t="shared" si="106"/>
        <v>54.618589999999998</v>
      </c>
      <c r="G89" s="347">
        <f t="shared" si="106"/>
        <v>7.8000000000000007</v>
      </c>
      <c r="H89" s="347">
        <f t="shared" si="106"/>
        <v>-203.70159000000001</v>
      </c>
      <c r="I89" s="347">
        <f t="shared" si="106"/>
        <v>95.550000000000011</v>
      </c>
      <c r="J89" s="347">
        <f t="shared" si="106"/>
        <v>-162.5</v>
      </c>
      <c r="K89" s="347">
        <f t="shared" si="106"/>
        <v>858.65000000000009</v>
      </c>
      <c r="L89" s="347">
        <f t="shared" si="106"/>
        <v>4.5500000000000007</v>
      </c>
      <c r="M89" s="347">
        <f t="shared" si="106"/>
        <v>98.15</v>
      </c>
      <c r="N89" s="347">
        <f t="shared" si="106"/>
        <v>69</v>
      </c>
      <c r="O89" s="347">
        <f t="shared" si="106"/>
        <v>-20.149999999999999</v>
      </c>
      <c r="P89" s="347">
        <f t="shared" si="106"/>
        <v>-40.299999999999997</v>
      </c>
      <c r="Q89" s="347">
        <f t="shared" si="106"/>
        <v>-61.1</v>
      </c>
      <c r="R89" s="347">
        <f t="shared" si="106"/>
        <v>-824.85</v>
      </c>
      <c r="S89" s="347">
        <f t="shared" si="106"/>
        <v>0</v>
      </c>
      <c r="T89" s="347">
        <f t="shared" si="106"/>
        <v>969.15</v>
      </c>
      <c r="U89" s="347">
        <f t="shared" si="106"/>
        <v>-4386</v>
      </c>
      <c r="V89" s="347">
        <f t="shared" si="106"/>
        <v>-2.6</v>
      </c>
      <c r="W89" s="347">
        <f t="shared" si="106"/>
        <v>-406.9</v>
      </c>
      <c r="X89" s="347">
        <f t="shared" ref="X89" si="107">X80*$E$85-X56</f>
        <v>-763.1</v>
      </c>
      <c r="Y89" s="347">
        <f>Y80*$E$85-Y56</f>
        <v>-455</v>
      </c>
      <c r="Z89" s="347">
        <f t="shared" ref="Z89" si="108">Z80*$E$85-Z56</f>
        <v>7696</v>
      </c>
      <c r="AA89" s="347">
        <f t="shared" si="106"/>
        <v>0</v>
      </c>
      <c r="AB89" s="347">
        <f t="shared" si="106"/>
        <v>0</v>
      </c>
      <c r="AC89" s="347">
        <f t="shared" si="106"/>
        <v>5042.5246000000188</v>
      </c>
      <c r="AD89" s="347">
        <f t="shared" ref="AD89" si="109">AD80*$E$85-AD56</f>
        <v>-0.19575074999593201</v>
      </c>
      <c r="AE89" s="348">
        <f t="shared" ref="AE89" si="110">AE80*$E$85-AE56</f>
        <v>5042.3288492500287</v>
      </c>
      <c r="AF89" s="318"/>
      <c r="AG89" s="317"/>
      <c r="AH89" s="317"/>
      <c r="AI89" s="317"/>
      <c r="AJ89" s="317"/>
      <c r="AK89" s="317"/>
      <c r="AL89" s="317"/>
      <c r="AM89" s="318"/>
      <c r="AN89" s="318"/>
      <c r="AO89" s="318"/>
      <c r="AP89" s="318"/>
    </row>
    <row r="90" spans="1:42">
      <c r="C90" s="360"/>
      <c r="D90" s="360" t="s">
        <v>106</v>
      </c>
      <c r="E90" s="361">
        <f t="shared" ref="E90:AC90" si="111">E89/$E$87</f>
        <v>4060.7116737943784</v>
      </c>
      <c r="F90" s="361">
        <f t="shared" si="111"/>
        <v>88.177984640296529</v>
      </c>
      <c r="G90" s="361">
        <f t="shared" si="111"/>
        <v>12.592567479210157</v>
      </c>
      <c r="H90" s="361">
        <f t="shared" si="111"/>
        <v>-328.8623099612052</v>
      </c>
      <c r="I90" s="361">
        <f t="shared" si="111"/>
        <v>154.25895162032441</v>
      </c>
      <c r="J90" s="361">
        <f t="shared" ref="J90" si="112">J89/$E$87</f>
        <v>-262.34515581687822</v>
      </c>
      <c r="K90" s="361">
        <f t="shared" si="111"/>
        <v>1386.2318033363847</v>
      </c>
      <c r="L90" s="361">
        <f t="shared" si="111"/>
        <v>7.3456643628725917</v>
      </c>
      <c r="M90" s="361">
        <f t="shared" si="111"/>
        <v>158.45647411339448</v>
      </c>
      <c r="N90" s="361">
        <f t="shared" si="111"/>
        <v>111.39578923916676</v>
      </c>
      <c r="O90" s="361">
        <f t="shared" si="111"/>
        <v>-32.530799321292896</v>
      </c>
      <c r="P90" s="361">
        <f t="shared" si="111"/>
        <v>-65.061598642585793</v>
      </c>
      <c r="Q90" s="361">
        <f t="shared" si="111"/>
        <v>-98.64177858714622</v>
      </c>
      <c r="R90" s="361">
        <f t="shared" si="111"/>
        <v>-1331.664010926474</v>
      </c>
      <c r="S90" s="340">
        <f t="shared" ref="S90" si="113">S89/$E$87</f>
        <v>0</v>
      </c>
      <c r="T90" s="340">
        <f>T89/$E$87</f>
        <v>1564.6265092918618</v>
      </c>
      <c r="U90" s="361">
        <f>U89/$E$87</f>
        <v>-7080.8975594635567</v>
      </c>
      <c r="V90" s="361">
        <f>V89/$E$87</f>
        <v>-4.1975224930700517</v>
      </c>
      <c r="W90" s="361">
        <f t="shared" ref="W90" si="114">W89/$E$87</f>
        <v>-656.91227016546304</v>
      </c>
      <c r="X90" s="361">
        <f t="shared" ref="X90" si="115">X89/$E$87</f>
        <v>-1231.9728517160602</v>
      </c>
      <c r="Y90" s="361">
        <f>Y89/$E$87</f>
        <v>-734.56643628725908</v>
      </c>
      <c r="Z90" s="361">
        <f t="shared" ref="Z90" si="116">Z89/$E$87</f>
        <v>12424.666579487353</v>
      </c>
      <c r="AA90" s="361">
        <f>AA89/$E$87</f>
        <v>0</v>
      </c>
      <c r="AB90" s="361">
        <f>AB89/$E$87</f>
        <v>0</v>
      </c>
      <c r="AC90" s="361">
        <f t="shared" si="111"/>
        <v>8140.8117039842864</v>
      </c>
      <c r="AD90" s="361">
        <f t="shared" ref="AD90" si="117">AD89/$E$87</f>
        <v>-0.31602622159356036</v>
      </c>
      <c r="AE90" s="362">
        <f t="shared" ref="AE90" si="118">AE89/$E$87</f>
        <v>8140.4956777627021</v>
      </c>
      <c r="AF90" s="318"/>
      <c r="AG90" s="318"/>
      <c r="AH90" s="318"/>
      <c r="AI90" s="318"/>
      <c r="AJ90" s="318"/>
      <c r="AK90" s="318"/>
      <c r="AL90" s="318"/>
      <c r="AM90" s="318"/>
      <c r="AN90" s="318"/>
      <c r="AO90" s="318"/>
      <c r="AP90" s="318"/>
    </row>
    <row r="91" spans="1:42" s="324" customFormat="1" ht="11.25" customHeight="1">
      <c r="A91" s="327"/>
      <c r="E91" s="339"/>
      <c r="F91" s="343"/>
      <c r="G91" s="343"/>
      <c r="H91" s="343"/>
      <c r="I91" s="343"/>
      <c r="J91" s="343"/>
      <c r="K91" s="343"/>
      <c r="L91" s="343"/>
      <c r="M91" s="343"/>
      <c r="N91" s="343"/>
      <c r="O91" s="343"/>
      <c r="P91" s="343"/>
      <c r="Q91" s="343"/>
      <c r="R91" s="343"/>
      <c r="S91" s="339"/>
      <c r="T91" s="339"/>
      <c r="U91" s="343"/>
      <c r="V91" s="343"/>
      <c r="W91" s="339"/>
      <c r="X91" s="339"/>
      <c r="Y91" s="339"/>
      <c r="Z91" s="339"/>
      <c r="AA91" s="339"/>
      <c r="AB91" s="343"/>
      <c r="AC91" s="350"/>
      <c r="AD91" s="339"/>
      <c r="AE91" s="344"/>
      <c r="AF91" s="318"/>
      <c r="AG91" s="318"/>
      <c r="AH91" s="318"/>
      <c r="AI91" s="318"/>
      <c r="AJ91" s="318"/>
      <c r="AK91" s="318"/>
      <c r="AL91" s="318"/>
      <c r="AM91" s="318"/>
      <c r="AN91" s="318"/>
      <c r="AO91" s="318"/>
      <c r="AP91" s="318"/>
    </row>
    <row r="92" spans="1:42" s="324" customFormat="1">
      <c r="A92" s="327"/>
      <c r="E92" s="373"/>
      <c r="F92" s="343"/>
      <c r="G92" s="343"/>
      <c r="H92" s="343"/>
      <c r="I92" s="343"/>
      <c r="J92" s="343"/>
      <c r="K92" s="343"/>
      <c r="L92" s="343"/>
      <c r="M92" s="343"/>
      <c r="N92" s="343"/>
      <c r="O92" s="343"/>
      <c r="P92" s="343"/>
      <c r="Q92" s="343"/>
      <c r="R92" s="343"/>
      <c r="S92" s="339"/>
      <c r="T92" s="339"/>
      <c r="U92" s="343"/>
      <c r="V92" s="343"/>
      <c r="W92" s="339"/>
      <c r="X92" s="339"/>
      <c r="Y92" s="339"/>
      <c r="Z92" s="339"/>
      <c r="AA92" s="339"/>
      <c r="AB92" s="343"/>
      <c r="AC92" s="462"/>
      <c r="AD92" s="339"/>
      <c r="AE92" s="344"/>
      <c r="AF92" s="318"/>
      <c r="AG92" s="318"/>
      <c r="AH92" s="318"/>
      <c r="AI92" s="318"/>
      <c r="AJ92" s="318"/>
      <c r="AK92" s="318"/>
      <c r="AL92" s="318"/>
      <c r="AM92" s="318"/>
      <c r="AN92" s="318"/>
      <c r="AO92" s="318"/>
      <c r="AP92" s="318"/>
    </row>
    <row r="93" spans="1:42" s="324" customFormat="1">
      <c r="A93" s="327"/>
      <c r="E93" s="339"/>
      <c r="F93" s="339"/>
      <c r="G93" s="339"/>
      <c r="H93" s="339"/>
      <c r="I93" s="339"/>
      <c r="J93" s="339"/>
      <c r="K93" s="339"/>
      <c r="L93" s="339"/>
      <c r="M93" s="339"/>
      <c r="N93" s="339"/>
      <c r="O93" s="339"/>
      <c r="P93" s="339"/>
      <c r="Q93" s="339"/>
      <c r="R93" s="339"/>
      <c r="S93" s="339"/>
      <c r="T93" s="339"/>
      <c r="U93" s="339"/>
      <c r="V93" s="339"/>
      <c r="W93" s="339"/>
      <c r="X93" s="339"/>
      <c r="Y93" s="339"/>
      <c r="Z93" s="339"/>
      <c r="AA93" s="339"/>
      <c r="AB93" s="339"/>
      <c r="AC93" s="339"/>
      <c r="AD93" s="339"/>
      <c r="AE93" s="339"/>
      <c r="AF93" s="318"/>
      <c r="AG93" s="318"/>
      <c r="AH93" s="318"/>
      <c r="AI93" s="318"/>
      <c r="AJ93" s="318"/>
      <c r="AK93" s="318"/>
      <c r="AL93" s="318"/>
      <c r="AM93" s="318"/>
      <c r="AN93" s="318"/>
      <c r="AO93" s="318"/>
      <c r="AP93" s="318"/>
    </row>
    <row r="94" spans="1:42" s="469" customFormat="1">
      <c r="A94" s="468"/>
      <c r="E94" s="339"/>
      <c r="F94" s="339"/>
      <c r="G94" s="339"/>
      <c r="H94" s="339"/>
      <c r="I94" s="339"/>
      <c r="J94" s="339"/>
      <c r="K94" s="339"/>
      <c r="L94" s="339"/>
      <c r="M94" s="339"/>
      <c r="N94" s="339"/>
      <c r="O94" s="339"/>
      <c r="P94" s="339"/>
      <c r="Q94" s="339"/>
      <c r="R94" s="339"/>
      <c r="S94" s="339"/>
      <c r="T94" s="339"/>
      <c r="U94" s="339"/>
      <c r="V94" s="339"/>
      <c r="W94" s="339"/>
      <c r="X94" s="339"/>
      <c r="Y94" s="339"/>
      <c r="Z94" s="462"/>
      <c r="AA94" s="339"/>
      <c r="AB94" s="339"/>
      <c r="AC94" s="339"/>
      <c r="AD94" s="462"/>
      <c r="AE94" s="339"/>
      <c r="AF94" s="318"/>
      <c r="AG94" s="318"/>
      <c r="AH94" s="318"/>
      <c r="AI94" s="318"/>
      <c r="AJ94" s="318"/>
      <c r="AK94" s="318"/>
      <c r="AL94" s="318"/>
      <c r="AM94" s="318"/>
      <c r="AN94" s="318"/>
      <c r="AO94" s="318"/>
      <c r="AP94" s="318"/>
    </row>
    <row r="95" spans="1:42" s="324" customFormat="1">
      <c r="A95" s="327"/>
      <c r="E95" s="339"/>
      <c r="F95" s="339"/>
      <c r="G95" s="339"/>
      <c r="H95" s="339"/>
      <c r="I95" s="339"/>
      <c r="J95" s="339"/>
      <c r="K95" s="339"/>
      <c r="L95" s="339"/>
      <c r="M95" s="339"/>
      <c r="N95" s="339"/>
      <c r="O95" s="339"/>
      <c r="P95" s="339"/>
      <c r="Q95" s="339"/>
      <c r="R95" s="339"/>
      <c r="S95" s="339"/>
      <c r="T95" s="339"/>
      <c r="U95" s="339"/>
      <c r="V95" s="339"/>
      <c r="W95" s="339"/>
      <c r="X95" s="339"/>
      <c r="Y95" s="339"/>
      <c r="Z95" s="339"/>
      <c r="AA95" s="339"/>
      <c r="AB95" s="339"/>
      <c r="AC95" s="339"/>
      <c r="AD95" s="339"/>
      <c r="AE95" s="339"/>
      <c r="AF95" s="318"/>
      <c r="AG95" s="318"/>
      <c r="AH95" s="318"/>
      <c r="AI95" s="318"/>
      <c r="AJ95" s="318"/>
      <c r="AK95" s="318"/>
      <c r="AL95" s="318"/>
      <c r="AM95" s="318"/>
      <c r="AN95" s="318"/>
      <c r="AO95" s="318"/>
      <c r="AP95" s="318"/>
    </row>
    <row r="96" spans="1:42" s="324" customFormat="1">
      <c r="A96" s="327"/>
      <c r="E96" s="339"/>
      <c r="F96" s="343"/>
      <c r="G96" s="343"/>
      <c r="H96" s="343"/>
      <c r="I96" s="343"/>
      <c r="J96" s="343"/>
      <c r="K96" s="343"/>
      <c r="L96" s="343"/>
      <c r="M96" s="343"/>
      <c r="N96" s="343"/>
      <c r="O96" s="343"/>
      <c r="P96" s="343"/>
      <c r="Q96" s="343"/>
      <c r="R96" s="343"/>
      <c r="S96" s="339"/>
      <c r="T96" s="339"/>
      <c r="U96" s="343"/>
      <c r="V96" s="343"/>
      <c r="W96" s="339"/>
      <c r="X96" s="339"/>
      <c r="Y96" s="339"/>
      <c r="Z96" s="339"/>
      <c r="AA96" s="339"/>
      <c r="AB96" s="343"/>
      <c r="AC96" s="386"/>
      <c r="AD96" s="339"/>
      <c r="AE96" s="344"/>
      <c r="AF96" s="318"/>
      <c r="AG96" s="318"/>
      <c r="AH96" s="318"/>
      <c r="AI96" s="318"/>
      <c r="AJ96" s="318"/>
      <c r="AK96" s="318"/>
      <c r="AL96" s="318"/>
      <c r="AM96" s="318"/>
      <c r="AN96" s="318"/>
      <c r="AO96" s="318"/>
      <c r="AP96" s="318"/>
    </row>
    <row r="97" spans="1:42" s="324" customFormat="1">
      <c r="A97" s="327"/>
      <c r="E97" s="339"/>
      <c r="F97" s="343"/>
      <c r="G97" s="343"/>
      <c r="H97" s="343"/>
      <c r="I97" s="343"/>
      <c r="J97" s="343"/>
      <c r="K97" s="343"/>
      <c r="L97" s="343"/>
      <c r="M97" s="343"/>
      <c r="N97" s="343"/>
      <c r="O97" s="343"/>
      <c r="P97" s="343"/>
      <c r="Q97" s="343"/>
      <c r="R97" s="343"/>
      <c r="S97" s="339"/>
      <c r="T97" s="339"/>
      <c r="U97" s="343"/>
      <c r="V97" s="343"/>
      <c r="W97" s="339"/>
      <c r="X97" s="339"/>
      <c r="Y97" s="339"/>
      <c r="Z97" s="339"/>
      <c r="AA97" s="339"/>
      <c r="AB97" s="343"/>
      <c r="AC97" s="386"/>
      <c r="AD97" s="339"/>
      <c r="AE97" s="344"/>
      <c r="AF97" s="318"/>
      <c r="AG97" s="318"/>
      <c r="AH97" s="318"/>
      <c r="AI97" s="318"/>
      <c r="AJ97" s="318"/>
      <c r="AK97" s="318"/>
      <c r="AL97" s="318"/>
      <c r="AM97" s="318"/>
      <c r="AN97" s="318"/>
      <c r="AO97" s="318"/>
      <c r="AP97" s="318"/>
    </row>
    <row r="98" spans="1:42">
      <c r="AF98" s="318"/>
      <c r="AG98" s="318"/>
      <c r="AH98" s="318"/>
      <c r="AI98" s="318"/>
      <c r="AJ98" s="318"/>
      <c r="AK98" s="318"/>
      <c r="AL98" s="318"/>
      <c r="AM98" s="318"/>
      <c r="AN98" s="318"/>
      <c r="AO98" s="318"/>
      <c r="AP98" s="318"/>
    </row>
    <row r="99" spans="1:42">
      <c r="AF99" s="318"/>
      <c r="AG99" s="318"/>
      <c r="AH99" s="318"/>
      <c r="AI99" s="318"/>
      <c r="AJ99" s="318"/>
      <c r="AK99" s="318"/>
      <c r="AL99" s="318"/>
      <c r="AM99" s="318"/>
      <c r="AN99" s="318"/>
      <c r="AO99" s="318"/>
      <c r="AP99" s="318"/>
    </row>
    <row r="100" spans="1:42">
      <c r="AF100" s="318"/>
      <c r="AG100" s="318"/>
      <c r="AH100" s="318"/>
      <c r="AI100" s="318"/>
      <c r="AJ100" s="318"/>
      <c r="AK100" s="318"/>
      <c r="AL100" s="318"/>
      <c r="AM100" s="318"/>
      <c r="AN100" s="318"/>
      <c r="AO100" s="318"/>
      <c r="AP100" s="318"/>
    </row>
    <row r="101" spans="1:42">
      <c r="AF101" s="318"/>
      <c r="AG101" s="318"/>
      <c r="AH101" s="318"/>
      <c r="AI101" s="318"/>
      <c r="AJ101" s="318"/>
      <c r="AK101" s="318"/>
      <c r="AL101" s="318"/>
      <c r="AM101" s="318"/>
      <c r="AN101" s="318"/>
      <c r="AO101" s="318"/>
      <c r="AP101" s="318"/>
    </row>
    <row r="102" spans="1:42">
      <c r="AF102" s="318"/>
      <c r="AG102" s="318"/>
      <c r="AH102" s="318"/>
      <c r="AI102" s="318"/>
      <c r="AJ102" s="318"/>
      <c r="AK102" s="318"/>
      <c r="AL102" s="318"/>
      <c r="AM102" s="318"/>
      <c r="AN102" s="318"/>
      <c r="AO102" s="318"/>
      <c r="AP102" s="318"/>
    </row>
    <row r="103" spans="1:42">
      <c r="AF103" s="318"/>
      <c r="AG103" s="318"/>
      <c r="AH103" s="318"/>
      <c r="AI103" s="318"/>
      <c r="AJ103" s="318"/>
      <c r="AK103" s="318"/>
      <c r="AL103" s="318"/>
      <c r="AM103" s="318"/>
      <c r="AN103" s="318"/>
      <c r="AO103" s="318"/>
      <c r="AP103" s="318"/>
    </row>
    <row r="104" spans="1:42">
      <c r="AF104" s="318"/>
      <c r="AG104" s="318"/>
      <c r="AH104" s="318"/>
      <c r="AI104" s="318"/>
      <c r="AJ104" s="318"/>
      <c r="AK104" s="318"/>
      <c r="AL104" s="318"/>
      <c r="AM104" s="318"/>
      <c r="AN104" s="318"/>
      <c r="AO104" s="318"/>
      <c r="AP104" s="318"/>
    </row>
    <row r="105" spans="1:42">
      <c r="AF105" s="318"/>
      <c r="AG105" s="318"/>
      <c r="AH105" s="318"/>
      <c r="AI105" s="318"/>
      <c r="AJ105" s="318"/>
      <c r="AK105" s="318"/>
      <c r="AL105" s="318"/>
      <c r="AM105" s="318"/>
      <c r="AN105" s="318"/>
      <c r="AO105" s="318"/>
      <c r="AP105" s="318"/>
    </row>
    <row r="106" spans="1:42">
      <c r="AF106" s="318"/>
      <c r="AG106" s="318"/>
      <c r="AH106" s="318"/>
      <c r="AI106" s="318"/>
      <c r="AJ106" s="318"/>
      <c r="AK106" s="318"/>
      <c r="AL106" s="318"/>
      <c r="AM106" s="318"/>
      <c r="AN106" s="318"/>
      <c r="AO106" s="318"/>
      <c r="AP106" s="318"/>
    </row>
    <row r="107" spans="1:42">
      <c r="AF107" s="317"/>
      <c r="AG107" s="318"/>
      <c r="AH107" s="318"/>
      <c r="AI107" s="318"/>
      <c r="AJ107" s="318"/>
      <c r="AK107" s="318"/>
      <c r="AL107" s="318"/>
      <c r="AM107" s="317"/>
      <c r="AN107" s="317"/>
      <c r="AO107" s="317"/>
      <c r="AP107" s="317"/>
    </row>
    <row r="108" spans="1:42">
      <c r="AG108" s="318"/>
      <c r="AH108" s="318"/>
      <c r="AI108" s="318"/>
      <c r="AJ108" s="318"/>
      <c r="AK108" s="318"/>
      <c r="AL108" s="318"/>
    </row>
    <row r="109" spans="1:42">
      <c r="AG109" s="317"/>
      <c r="AH109" s="317"/>
      <c r="AI109" s="317"/>
      <c r="AJ109" s="317"/>
      <c r="AK109" s="317"/>
      <c r="AL109" s="317"/>
    </row>
    <row r="118" spans="32:42">
      <c r="AF118" s="324"/>
      <c r="AM118" s="324"/>
      <c r="AN118" s="324"/>
      <c r="AO118" s="324"/>
      <c r="AP118" s="324"/>
    </row>
    <row r="119" spans="32:42">
      <c r="AF119" s="324"/>
      <c r="AM119" s="324"/>
      <c r="AN119" s="324"/>
      <c r="AO119" s="324"/>
      <c r="AP119" s="324"/>
    </row>
    <row r="120" spans="32:42">
      <c r="AF120" s="324"/>
      <c r="AG120" s="324"/>
      <c r="AH120" s="324"/>
      <c r="AI120" s="324"/>
      <c r="AJ120" s="324"/>
      <c r="AK120" s="324"/>
      <c r="AL120" s="324"/>
      <c r="AM120" s="324"/>
      <c r="AN120" s="324"/>
      <c r="AO120" s="324"/>
      <c r="AP120" s="324"/>
    </row>
    <row r="121" spans="32:42">
      <c r="AF121" s="469"/>
      <c r="AG121" s="324"/>
      <c r="AH121" s="324"/>
      <c r="AI121" s="324"/>
      <c r="AJ121" s="324"/>
      <c r="AK121" s="324"/>
      <c r="AL121" s="324"/>
      <c r="AM121" s="469"/>
      <c r="AN121" s="469"/>
      <c r="AO121" s="469"/>
      <c r="AP121" s="469"/>
    </row>
    <row r="122" spans="32:42">
      <c r="AF122" s="324"/>
      <c r="AG122" s="324"/>
      <c r="AH122" s="324"/>
      <c r="AI122" s="324"/>
      <c r="AJ122" s="324"/>
      <c r="AK122" s="324"/>
      <c r="AL122" s="324"/>
      <c r="AM122" s="324"/>
      <c r="AN122" s="324"/>
      <c r="AO122" s="324"/>
      <c r="AP122" s="324"/>
    </row>
    <row r="123" spans="32:42">
      <c r="AF123" s="324"/>
      <c r="AG123" s="469"/>
      <c r="AH123" s="469"/>
      <c r="AI123" s="469"/>
      <c r="AJ123" s="469"/>
      <c r="AK123" s="469"/>
      <c r="AL123" s="469"/>
      <c r="AM123" s="324"/>
      <c r="AN123" s="324"/>
      <c r="AO123" s="324"/>
      <c r="AP123" s="324"/>
    </row>
    <row r="124" spans="32:42">
      <c r="AF124" s="324"/>
      <c r="AG124" s="324"/>
      <c r="AH124" s="324"/>
      <c r="AI124" s="324"/>
      <c r="AJ124" s="324"/>
      <c r="AK124" s="324"/>
      <c r="AL124" s="324"/>
      <c r="AM124" s="324"/>
      <c r="AN124" s="324"/>
      <c r="AO124" s="324"/>
      <c r="AP124" s="324"/>
    </row>
    <row r="125" spans="32:42">
      <c r="AG125" s="324"/>
      <c r="AH125" s="324"/>
      <c r="AI125" s="324"/>
      <c r="AJ125" s="324"/>
      <c r="AK125" s="324"/>
      <c r="AL125" s="324"/>
    </row>
    <row r="126" spans="32:42">
      <c r="AG126" s="324"/>
      <c r="AH126" s="324"/>
      <c r="AI126" s="324"/>
      <c r="AJ126" s="324"/>
      <c r="AK126" s="324"/>
      <c r="AL126" s="324"/>
    </row>
    <row r="167" spans="22:25">
      <c r="V167" s="782"/>
      <c r="X167" s="778" t="s">
        <v>873</v>
      </c>
      <c r="Y167" s="778"/>
    </row>
    <row r="169" spans="22:25" ht="2.25" hidden="1" customHeight="1"/>
    <row r="170" spans="22:25" ht="11.25" customHeight="1">
      <c r="X170" s="330" t="s">
        <v>874</v>
      </c>
    </row>
    <row r="198" spans="4:26">
      <c r="V198" s="778"/>
    </row>
    <row r="199" spans="4:26">
      <c r="V199" s="782"/>
      <c r="X199" s="330" t="s">
        <v>874</v>
      </c>
    </row>
    <row r="200" spans="4:26">
      <c r="V200" s="778"/>
    </row>
    <row r="202" spans="4:26">
      <c r="V202" s="778"/>
    </row>
    <row r="204" spans="4:26">
      <c r="V204" s="786"/>
      <c r="X204" s="330" t="s">
        <v>874</v>
      </c>
      <c r="Z204" s="782"/>
    </row>
    <row r="206" spans="4:26">
      <c r="D206" s="278" t="s">
        <v>875</v>
      </c>
    </row>
  </sheetData>
  <customSheetViews>
    <customSheetView guid="{6E1B8C45-B07F-11D2-B0DC-0000832CDFF0}" scale="75" showPageBreaks="1" showGridLines="0" printArea="1" hiddenColumns="1" showRuler="0">
      <selection sqref="A1:IV65536"/>
      <colBreaks count="5" manualBreakCount="5">
        <brk id="11" max="70" man="1"/>
        <brk id="18" max="70" man="1"/>
        <brk id="25" max="70" man="1"/>
        <brk id="32" max="1048575" man="1"/>
        <brk id="40" max="1048575" man="1"/>
      </colBreaks>
      <pageMargins left="0.75" right="0.51" top="0.75" bottom="0.5" header="0.5" footer="0.5"/>
      <pageSetup scale="76" orientation="portrait" horizontalDpi="300" verticalDpi="300" r:id="rId1"/>
      <headerFooter alignWithMargins="0">
        <oddHeader>&amp;L&amp;"Times,Regular"&amp;9KM  File: &amp;F&amp;R&amp;"Times,Regular"&amp;9Page &amp;P of &amp;N  &amp;D</oddHeader>
      </headerFooter>
    </customSheetView>
    <customSheetView guid="{A15D1962-B049-11D2-8670-0000832CEEE8}" scale="75" showPageBreaks="1" showGridLines="0" hiddenColumns="1" showRuler="0" topLeftCell="AF1">
      <selection activeCell="AG1" sqref="AG1:AO65536"/>
      <colBreaks count="5" manualBreakCount="5">
        <brk id="11" max="70" man="1"/>
        <brk id="18" max="70" man="1"/>
        <brk id="25" max="70" man="1"/>
        <brk id="32" max="1048575" man="1"/>
        <brk id="52" max="1048575" man="1"/>
      </colBreaks>
      <pageMargins left="0.75" right="0.51" top="0.75" bottom="0.5" header="0.5" footer="0.5"/>
      <pageSetup scale="76" orientation="portrait" horizontalDpi="300" verticalDpi="300" r:id="rId2"/>
      <headerFooter alignWithMargins="0">
        <oddHeader>&amp;L&amp;"Times,Regular"&amp;9KM  File: &amp;F&amp;R&amp;"Times,Regular"&amp;9Page &amp;P of &amp;N  &amp;D</oddHeader>
      </headerFooter>
    </customSheetView>
  </customSheetViews>
  <mergeCells count="14">
    <mergeCell ref="AM41:AM42"/>
    <mergeCell ref="AK63:AL63"/>
    <mergeCell ref="D1:E1"/>
    <mergeCell ref="Z3:Z6"/>
    <mergeCell ref="AI39:AI40"/>
    <mergeCell ref="AM31:AM32"/>
    <mergeCell ref="AG27:AM27"/>
    <mergeCell ref="AK37:AK38"/>
    <mergeCell ref="AL37:AL38"/>
    <mergeCell ref="AG78:AJ78"/>
    <mergeCell ref="AK78:AL78"/>
    <mergeCell ref="AK83:AL83"/>
    <mergeCell ref="AK65:AM66"/>
    <mergeCell ref="AM44:AN46"/>
  </mergeCells>
  <phoneticPr fontId="0" type="noConversion"/>
  <hyperlinks>
    <hyperlink ref="I10" location="BandO!A1" display="t"/>
  </hyperlinks>
  <pageMargins left="0.7" right="0.51" top="0.75" bottom="0.5" header="0.5" footer="0.5"/>
  <pageSetup scale="58" firstPageNumber="4" orientation="portrait" r:id="rId3"/>
  <headerFooter scaleWithDoc="0" alignWithMargins="0">
    <oddHeader>&amp;L
&amp;RExh. EMA-13</oddHeader>
    <oddFooter>&amp;RPage &amp;P of &amp;N</oddFooter>
  </headerFooter>
  <colBreaks count="3" manualBreakCount="3">
    <brk id="12" min="1" max="83" man="1"/>
    <brk id="20" min="1" max="83" man="1"/>
    <brk id="26" min="1" max="83" man="1"/>
  </colBreaks>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E1031"/>
  <sheetViews>
    <sheetView tabSelected="1" view="pageBreakPreview" topLeftCell="A38" zoomScale="115" zoomScaleNormal="115" zoomScaleSheetLayoutView="115" workbookViewId="0">
      <selection activeCell="O34" sqref="O34"/>
    </sheetView>
  </sheetViews>
  <sheetFormatPr defaultColWidth="12.42578125" defaultRowHeight="12"/>
  <cols>
    <col min="1" max="1" width="3.85546875" style="474" customWidth="1"/>
    <col min="2" max="2" width="3.42578125" style="474" customWidth="1"/>
    <col min="3" max="3" width="3" style="474" customWidth="1"/>
    <col min="4" max="4" width="33.7109375" style="474" customWidth="1"/>
    <col min="5" max="5" width="42.42578125" style="474" hidden="1" customWidth="1"/>
    <col min="6" max="6" width="8.42578125" style="514" hidden="1" customWidth="1"/>
    <col min="7" max="7" width="8.42578125" style="622" hidden="1" customWidth="1"/>
    <col min="8" max="10" width="8.5703125" style="622" hidden="1" customWidth="1"/>
    <col min="11" max="11" width="8.5703125" style="514" hidden="1" customWidth="1"/>
    <col min="12" max="12" width="8.5703125" style="622" hidden="1" customWidth="1"/>
    <col min="13" max="14" width="8.5703125" style="622" bestFit="1" customWidth="1"/>
    <col min="15" max="17" width="9.28515625" style="622" bestFit="1" customWidth="1"/>
    <col min="18" max="18" width="9.28515625" style="474" bestFit="1" customWidth="1"/>
    <col min="19" max="19" width="9.85546875" style="514" customWidth="1"/>
    <col min="20" max="21" width="9.5703125" style="514" customWidth="1"/>
    <col min="22" max="22" width="10" style="514" customWidth="1"/>
    <col min="23" max="23" width="1.28515625" style="474" customWidth="1"/>
    <col min="24" max="24" width="9.5703125" style="474" customWidth="1"/>
    <col min="25" max="25" width="8.42578125" style="474" bestFit="1" customWidth="1"/>
    <col min="26" max="26" width="8.5703125" style="474" bestFit="1" customWidth="1"/>
    <col min="27" max="33" width="8.42578125" style="474" bestFit="1" customWidth="1"/>
    <col min="34" max="16384" width="12.42578125" style="474"/>
  </cols>
  <sheetData>
    <row r="1" spans="1:22" ht="3.75" customHeight="1">
      <c r="A1" s="862"/>
      <c r="B1" s="862"/>
      <c r="C1" s="862"/>
      <c r="D1" s="862"/>
      <c r="E1" s="862"/>
      <c r="F1" s="862"/>
      <c r="G1" s="862"/>
      <c r="H1" s="862"/>
      <c r="I1" s="862"/>
      <c r="J1" s="862"/>
      <c r="K1" s="862"/>
      <c r="L1" s="862"/>
      <c r="M1" s="862"/>
      <c r="N1" s="862"/>
      <c r="O1" s="862"/>
      <c r="P1" s="862"/>
      <c r="Q1" s="862"/>
      <c r="R1" s="862"/>
    </row>
    <row r="2" spans="1:22" ht="18.75">
      <c r="A2" s="515" t="s">
        <v>655</v>
      </c>
      <c r="B2" s="516"/>
      <c r="C2" s="516"/>
      <c r="D2" s="516"/>
      <c r="E2" s="516"/>
      <c r="F2" s="516"/>
      <c r="G2" s="516"/>
      <c r="H2" s="516"/>
      <c r="I2" s="516"/>
      <c r="J2" s="516"/>
      <c r="K2" s="516"/>
      <c r="L2" s="516"/>
      <c r="M2" s="516"/>
      <c r="N2" s="516"/>
      <c r="O2" s="516"/>
      <c r="P2" s="516"/>
      <c r="Q2" s="516"/>
      <c r="R2" s="516"/>
    </row>
    <row r="3" spans="1:22" ht="18" customHeight="1">
      <c r="A3" s="515" t="s">
        <v>656</v>
      </c>
      <c r="B3" s="515"/>
      <c r="C3" s="515"/>
      <c r="D3" s="515"/>
      <c r="E3" s="517"/>
      <c r="F3" s="515"/>
      <c r="G3" s="515"/>
      <c r="H3" s="515"/>
      <c r="I3" s="515"/>
      <c r="J3" s="515"/>
      <c r="K3" s="515"/>
      <c r="L3" s="515"/>
      <c r="M3" s="515"/>
      <c r="N3" s="515"/>
      <c r="O3" s="518"/>
      <c r="P3" s="518"/>
      <c r="Q3" s="518"/>
      <c r="R3" s="518"/>
    </row>
    <row r="4" spans="1:22" ht="12.75" customHeight="1">
      <c r="A4" s="519" t="s">
        <v>150</v>
      </c>
      <c r="G4" s="514"/>
      <c r="H4" s="514"/>
      <c r="I4" s="514"/>
      <c r="J4" s="514"/>
      <c r="L4" s="514"/>
      <c r="M4" s="514"/>
      <c r="N4" s="514"/>
      <c r="O4" s="514"/>
      <c r="P4" s="514"/>
      <c r="Q4" s="514"/>
    </row>
    <row r="5" spans="1:22" ht="1.5" customHeight="1">
      <c r="A5" s="519"/>
      <c r="F5" s="520"/>
      <c r="G5" s="520"/>
      <c r="H5" s="520"/>
      <c r="I5" s="520"/>
      <c r="J5" s="520"/>
      <c r="K5" s="520"/>
      <c r="L5" s="520"/>
      <c r="M5" s="520"/>
      <c r="N5" s="520"/>
      <c r="O5" s="520"/>
      <c r="P5" s="520"/>
      <c r="Q5" s="520"/>
      <c r="R5" s="520"/>
    </row>
    <row r="6" spans="1:22" ht="3.75" customHeight="1">
      <c r="G6" s="514"/>
      <c r="H6" s="514"/>
      <c r="I6" s="514"/>
      <c r="J6" s="514"/>
      <c r="L6" s="514"/>
      <c r="M6" s="514"/>
      <c r="N6" s="514"/>
      <c r="O6" s="514"/>
      <c r="P6" s="514"/>
      <c r="Q6" s="514"/>
      <c r="U6" s="521"/>
      <c r="V6" s="521"/>
    </row>
    <row r="7" spans="1:22" ht="12.75">
      <c r="A7" s="519" t="s">
        <v>151</v>
      </c>
      <c r="F7" s="863"/>
      <c r="G7" s="863"/>
      <c r="H7" s="863"/>
      <c r="I7" s="863"/>
      <c r="J7" s="863"/>
      <c r="K7" s="863"/>
      <c r="L7" s="863"/>
      <c r="M7" s="863"/>
      <c r="N7" s="863"/>
      <c r="O7" s="863"/>
      <c r="P7" s="863"/>
      <c r="Q7" s="522"/>
      <c r="T7" s="523"/>
      <c r="U7" s="524"/>
      <c r="V7" s="524"/>
    </row>
    <row r="8" spans="1:22">
      <c r="A8" s="212" t="s">
        <v>7</v>
      </c>
      <c r="F8" s="525">
        <v>2000</v>
      </c>
      <c r="G8" s="525">
        <v>2001</v>
      </c>
      <c r="H8" s="525">
        <v>2002</v>
      </c>
      <c r="I8" s="525">
        <v>2003</v>
      </c>
      <c r="J8" s="525">
        <v>2004</v>
      </c>
      <c r="K8" s="525">
        <v>2005</v>
      </c>
      <c r="L8" s="525">
        <v>2006</v>
      </c>
      <c r="M8" s="525">
        <v>2007</v>
      </c>
      <c r="N8" s="525">
        <v>2008</v>
      </c>
      <c r="O8" s="525">
        <v>2009</v>
      </c>
      <c r="P8" s="525">
        <v>2010</v>
      </c>
      <c r="Q8" s="525">
        <v>2011</v>
      </c>
      <c r="R8" s="525">
        <v>2012</v>
      </c>
      <c r="S8" s="525">
        <v>2013</v>
      </c>
      <c r="T8" s="525">
        <v>2014</v>
      </c>
      <c r="U8" s="525">
        <v>2015</v>
      </c>
      <c r="V8" s="525">
        <v>2016</v>
      </c>
    </row>
    <row r="9" spans="1:22">
      <c r="A9" s="212" t="s">
        <v>19</v>
      </c>
      <c r="B9" s="474" t="s">
        <v>152</v>
      </c>
      <c r="F9" s="522"/>
      <c r="G9" s="522"/>
      <c r="H9" s="522"/>
      <c r="I9" s="522"/>
      <c r="J9" s="522"/>
      <c r="K9" s="522"/>
      <c r="L9" s="522"/>
      <c r="M9" s="522"/>
      <c r="N9" s="522"/>
      <c r="O9" s="522"/>
      <c r="P9" s="522"/>
      <c r="Q9" s="522"/>
      <c r="S9" s="474"/>
      <c r="T9" s="474"/>
      <c r="U9" s="474"/>
      <c r="V9" s="474"/>
    </row>
    <row r="10" spans="1:22">
      <c r="A10" s="212">
        <v>1</v>
      </c>
      <c r="B10" s="474" t="s">
        <v>153</v>
      </c>
      <c r="F10" s="526">
        <f>'CBR Hist'!F13</f>
        <v>242529</v>
      </c>
      <c r="G10" s="526">
        <f>'CBR Hist'!G13</f>
        <v>258201</v>
      </c>
      <c r="H10" s="526">
        <f>'CBR Hist'!H13</f>
        <v>273318</v>
      </c>
      <c r="I10" s="526">
        <f>'CBR Hist'!I13</f>
        <v>283356</v>
      </c>
      <c r="J10" s="526">
        <f>'CBR Hist'!J13</f>
        <v>285399</v>
      </c>
      <c r="K10" s="526">
        <f>'CBR Hist'!K13</f>
        <v>289216</v>
      </c>
      <c r="L10" s="526">
        <f>'CBR Hist'!L13</f>
        <v>321929</v>
      </c>
      <c r="M10" s="526">
        <f>'CBR Hist'!M13</f>
        <v>326335</v>
      </c>
      <c r="N10" s="526">
        <f>'CBR Hist'!N13</f>
        <v>365425</v>
      </c>
      <c r="O10" s="526">
        <f>'CBR Hist'!O13</f>
        <v>402618</v>
      </c>
      <c r="P10" s="526">
        <f>'CBR Hist'!P13</f>
        <v>415739.9703632</v>
      </c>
      <c r="Q10" s="527">
        <v>0.03</v>
      </c>
      <c r="R10" s="526">
        <f>'CBR Hist'!R13-816-113</f>
        <v>459266</v>
      </c>
      <c r="S10" s="526">
        <f>'CBR Hist'!S13</f>
        <v>468006</v>
      </c>
      <c r="T10" s="526">
        <f>'CBR Hist'!T13</f>
        <v>488372</v>
      </c>
      <c r="U10" s="526">
        <f>'CBR Hist'!U13</f>
        <v>497229</v>
      </c>
      <c r="V10" s="526">
        <f>'CBR Hist'!V13</f>
        <v>492413</v>
      </c>
    </row>
    <row r="11" spans="1:22">
      <c r="A11" s="212">
        <v>2</v>
      </c>
      <c r="B11" s="474" t="s">
        <v>154</v>
      </c>
      <c r="F11" s="528">
        <f>'CBR Hist'!F14</f>
        <v>546</v>
      </c>
      <c r="G11" s="528">
        <f>'CBR Hist'!G14</f>
        <v>528</v>
      </c>
      <c r="H11" s="528">
        <f>'CBR Hist'!H14</f>
        <v>791</v>
      </c>
      <c r="I11" s="528">
        <f>'CBR Hist'!I14</f>
        <v>752</v>
      </c>
      <c r="J11" s="528">
        <f>'CBR Hist'!J14</f>
        <v>752</v>
      </c>
      <c r="K11" s="528">
        <f>'CBR Hist'!K14</f>
        <v>713</v>
      </c>
      <c r="L11" s="528">
        <f>'CBR Hist'!L14</f>
        <v>733</v>
      </c>
      <c r="M11" s="528">
        <f>'CBR Hist'!M14</f>
        <v>739</v>
      </c>
      <c r="N11" s="528">
        <f>'CBR Hist'!N14</f>
        <v>820</v>
      </c>
      <c r="O11" s="528">
        <f>'CBR Hist'!O14</f>
        <v>871.54909999999995</v>
      </c>
      <c r="P11" s="528">
        <f>'CBR Hist'!P14</f>
        <v>790</v>
      </c>
      <c r="Q11" s="528">
        <f>'CBR Hist'!Q14</f>
        <v>820</v>
      </c>
      <c r="R11" s="528">
        <f>'CBR Hist'!R14+816+113</f>
        <v>816</v>
      </c>
      <c r="S11" s="528">
        <f>'CBR Hist'!S14</f>
        <v>884</v>
      </c>
      <c r="T11" s="528">
        <f>'CBR Hist'!T14</f>
        <v>922</v>
      </c>
      <c r="U11" s="528">
        <f>'CBR Hist'!U14</f>
        <v>928</v>
      </c>
      <c r="V11" s="528">
        <f>'CBR Hist'!V14</f>
        <v>946</v>
      </c>
    </row>
    <row r="12" spans="1:22">
      <c r="A12" s="212">
        <v>3</v>
      </c>
      <c r="B12" s="474" t="s">
        <v>155</v>
      </c>
      <c r="F12" s="528">
        <f>'CBR Hist'!F15</f>
        <v>137117</v>
      </c>
      <c r="G12" s="528">
        <f>'CBR Hist'!G15</f>
        <v>91388</v>
      </c>
      <c r="H12" s="528">
        <f>'CBR Hist'!H15</f>
        <v>29918</v>
      </c>
      <c r="I12" s="528">
        <f>'CBR Hist'!I15</f>
        <v>35252</v>
      </c>
      <c r="J12" s="528">
        <f>'CBR Hist'!J15</f>
        <v>40460</v>
      </c>
      <c r="K12" s="528">
        <f>'CBR Hist'!K15</f>
        <v>44718</v>
      </c>
      <c r="L12" s="528">
        <f>'CBR Hist'!L15</f>
        <v>35380</v>
      </c>
      <c r="M12" s="528">
        <f>'CBR Hist'!M15</f>
        <v>34954</v>
      </c>
      <c r="N12" s="528">
        <f>'CBR Hist'!N15</f>
        <v>46848</v>
      </c>
      <c r="O12" s="528">
        <f>'CBR Hist'!O15</f>
        <v>31491</v>
      </c>
      <c r="P12" s="528">
        <f>'CBR Hist'!P15</f>
        <v>133479</v>
      </c>
      <c r="Q12" s="528">
        <f>'CBR Hist'!Q15</f>
        <v>52604</v>
      </c>
      <c r="R12" s="528">
        <f>'CBR Hist'!R15</f>
        <v>54549</v>
      </c>
      <c r="S12" s="528">
        <f>'CBR Hist'!S15</f>
        <v>75349</v>
      </c>
      <c r="T12" s="528">
        <f>'CBR Hist'!T15</f>
        <v>60998</v>
      </c>
      <c r="U12" s="528">
        <f>'CBR Hist'!U15</f>
        <v>49505</v>
      </c>
      <c r="V12" s="528">
        <f>'CBR Hist'!V15</f>
        <v>57854</v>
      </c>
    </row>
    <row r="13" spans="1:22">
      <c r="A13" s="212">
        <v>4</v>
      </c>
      <c r="B13" s="474" t="s">
        <v>156</v>
      </c>
      <c r="F13" s="529">
        <f>SUM(F10:F12)</f>
        <v>380192</v>
      </c>
      <c r="G13" s="529">
        <f t="shared" ref="G13:V13" si="0">SUM(G10:G12)</f>
        <v>350117</v>
      </c>
      <c r="H13" s="529">
        <f t="shared" si="0"/>
        <v>304027</v>
      </c>
      <c r="I13" s="529">
        <f t="shared" si="0"/>
        <v>319360</v>
      </c>
      <c r="J13" s="529">
        <f t="shared" si="0"/>
        <v>326611</v>
      </c>
      <c r="K13" s="529">
        <f t="shared" si="0"/>
        <v>334647</v>
      </c>
      <c r="L13" s="529">
        <f t="shared" si="0"/>
        <v>358042</v>
      </c>
      <c r="M13" s="529">
        <f t="shared" si="0"/>
        <v>362028</v>
      </c>
      <c r="N13" s="529">
        <f t="shared" si="0"/>
        <v>413093</v>
      </c>
      <c r="O13" s="529">
        <f t="shared" si="0"/>
        <v>434980.5491</v>
      </c>
      <c r="P13" s="529">
        <f t="shared" si="0"/>
        <v>550008.97036319994</v>
      </c>
      <c r="Q13" s="529">
        <f t="shared" si="0"/>
        <v>53424.03</v>
      </c>
      <c r="R13" s="529">
        <f t="shared" si="0"/>
        <v>514631</v>
      </c>
      <c r="S13" s="529">
        <f t="shared" si="0"/>
        <v>544239</v>
      </c>
      <c r="T13" s="529">
        <f t="shared" si="0"/>
        <v>550292</v>
      </c>
      <c r="U13" s="529">
        <f t="shared" si="0"/>
        <v>547662</v>
      </c>
      <c r="V13" s="529">
        <f t="shared" si="0"/>
        <v>551213</v>
      </c>
    </row>
    <row r="14" spans="1:22">
      <c r="A14" s="212">
        <v>5</v>
      </c>
      <c r="B14" s="474" t="s">
        <v>157</v>
      </c>
      <c r="F14" s="528">
        <f>'CBR Hist'!F17</f>
        <v>13062</v>
      </c>
      <c r="G14" s="528">
        <f>'CBR Hist'!G17</f>
        <v>14305</v>
      </c>
      <c r="H14" s="528">
        <f>'CBR Hist'!H17</f>
        <v>34274</v>
      </c>
      <c r="I14" s="528">
        <f>'CBR Hist'!I17</f>
        <v>57244</v>
      </c>
      <c r="J14" s="528">
        <f>'CBR Hist'!J17</f>
        <v>8587</v>
      </c>
      <c r="K14" s="528">
        <f>'CBR Hist'!K17</f>
        <v>10259</v>
      </c>
      <c r="L14" s="528">
        <f>'CBR Hist'!L17</f>
        <v>10178</v>
      </c>
      <c r="M14" s="528">
        <f>'CBR Hist'!M17</f>
        <v>10170</v>
      </c>
      <c r="N14" s="528">
        <f>'CBR Hist'!N17</f>
        <v>10927</v>
      </c>
      <c r="O14" s="528">
        <f>'CBR Hist'!O17</f>
        <v>9395</v>
      </c>
      <c r="P14" s="528">
        <f>'CBR Hist'!P17</f>
        <v>11786</v>
      </c>
      <c r="Q14" s="528">
        <f>'CBR Hist'!Q17</f>
        <v>13666</v>
      </c>
      <c r="R14" s="528">
        <f>'CBR Hist'!R17</f>
        <v>13089</v>
      </c>
      <c r="S14" s="528">
        <f>'CBR Hist'!S17</f>
        <v>13408</v>
      </c>
      <c r="T14" s="528">
        <f>'CBR Hist'!T17</f>
        <v>17163</v>
      </c>
      <c r="U14" s="528">
        <f>'CBR Hist'!U17</f>
        <v>16920</v>
      </c>
      <c r="V14" s="528">
        <f>'CBR Hist'!V17</f>
        <v>17310</v>
      </c>
    </row>
    <row r="15" spans="1:22">
      <c r="A15" s="212">
        <v>6</v>
      </c>
      <c r="B15" s="474" t="s">
        <v>158</v>
      </c>
      <c r="E15" s="474" t="s">
        <v>892</v>
      </c>
      <c r="F15" s="529">
        <f>SUM(F13:F14)</f>
        <v>393254</v>
      </c>
      <c r="G15" s="529">
        <f t="shared" ref="G15:V15" si="1">SUM(G13:G14)</f>
        <v>364422</v>
      </c>
      <c r="H15" s="529">
        <f t="shared" si="1"/>
        <v>338301</v>
      </c>
      <c r="I15" s="529">
        <f t="shared" si="1"/>
        <v>376604</v>
      </c>
      <c r="J15" s="529">
        <f t="shared" si="1"/>
        <v>335198</v>
      </c>
      <c r="K15" s="529">
        <f t="shared" si="1"/>
        <v>344906</v>
      </c>
      <c r="L15" s="529">
        <f t="shared" si="1"/>
        <v>368220</v>
      </c>
      <c r="M15" s="529">
        <f t="shared" si="1"/>
        <v>372198</v>
      </c>
      <c r="N15" s="529">
        <f t="shared" si="1"/>
        <v>424020</v>
      </c>
      <c r="O15" s="529">
        <f t="shared" si="1"/>
        <v>444375.5491</v>
      </c>
      <c r="P15" s="529">
        <f t="shared" si="1"/>
        <v>561794.97036319994</v>
      </c>
      <c r="Q15" s="529">
        <f t="shared" si="1"/>
        <v>67090.03</v>
      </c>
      <c r="R15" s="529">
        <f t="shared" si="1"/>
        <v>527720</v>
      </c>
      <c r="S15" s="529">
        <f t="shared" si="1"/>
        <v>557647</v>
      </c>
      <c r="T15" s="529">
        <f t="shared" si="1"/>
        <v>567455</v>
      </c>
      <c r="U15" s="529">
        <f t="shared" si="1"/>
        <v>564582</v>
      </c>
      <c r="V15" s="529">
        <f t="shared" si="1"/>
        <v>568523</v>
      </c>
    </row>
    <row r="16" spans="1:22" ht="2.25" customHeight="1">
      <c r="A16" s="212"/>
      <c r="F16" s="530"/>
      <c r="G16" s="530"/>
      <c r="H16" s="530"/>
      <c r="I16" s="530"/>
      <c r="J16" s="530"/>
      <c r="K16" s="530"/>
      <c r="L16" s="530"/>
      <c r="M16" s="530"/>
      <c r="N16" s="530"/>
      <c r="O16" s="530"/>
      <c r="P16" s="530"/>
      <c r="Q16" s="530"/>
      <c r="R16" s="530"/>
      <c r="S16" s="530"/>
      <c r="T16" s="530"/>
      <c r="U16" s="530"/>
      <c r="V16" s="530"/>
    </row>
    <row r="17" spans="1:23">
      <c r="A17" s="212"/>
      <c r="B17" s="474" t="s">
        <v>159</v>
      </c>
      <c r="F17" s="530"/>
      <c r="G17" s="530"/>
      <c r="H17" s="530"/>
      <c r="I17" s="530"/>
      <c r="J17" s="530"/>
      <c r="K17" s="530"/>
      <c r="L17" s="530"/>
      <c r="M17" s="530"/>
      <c r="N17" s="530"/>
      <c r="O17" s="530"/>
      <c r="P17" s="530"/>
      <c r="Q17" s="530"/>
      <c r="R17" s="530"/>
      <c r="S17" s="530"/>
      <c r="T17" s="530"/>
      <c r="U17" s="530"/>
      <c r="V17" s="530"/>
    </row>
    <row r="18" spans="1:23">
      <c r="A18" s="212"/>
      <c r="B18" s="474" t="s">
        <v>160</v>
      </c>
      <c r="F18" s="530"/>
      <c r="G18" s="530"/>
      <c r="H18" s="530"/>
      <c r="I18" s="530"/>
      <c r="J18" s="530"/>
      <c r="K18" s="530"/>
      <c r="L18" s="530"/>
      <c r="M18" s="530"/>
      <c r="N18" s="530"/>
      <c r="O18" s="530"/>
      <c r="P18" s="530"/>
      <c r="Q18" s="530"/>
      <c r="R18" s="530"/>
      <c r="S18" s="530"/>
      <c r="T18" s="530"/>
      <c r="U18" s="530"/>
      <c r="V18" s="530"/>
    </row>
    <row r="19" spans="1:23">
      <c r="A19" s="212">
        <v>7</v>
      </c>
      <c r="C19" s="474" t="s">
        <v>161</v>
      </c>
      <c r="F19" s="528">
        <f>'CBR Hist'!F22</f>
        <v>78721</v>
      </c>
      <c r="G19" s="528">
        <f>'CBR Hist'!G22</f>
        <v>47157</v>
      </c>
      <c r="H19" s="822">
        <f>'CBR Hist'!H22</f>
        <v>101475</v>
      </c>
      <c r="I19" s="528">
        <f>'CBR Hist'!I22</f>
        <v>132098</v>
      </c>
      <c r="J19" s="528">
        <f>'CBR Hist'!J22</f>
        <v>101545</v>
      </c>
      <c r="K19" s="528">
        <f>'CBR Hist'!K22</f>
        <v>105374</v>
      </c>
      <c r="L19" s="528">
        <f>'CBR Hist'!L22</f>
        <v>104260</v>
      </c>
      <c r="M19" s="528">
        <f>'CBR Hist'!M22</f>
        <v>102890</v>
      </c>
      <c r="N19" s="528">
        <f>'CBR Hist'!N22</f>
        <v>117123</v>
      </c>
      <c r="O19" s="528">
        <f>'CBR Hist'!O22</f>
        <v>87599</v>
      </c>
      <c r="P19" s="528">
        <f>'CBR Hist'!P22</f>
        <v>147107</v>
      </c>
      <c r="Q19" s="528">
        <f>'CBR Hist'!Q22</f>
        <v>145634</v>
      </c>
      <c r="R19" s="528">
        <f>'CBR Hist'!R22</f>
        <v>131795</v>
      </c>
      <c r="S19" s="528">
        <f>'CBR Hist'!S22</f>
        <v>143904</v>
      </c>
      <c r="T19" s="528">
        <f>'CBR Hist'!T22</f>
        <v>120307</v>
      </c>
      <c r="U19" s="528">
        <f>'CBR Hist'!U22</f>
        <v>140485</v>
      </c>
      <c r="V19" s="528">
        <f>'CBR Hist'!V22</f>
        <v>136385</v>
      </c>
    </row>
    <row r="20" spans="1:23">
      <c r="A20" s="212">
        <v>8</v>
      </c>
      <c r="C20" s="474" t="s">
        <v>162</v>
      </c>
      <c r="F20" s="528">
        <f>'CBR Hist'!F23</f>
        <v>181189</v>
      </c>
      <c r="G20" s="528">
        <f>'CBR Hist'!G23</f>
        <v>132159</v>
      </c>
      <c r="H20" s="822">
        <f>'CBR Hist'!H23</f>
        <v>50769</v>
      </c>
      <c r="I20" s="528">
        <f>'CBR Hist'!I23</f>
        <v>46591</v>
      </c>
      <c r="J20" s="528">
        <f>'CBR Hist'!J23</f>
        <v>51042</v>
      </c>
      <c r="K20" s="528">
        <f>'CBR Hist'!K23</f>
        <v>55046</v>
      </c>
      <c r="L20" s="528">
        <f>'CBR Hist'!L23</f>
        <v>79146</v>
      </c>
      <c r="M20" s="528">
        <f>'CBR Hist'!M23</f>
        <v>65640</v>
      </c>
      <c r="N20" s="528">
        <f>'CBR Hist'!N23</f>
        <v>72508</v>
      </c>
      <c r="O20" s="528">
        <f>'CBR Hist'!O23</f>
        <v>100437</v>
      </c>
      <c r="P20" s="528">
        <f>'CBR Hist'!P23</f>
        <v>142197</v>
      </c>
      <c r="Q20" s="528">
        <f>'CBR Hist'!Q23</f>
        <v>91142</v>
      </c>
      <c r="R20" s="528">
        <f>'CBR Hist'!R23</f>
        <v>101283</v>
      </c>
      <c r="S20" s="528">
        <f>'CBR Hist'!S23</f>
        <v>109034</v>
      </c>
      <c r="T20" s="528">
        <f>'CBR Hist'!T23</f>
        <v>116643</v>
      </c>
      <c r="U20" s="528">
        <f>'CBR Hist'!U23</f>
        <v>85107</v>
      </c>
      <c r="V20" s="528">
        <f>'CBR Hist'!V23</f>
        <v>78794</v>
      </c>
    </row>
    <row r="21" spans="1:23">
      <c r="A21" s="212">
        <v>9</v>
      </c>
      <c r="C21" s="474" t="s">
        <v>509</v>
      </c>
      <c r="F21" s="528">
        <f>'CBR Hist'!F24+'CBR Hist'!F25-F22</f>
        <v>14850</v>
      </c>
      <c r="G21" s="528">
        <f>'CBR Hist'!G24+'CBR Hist'!G25-G22</f>
        <v>15202</v>
      </c>
      <c r="H21" s="528">
        <f>'CBR Hist'!H24+'CBR Hist'!H25-H22</f>
        <v>20157</v>
      </c>
      <c r="I21" s="528">
        <f>'CBR Hist'!I24+'CBR Hist'!I25-I22</f>
        <v>20523</v>
      </c>
      <c r="J21" s="528">
        <f>'CBR Hist'!J24+'CBR Hist'!J25-J22</f>
        <v>22312</v>
      </c>
      <c r="K21" s="528">
        <f>'CBR Hist'!K24+'CBR Hist'!K25-K22</f>
        <v>22629</v>
      </c>
      <c r="L21" s="528">
        <f>'CBR Hist'!L24+'CBR Hist'!L25-L22</f>
        <v>24577</v>
      </c>
      <c r="M21" s="528">
        <f>'CBR Hist'!M24+'CBR Hist'!M25-M22</f>
        <v>24877</v>
      </c>
      <c r="N21" s="528">
        <f>'CBR Hist'!N24+'CBR Hist'!N25-N22</f>
        <v>23076</v>
      </c>
      <c r="O21" s="528">
        <f>'CBR Hist'!O24+'CBR Hist'!O25-O22</f>
        <v>23969</v>
      </c>
      <c r="P21" s="528">
        <f>'CBR Hist'!P24+'CBR Hist'!P25-P22</f>
        <v>25008</v>
      </c>
      <c r="Q21" s="528">
        <f>'CBR Hist'!Q24+'CBR Hist'!Q25-Q22</f>
        <v>25158</v>
      </c>
      <c r="R21" s="528">
        <f>'CBR Hist'!R24+'CBR Hist'!R25-R22</f>
        <v>25680</v>
      </c>
      <c r="S21" s="528">
        <f>'CBR Hist'!S24+'CBR Hist'!S25-S22</f>
        <v>23284</v>
      </c>
      <c r="T21" s="528">
        <f>'CBR Hist'!T24+'CBR Hist'!T25-T22</f>
        <v>23715</v>
      </c>
      <c r="U21" s="528">
        <f>'CBR Hist'!U24+'CBR Hist'!U25-U22</f>
        <v>24947</v>
      </c>
      <c r="V21" s="528">
        <f>'CBR Hist'!V24+'CBR Hist'!V25-V22</f>
        <v>26676</v>
      </c>
    </row>
    <row r="22" spans="1:23">
      <c r="A22" s="212">
        <v>10</v>
      </c>
      <c r="C22" s="474" t="s">
        <v>505</v>
      </c>
      <c r="F22" s="528">
        <f>'Reg Amorts'!E43</f>
        <v>-17964</v>
      </c>
      <c r="G22" s="528">
        <f>'Reg Amorts'!F43</f>
        <v>-6050</v>
      </c>
      <c r="H22" s="528">
        <f>'Reg Amorts'!G43</f>
        <v>-6349</v>
      </c>
      <c r="I22" s="528">
        <f>'Reg Amorts'!H43</f>
        <v>-5608</v>
      </c>
      <c r="J22" s="528">
        <f>'Reg Amorts'!I43</f>
        <v>567</v>
      </c>
      <c r="K22" s="528">
        <f>'Reg Amorts'!J43</f>
        <v>-8817</v>
      </c>
      <c r="L22" s="528">
        <f>'Reg Amorts'!K43</f>
        <v>1168</v>
      </c>
      <c r="M22" s="528">
        <f>'Reg Amorts'!L43</f>
        <v>-3082</v>
      </c>
      <c r="N22" s="528">
        <f>'Reg Amorts'!M43</f>
        <v>-1076</v>
      </c>
      <c r="O22" s="528">
        <f>'Reg Amorts'!N43</f>
        <v>-1703</v>
      </c>
      <c r="P22" s="528">
        <f>'Reg Amorts'!O43</f>
        <v>-2879</v>
      </c>
      <c r="Q22" s="528">
        <f>'Reg Amorts'!P43</f>
        <v>403</v>
      </c>
      <c r="R22" s="528">
        <f>'Reg Amorts'!Q43</f>
        <v>-7744</v>
      </c>
      <c r="S22" s="528">
        <f>'Reg Amorts'!R43</f>
        <v>8629</v>
      </c>
      <c r="T22" s="528">
        <f>'Reg Amorts'!S43</f>
        <v>8101</v>
      </c>
      <c r="U22" s="528">
        <f>'Reg Amorts'!T43</f>
        <v>5974</v>
      </c>
      <c r="V22" s="528">
        <f>'Reg Amorts'!U43</f>
        <v>4706</v>
      </c>
    </row>
    <row r="23" spans="1:23">
      <c r="A23" s="212">
        <v>11</v>
      </c>
      <c r="C23" s="474" t="s">
        <v>163</v>
      </c>
      <c r="F23" s="528">
        <f>'CBR Hist'!F26</f>
        <v>9346</v>
      </c>
      <c r="G23" s="528">
        <f>'CBR Hist'!G26</f>
        <v>5139</v>
      </c>
      <c r="H23" s="528">
        <f>'CBR Hist'!H26</f>
        <v>7164</v>
      </c>
      <c r="I23" s="528">
        <f>'CBR Hist'!I26</f>
        <v>6722</v>
      </c>
      <c r="J23" s="528">
        <f>'CBR Hist'!J26</f>
        <v>7283</v>
      </c>
      <c r="K23" s="528">
        <f>'CBR Hist'!K26</f>
        <v>9900</v>
      </c>
      <c r="L23" s="528">
        <f>'CBR Hist'!L26</f>
        <v>9115</v>
      </c>
      <c r="M23" s="528">
        <f>'CBR Hist'!M26</f>
        <v>8319</v>
      </c>
      <c r="N23" s="528">
        <f>'CBR Hist'!N26</f>
        <v>8146</v>
      </c>
      <c r="O23" s="528">
        <f>'CBR Hist'!O26</f>
        <v>9014</v>
      </c>
      <c r="P23" s="528">
        <f>'CBR Hist'!P26</f>
        <v>9955</v>
      </c>
      <c r="Q23" s="528">
        <f>'CBR Hist'!Q26</f>
        <v>10846</v>
      </c>
      <c r="R23" s="528">
        <f>'CBR Hist'!R26</f>
        <v>11456</v>
      </c>
      <c r="S23" s="528">
        <f>'CBR Hist'!S26</f>
        <v>12913</v>
      </c>
      <c r="T23" s="528">
        <f>'CBR Hist'!T26</f>
        <v>12828</v>
      </c>
      <c r="U23" s="528">
        <f>'CBR Hist'!U26</f>
        <v>14133</v>
      </c>
      <c r="V23" s="528">
        <f>'CBR Hist'!V26</f>
        <v>14654</v>
      </c>
    </row>
    <row r="24" spans="1:23">
      <c r="A24" s="212">
        <v>12</v>
      </c>
      <c r="B24" s="474" t="s">
        <v>164</v>
      </c>
      <c r="F24" s="531">
        <f>SUM(F19:F23)</f>
        <v>266142</v>
      </c>
      <c r="G24" s="531">
        <f t="shared" ref="G24:V24" si="2">SUM(G19:G23)</f>
        <v>193607</v>
      </c>
      <c r="H24" s="531">
        <f t="shared" si="2"/>
        <v>173216</v>
      </c>
      <c r="I24" s="531">
        <f t="shared" si="2"/>
        <v>200326</v>
      </c>
      <c r="J24" s="531">
        <f t="shared" si="2"/>
        <v>182749</v>
      </c>
      <c r="K24" s="531">
        <f t="shared" si="2"/>
        <v>184132</v>
      </c>
      <c r="L24" s="531">
        <f t="shared" si="2"/>
        <v>218266</v>
      </c>
      <c r="M24" s="531">
        <f t="shared" si="2"/>
        <v>198644</v>
      </c>
      <c r="N24" s="531">
        <f t="shared" si="2"/>
        <v>219777</v>
      </c>
      <c r="O24" s="531">
        <f t="shared" si="2"/>
        <v>219316</v>
      </c>
      <c r="P24" s="531">
        <f t="shared" si="2"/>
        <v>321388</v>
      </c>
      <c r="Q24" s="531">
        <f t="shared" si="2"/>
        <v>273183</v>
      </c>
      <c r="R24" s="531">
        <f t="shared" si="2"/>
        <v>262470</v>
      </c>
      <c r="S24" s="531">
        <f t="shared" si="2"/>
        <v>297764</v>
      </c>
      <c r="T24" s="531">
        <f t="shared" si="2"/>
        <v>281594</v>
      </c>
      <c r="U24" s="531">
        <f t="shared" si="2"/>
        <v>270646</v>
      </c>
      <c r="V24" s="531">
        <f t="shared" si="2"/>
        <v>261215</v>
      </c>
    </row>
    <row r="25" spans="1:23" ht="3.75" customHeight="1">
      <c r="A25" s="212"/>
      <c r="F25" s="530"/>
      <c r="G25" s="530"/>
      <c r="H25" s="530"/>
      <c r="I25" s="530"/>
      <c r="J25" s="530"/>
      <c r="K25" s="530"/>
      <c r="L25" s="530"/>
      <c r="M25" s="530"/>
      <c r="N25" s="530"/>
      <c r="O25" s="530"/>
      <c r="P25" s="530"/>
      <c r="Q25" s="530"/>
      <c r="R25" s="530"/>
      <c r="S25" s="532"/>
      <c r="T25" s="532"/>
      <c r="U25" s="532"/>
      <c r="V25" s="532"/>
    </row>
    <row r="26" spans="1:23">
      <c r="A26" s="212"/>
      <c r="B26" s="474" t="s">
        <v>165</v>
      </c>
      <c r="F26" s="530"/>
      <c r="G26" s="530"/>
      <c r="H26" s="530"/>
      <c r="I26" s="530"/>
      <c r="J26" s="530"/>
      <c r="K26" s="530"/>
      <c r="L26" s="530"/>
      <c r="M26" s="530"/>
      <c r="N26" s="530"/>
      <c r="O26" s="530"/>
      <c r="P26" s="530"/>
      <c r="Q26" s="530"/>
      <c r="R26" s="530"/>
      <c r="S26" s="530"/>
      <c r="T26" s="530"/>
      <c r="U26" s="530"/>
      <c r="V26" s="530"/>
    </row>
    <row r="27" spans="1:23">
      <c r="A27" s="212">
        <v>13</v>
      </c>
      <c r="C27" s="474" t="s">
        <v>161</v>
      </c>
      <c r="F27" s="528">
        <f>'CBR Hist'!F30</f>
        <v>9418</v>
      </c>
      <c r="G27" s="528">
        <f>'CBR Hist'!G30</f>
        <v>10560</v>
      </c>
      <c r="H27" s="528">
        <f>'CBR Hist'!H30</f>
        <v>9631</v>
      </c>
      <c r="I27" s="528">
        <f>'CBR Hist'!I30</f>
        <v>10171</v>
      </c>
      <c r="J27" s="528">
        <f>'CBR Hist'!J30</f>
        <v>12016</v>
      </c>
      <c r="K27" s="528">
        <f>'CBR Hist'!K30</f>
        <v>14263</v>
      </c>
      <c r="L27" s="528">
        <f>'CBR Hist'!L30</f>
        <v>15485</v>
      </c>
      <c r="M27" s="528">
        <f>'CBR Hist'!M30</f>
        <v>14563</v>
      </c>
      <c r="N27" s="528">
        <f>'CBR Hist'!N30</f>
        <v>17329</v>
      </c>
      <c r="O27" s="528">
        <f>'CBR Hist'!O30</f>
        <v>17267</v>
      </c>
      <c r="P27" s="528">
        <f>'CBR Hist'!P30</f>
        <v>18354</v>
      </c>
      <c r="Q27" s="528">
        <f>'CBR Hist'!Q30</f>
        <v>19081</v>
      </c>
      <c r="R27" s="528">
        <f>'CBR Hist'!R30</f>
        <v>21152</v>
      </c>
      <c r="S27" s="528">
        <f>'CBR Hist'!S30</f>
        <v>20878</v>
      </c>
      <c r="T27" s="528">
        <f>'CBR Hist'!T30</f>
        <v>21299</v>
      </c>
      <c r="U27" s="528">
        <f>'CBR Hist'!U30</f>
        <v>24056</v>
      </c>
      <c r="V27" s="528">
        <f>'CBR Hist'!V30</f>
        <v>21415</v>
      </c>
    </row>
    <row r="28" spans="1:23">
      <c r="A28" s="212">
        <v>14</v>
      </c>
      <c r="C28" s="474" t="s">
        <v>508</v>
      </c>
      <c r="F28" s="528">
        <f>'CBR Hist'!F31</f>
        <v>9056</v>
      </c>
      <c r="G28" s="528">
        <f>'CBR Hist'!G31</f>
        <v>9178</v>
      </c>
      <c r="H28" s="528">
        <f>'CBR Hist'!H31</f>
        <v>9427</v>
      </c>
      <c r="I28" s="528">
        <f>'CBR Hist'!I31</f>
        <v>9752</v>
      </c>
      <c r="J28" s="528">
        <f>'CBR Hist'!J31</f>
        <v>10067</v>
      </c>
      <c r="K28" s="528">
        <f>'CBR Hist'!K31</f>
        <v>10399</v>
      </c>
      <c r="L28" s="528">
        <f>'CBR Hist'!L31</f>
        <v>10776</v>
      </c>
      <c r="M28" s="528">
        <f>'CBR Hist'!M31</f>
        <v>11333</v>
      </c>
      <c r="N28" s="528">
        <f>'CBR Hist'!N31</f>
        <v>15611</v>
      </c>
      <c r="O28" s="528">
        <f>'CBR Hist'!O31</f>
        <v>16809</v>
      </c>
      <c r="P28" s="528">
        <f>'CBR Hist'!P31</f>
        <v>17985</v>
      </c>
      <c r="Q28" s="528">
        <f>'CBR Hist'!Q31</f>
        <v>19240</v>
      </c>
      <c r="R28" s="528">
        <f>'CBR Hist'!R31</f>
        <v>20749</v>
      </c>
      <c r="S28" s="528">
        <f>'CBR Hist'!S31</f>
        <v>22303</v>
      </c>
      <c r="T28" s="528">
        <f>'CBR Hist'!T31</f>
        <v>23794</v>
      </c>
      <c r="U28" s="528">
        <f>'CBR Hist'!U31</f>
        <v>25379</v>
      </c>
      <c r="V28" s="528">
        <f>'CBR Hist'!V31</f>
        <v>27819</v>
      </c>
    </row>
    <row r="29" spans="1:23">
      <c r="A29" s="212">
        <v>15</v>
      </c>
      <c r="C29" s="474" t="s">
        <v>657</v>
      </c>
      <c r="F29" s="528">
        <f>'CBR Hist'!F32</f>
        <v>11693</v>
      </c>
      <c r="G29" s="528">
        <f>'CBR Hist'!G32</f>
        <v>15462</v>
      </c>
      <c r="H29" s="528">
        <f>'CBR Hist'!H32</f>
        <v>16996</v>
      </c>
      <c r="I29" s="528">
        <f>'CBR Hist'!I32</f>
        <v>17286</v>
      </c>
      <c r="J29" s="528">
        <f>'CBR Hist'!J32</f>
        <v>17401</v>
      </c>
      <c r="K29" s="528">
        <f>'CBR Hist'!K32</f>
        <v>14988</v>
      </c>
      <c r="L29" s="528">
        <f>'CBR Hist'!L32</f>
        <v>16307</v>
      </c>
      <c r="M29" s="528">
        <f>'CBR Hist'!M32</f>
        <v>16156</v>
      </c>
      <c r="N29" s="528">
        <f>'CBR Hist'!N32</f>
        <v>17416</v>
      </c>
      <c r="O29" s="528">
        <f>'CBR Hist'!O32</f>
        <v>18216</v>
      </c>
      <c r="P29" s="528">
        <f>'CBR Hist'!P32</f>
        <v>20029</v>
      </c>
      <c r="Q29" s="528">
        <f>'CBR Hist'!Q32</f>
        <v>22459</v>
      </c>
      <c r="R29" s="528">
        <f>'CBR Hist'!R32</f>
        <v>22699</v>
      </c>
      <c r="S29" s="528">
        <f>'CBR Hist'!S32</f>
        <v>23809</v>
      </c>
      <c r="T29" s="528">
        <f>'CBR Hist'!T32</f>
        <v>25821</v>
      </c>
      <c r="U29" s="528">
        <f>'CBR Hist'!U32</f>
        <v>27448</v>
      </c>
      <c r="V29" s="528">
        <f>'CBR Hist'!V32</f>
        <v>27287</v>
      </c>
      <c r="W29" s="528"/>
    </row>
    <row r="30" spans="1:23">
      <c r="A30" s="212">
        <v>16</v>
      </c>
      <c r="B30" s="474" t="s">
        <v>166</v>
      </c>
      <c r="F30" s="531">
        <f>SUM(F27:F29)</f>
        <v>30167</v>
      </c>
      <c r="G30" s="531">
        <f t="shared" ref="G30:V30" si="3">SUM(G27:G29)</f>
        <v>35200</v>
      </c>
      <c r="H30" s="531">
        <f t="shared" si="3"/>
        <v>36054</v>
      </c>
      <c r="I30" s="531">
        <f t="shared" si="3"/>
        <v>37209</v>
      </c>
      <c r="J30" s="531">
        <f t="shared" si="3"/>
        <v>39484</v>
      </c>
      <c r="K30" s="531">
        <f t="shared" si="3"/>
        <v>39650</v>
      </c>
      <c r="L30" s="531">
        <f t="shared" si="3"/>
        <v>42568</v>
      </c>
      <c r="M30" s="531">
        <f t="shared" si="3"/>
        <v>42052</v>
      </c>
      <c r="N30" s="531">
        <f t="shared" si="3"/>
        <v>50356</v>
      </c>
      <c r="O30" s="531">
        <f t="shared" si="3"/>
        <v>52292</v>
      </c>
      <c r="P30" s="531">
        <f t="shared" si="3"/>
        <v>56368</v>
      </c>
      <c r="Q30" s="531">
        <f t="shared" si="3"/>
        <v>60780</v>
      </c>
      <c r="R30" s="531">
        <f t="shared" si="3"/>
        <v>64600</v>
      </c>
      <c r="S30" s="531">
        <f t="shared" si="3"/>
        <v>66990</v>
      </c>
      <c r="T30" s="531">
        <f t="shared" si="3"/>
        <v>70914</v>
      </c>
      <c r="U30" s="531">
        <f t="shared" si="3"/>
        <v>76883</v>
      </c>
      <c r="V30" s="531">
        <f t="shared" si="3"/>
        <v>76521</v>
      </c>
    </row>
    <row r="31" spans="1:23" ht="4.5" customHeight="1">
      <c r="A31" s="212"/>
      <c r="F31" s="530"/>
      <c r="G31" s="530"/>
      <c r="H31" s="824"/>
      <c r="I31" s="530"/>
      <c r="J31" s="530"/>
      <c r="K31" s="530"/>
      <c r="L31" s="530"/>
      <c r="M31" s="530"/>
      <c r="N31" s="530"/>
      <c r="O31" s="530"/>
      <c r="P31" s="530"/>
      <c r="Q31" s="530"/>
      <c r="R31" s="530"/>
      <c r="S31" s="530"/>
      <c r="T31" s="530"/>
      <c r="U31" s="530"/>
      <c r="V31" s="530"/>
    </row>
    <row r="32" spans="1:23">
      <c r="A32" s="212">
        <v>17</v>
      </c>
      <c r="B32" s="474" t="s">
        <v>167</v>
      </c>
      <c r="F32" s="528">
        <f>'CBR Hist'!F35</f>
        <v>5768</v>
      </c>
      <c r="G32" s="528">
        <f>'CBR Hist'!G35</f>
        <v>6196</v>
      </c>
      <c r="H32" s="822">
        <f>'CBR Hist'!H35</f>
        <v>7113</v>
      </c>
      <c r="I32" s="528">
        <f>'CBR Hist'!I35</f>
        <v>7129</v>
      </c>
      <c r="J32" s="528">
        <f>'CBR Hist'!J35</f>
        <v>7352</v>
      </c>
      <c r="K32" s="528">
        <f>'CBR Hist'!K35</f>
        <v>7156</v>
      </c>
      <c r="L32" s="528">
        <f>'CBR Hist'!L35</f>
        <v>7097</v>
      </c>
      <c r="M32" s="528">
        <f>'CBR Hist'!M35</f>
        <v>7514</v>
      </c>
      <c r="N32" s="528">
        <f>'CBR Hist'!N35</f>
        <v>7919</v>
      </c>
      <c r="O32" s="528">
        <f>'CBR Hist'!O35</f>
        <v>9646</v>
      </c>
      <c r="P32" s="528">
        <f>'CBR Hist'!P35</f>
        <v>9261</v>
      </c>
      <c r="Q32" s="528">
        <f>'CBR Hist'!Q35</f>
        <v>10274.701588</v>
      </c>
      <c r="R32" s="528">
        <f>'CBR Hist'!R35</f>
        <v>10335.791302</v>
      </c>
      <c r="S32" s="528">
        <f>'CBR Hist'!S35</f>
        <v>11334</v>
      </c>
      <c r="T32" s="528">
        <f>'CBR Hist'!T35</f>
        <v>11166</v>
      </c>
      <c r="U32" s="528">
        <f>'CBR Hist'!U35</f>
        <v>12363</v>
      </c>
      <c r="V32" s="528">
        <f>'CBR Hist'!V35</f>
        <v>13021</v>
      </c>
    </row>
    <row r="33" spans="1:22">
      <c r="A33" s="212">
        <v>18</v>
      </c>
      <c r="B33" s="474" t="s">
        <v>168</v>
      </c>
      <c r="F33" s="528">
        <f>'CBR Hist'!F36</f>
        <v>5704</v>
      </c>
      <c r="G33" s="528">
        <f>'CBR Hist'!G36</f>
        <v>5381</v>
      </c>
      <c r="H33" s="528">
        <f>'CBR Hist'!H36</f>
        <v>6261</v>
      </c>
      <c r="I33" s="528">
        <f>'CBR Hist'!I36</f>
        <v>6620</v>
      </c>
      <c r="J33" s="528">
        <f>'CBR Hist'!J36</f>
        <v>266</v>
      </c>
      <c r="K33" s="528">
        <f>'CBR Hist'!K36</f>
        <v>7127</v>
      </c>
      <c r="L33" s="528">
        <f>'CBR Hist'!L36</f>
        <v>1159</v>
      </c>
      <c r="M33" s="528">
        <f>'CBR Hist'!M36</f>
        <v>7472</v>
      </c>
      <c r="N33" s="528">
        <f>'CBR Hist'!N36</f>
        <v>12847</v>
      </c>
      <c r="O33" s="528">
        <f>'CBR Hist'!O36</f>
        <v>19736</v>
      </c>
      <c r="P33" s="528">
        <f>'CBR Hist'!P36</f>
        <v>20832</v>
      </c>
      <c r="Q33" s="528">
        <f>'CBR Hist'!Q36</f>
        <v>21292</v>
      </c>
      <c r="R33" s="528">
        <f>'CBR Hist'!R36</f>
        <v>18487</v>
      </c>
      <c r="S33" s="528">
        <f>'CBR Hist'!S36</f>
        <v>1516</v>
      </c>
      <c r="T33" s="528">
        <f>'CBR Hist'!T36</f>
        <v>1383</v>
      </c>
      <c r="U33" s="528">
        <f>'CBR Hist'!U36</f>
        <v>1454</v>
      </c>
      <c r="V33" s="528">
        <f>'CBR Hist'!V36</f>
        <v>1406</v>
      </c>
    </row>
    <row r="34" spans="1:22">
      <c r="A34" s="212">
        <v>19</v>
      </c>
      <c r="B34" s="474" t="s">
        <v>169</v>
      </c>
      <c r="F34" s="528">
        <f>'CBR Hist'!F37</f>
        <v>1071</v>
      </c>
      <c r="G34" s="528">
        <f>'CBR Hist'!G37</f>
        <v>734</v>
      </c>
      <c r="H34" s="528">
        <f>'CBR Hist'!H37</f>
        <v>628</v>
      </c>
      <c r="I34" s="528">
        <f>'CBR Hist'!I37</f>
        <v>734</v>
      </c>
      <c r="J34" s="528">
        <f>'CBR Hist'!J37</f>
        <v>686</v>
      </c>
      <c r="K34" s="528">
        <f>'CBR Hist'!K37</f>
        <v>430</v>
      </c>
      <c r="L34" s="528">
        <f>'CBR Hist'!L37</f>
        <v>657</v>
      </c>
      <c r="M34" s="528">
        <f>'CBR Hist'!M37</f>
        <v>682</v>
      </c>
      <c r="N34" s="528">
        <f>'CBR Hist'!N37</f>
        <v>571</v>
      </c>
      <c r="O34" s="528">
        <f>'CBR Hist'!O37</f>
        <v>660</v>
      </c>
      <c r="P34" s="528">
        <f>'CBR Hist'!P37</f>
        <v>176</v>
      </c>
      <c r="Q34" s="528">
        <f>'CBR Hist'!Q37</f>
        <v>4</v>
      </c>
      <c r="R34" s="528">
        <f>'CBR Hist'!R37</f>
        <v>5</v>
      </c>
      <c r="S34" s="528">
        <f>'CBR Hist'!S37</f>
        <v>5</v>
      </c>
      <c r="T34" s="528">
        <f>'CBR Hist'!T37</f>
        <v>0</v>
      </c>
      <c r="U34" s="528">
        <f>'CBR Hist'!U37</f>
        <v>0</v>
      </c>
      <c r="V34" s="528">
        <f>'CBR Hist'!V37</f>
        <v>0</v>
      </c>
    </row>
    <row r="35" spans="1:22" ht="2.25" customHeight="1">
      <c r="A35" s="212"/>
      <c r="F35" s="530"/>
      <c r="G35" s="530"/>
      <c r="H35" s="530"/>
      <c r="I35" s="530"/>
      <c r="J35" s="530"/>
      <c r="K35" s="530"/>
      <c r="L35" s="530"/>
      <c r="M35" s="530"/>
      <c r="N35" s="530"/>
      <c r="O35" s="530"/>
      <c r="P35" s="530"/>
      <c r="Q35" s="530"/>
      <c r="R35" s="530"/>
      <c r="S35" s="530"/>
      <c r="T35" s="530"/>
      <c r="U35" s="530"/>
      <c r="V35" s="530"/>
    </row>
    <row r="36" spans="1:22">
      <c r="A36" s="212"/>
      <c r="B36" s="474" t="s">
        <v>170</v>
      </c>
      <c r="F36" s="530"/>
      <c r="G36" s="530"/>
      <c r="H36" s="530"/>
      <c r="I36" s="530"/>
      <c r="J36" s="530"/>
      <c r="K36" s="530"/>
      <c r="L36" s="530"/>
      <c r="M36" s="530"/>
      <c r="N36" s="530"/>
      <c r="O36" s="530"/>
      <c r="P36" s="530"/>
      <c r="Q36" s="530"/>
      <c r="R36" s="530"/>
      <c r="S36" s="530"/>
      <c r="T36" s="530"/>
      <c r="U36" s="530"/>
      <c r="V36" s="530"/>
    </row>
    <row r="37" spans="1:22">
      <c r="A37" s="212">
        <v>20</v>
      </c>
      <c r="C37" s="474" t="s">
        <v>161</v>
      </c>
      <c r="F37" s="528">
        <f>'CBR Hist'!F40</f>
        <v>30350</v>
      </c>
      <c r="G37" s="528">
        <f>'CBR Hist'!G40</f>
        <v>25102</v>
      </c>
      <c r="H37" s="528">
        <f>'CBR Hist'!H40</f>
        <v>30304</v>
      </c>
      <c r="I37" s="528">
        <f>'CBR Hist'!I40</f>
        <v>30153</v>
      </c>
      <c r="J37" s="528">
        <f>'CBR Hist'!J40</f>
        <v>31927</v>
      </c>
      <c r="K37" s="528">
        <f>'CBR Hist'!K40</f>
        <v>33143</v>
      </c>
      <c r="L37" s="528">
        <f>'CBR Hist'!L40</f>
        <v>33148</v>
      </c>
      <c r="M37" s="528">
        <f>'CBR Hist'!M40</f>
        <v>35844</v>
      </c>
      <c r="N37" s="528">
        <f>'CBR Hist'!N40</f>
        <v>35982</v>
      </c>
      <c r="O37" s="528">
        <f>'CBR Hist'!O40</f>
        <v>38461</v>
      </c>
      <c r="P37" s="528">
        <f>'CBR Hist'!P40</f>
        <v>44662</v>
      </c>
      <c r="Q37" s="528">
        <f>'CBR Hist'!Q40</f>
        <v>44779.252</v>
      </c>
      <c r="R37" s="528">
        <f>'CBR Hist'!R40</f>
        <v>49333.396000000001</v>
      </c>
      <c r="S37" s="528">
        <f>'CBR Hist'!S40</f>
        <v>43310</v>
      </c>
      <c r="T37" s="528">
        <f>'CBR Hist'!T40</f>
        <v>46210</v>
      </c>
      <c r="U37" s="528">
        <f>'CBR Hist'!U40</f>
        <v>49942</v>
      </c>
      <c r="V37" s="528">
        <f>'CBR Hist'!V40</f>
        <v>48989</v>
      </c>
    </row>
    <row r="38" spans="1:22">
      <c r="A38" s="212">
        <v>21</v>
      </c>
      <c r="C38" s="474" t="s">
        <v>508</v>
      </c>
      <c r="F38" s="528">
        <f>'CBR Hist'!F41</f>
        <v>3998</v>
      </c>
      <c r="G38" s="528">
        <f>'CBR Hist'!G41</f>
        <v>4414</v>
      </c>
      <c r="H38" s="528">
        <f>'CBR Hist'!H41</f>
        <v>6606</v>
      </c>
      <c r="I38" s="528">
        <f>'CBR Hist'!I41</f>
        <v>6659</v>
      </c>
      <c r="J38" s="528">
        <f>'CBR Hist'!J41</f>
        <v>6072</v>
      </c>
      <c r="K38" s="528">
        <f>'CBR Hist'!K41</f>
        <v>6537</v>
      </c>
      <c r="L38" s="528">
        <f>'CBR Hist'!L41</f>
        <v>6459</v>
      </c>
      <c r="M38" s="528">
        <f>'CBR Hist'!M41</f>
        <v>6739</v>
      </c>
      <c r="N38" s="528">
        <f>'CBR Hist'!N41</f>
        <v>7187</v>
      </c>
      <c r="O38" s="528">
        <f>'CBR Hist'!O41</f>
        <v>7688</v>
      </c>
      <c r="P38" s="528">
        <f>'CBR Hist'!P41</f>
        <v>9277</v>
      </c>
      <c r="Q38" s="528">
        <f>'CBR Hist'!Q41</f>
        <v>10906</v>
      </c>
      <c r="R38" s="528">
        <f>'CBR Hist'!R41</f>
        <v>12517</v>
      </c>
      <c r="S38" s="528">
        <f>'CBR Hist'!S41</f>
        <v>14721</v>
      </c>
      <c r="T38" s="528">
        <f>'CBR Hist'!T41</f>
        <v>16947</v>
      </c>
      <c r="U38" s="528">
        <f>'CBR Hist'!U41</f>
        <v>21503</v>
      </c>
      <c r="V38" s="528">
        <f>'CBR Hist'!V41</f>
        <v>23877</v>
      </c>
    </row>
    <row r="39" spans="1:22">
      <c r="A39" s="212">
        <v>22</v>
      </c>
      <c r="C39" s="474" t="s">
        <v>163</v>
      </c>
      <c r="F39" s="528">
        <f>'CBR Hist'!F42</f>
        <v>5</v>
      </c>
      <c r="G39" s="528">
        <f>'CBR Hist'!G42</f>
        <v>2</v>
      </c>
      <c r="H39" s="528">
        <f>'CBR Hist'!H42</f>
        <v>1</v>
      </c>
      <c r="I39" s="528">
        <f>'CBR Hist'!I42</f>
        <v>2</v>
      </c>
      <c r="J39" s="528">
        <f>'CBR Hist'!J42</f>
        <v>3</v>
      </c>
      <c r="K39" s="528">
        <f>'CBR Hist'!K42</f>
        <v>-4</v>
      </c>
      <c r="L39" s="528">
        <f>'CBR Hist'!L42</f>
        <v>0</v>
      </c>
      <c r="M39" s="528">
        <f>'CBR Hist'!M42</f>
        <v>-9</v>
      </c>
      <c r="N39" s="528">
        <f>'CBR Hist'!N42</f>
        <v>-3</v>
      </c>
      <c r="O39" s="528">
        <f>'CBR Hist'!O42</f>
        <v>-3</v>
      </c>
      <c r="P39" s="528">
        <f>'CBR Hist'!P42</f>
        <v>2</v>
      </c>
      <c r="Q39" s="528">
        <f>'CBR Hist'!Q42</f>
        <v>0</v>
      </c>
      <c r="R39" s="528">
        <f>'CBR Hist'!R42</f>
        <v>-4</v>
      </c>
      <c r="S39" s="528">
        <f>'CBR Hist'!S42</f>
        <v>0</v>
      </c>
      <c r="T39" s="528">
        <f>'CBR Hist'!T42</f>
        <v>0</v>
      </c>
      <c r="U39" s="528">
        <f>'CBR Hist'!U42</f>
        <v>0</v>
      </c>
      <c r="V39" s="528">
        <f>'CBR Hist'!V42</f>
        <v>0</v>
      </c>
    </row>
    <row r="40" spans="1:22">
      <c r="A40" s="212">
        <v>23</v>
      </c>
      <c r="B40" s="474" t="s">
        <v>171</v>
      </c>
      <c r="F40" s="531">
        <f>SUM(F37:F39)</f>
        <v>34353</v>
      </c>
      <c r="G40" s="531">
        <f t="shared" ref="G40:V40" si="4">SUM(G37:G39)</f>
        <v>29518</v>
      </c>
      <c r="H40" s="531">
        <f t="shared" si="4"/>
        <v>36911</v>
      </c>
      <c r="I40" s="531">
        <f t="shared" si="4"/>
        <v>36814</v>
      </c>
      <c r="J40" s="531">
        <f t="shared" si="4"/>
        <v>38002</v>
      </c>
      <c r="K40" s="531">
        <f t="shared" si="4"/>
        <v>39676</v>
      </c>
      <c r="L40" s="531">
        <f t="shared" si="4"/>
        <v>39607</v>
      </c>
      <c r="M40" s="531">
        <f t="shared" si="4"/>
        <v>42574</v>
      </c>
      <c r="N40" s="531">
        <f t="shared" si="4"/>
        <v>43166</v>
      </c>
      <c r="O40" s="531">
        <f t="shared" si="4"/>
        <v>46146</v>
      </c>
      <c r="P40" s="531">
        <f t="shared" si="4"/>
        <v>53941</v>
      </c>
      <c r="Q40" s="531">
        <f t="shared" si="4"/>
        <v>55685.252</v>
      </c>
      <c r="R40" s="531">
        <f t="shared" si="4"/>
        <v>61846.396000000001</v>
      </c>
      <c r="S40" s="531">
        <f t="shared" si="4"/>
        <v>58031</v>
      </c>
      <c r="T40" s="531">
        <f t="shared" si="4"/>
        <v>63157</v>
      </c>
      <c r="U40" s="531">
        <f t="shared" si="4"/>
        <v>71445</v>
      </c>
      <c r="V40" s="531">
        <f t="shared" si="4"/>
        <v>72866</v>
      </c>
    </row>
    <row r="41" spans="1:22">
      <c r="A41" s="212">
        <v>24</v>
      </c>
      <c r="B41" s="474" t="s">
        <v>172</v>
      </c>
      <c r="F41" s="531">
        <f>F24+F30+F32+F33+F34+F40</f>
        <v>343205</v>
      </c>
      <c r="G41" s="531">
        <f t="shared" ref="G41:T41" si="5">G24+G30+G32+G33+G34+G40</f>
        <v>270636</v>
      </c>
      <c r="H41" s="531">
        <f t="shared" si="5"/>
        <v>260183</v>
      </c>
      <c r="I41" s="531">
        <f t="shared" si="5"/>
        <v>288832</v>
      </c>
      <c r="J41" s="531">
        <f t="shared" si="5"/>
        <v>268539</v>
      </c>
      <c r="K41" s="531">
        <f t="shared" si="5"/>
        <v>278171</v>
      </c>
      <c r="L41" s="531">
        <f t="shared" si="5"/>
        <v>309354</v>
      </c>
      <c r="M41" s="531">
        <f t="shared" si="5"/>
        <v>298938</v>
      </c>
      <c r="N41" s="531">
        <f t="shared" si="5"/>
        <v>334636</v>
      </c>
      <c r="O41" s="531">
        <f t="shared" si="5"/>
        <v>347796</v>
      </c>
      <c r="P41" s="531">
        <f t="shared" si="5"/>
        <v>461966</v>
      </c>
      <c r="Q41" s="531">
        <f t="shared" si="5"/>
        <v>421218.95358799997</v>
      </c>
      <c r="R41" s="531">
        <f t="shared" si="5"/>
        <v>417744.18730200001</v>
      </c>
      <c r="S41" s="531">
        <f t="shared" si="5"/>
        <v>435640</v>
      </c>
      <c r="T41" s="531">
        <f t="shared" si="5"/>
        <v>428214</v>
      </c>
      <c r="U41" s="531">
        <f>U24+U30+U32+U33+U34+U40</f>
        <v>432791</v>
      </c>
      <c r="V41" s="531">
        <f t="shared" ref="V41" si="6">V24+V30+V32+V33+V34+V40</f>
        <v>425029</v>
      </c>
    </row>
    <row r="42" spans="1:22" ht="6.75" customHeight="1">
      <c r="A42" s="212"/>
      <c r="F42" s="533"/>
      <c r="G42" s="533"/>
      <c r="H42" s="533"/>
      <c r="I42" s="533"/>
      <c r="J42" s="533"/>
      <c r="K42" s="533"/>
      <c r="L42" s="533"/>
      <c r="M42" s="533"/>
      <c r="N42" s="533"/>
      <c r="O42" s="533"/>
      <c r="P42" s="533"/>
      <c r="Q42" s="533"/>
      <c r="R42" s="533"/>
      <c r="S42" s="533"/>
      <c r="T42" s="533"/>
      <c r="U42" s="533"/>
      <c r="V42" s="533"/>
    </row>
    <row r="43" spans="1:22">
      <c r="A43" s="212">
        <v>25</v>
      </c>
      <c r="B43" s="474" t="s">
        <v>173</v>
      </c>
      <c r="F43" s="531">
        <f>F15-F41</f>
        <v>50049</v>
      </c>
      <c r="G43" s="531">
        <f t="shared" ref="G43:V43" si="7">G15-G41</f>
        <v>93786</v>
      </c>
      <c r="H43" s="531">
        <f t="shared" si="7"/>
        <v>78118</v>
      </c>
      <c r="I43" s="531">
        <f t="shared" si="7"/>
        <v>87772</v>
      </c>
      <c r="J43" s="531">
        <f t="shared" si="7"/>
        <v>66659</v>
      </c>
      <c r="K43" s="531">
        <f t="shared" si="7"/>
        <v>66735</v>
      </c>
      <c r="L43" s="531">
        <f t="shared" si="7"/>
        <v>58866</v>
      </c>
      <c r="M43" s="531">
        <f t="shared" si="7"/>
        <v>73260</v>
      </c>
      <c r="N43" s="531">
        <f t="shared" si="7"/>
        <v>89384</v>
      </c>
      <c r="O43" s="531">
        <f t="shared" si="7"/>
        <v>96579.549100000004</v>
      </c>
      <c r="P43" s="531">
        <f t="shared" si="7"/>
        <v>99828.970363199944</v>
      </c>
      <c r="Q43" s="531">
        <f t="shared" si="7"/>
        <v>-354128.92358800001</v>
      </c>
      <c r="R43" s="531">
        <f t="shared" si="7"/>
        <v>109975.81269799999</v>
      </c>
      <c r="S43" s="531">
        <f t="shared" si="7"/>
        <v>122007</v>
      </c>
      <c r="T43" s="531">
        <f t="shared" si="7"/>
        <v>139241</v>
      </c>
      <c r="U43" s="531">
        <f t="shared" si="7"/>
        <v>131791</v>
      </c>
      <c r="V43" s="531">
        <f t="shared" si="7"/>
        <v>143494</v>
      </c>
    </row>
    <row r="44" spans="1:22" ht="6.75" customHeight="1">
      <c r="A44" s="212"/>
      <c r="F44" s="530"/>
      <c r="G44" s="530"/>
      <c r="H44" s="530"/>
      <c r="I44" s="530"/>
      <c r="J44" s="530"/>
      <c r="K44" s="530"/>
      <c r="L44" s="530"/>
      <c r="M44" s="530"/>
      <c r="N44" s="530"/>
      <c r="O44" s="530"/>
      <c r="P44" s="530"/>
      <c r="Q44" s="530"/>
      <c r="R44" s="530"/>
      <c r="S44" s="530"/>
      <c r="T44" s="530"/>
      <c r="U44" s="530"/>
      <c r="V44" s="530"/>
    </row>
    <row r="45" spans="1:22">
      <c r="A45" s="212"/>
      <c r="B45" s="474" t="s">
        <v>174</v>
      </c>
      <c r="F45" s="530"/>
      <c r="G45" s="530"/>
      <c r="H45" s="530"/>
      <c r="I45" s="530"/>
      <c r="J45" s="530"/>
      <c r="K45" s="530"/>
      <c r="L45" s="530"/>
      <c r="M45" s="530"/>
      <c r="N45" s="530"/>
      <c r="O45" s="530"/>
      <c r="P45" s="530"/>
      <c r="Q45" s="530"/>
      <c r="R45" s="530"/>
      <c r="S45" s="530"/>
      <c r="T45" s="530"/>
      <c r="U45" s="530"/>
      <c r="V45" s="530"/>
    </row>
    <row r="46" spans="1:22">
      <c r="A46" s="212">
        <v>26</v>
      </c>
      <c r="B46" s="474" t="s">
        <v>541</v>
      </c>
      <c r="F46" s="528">
        <f>'CBR Hist'!F49</f>
        <v>13500</v>
      </c>
      <c r="G46" s="528">
        <f>'CBR Hist'!G49</f>
        <v>7802.6454399910144</v>
      </c>
      <c r="H46" s="528">
        <f>'CBR Hist'!H49</f>
        <v>12532.4934614427</v>
      </c>
      <c r="I46" s="528">
        <f>'CBR Hist'!I49</f>
        <v>18199.38094551977</v>
      </c>
      <c r="J46" s="528">
        <f>'CBR Hist'!J49</f>
        <v>10602.745932108257</v>
      </c>
      <c r="K46" s="528">
        <f>'CBR Hist'!K49</f>
        <v>6760.4768703774607</v>
      </c>
      <c r="L46" s="528">
        <f>'CBR Hist'!L49</f>
        <v>3583.5198936206907</v>
      </c>
      <c r="M46" s="528">
        <f>'CBR Hist'!M49</f>
        <v>5069.5165750000015</v>
      </c>
      <c r="N46" s="528">
        <f>'CBR Hist'!N49</f>
        <v>-6217.1202000000012</v>
      </c>
      <c r="O46" s="528">
        <f>'CBR Hist'!O49</f>
        <v>-1846</v>
      </c>
      <c r="P46" s="528">
        <f>'CBR Hist'!P49</f>
        <v>9263</v>
      </c>
      <c r="Q46" s="528">
        <f>'CBR Hist'!Q49</f>
        <v>6568.9074099999998</v>
      </c>
      <c r="R46" s="528">
        <f>'CBR Hist'!R49</f>
        <v>11499.260571799998</v>
      </c>
      <c r="S46" s="528">
        <f>'CBR Hist'!S49</f>
        <v>19267</v>
      </c>
      <c r="T46" s="528">
        <f>'CBR Hist'!T49</f>
        <v>-7683</v>
      </c>
      <c r="U46" s="528">
        <f>'CBR Hist'!U49</f>
        <v>4968</v>
      </c>
      <c r="V46" s="528">
        <f>'CBR Hist'!V49</f>
        <v>-29081</v>
      </c>
    </row>
    <row r="47" spans="1:22">
      <c r="A47" s="212">
        <v>27</v>
      </c>
      <c r="B47" s="474" t="s">
        <v>221</v>
      </c>
      <c r="F47" s="528">
        <f>'CBR Hist'!F50</f>
        <v>0</v>
      </c>
      <c r="G47" s="528">
        <f>'CBR Hist'!G50</f>
        <v>0</v>
      </c>
      <c r="H47" s="528">
        <f>'CBR Hist'!H50</f>
        <v>0</v>
      </c>
      <c r="I47" s="528">
        <f>'CBR Hist'!I50</f>
        <v>0</v>
      </c>
      <c r="J47" s="528">
        <f>'CBR Hist'!J50</f>
        <v>0</v>
      </c>
      <c r="K47" s="528">
        <f>'CBR Hist'!K50</f>
        <v>0</v>
      </c>
      <c r="L47" s="528">
        <f>'CBR Hist'!L50</f>
        <v>0</v>
      </c>
      <c r="M47" s="528">
        <f>'CBR Hist'!M50</f>
        <v>0</v>
      </c>
      <c r="N47" s="528">
        <f>'CBR Hist'!N50</f>
        <v>0</v>
      </c>
      <c r="O47" s="528">
        <f>'CBR Hist'!O50</f>
        <v>0</v>
      </c>
      <c r="P47" s="528">
        <f>'CBR Hist'!P50</f>
        <v>0</v>
      </c>
      <c r="Q47" s="528">
        <f>'CBR Hist'!Q50</f>
        <v>206.8288</v>
      </c>
      <c r="R47" s="528">
        <f>'CBR Hist'!R50</f>
        <v>70.410550000000001</v>
      </c>
      <c r="S47" s="528">
        <f>'CBR Hist'!S50</f>
        <v>1</v>
      </c>
      <c r="T47" s="528">
        <f>'CBR Hist'!T50</f>
        <v>-136</v>
      </c>
      <c r="U47" s="528">
        <f>'CBR Hist'!U50</f>
        <v>1</v>
      </c>
      <c r="V47" s="528">
        <f>'CBR Hist'!V50</f>
        <v>21</v>
      </c>
    </row>
    <row r="48" spans="1:22">
      <c r="A48" s="212">
        <v>28</v>
      </c>
      <c r="B48" s="474" t="s">
        <v>175</v>
      </c>
      <c r="F48" s="528">
        <f>'CBR Hist'!F51</f>
        <v>3549</v>
      </c>
      <c r="G48" s="528">
        <f>'CBR Hist'!G51</f>
        <v>16107</v>
      </c>
      <c r="H48" s="528">
        <f>'CBR Hist'!H51</f>
        <v>3470</v>
      </c>
      <c r="I48" s="528">
        <f>'CBR Hist'!I51</f>
        <v>1284</v>
      </c>
      <c r="J48" s="528">
        <f>'CBR Hist'!J51</f>
        <v>608</v>
      </c>
      <c r="K48" s="528">
        <f>'CBR Hist'!K51</f>
        <v>3867</v>
      </c>
      <c r="L48" s="528">
        <f>'CBR Hist'!L51</f>
        <v>3975</v>
      </c>
      <c r="M48" s="528">
        <f>'CBR Hist'!M51</f>
        <v>6497</v>
      </c>
      <c r="N48" s="528">
        <f>'CBR Hist'!N51</f>
        <v>26634</v>
      </c>
      <c r="O48" s="528">
        <f>'CBR Hist'!O51</f>
        <v>23983</v>
      </c>
      <c r="P48" s="528">
        <f>'CBR Hist'!P51</f>
        <v>13823</v>
      </c>
      <c r="Q48" s="528">
        <f>'CBR Hist'!Q51</f>
        <v>16402</v>
      </c>
      <c r="R48" s="528">
        <f>'CBR Hist'!R51</f>
        <v>15684</v>
      </c>
      <c r="S48" s="528">
        <f>'CBR Hist'!S51</f>
        <v>10613</v>
      </c>
      <c r="T48" s="528">
        <f>'CBR Hist'!T51</f>
        <v>46085</v>
      </c>
      <c r="U48" s="528">
        <f>'CBR Hist'!U51</f>
        <v>29492</v>
      </c>
      <c r="V48" s="528">
        <f>'CBR Hist'!V51</f>
        <v>67191</v>
      </c>
    </row>
    <row r="49" spans="1:22">
      <c r="A49" s="212">
        <v>29</v>
      </c>
      <c r="B49" s="474" t="s">
        <v>210</v>
      </c>
      <c r="F49" s="528">
        <f>'CBR Hist'!F52</f>
        <v>0</v>
      </c>
      <c r="G49" s="528">
        <f>'CBR Hist'!G52</f>
        <v>0</v>
      </c>
      <c r="H49" s="528">
        <f>'CBR Hist'!H52</f>
        <v>0</v>
      </c>
      <c r="I49" s="528">
        <f>'CBR Hist'!I52</f>
        <v>0</v>
      </c>
      <c r="J49" s="528">
        <f>'CBR Hist'!J52</f>
        <v>0</v>
      </c>
      <c r="K49" s="528">
        <f>'CBR Hist'!K52</f>
        <v>0</v>
      </c>
      <c r="L49" s="528">
        <f>'CBR Hist'!L52</f>
        <v>0</v>
      </c>
      <c r="M49" s="528">
        <f>'CBR Hist'!M52</f>
        <v>0</v>
      </c>
      <c r="N49" s="528">
        <f>'CBR Hist'!N52</f>
        <v>0</v>
      </c>
      <c r="O49" s="528">
        <f>'CBR Hist'!O52</f>
        <v>-58</v>
      </c>
      <c r="P49" s="528">
        <f>'CBR Hist'!P52</f>
        <v>-83</v>
      </c>
      <c r="Q49" s="528">
        <f>'CBR Hist'!Q52</f>
        <v>-99</v>
      </c>
      <c r="R49" s="528">
        <f>'CBR Hist'!R52</f>
        <v>-128</v>
      </c>
      <c r="S49" s="528">
        <f>'CBR Hist'!S52</f>
        <v>-130</v>
      </c>
      <c r="T49" s="528">
        <f>'CBR Hist'!T52</f>
        <v>-128</v>
      </c>
      <c r="U49" s="528">
        <f>'CBR Hist'!U52</f>
        <v>-129</v>
      </c>
      <c r="V49" s="528">
        <f>'CBR Hist'!V52</f>
        <v>-326</v>
      </c>
    </row>
    <row r="50" spans="1:22" s="534" customFormat="1">
      <c r="A50" s="212">
        <v>30</v>
      </c>
      <c r="B50" s="534" t="s">
        <v>658</v>
      </c>
      <c r="F50" s="528">
        <f>'CBR Hist'!F53</f>
        <v>5683</v>
      </c>
      <c r="G50" s="528">
        <f>'CBR Hist'!G53</f>
        <v>5369</v>
      </c>
      <c r="H50" s="528">
        <f>'CBR Hist'!H53</f>
        <v>0</v>
      </c>
      <c r="I50" s="528">
        <f>'CBR Hist'!I53</f>
        <v>0</v>
      </c>
      <c r="J50" s="528">
        <f>'CBR Hist'!J53</f>
        <v>0</v>
      </c>
      <c r="K50" s="528">
        <f>'CBR Hist'!K53</f>
        <v>0</v>
      </c>
      <c r="L50" s="528">
        <f>'CBR Hist'!L53</f>
        <v>0</v>
      </c>
      <c r="M50" s="528">
        <f>'CBR Hist'!M53</f>
        <v>0</v>
      </c>
      <c r="N50" s="528">
        <f>'CBR Hist'!N53</f>
        <v>0</v>
      </c>
      <c r="O50" s="528">
        <f>'CBR Hist'!O53</f>
        <v>0</v>
      </c>
      <c r="P50" s="528">
        <f>'CBR Hist'!P53</f>
        <v>0</v>
      </c>
      <c r="Q50" s="528">
        <f>'CBR Hist'!Q53</f>
        <v>0</v>
      </c>
      <c r="R50" s="528">
        <f>'CBR Hist'!R53</f>
        <v>0</v>
      </c>
      <c r="S50" s="528">
        <f>'CBR Hist'!S53</f>
        <v>0</v>
      </c>
      <c r="T50" s="528">
        <f>'CBR Hist'!T53</f>
        <v>0</v>
      </c>
      <c r="U50" s="528">
        <f>'CBR Hist'!U53</f>
        <v>0</v>
      </c>
      <c r="V50" s="528">
        <f>'CBR Hist'!V53</f>
        <v>0</v>
      </c>
    </row>
    <row r="51" spans="1:22" ht="12.75" thickBot="1">
      <c r="A51" s="212">
        <v>31</v>
      </c>
      <c r="B51" s="474" t="s">
        <v>176</v>
      </c>
      <c r="F51" s="535">
        <f>F43-SUM(F46:F50)</f>
        <v>27317</v>
      </c>
      <c r="G51" s="535">
        <f t="shared" ref="G51:R51" si="8">G43-SUM(G46:G50)</f>
        <v>64507.354560008986</v>
      </c>
      <c r="H51" s="535">
        <f t="shared" si="8"/>
        <v>62115.506538557296</v>
      </c>
      <c r="I51" s="535">
        <f t="shared" si="8"/>
        <v>68288.619054480223</v>
      </c>
      <c r="J51" s="535">
        <f t="shared" si="8"/>
        <v>55448.254067891743</v>
      </c>
      <c r="K51" s="535">
        <f t="shared" si="8"/>
        <v>56107.523129622539</v>
      </c>
      <c r="L51" s="535">
        <f t="shared" si="8"/>
        <v>51307.480106379313</v>
      </c>
      <c r="M51" s="535">
        <f t="shared" si="8"/>
        <v>61693.483424999999</v>
      </c>
      <c r="N51" s="535">
        <f t="shared" si="8"/>
        <v>68967.120200000005</v>
      </c>
      <c r="O51" s="535">
        <f t="shared" si="8"/>
        <v>74500.549100000004</v>
      </c>
      <c r="P51" s="535">
        <f t="shared" si="8"/>
        <v>76825.970363199944</v>
      </c>
      <c r="Q51" s="535">
        <f t="shared" si="8"/>
        <v>-377207.65979800001</v>
      </c>
      <c r="R51" s="535">
        <f t="shared" si="8"/>
        <v>82850.141576199996</v>
      </c>
      <c r="S51" s="535">
        <f t="shared" ref="S51:V51" si="9">S43-SUM(S46:S50)</f>
        <v>92256</v>
      </c>
      <c r="T51" s="535">
        <f t="shared" si="9"/>
        <v>101103</v>
      </c>
      <c r="U51" s="535">
        <f t="shared" si="9"/>
        <v>97459</v>
      </c>
      <c r="V51" s="535">
        <f t="shared" si="9"/>
        <v>105689</v>
      </c>
    </row>
    <row r="52" spans="1:22" ht="3" customHeight="1" thickTop="1">
      <c r="A52" s="536"/>
      <c r="F52" s="537"/>
      <c r="G52" s="537"/>
      <c r="H52" s="537"/>
      <c r="I52" s="537"/>
      <c r="J52" s="537"/>
      <c r="K52" s="537"/>
      <c r="L52" s="537"/>
      <c r="M52" s="537"/>
      <c r="N52" s="537"/>
      <c r="O52" s="537"/>
      <c r="P52" s="537"/>
      <c r="Q52" s="537"/>
      <c r="R52" s="537"/>
      <c r="S52" s="524"/>
      <c r="T52" s="524"/>
      <c r="U52" s="524"/>
      <c r="V52" s="524"/>
    </row>
    <row r="53" spans="1:22" ht="10.5" customHeight="1">
      <c r="A53" s="212"/>
      <c r="C53" s="519" t="s">
        <v>659</v>
      </c>
      <c r="F53" s="525"/>
      <c r="G53" s="525"/>
      <c r="H53" s="525"/>
      <c r="I53" s="525"/>
      <c r="J53" s="525"/>
      <c r="K53" s="525"/>
      <c r="L53" s="525"/>
      <c r="M53" s="525"/>
      <c r="N53" s="525"/>
      <c r="O53" s="525"/>
      <c r="P53" s="525"/>
      <c r="Q53" s="525"/>
      <c r="R53" s="525"/>
      <c r="S53" s="524"/>
      <c r="T53" s="524"/>
      <c r="U53" s="524"/>
      <c r="V53" s="524"/>
    </row>
    <row r="54" spans="1:22" ht="3.75" hidden="1" customHeight="1">
      <c r="A54" s="864"/>
      <c r="B54" s="864"/>
      <c r="C54" s="864"/>
      <c r="D54" s="864"/>
      <c r="E54" s="864"/>
      <c r="F54" s="864"/>
      <c r="G54" s="864"/>
      <c r="H54" s="864"/>
      <c r="I54" s="864"/>
      <c r="J54" s="864"/>
      <c r="K54" s="864"/>
      <c r="L54" s="864"/>
      <c r="M54" s="864"/>
      <c r="N54" s="864"/>
      <c r="O54" s="864"/>
      <c r="P54" s="864"/>
      <c r="Q54" s="864"/>
      <c r="R54" s="864"/>
    </row>
    <row r="55" spans="1:22" ht="15.75" hidden="1">
      <c r="A55" s="538" t="str">
        <f>A4</f>
        <v xml:space="preserve">AVISTA UTILITIES  </v>
      </c>
      <c r="E55" s="515" t="str">
        <f>A3</f>
        <v>Commission Basis Results of Operations</v>
      </c>
      <c r="F55" s="515"/>
      <c r="G55" s="515"/>
      <c r="H55" s="515"/>
      <c r="I55" s="515"/>
      <c r="J55" s="515"/>
      <c r="K55" s="515"/>
      <c r="L55" s="515"/>
      <c r="M55" s="515"/>
      <c r="N55" s="515"/>
      <c r="O55" s="515"/>
      <c r="P55" s="515"/>
      <c r="Q55" s="515"/>
      <c r="R55" s="515"/>
      <c r="S55" s="524"/>
      <c r="T55" s="524"/>
      <c r="U55" s="524"/>
      <c r="V55" s="524"/>
    </row>
    <row r="56" spans="1:22" ht="3.75" hidden="1" customHeight="1">
      <c r="A56" s="538"/>
      <c r="G56" s="525"/>
      <c r="H56" s="525"/>
      <c r="I56" s="525"/>
      <c r="J56" s="525"/>
      <c r="K56" s="525"/>
      <c r="L56" s="525"/>
      <c r="M56" s="525"/>
      <c r="N56" s="525"/>
      <c r="O56" s="525"/>
      <c r="P56" s="525"/>
      <c r="Q56" s="525"/>
      <c r="R56" s="525"/>
      <c r="S56" s="524"/>
      <c r="T56" s="524"/>
      <c r="U56" s="524"/>
      <c r="V56" s="524"/>
    </row>
    <row r="57" spans="1:22" ht="6" hidden="1" customHeight="1">
      <c r="A57" s="538"/>
      <c r="G57" s="525"/>
      <c r="H57" s="525"/>
      <c r="I57" s="525"/>
      <c r="J57" s="525"/>
      <c r="K57" s="525"/>
      <c r="L57" s="525"/>
      <c r="M57" s="525"/>
      <c r="N57" s="525"/>
      <c r="O57" s="525"/>
      <c r="P57" s="525"/>
      <c r="Q57" s="525"/>
      <c r="R57" s="525"/>
      <c r="S57" s="524"/>
      <c r="T57" s="524"/>
      <c r="U57" s="524"/>
      <c r="V57" s="524"/>
    </row>
    <row r="58" spans="1:22" ht="12.75" hidden="1">
      <c r="A58" s="538" t="str">
        <f>A7</f>
        <v xml:space="preserve">(000'S OF DOLLARS)  </v>
      </c>
      <c r="F58" s="525"/>
      <c r="G58" s="525"/>
      <c r="H58" s="525"/>
      <c r="I58" s="525"/>
      <c r="J58" s="525"/>
      <c r="K58" s="525"/>
      <c r="L58" s="525"/>
      <c r="M58" s="525"/>
      <c r="N58" s="525"/>
      <c r="O58" s="525"/>
      <c r="P58" s="525"/>
      <c r="Q58" s="525"/>
      <c r="R58" s="525"/>
      <c r="S58" s="524"/>
      <c r="T58" s="523"/>
      <c r="U58" s="523"/>
      <c r="V58" s="523"/>
    </row>
    <row r="59" spans="1:22" hidden="1">
      <c r="A59" s="212" t="s">
        <v>7</v>
      </c>
      <c r="F59" s="525">
        <f>F8</f>
        <v>2000</v>
      </c>
      <c r="G59" s="525">
        <f t="shared" ref="G59:V59" si="10">G8</f>
        <v>2001</v>
      </c>
      <c r="H59" s="525">
        <f t="shared" si="10"/>
        <v>2002</v>
      </c>
      <c r="I59" s="525">
        <f t="shared" si="10"/>
        <v>2003</v>
      </c>
      <c r="J59" s="525">
        <f t="shared" si="10"/>
        <v>2004</v>
      </c>
      <c r="K59" s="525">
        <f t="shared" si="10"/>
        <v>2005</v>
      </c>
      <c r="L59" s="525">
        <f t="shared" si="10"/>
        <v>2006</v>
      </c>
      <c r="M59" s="525">
        <f t="shared" si="10"/>
        <v>2007</v>
      </c>
      <c r="N59" s="525">
        <f t="shared" si="10"/>
        <v>2008</v>
      </c>
      <c r="O59" s="525">
        <f t="shared" si="10"/>
        <v>2009</v>
      </c>
      <c r="P59" s="525">
        <f t="shared" si="10"/>
        <v>2010</v>
      </c>
      <c r="Q59" s="525">
        <f t="shared" si="10"/>
        <v>2011</v>
      </c>
      <c r="R59" s="525">
        <f t="shared" si="10"/>
        <v>2012</v>
      </c>
      <c r="S59" s="525">
        <f t="shared" si="10"/>
        <v>2013</v>
      </c>
      <c r="T59" s="525">
        <f t="shared" si="10"/>
        <v>2014</v>
      </c>
      <c r="U59" s="525">
        <f t="shared" si="10"/>
        <v>2015</v>
      </c>
      <c r="V59" s="525">
        <f t="shared" si="10"/>
        <v>2016</v>
      </c>
    </row>
    <row r="60" spans="1:22">
      <c r="A60" s="212"/>
      <c r="B60" s="474" t="s">
        <v>177</v>
      </c>
      <c r="G60" s="514"/>
      <c r="H60" s="514"/>
      <c r="I60" s="514"/>
      <c r="J60" s="514"/>
      <c r="L60" s="514"/>
      <c r="M60" s="514"/>
      <c r="N60" s="514"/>
      <c r="O60" s="514"/>
      <c r="P60" s="514"/>
      <c r="Q60" s="514"/>
      <c r="R60" s="514"/>
    </row>
    <row r="61" spans="1:22">
      <c r="A61" s="212"/>
      <c r="B61" s="474" t="s">
        <v>178</v>
      </c>
      <c r="G61" s="514"/>
      <c r="H61" s="514"/>
      <c r="I61" s="514"/>
      <c r="J61" s="514"/>
      <c r="L61" s="514"/>
      <c r="M61" s="514"/>
      <c r="N61" s="514"/>
      <c r="O61" s="514"/>
      <c r="P61" s="514"/>
      <c r="Q61" s="514"/>
      <c r="R61" s="514"/>
    </row>
    <row r="62" spans="1:22">
      <c r="A62" s="212">
        <v>32</v>
      </c>
      <c r="C62" s="474" t="s">
        <v>179</v>
      </c>
      <c r="F62" s="526">
        <f>'Reg Amorts'!E53</f>
        <v>15127</v>
      </c>
      <c r="G62" s="526">
        <f>'Reg Amorts'!F53</f>
        <v>16340</v>
      </c>
      <c r="H62" s="526">
        <f>'Reg Amorts'!G53</f>
        <v>20910</v>
      </c>
      <c r="I62" s="526">
        <f>'Reg Amorts'!H53</f>
        <v>21299</v>
      </c>
      <c r="J62" s="526">
        <f>'Reg Amorts'!I53</f>
        <v>21374</v>
      </c>
      <c r="K62" s="526">
        <f>'Reg Amorts'!J53</f>
        <v>22459</v>
      </c>
      <c r="L62" s="526">
        <f>'Reg Amorts'!K53</f>
        <v>23458</v>
      </c>
      <c r="M62" s="526">
        <f>'Reg Amorts'!L53</f>
        <v>20632</v>
      </c>
      <c r="N62" s="526">
        <f>'Reg Amorts'!M53</f>
        <v>23321</v>
      </c>
      <c r="O62" s="526">
        <f>'Reg Amorts'!N53</f>
        <v>57116</v>
      </c>
      <c r="P62" s="526">
        <f>'Reg Amorts'!O53</f>
        <v>81955</v>
      </c>
      <c r="Q62" s="526">
        <f>'Reg Amorts'!P53</f>
        <v>84081</v>
      </c>
      <c r="R62" s="526">
        <f>'Reg Amorts'!Q53</f>
        <v>85247</v>
      </c>
      <c r="S62" s="526">
        <f>'Reg Amorts'!R53</f>
        <v>91466</v>
      </c>
      <c r="T62" s="526">
        <f>'Reg Amorts'!S53</f>
        <v>102620</v>
      </c>
      <c r="U62" s="526">
        <f>'Reg Amorts'!T53</f>
        <v>144970</v>
      </c>
      <c r="V62" s="526">
        <f>'Reg Amorts'!U53</f>
        <v>156057</v>
      </c>
    </row>
    <row r="63" spans="1:22">
      <c r="A63" s="212">
        <v>33</v>
      </c>
      <c r="C63" s="474" t="s">
        <v>180</v>
      </c>
      <c r="F63" s="528">
        <f>'Reg Amorts'!E54-'Reg Amorts'!E104</f>
        <v>455498</v>
      </c>
      <c r="G63" s="528">
        <f>'Reg Amorts'!F54-'Reg Amorts'!F104</f>
        <v>460292</v>
      </c>
      <c r="H63" s="528">
        <f>'Reg Amorts'!G54-'Reg Amorts'!G104</f>
        <v>545002</v>
      </c>
      <c r="I63" s="528">
        <f>'Reg Amorts'!H54-'Reg Amorts'!H104</f>
        <v>556067</v>
      </c>
      <c r="J63" s="528">
        <f>'Reg Amorts'!I54-'Reg Amorts'!I104</f>
        <v>598268</v>
      </c>
      <c r="K63" s="528">
        <f>'Reg Amorts'!J54-'Reg Amorts'!J104</f>
        <v>615624</v>
      </c>
      <c r="L63" s="528">
        <f>'Reg Amorts'!K54-'Reg Amorts'!K104</f>
        <v>649965</v>
      </c>
      <c r="M63" s="528">
        <f>'Reg Amorts'!L54-'Reg Amorts'!L104</f>
        <v>645576</v>
      </c>
      <c r="N63" s="528">
        <f>'Reg Amorts'!M54-'Reg Amorts'!M104</f>
        <v>657099</v>
      </c>
      <c r="O63" s="528">
        <f>'Reg Amorts'!N54-'Reg Amorts'!N104</f>
        <v>677646</v>
      </c>
      <c r="P63" s="528">
        <f>'Reg Amorts'!O54-'Reg Amorts'!O104</f>
        <v>692689</v>
      </c>
      <c r="Q63" s="528">
        <f>'Reg Amorts'!P54</f>
        <v>706894</v>
      </c>
      <c r="R63" s="528">
        <f>'Reg Amorts'!Q54</f>
        <v>717448</v>
      </c>
      <c r="S63" s="528">
        <f>'Reg Amorts'!R54</f>
        <v>738315</v>
      </c>
      <c r="T63" s="528">
        <f>'Reg Amorts'!S54</f>
        <v>746101</v>
      </c>
      <c r="U63" s="528">
        <f>'Reg Amorts'!T54</f>
        <v>779441</v>
      </c>
      <c r="V63" s="528">
        <f>'Reg Amorts'!U54</f>
        <v>832833</v>
      </c>
    </row>
    <row r="64" spans="1:22">
      <c r="A64" s="212">
        <v>34</v>
      </c>
      <c r="C64" s="474" t="s">
        <v>181</v>
      </c>
      <c r="F64" s="528">
        <f>'Reg Amorts'!E55</f>
        <v>181627</v>
      </c>
      <c r="G64" s="528">
        <f>'Reg Amorts'!F55</f>
        <v>191517</v>
      </c>
      <c r="H64" s="528">
        <f>'Reg Amorts'!G55</f>
        <v>186550</v>
      </c>
      <c r="I64" s="528">
        <f>'Reg Amorts'!H55</f>
        <v>196937</v>
      </c>
      <c r="J64" s="528">
        <f>'Reg Amorts'!I55</f>
        <v>213539</v>
      </c>
      <c r="K64" s="528">
        <f>'Reg Amorts'!J55</f>
        <v>224696</v>
      </c>
      <c r="L64" s="528">
        <f>'Reg Amorts'!K55</f>
        <v>244435</v>
      </c>
      <c r="M64" s="528">
        <f>'Reg Amorts'!L55</f>
        <v>259532</v>
      </c>
      <c r="N64" s="528">
        <f>'Reg Amorts'!M55</f>
        <v>289302</v>
      </c>
      <c r="O64" s="528">
        <f>'Reg Amorts'!N55</f>
        <v>301090</v>
      </c>
      <c r="P64" s="528">
        <f>'Reg Amorts'!O55</f>
        <v>312505</v>
      </c>
      <c r="Q64" s="528">
        <f>'Reg Amorts'!P55</f>
        <v>328012</v>
      </c>
      <c r="R64" s="528">
        <f>'Reg Amorts'!Q55</f>
        <v>342382</v>
      </c>
      <c r="S64" s="528">
        <f>'Reg Amorts'!R55</f>
        <v>359941</v>
      </c>
      <c r="T64" s="528">
        <f>'Reg Amorts'!S55</f>
        <v>371971</v>
      </c>
      <c r="U64" s="528">
        <f>'Reg Amorts'!T55</f>
        <v>401700</v>
      </c>
      <c r="V64" s="528">
        <f>'Reg Amorts'!U55</f>
        <v>430613</v>
      </c>
    </row>
    <row r="65" spans="1:23">
      <c r="A65" s="212">
        <v>35</v>
      </c>
      <c r="C65" s="474" t="s">
        <v>165</v>
      </c>
      <c r="F65" s="528">
        <f>'Reg Amorts'!E56-'Reg Amorts'!E105</f>
        <v>398952</v>
      </c>
      <c r="G65" s="528">
        <f>'Reg Amorts'!F56-'Reg Amorts'!F105</f>
        <v>416914</v>
      </c>
      <c r="H65" s="528">
        <f>'Reg Amorts'!G56-'Reg Amorts'!G105</f>
        <v>429987</v>
      </c>
      <c r="I65" s="528">
        <f>'Reg Amorts'!H56-'Reg Amorts'!H105</f>
        <v>443649</v>
      </c>
      <c r="J65" s="528">
        <f>'Reg Amorts'!I56-'Reg Amorts'!I105</f>
        <v>459739</v>
      </c>
      <c r="K65" s="528">
        <f>'Reg Amorts'!J56-'Reg Amorts'!J105</f>
        <v>480886</v>
      </c>
      <c r="L65" s="528">
        <f>'Reg Amorts'!K56-'Reg Amorts'!K105</f>
        <v>502838</v>
      </c>
      <c r="M65" s="528">
        <f>'Reg Amorts'!L56-'Reg Amorts'!L105</f>
        <v>529067</v>
      </c>
      <c r="N65" s="528">
        <f>'Reg Amorts'!M56-'Reg Amorts'!M105</f>
        <v>561248</v>
      </c>
      <c r="O65" s="528">
        <f>'Reg Amorts'!N56-'Reg Amorts'!N105</f>
        <v>602201</v>
      </c>
      <c r="P65" s="528">
        <f>'Reg Amorts'!O56-'Reg Amorts'!O105</f>
        <v>642143</v>
      </c>
      <c r="Q65" s="528">
        <f>'Reg Amorts'!P56</f>
        <v>696082</v>
      </c>
      <c r="R65" s="528">
        <f>'Reg Amorts'!Q56</f>
        <v>743732</v>
      </c>
      <c r="S65" s="528">
        <f>'Reg Amorts'!R56</f>
        <v>796640</v>
      </c>
      <c r="T65" s="528">
        <f>'Reg Amorts'!S56</f>
        <v>842795</v>
      </c>
      <c r="U65" s="528">
        <f>'Reg Amorts'!T56</f>
        <v>895055</v>
      </c>
      <c r="V65" s="528">
        <f>'Reg Amorts'!U56</f>
        <v>970455</v>
      </c>
    </row>
    <row r="66" spans="1:23">
      <c r="A66" s="212">
        <v>36</v>
      </c>
      <c r="C66" s="474" t="s">
        <v>182</v>
      </c>
      <c r="F66" s="528">
        <f>'Reg Amorts'!E57</f>
        <v>58402</v>
      </c>
      <c r="G66" s="528">
        <f>'Reg Amorts'!F57</f>
        <v>59846</v>
      </c>
      <c r="H66" s="528">
        <f>'Reg Amorts'!G57</f>
        <v>59771</v>
      </c>
      <c r="I66" s="528">
        <f>'Reg Amorts'!H57</f>
        <v>60444</v>
      </c>
      <c r="J66" s="528">
        <f>'Reg Amorts'!I57</f>
        <v>63155</v>
      </c>
      <c r="K66" s="528">
        <f>'Reg Amorts'!J57</f>
        <v>65299</v>
      </c>
      <c r="L66" s="528">
        <f>'Reg Amorts'!K57</f>
        <v>80110</v>
      </c>
      <c r="M66" s="528">
        <f>'Reg Amorts'!L57</f>
        <v>81368</v>
      </c>
      <c r="N66" s="528">
        <f>'Reg Amorts'!M57</f>
        <v>91205</v>
      </c>
      <c r="O66" s="528">
        <f>'Reg Amorts'!N57</f>
        <v>98727</v>
      </c>
      <c r="P66" s="528">
        <f>'Reg Amorts'!O57</f>
        <v>120996</v>
      </c>
      <c r="Q66" s="528">
        <f>'Reg Amorts'!P57</f>
        <v>140218</v>
      </c>
      <c r="R66" s="528">
        <f>'Reg Amorts'!Q57</f>
        <v>155104</v>
      </c>
      <c r="S66" s="528">
        <f>'Reg Amorts'!R57</f>
        <v>179134</v>
      </c>
      <c r="T66" s="528">
        <f>'Reg Amorts'!S57</f>
        <v>196867</v>
      </c>
      <c r="U66" s="528">
        <f>'Reg Amorts'!T57</f>
        <v>212726</v>
      </c>
      <c r="V66" s="528">
        <f>'Reg Amorts'!U57</f>
        <v>233266</v>
      </c>
    </row>
    <row r="67" spans="1:23">
      <c r="A67" s="212">
        <v>37</v>
      </c>
      <c r="B67" s="474" t="s">
        <v>183</v>
      </c>
      <c r="F67" s="531">
        <f>SUM(F62:F66)</f>
        <v>1109606</v>
      </c>
      <c r="G67" s="531">
        <f t="shared" ref="G67:V67" si="11">SUM(G62:G66)</f>
        <v>1144909</v>
      </c>
      <c r="H67" s="531">
        <f t="shared" si="11"/>
        <v>1242220</v>
      </c>
      <c r="I67" s="531">
        <f t="shared" si="11"/>
        <v>1278396</v>
      </c>
      <c r="J67" s="531">
        <f t="shared" si="11"/>
        <v>1356075</v>
      </c>
      <c r="K67" s="531">
        <f t="shared" si="11"/>
        <v>1408964</v>
      </c>
      <c r="L67" s="531">
        <f t="shared" si="11"/>
        <v>1500806</v>
      </c>
      <c r="M67" s="531">
        <f t="shared" si="11"/>
        <v>1536175</v>
      </c>
      <c r="N67" s="531">
        <f t="shared" si="11"/>
        <v>1622175</v>
      </c>
      <c r="O67" s="531">
        <f t="shared" si="11"/>
        <v>1736780</v>
      </c>
      <c r="P67" s="531">
        <f t="shared" si="11"/>
        <v>1850288</v>
      </c>
      <c r="Q67" s="531">
        <f t="shared" si="11"/>
        <v>1955287</v>
      </c>
      <c r="R67" s="531">
        <f t="shared" si="11"/>
        <v>2043913</v>
      </c>
      <c r="S67" s="531">
        <f t="shared" si="11"/>
        <v>2165496</v>
      </c>
      <c r="T67" s="531">
        <f t="shared" si="11"/>
        <v>2260354</v>
      </c>
      <c r="U67" s="531">
        <f t="shared" si="11"/>
        <v>2433892</v>
      </c>
      <c r="V67" s="531">
        <f t="shared" si="11"/>
        <v>2623224</v>
      </c>
    </row>
    <row r="68" spans="1:23">
      <c r="A68" s="212"/>
      <c r="B68" s="474" t="s">
        <v>514</v>
      </c>
      <c r="G68" s="514"/>
      <c r="H68" s="514"/>
      <c r="I68" s="514"/>
      <c r="J68" s="514"/>
      <c r="L68" s="514"/>
      <c r="M68" s="514"/>
      <c r="N68" s="514"/>
      <c r="O68" s="514"/>
      <c r="P68" s="514"/>
      <c r="Q68" s="514"/>
      <c r="R68" s="514"/>
    </row>
    <row r="69" spans="1:23">
      <c r="A69" s="212">
        <v>38</v>
      </c>
      <c r="C69" s="474" t="s">
        <v>179</v>
      </c>
      <c r="F69" s="539" t="s">
        <v>660</v>
      </c>
      <c r="G69" s="539" t="s">
        <v>660</v>
      </c>
      <c r="H69" s="539" t="s">
        <v>660</v>
      </c>
      <c r="I69" s="539" t="s">
        <v>660</v>
      </c>
      <c r="J69" s="539" t="s">
        <v>660</v>
      </c>
      <c r="K69" s="539" t="s">
        <v>660</v>
      </c>
      <c r="L69" s="539" t="s">
        <v>660</v>
      </c>
      <c r="M69" s="539">
        <v>6349</v>
      </c>
      <c r="N69" s="539">
        <v>7252</v>
      </c>
      <c r="O69" s="539">
        <v>9302</v>
      </c>
      <c r="P69" s="539">
        <v>12606</v>
      </c>
      <c r="Q69" s="528">
        <v>13074</v>
      </c>
      <c r="R69" s="528">
        <v>14736</v>
      </c>
      <c r="S69" s="528">
        <f>'Reg Amorts'!R60</f>
        <v>17667</v>
      </c>
      <c r="T69" s="528">
        <f>'Reg Amorts'!S60</f>
        <v>20242</v>
      </c>
      <c r="U69" s="528">
        <f>'Reg Amorts'!T60</f>
        <v>24943</v>
      </c>
      <c r="V69" s="528">
        <f>'Reg Amorts'!U60</f>
        <v>30914</v>
      </c>
      <c r="W69" s="540"/>
    </row>
    <row r="70" spans="1:23" ht="12.75" customHeight="1">
      <c r="A70" s="212">
        <v>39</v>
      </c>
      <c r="C70" s="474" t="s">
        <v>180</v>
      </c>
      <c r="F70" s="539" t="s">
        <v>660</v>
      </c>
      <c r="G70" s="539" t="s">
        <v>660</v>
      </c>
      <c r="H70" s="539" t="s">
        <v>660</v>
      </c>
      <c r="I70" s="539" t="s">
        <v>660</v>
      </c>
      <c r="J70" s="539" t="s">
        <v>660</v>
      </c>
      <c r="K70" s="539" t="s">
        <v>660</v>
      </c>
      <c r="L70" s="539" t="s">
        <v>660</v>
      </c>
      <c r="M70" s="539">
        <v>230738</v>
      </c>
      <c r="N70" s="539">
        <v>243189</v>
      </c>
      <c r="O70" s="539">
        <v>255390</v>
      </c>
      <c r="P70" s="539">
        <v>272340</v>
      </c>
      <c r="Q70" s="528">
        <f>'Reg Amorts'!P61</f>
        <v>286300</v>
      </c>
      <c r="R70" s="528">
        <f>'Reg Amorts'!Q61</f>
        <v>300170</v>
      </c>
      <c r="S70" s="528">
        <f>'Reg Amorts'!R61</f>
        <v>314599</v>
      </c>
      <c r="T70" s="528">
        <f>'Reg Amorts'!S61</f>
        <v>325531</v>
      </c>
      <c r="U70" s="528">
        <f>'Reg Amorts'!T61</f>
        <v>342899</v>
      </c>
      <c r="V70" s="528">
        <f>'Reg Amorts'!U61</f>
        <v>351625</v>
      </c>
      <c r="W70" s="540"/>
    </row>
    <row r="71" spans="1:23" ht="12.75" customHeight="1">
      <c r="A71" s="212">
        <v>40</v>
      </c>
      <c r="C71" s="474" t="s">
        <v>181</v>
      </c>
      <c r="F71" s="539" t="s">
        <v>660</v>
      </c>
      <c r="G71" s="539" t="s">
        <v>660</v>
      </c>
      <c r="H71" s="539" t="s">
        <v>660</v>
      </c>
      <c r="I71" s="539" t="s">
        <v>660</v>
      </c>
      <c r="J71" s="539" t="s">
        <v>660</v>
      </c>
      <c r="K71" s="539" t="s">
        <v>660</v>
      </c>
      <c r="L71" s="539" t="s">
        <v>660</v>
      </c>
      <c r="M71" s="539">
        <v>90140</v>
      </c>
      <c r="N71" s="539">
        <v>95026</v>
      </c>
      <c r="O71" s="539">
        <v>100649</v>
      </c>
      <c r="P71" s="539">
        <v>106041</v>
      </c>
      <c r="Q71" s="528">
        <f>'Reg Amorts'!P62</f>
        <v>111144</v>
      </c>
      <c r="R71" s="528">
        <f>'Reg Amorts'!Q62</f>
        <v>116316</v>
      </c>
      <c r="S71" s="528">
        <f>'Reg Amorts'!R62</f>
        <v>122308</v>
      </c>
      <c r="T71" s="528">
        <f>'Reg Amorts'!S62</f>
        <v>123869</v>
      </c>
      <c r="U71" s="528">
        <f>'Reg Amorts'!T62</f>
        <v>129936</v>
      </c>
      <c r="V71" s="528">
        <f>'Reg Amorts'!U62</f>
        <v>135624</v>
      </c>
      <c r="W71" s="540"/>
    </row>
    <row r="72" spans="1:23" ht="12.75" customHeight="1">
      <c r="A72" s="212">
        <v>41</v>
      </c>
      <c r="C72" s="474" t="s">
        <v>165</v>
      </c>
      <c r="F72" s="539" t="s">
        <v>660</v>
      </c>
      <c r="G72" s="539" t="s">
        <v>660</v>
      </c>
      <c r="H72" s="539" t="s">
        <v>660</v>
      </c>
      <c r="I72" s="539" t="s">
        <v>660</v>
      </c>
      <c r="J72" s="539" t="s">
        <v>660</v>
      </c>
      <c r="K72" s="539" t="s">
        <v>660</v>
      </c>
      <c r="L72" s="539" t="s">
        <v>660</v>
      </c>
      <c r="M72" s="539">
        <v>162343</v>
      </c>
      <c r="N72" s="539">
        <v>172026</v>
      </c>
      <c r="O72" s="539">
        <v>181327</v>
      </c>
      <c r="P72" s="539">
        <v>194593</v>
      </c>
      <c r="Q72" s="528">
        <f>'Reg Amorts'!P63</f>
        <v>209101</v>
      </c>
      <c r="R72" s="528">
        <f>'Reg Amorts'!Q63</f>
        <v>221408</v>
      </c>
      <c r="S72" s="528">
        <f>'Reg Amorts'!R63</f>
        <v>236201</v>
      </c>
      <c r="T72" s="528">
        <f>'Reg Amorts'!S63</f>
        <v>252722</v>
      </c>
      <c r="U72" s="528">
        <f>'Reg Amorts'!T63</f>
        <v>273578</v>
      </c>
      <c r="V72" s="528">
        <f>'Reg Amorts'!U63</f>
        <v>295383</v>
      </c>
      <c r="W72" s="540"/>
    </row>
    <row r="73" spans="1:23" ht="12.75" customHeight="1">
      <c r="A73" s="212">
        <v>42</v>
      </c>
      <c r="C73" s="474" t="s">
        <v>182</v>
      </c>
      <c r="F73" s="539" t="s">
        <v>660</v>
      </c>
      <c r="G73" s="539" t="s">
        <v>660</v>
      </c>
      <c r="H73" s="539" t="s">
        <v>660</v>
      </c>
      <c r="I73" s="539" t="s">
        <v>660</v>
      </c>
      <c r="J73" s="539" t="s">
        <v>660</v>
      </c>
      <c r="K73" s="539" t="s">
        <v>660</v>
      </c>
      <c r="L73" s="539" t="s">
        <v>660</v>
      </c>
      <c r="M73" s="763">
        <v>36737</v>
      </c>
      <c r="N73" s="763">
        <v>39933</v>
      </c>
      <c r="O73" s="763">
        <v>39153</v>
      </c>
      <c r="P73" s="763">
        <v>43819</v>
      </c>
      <c r="Q73" s="541">
        <v>47365</v>
      </c>
      <c r="R73" s="541">
        <v>51504</v>
      </c>
      <c r="S73" s="541">
        <f>'Reg Amorts'!R64</f>
        <v>58357</v>
      </c>
      <c r="T73" s="541">
        <f>'Reg Amorts'!S64</f>
        <v>65720</v>
      </c>
      <c r="U73" s="541">
        <f>'Reg Amorts'!T64</f>
        <v>73050</v>
      </c>
      <c r="V73" s="541">
        <f>'Reg Amorts'!U64</f>
        <v>80093</v>
      </c>
      <c r="W73" s="540"/>
    </row>
    <row r="74" spans="1:23" ht="12.75" customHeight="1">
      <c r="A74" s="212">
        <v>43</v>
      </c>
      <c r="B74" s="474" t="s">
        <v>225</v>
      </c>
      <c r="F74" s="528">
        <f>'Reg Amorts'!E65--'Reg Amorts'!E106</f>
        <v>354682</v>
      </c>
      <c r="G74" s="528">
        <f>'Reg Amorts'!F65--'Reg Amorts'!F106</f>
        <v>373090</v>
      </c>
      <c r="H74" s="528">
        <f>'Reg Amorts'!G65--'Reg Amorts'!G106</f>
        <v>391351</v>
      </c>
      <c r="I74" s="528">
        <f>'Reg Amorts'!H65--'Reg Amorts'!H106</f>
        <v>422390</v>
      </c>
      <c r="J74" s="528">
        <f>'Reg Amorts'!I65--'Reg Amorts'!I106</f>
        <v>447359</v>
      </c>
      <c r="K74" s="528">
        <f>'Reg Amorts'!J65--'Reg Amorts'!J106</f>
        <v>474906</v>
      </c>
      <c r="L74" s="528">
        <f>'Reg Amorts'!K65--'Reg Amorts'!K106</f>
        <v>506599</v>
      </c>
      <c r="M74" s="528">
        <f>'Reg Amorts'!L65--'Reg Amorts'!L106</f>
        <v>526307</v>
      </c>
      <c r="N74" s="528">
        <f>'Reg Amorts'!M65--'Reg Amorts'!M106</f>
        <v>557426</v>
      </c>
      <c r="O74" s="528">
        <f>'Reg Amorts'!N65--'Reg Amorts'!N106</f>
        <v>585821</v>
      </c>
      <c r="P74" s="528">
        <f>'Reg Amorts'!O65--'Reg Amorts'!O106</f>
        <v>629399</v>
      </c>
      <c r="Q74" s="528">
        <f t="shared" ref="Q74:V74" si="12">SUM(Q69:Q73)</f>
        <v>666984</v>
      </c>
      <c r="R74" s="528">
        <f t="shared" si="12"/>
        <v>704134</v>
      </c>
      <c r="S74" s="528">
        <f t="shared" si="12"/>
        <v>749132</v>
      </c>
      <c r="T74" s="528">
        <f t="shared" si="12"/>
        <v>788084</v>
      </c>
      <c r="U74" s="528">
        <f t="shared" si="12"/>
        <v>844406</v>
      </c>
      <c r="V74" s="528">
        <f t="shared" si="12"/>
        <v>893639</v>
      </c>
    </row>
    <row r="75" spans="1:23" ht="12.75" customHeight="1">
      <c r="A75" s="212">
        <v>44</v>
      </c>
      <c r="B75" s="474" t="s">
        <v>226</v>
      </c>
      <c r="F75" s="529">
        <f t="shared" ref="F75:V75" si="13">F67-F74</f>
        <v>754924</v>
      </c>
      <c r="G75" s="529">
        <f t="shared" si="13"/>
        <v>771819</v>
      </c>
      <c r="H75" s="529">
        <f t="shared" si="13"/>
        <v>850869</v>
      </c>
      <c r="I75" s="529">
        <f t="shared" si="13"/>
        <v>856006</v>
      </c>
      <c r="J75" s="529">
        <f t="shared" si="13"/>
        <v>908716</v>
      </c>
      <c r="K75" s="529">
        <f t="shared" si="13"/>
        <v>934058</v>
      </c>
      <c r="L75" s="529">
        <f t="shared" si="13"/>
        <v>994207</v>
      </c>
      <c r="M75" s="529">
        <f t="shared" si="13"/>
        <v>1009868</v>
      </c>
      <c r="N75" s="529">
        <f t="shared" si="13"/>
        <v>1064749</v>
      </c>
      <c r="O75" s="529">
        <f t="shared" si="13"/>
        <v>1150959</v>
      </c>
      <c r="P75" s="529">
        <f t="shared" si="13"/>
        <v>1220889</v>
      </c>
      <c r="Q75" s="529">
        <f>Q67-Q74</f>
        <v>1288303</v>
      </c>
      <c r="R75" s="529">
        <f t="shared" si="13"/>
        <v>1339779</v>
      </c>
      <c r="S75" s="529">
        <f t="shared" si="13"/>
        <v>1416364</v>
      </c>
      <c r="T75" s="529">
        <f t="shared" si="13"/>
        <v>1472270</v>
      </c>
      <c r="U75" s="529">
        <f t="shared" si="13"/>
        <v>1589486</v>
      </c>
      <c r="V75" s="529">
        <f t="shared" si="13"/>
        <v>1729585</v>
      </c>
    </row>
    <row r="76" spans="1:23" ht="2.25" customHeight="1">
      <c r="A76" s="212"/>
      <c r="F76" s="528"/>
      <c r="G76" s="528"/>
      <c r="H76" s="528"/>
      <c r="I76" s="528"/>
      <c r="J76" s="528"/>
      <c r="K76" s="528"/>
      <c r="L76" s="528"/>
      <c r="M76" s="528"/>
      <c r="N76" s="528"/>
      <c r="O76" s="528"/>
      <c r="P76" s="528"/>
      <c r="Q76" s="528"/>
      <c r="R76" s="528"/>
      <c r="S76" s="528"/>
      <c r="T76" s="528"/>
      <c r="U76" s="528"/>
      <c r="V76" s="528"/>
    </row>
    <row r="77" spans="1:23">
      <c r="A77" s="212">
        <v>45</v>
      </c>
      <c r="B77" s="474" t="s">
        <v>184</v>
      </c>
      <c r="F77" s="530">
        <f>'Reg Amorts'!E68-'Reg Amorts'!E107</f>
        <v>-105775</v>
      </c>
      <c r="G77" s="530">
        <f>'Reg Amorts'!F68-'Reg Amorts'!F107</f>
        <v>-109541</v>
      </c>
      <c r="H77" s="530">
        <f>'Reg Amorts'!G68-'Reg Amorts'!G107</f>
        <v>-111367</v>
      </c>
      <c r="I77" s="530">
        <f>'Reg Amorts'!H68-'Reg Amorts'!H107</f>
        <v>-135404</v>
      </c>
      <c r="J77" s="530">
        <f>'Reg Amorts'!I68-'Reg Amorts'!I107</f>
        <v>-150960</v>
      </c>
      <c r="K77" s="530">
        <f>'Reg Amorts'!J68-'Reg Amorts'!J107</f>
        <v>-134967</v>
      </c>
      <c r="L77" s="530">
        <f>'Reg Amorts'!K68-'Reg Amorts'!K107</f>
        <v>-138495</v>
      </c>
      <c r="M77" s="530">
        <f>'Reg Amorts'!L68-'Reg Amorts'!L107</f>
        <v>-139033</v>
      </c>
      <c r="N77" s="530">
        <f>'Reg Amorts'!M68-'Reg Amorts'!M107</f>
        <v>-147502</v>
      </c>
      <c r="O77" s="530">
        <f>'Reg Amorts'!N68-'Reg Amorts'!N107</f>
        <v>-163716</v>
      </c>
      <c r="P77" s="530">
        <f>'Reg Amorts'!O68-'Reg Amorts'!O107</f>
        <v>-184825</v>
      </c>
      <c r="Q77" s="530">
        <f>'Reg Amorts'!P68</f>
        <v>-201163</v>
      </c>
      <c r="R77" s="530">
        <f>'Reg Amorts'!Q68</f>
        <v>-208209</v>
      </c>
      <c r="S77" s="530">
        <f>'Reg Amorts'!R68</f>
        <v>-221354</v>
      </c>
      <c r="T77" s="530">
        <f>'Reg Amorts'!S68</f>
        <v>-257766</v>
      </c>
      <c r="U77" s="530">
        <f>'Reg Amorts'!T68</f>
        <v>-317860</v>
      </c>
      <c r="V77" s="530">
        <f>'Reg Amorts'!U68</f>
        <v>-353900</v>
      </c>
    </row>
    <row r="78" spans="1:23">
      <c r="A78" s="212">
        <v>46</v>
      </c>
      <c r="C78" s="519" t="s">
        <v>661</v>
      </c>
      <c r="D78" s="519"/>
      <c r="E78" s="519"/>
      <c r="F78" s="542">
        <f t="shared" ref="F78:V78" si="14">F75+F77</f>
        <v>649149</v>
      </c>
      <c r="G78" s="542">
        <f t="shared" si="14"/>
        <v>662278</v>
      </c>
      <c r="H78" s="542">
        <f t="shared" si="14"/>
        <v>739502</v>
      </c>
      <c r="I78" s="542">
        <f t="shared" si="14"/>
        <v>720602</v>
      </c>
      <c r="J78" s="542">
        <f t="shared" si="14"/>
        <v>757756</v>
      </c>
      <c r="K78" s="542">
        <f t="shared" si="14"/>
        <v>799091</v>
      </c>
      <c r="L78" s="542">
        <f t="shared" si="14"/>
        <v>855712</v>
      </c>
      <c r="M78" s="542">
        <f t="shared" si="14"/>
        <v>870835</v>
      </c>
      <c r="N78" s="542">
        <f t="shared" si="14"/>
        <v>917247</v>
      </c>
      <c r="O78" s="542">
        <f t="shared" si="14"/>
        <v>987243</v>
      </c>
      <c r="P78" s="542">
        <f t="shared" si="14"/>
        <v>1036064</v>
      </c>
      <c r="Q78" s="542">
        <f t="shared" si="14"/>
        <v>1087140</v>
      </c>
      <c r="R78" s="542">
        <f t="shared" si="14"/>
        <v>1131570</v>
      </c>
      <c r="S78" s="542">
        <f t="shared" si="14"/>
        <v>1195010</v>
      </c>
      <c r="T78" s="542">
        <f t="shared" si="14"/>
        <v>1214504</v>
      </c>
      <c r="U78" s="542">
        <f t="shared" si="14"/>
        <v>1271626</v>
      </c>
      <c r="V78" s="542">
        <f t="shared" si="14"/>
        <v>1375685</v>
      </c>
    </row>
    <row r="79" spans="1:23">
      <c r="A79" s="212">
        <v>47</v>
      </c>
      <c r="B79" s="474" t="s">
        <v>227</v>
      </c>
      <c r="F79" s="528">
        <f>'Reg Amorts'!E103</f>
        <v>-80657</v>
      </c>
      <c r="G79" s="528">
        <f>'Reg Amorts'!F103</f>
        <v>-64763</v>
      </c>
      <c r="H79" s="528">
        <f>'Reg Amorts'!G103</f>
        <v>22356</v>
      </c>
      <c r="I79" s="528">
        <f>'Reg Amorts'!H103</f>
        <v>21841</v>
      </c>
      <c r="J79" s="528">
        <f>'Reg Amorts'!I103</f>
        <v>20255</v>
      </c>
      <c r="K79" s="528">
        <f>'Reg Amorts'!J103</f>
        <v>20751</v>
      </c>
      <c r="L79" s="528">
        <f>'Reg Amorts'!K103</f>
        <v>18799</v>
      </c>
      <c r="M79" s="528">
        <f>'Reg Amorts'!L103</f>
        <v>21020</v>
      </c>
      <c r="N79" s="528">
        <f>'Reg Amorts'!M103</f>
        <v>19593</v>
      </c>
      <c r="O79" s="528">
        <f>'Reg Amorts'!N103</f>
        <v>17776</v>
      </c>
      <c r="P79" s="528">
        <f>'Reg Amorts'!O103</f>
        <v>17776</v>
      </c>
      <c r="Q79" s="528">
        <f>'Reg Amorts'!P103</f>
        <v>18845</v>
      </c>
      <c r="R79" s="528">
        <f>'Reg Amorts'!Q103</f>
        <v>16438</v>
      </c>
      <c r="S79" s="528">
        <f>'Reg Amorts'!R103</f>
        <v>14761</v>
      </c>
      <c r="T79" s="528">
        <f>'Reg Amorts'!S103</f>
        <v>10846</v>
      </c>
      <c r="U79" s="528">
        <f>'Reg Amorts'!T103</f>
        <v>7458</v>
      </c>
      <c r="V79" s="528">
        <f>'Reg Amorts'!U103</f>
        <v>4566</v>
      </c>
    </row>
    <row r="80" spans="1:23">
      <c r="A80" s="212">
        <v>48</v>
      </c>
      <c r="B80" s="474" t="s">
        <v>212</v>
      </c>
      <c r="F80" s="528">
        <f>'Reg Amorts'!E71</f>
        <v>0</v>
      </c>
      <c r="G80" s="528">
        <f>'Reg Amorts'!F71</f>
        <v>0</v>
      </c>
      <c r="H80" s="528">
        <f>'Reg Amorts'!G71</f>
        <v>0</v>
      </c>
      <c r="I80" s="528">
        <f>'Reg Amorts'!H71</f>
        <v>0</v>
      </c>
      <c r="J80" s="528">
        <f>'Reg Amorts'!I71</f>
        <v>0</v>
      </c>
      <c r="K80" s="528">
        <f>'Reg Amorts'!J71</f>
        <v>0</v>
      </c>
      <c r="L80" s="528">
        <f>'Reg Amorts'!K71</f>
        <v>0</v>
      </c>
      <c r="M80" s="528">
        <f>'Reg Amorts'!L71</f>
        <v>0</v>
      </c>
      <c r="N80" s="528">
        <f>'Reg Amorts'!M71</f>
        <v>0</v>
      </c>
      <c r="O80" s="528">
        <f>'Reg Amorts'!N71</f>
        <v>0</v>
      </c>
      <c r="P80" s="528">
        <f>'Reg Amorts'!O71</f>
        <v>18188</v>
      </c>
      <c r="Q80" s="528">
        <f>'Reg Amorts'!P71+'Reg Amorts'!P111</f>
        <v>31877</v>
      </c>
      <c r="R80" s="528">
        <f>'Reg Amorts'!Q71</f>
        <v>10967</v>
      </c>
      <c r="S80" s="528">
        <f>'Reg Amorts'!R71</f>
        <v>16281</v>
      </c>
      <c r="T80" s="528">
        <f>'Reg Amorts'!S71</f>
        <v>47807</v>
      </c>
      <c r="U80" s="528">
        <f>'Reg Amorts'!T71</f>
        <v>59722</v>
      </c>
      <c r="V80" s="528">
        <f>'Reg Amorts'!U71</f>
        <v>62474</v>
      </c>
    </row>
    <row r="81" spans="1:29" ht="6.75" customHeight="1">
      <c r="A81" s="212"/>
      <c r="G81" s="514"/>
      <c r="H81" s="514"/>
      <c r="I81" s="514"/>
      <c r="J81" s="514"/>
      <c r="L81" s="514"/>
      <c r="M81" s="514"/>
      <c r="N81" s="514"/>
      <c r="O81" s="514"/>
      <c r="P81" s="514"/>
      <c r="Q81" s="528"/>
      <c r="R81" s="528"/>
      <c r="S81" s="528"/>
      <c r="T81" s="528"/>
      <c r="U81" s="528"/>
      <c r="V81" s="528"/>
    </row>
    <row r="82" spans="1:29" ht="12.75" thickBot="1">
      <c r="A82" s="212">
        <v>49</v>
      </c>
      <c r="B82" s="474" t="s">
        <v>185</v>
      </c>
      <c r="F82" s="535">
        <f>'CBR Hist'!F78</f>
        <v>568492</v>
      </c>
      <c r="G82" s="535">
        <f>'CBR Hist'!G78</f>
        <v>597515</v>
      </c>
      <c r="H82" s="535">
        <f>'CBR Hist'!H78</f>
        <v>761858</v>
      </c>
      <c r="I82" s="535">
        <f>'CBR Hist'!I78</f>
        <v>742443</v>
      </c>
      <c r="J82" s="535">
        <f>'CBR Hist'!J78</f>
        <v>778011</v>
      </c>
      <c r="K82" s="535">
        <f>'CBR Hist'!K78</f>
        <v>819842</v>
      </c>
      <c r="L82" s="535">
        <f>'CBR Hist'!L78</f>
        <v>874511</v>
      </c>
      <c r="M82" s="535">
        <f>'CBR Hist'!M78</f>
        <v>891855</v>
      </c>
      <c r="N82" s="535">
        <f>'CBR Hist'!N78</f>
        <v>936840</v>
      </c>
      <c r="O82" s="535">
        <f>'CBR Hist'!O78</f>
        <v>1005019</v>
      </c>
      <c r="P82" s="535">
        <f>'CBR Hist'!P78</f>
        <v>1072028</v>
      </c>
      <c r="Q82" s="535">
        <f>'CBR Hist'!Q78</f>
        <v>1137863</v>
      </c>
      <c r="R82" s="535">
        <f>'CBR Hist'!R78</f>
        <v>1158975</v>
      </c>
      <c r="S82" s="535">
        <f>'CBR Hist'!S78</f>
        <v>1226052</v>
      </c>
      <c r="T82" s="535">
        <f>'CBR Hist'!T78</f>
        <v>1273157</v>
      </c>
      <c r="U82" s="535">
        <f>'CBR Hist'!U78</f>
        <v>1338806</v>
      </c>
      <c r="V82" s="535">
        <f>'CBR Hist'!V78</f>
        <v>1442726</v>
      </c>
    </row>
    <row r="83" spans="1:29" ht="12.75" hidden="1" thickTop="1">
      <c r="A83" s="212"/>
      <c r="F83" s="537"/>
      <c r="G83" s="537"/>
      <c r="H83" s="537"/>
      <c r="I83" s="537"/>
      <c r="J83" s="537"/>
      <c r="K83" s="537"/>
      <c r="L83" s="537"/>
      <c r="M83" s="537"/>
      <c r="N83" s="537"/>
      <c r="O83" s="537"/>
      <c r="P83" s="537"/>
      <c r="Q83" s="537"/>
      <c r="R83" s="537"/>
      <c r="S83" s="537"/>
      <c r="T83" s="537"/>
      <c r="U83" s="537"/>
      <c r="V83" s="537"/>
    </row>
    <row r="84" spans="1:29" ht="4.5" customHeight="1" thickTop="1">
      <c r="A84" s="536"/>
      <c r="F84" s="537"/>
      <c r="G84" s="537"/>
      <c r="H84" s="537"/>
      <c r="I84" s="537"/>
      <c r="J84" s="537"/>
      <c r="K84" s="537"/>
      <c r="L84" s="537"/>
      <c r="M84" s="537"/>
      <c r="N84" s="537"/>
      <c r="O84" s="537"/>
      <c r="P84" s="537"/>
      <c r="Q84" s="537"/>
      <c r="R84" s="537"/>
      <c r="S84" s="524"/>
      <c r="T84" s="524"/>
      <c r="U84" s="524"/>
      <c r="V84" s="524"/>
    </row>
    <row r="85" spans="1:29">
      <c r="A85" s="543" t="s">
        <v>150</v>
      </c>
      <c r="B85" s="536"/>
      <c r="C85" s="536"/>
      <c r="F85" s="537"/>
      <c r="G85" s="537"/>
      <c r="H85" s="537"/>
      <c r="I85" s="537"/>
      <c r="J85" s="537"/>
      <c r="K85" s="537"/>
      <c r="L85" s="537"/>
      <c r="M85" s="537"/>
      <c r="N85" s="537"/>
      <c r="O85" s="537"/>
      <c r="P85" s="537"/>
      <c r="Q85" s="537"/>
      <c r="R85" s="537"/>
      <c r="S85" s="524"/>
      <c r="T85" s="524"/>
      <c r="U85" s="524"/>
      <c r="V85" s="524"/>
    </row>
    <row r="86" spans="1:29">
      <c r="A86" s="543" t="s">
        <v>662</v>
      </c>
      <c r="B86" s="536"/>
      <c r="C86" s="536"/>
      <c r="F86" s="537"/>
      <c r="G86" s="537"/>
      <c r="H86" s="537"/>
      <c r="I86" s="537"/>
      <c r="J86" s="537"/>
      <c r="K86" s="537"/>
      <c r="L86" s="537"/>
      <c r="M86" s="537"/>
      <c r="N86" s="537"/>
      <c r="O86" s="537"/>
      <c r="P86" s="537"/>
      <c r="Q86" s="537"/>
      <c r="R86" s="537"/>
      <c r="S86" s="524"/>
      <c r="T86" s="524"/>
      <c r="U86" s="524"/>
      <c r="V86" s="524"/>
    </row>
    <row r="87" spans="1:29" ht="7.5" hidden="1" customHeight="1">
      <c r="A87" s="212"/>
      <c r="C87" s="536"/>
      <c r="F87" s="537"/>
      <c r="G87" s="537"/>
      <c r="H87" s="537"/>
      <c r="I87" s="537"/>
      <c r="J87" s="537"/>
      <c r="K87" s="537"/>
      <c r="L87" s="537"/>
      <c r="M87" s="537"/>
      <c r="N87" s="537"/>
      <c r="O87" s="537"/>
      <c r="P87" s="537"/>
      <c r="Q87" s="537"/>
      <c r="R87" s="537"/>
      <c r="S87" s="524"/>
      <c r="T87" s="524"/>
      <c r="U87" s="524"/>
      <c r="V87" s="524"/>
    </row>
    <row r="88" spans="1:29" ht="15.75">
      <c r="A88" s="544" t="str">
        <f>A58</f>
        <v xml:space="preserve">(000'S OF DOLLARS)  </v>
      </c>
      <c r="E88" s="545" t="s">
        <v>663</v>
      </c>
      <c r="F88" s="545"/>
      <c r="G88" s="545"/>
      <c r="H88" s="545"/>
      <c r="I88" s="545"/>
      <c r="J88" s="545"/>
      <c r="K88" s="545"/>
      <c r="L88" s="545"/>
      <c r="M88" s="545"/>
      <c r="N88" s="545"/>
      <c r="O88" s="545"/>
      <c r="P88" s="545"/>
      <c r="Q88" s="545"/>
      <c r="R88" s="545"/>
      <c r="S88" s="524"/>
      <c r="T88" s="523"/>
      <c r="U88" s="523"/>
      <c r="V88" s="523"/>
    </row>
    <row r="89" spans="1:29" ht="3" customHeight="1">
      <c r="A89" s="212"/>
      <c r="F89" s="546"/>
      <c r="G89" s="546"/>
      <c r="H89" s="546"/>
      <c r="I89" s="546"/>
      <c r="J89" s="546"/>
      <c r="K89" s="546"/>
      <c r="L89" s="546"/>
      <c r="M89" s="546"/>
      <c r="N89" s="546"/>
      <c r="O89" s="546"/>
      <c r="P89" s="546"/>
      <c r="Q89" s="546"/>
      <c r="R89" s="546"/>
      <c r="S89" s="524"/>
      <c r="T89" s="524"/>
      <c r="U89" s="524"/>
      <c r="V89" s="524"/>
    </row>
    <row r="90" spans="1:29">
      <c r="A90" s="212"/>
      <c r="F90" s="525">
        <f>F8</f>
        <v>2000</v>
      </c>
      <c r="G90" s="525">
        <f t="shared" ref="G90:V90" si="15">G8</f>
        <v>2001</v>
      </c>
      <c r="H90" s="525">
        <f t="shared" si="15"/>
        <v>2002</v>
      </c>
      <c r="I90" s="525">
        <f t="shared" si="15"/>
        <v>2003</v>
      </c>
      <c r="J90" s="525">
        <f t="shared" si="15"/>
        <v>2004</v>
      </c>
      <c r="K90" s="525">
        <f t="shared" si="15"/>
        <v>2005</v>
      </c>
      <c r="L90" s="525">
        <f t="shared" si="15"/>
        <v>2006</v>
      </c>
      <c r="M90" s="525">
        <f t="shared" si="15"/>
        <v>2007</v>
      </c>
      <c r="N90" s="525">
        <f t="shared" si="15"/>
        <v>2008</v>
      </c>
      <c r="O90" s="525">
        <f t="shared" si="15"/>
        <v>2009</v>
      </c>
      <c r="P90" s="525">
        <f t="shared" si="15"/>
        <v>2010</v>
      </c>
      <c r="Q90" s="525">
        <f t="shared" si="15"/>
        <v>2011</v>
      </c>
      <c r="R90" s="525">
        <f t="shared" si="15"/>
        <v>2012</v>
      </c>
      <c r="S90" s="525">
        <f t="shared" si="15"/>
        <v>2013</v>
      </c>
      <c r="T90" s="525">
        <f t="shared" si="15"/>
        <v>2014</v>
      </c>
      <c r="U90" s="525">
        <f t="shared" si="15"/>
        <v>2015</v>
      </c>
      <c r="V90" s="525">
        <f t="shared" si="15"/>
        <v>2016</v>
      </c>
    </row>
    <row r="91" spans="1:29" ht="25.9" customHeight="1">
      <c r="A91" s="547" t="s">
        <v>664</v>
      </c>
      <c r="D91" s="474" t="s">
        <v>665</v>
      </c>
      <c r="F91" s="546"/>
      <c r="G91" s="546"/>
      <c r="H91" s="546"/>
      <c r="I91" s="546"/>
      <c r="J91" s="546"/>
      <c r="K91" s="546"/>
      <c r="L91" s="546"/>
      <c r="M91" s="546"/>
      <c r="N91" s="546"/>
      <c r="O91" s="546"/>
      <c r="P91" s="546"/>
      <c r="Q91" s="546"/>
      <c r="R91" s="546"/>
      <c r="S91" s="546"/>
      <c r="T91" s="546"/>
      <c r="U91" s="546"/>
      <c r="V91" s="546"/>
      <c r="AA91" s="525"/>
      <c r="AB91" s="525"/>
      <c r="AC91" s="525"/>
    </row>
    <row r="92" spans="1:29" ht="12" customHeight="1">
      <c r="A92" s="212">
        <v>1</v>
      </c>
      <c r="B92" s="474" t="s">
        <v>666</v>
      </c>
      <c r="E92" s="548" t="s">
        <v>667</v>
      </c>
      <c r="F92" s="528">
        <f>F19</f>
        <v>78721</v>
      </c>
      <c r="G92" s="528">
        <f t="shared" ref="G92:V93" si="16">G19</f>
        <v>47157</v>
      </c>
      <c r="H92" s="528">
        <f t="shared" si="16"/>
        <v>101475</v>
      </c>
      <c r="I92" s="528">
        <f t="shared" si="16"/>
        <v>132098</v>
      </c>
      <c r="J92" s="528">
        <f t="shared" si="16"/>
        <v>101545</v>
      </c>
      <c r="K92" s="528">
        <f t="shared" si="16"/>
        <v>105374</v>
      </c>
      <c r="L92" s="528">
        <f t="shared" si="16"/>
        <v>104260</v>
      </c>
      <c r="M92" s="528">
        <f t="shared" si="16"/>
        <v>102890</v>
      </c>
      <c r="N92" s="528">
        <f t="shared" si="16"/>
        <v>117123</v>
      </c>
      <c r="O92" s="528">
        <f t="shared" si="16"/>
        <v>87599</v>
      </c>
      <c r="P92" s="528">
        <f t="shared" si="16"/>
        <v>147107</v>
      </c>
      <c r="Q92" s="528">
        <f t="shared" si="16"/>
        <v>145634</v>
      </c>
      <c r="R92" s="528">
        <f t="shared" si="16"/>
        <v>131795</v>
      </c>
      <c r="S92" s="528">
        <f>S19</f>
        <v>143904</v>
      </c>
      <c r="T92" s="528">
        <f>T19</f>
        <v>120307</v>
      </c>
      <c r="U92" s="528">
        <f>U19</f>
        <v>140485</v>
      </c>
      <c r="V92" s="528">
        <f>V19</f>
        <v>136385</v>
      </c>
      <c r="Z92" s="548"/>
    </row>
    <row r="93" spans="1:29" ht="12" customHeight="1">
      <c r="A93" s="212">
        <v>2</v>
      </c>
      <c r="B93" s="474" t="s">
        <v>39</v>
      </c>
      <c r="E93" s="548" t="s">
        <v>668</v>
      </c>
      <c r="F93" s="528">
        <f>F20</f>
        <v>181189</v>
      </c>
      <c r="G93" s="528">
        <f t="shared" si="16"/>
        <v>132159</v>
      </c>
      <c r="H93" s="528">
        <f t="shared" si="16"/>
        <v>50769</v>
      </c>
      <c r="I93" s="528">
        <f t="shared" si="16"/>
        <v>46591</v>
      </c>
      <c r="J93" s="528">
        <f t="shared" si="16"/>
        <v>51042</v>
      </c>
      <c r="K93" s="528">
        <f t="shared" si="16"/>
        <v>55046</v>
      </c>
      <c r="L93" s="528">
        <f t="shared" si="16"/>
        <v>79146</v>
      </c>
      <c r="M93" s="528">
        <f t="shared" si="16"/>
        <v>65640</v>
      </c>
      <c r="N93" s="528">
        <f t="shared" si="16"/>
        <v>72508</v>
      </c>
      <c r="O93" s="528">
        <f t="shared" si="16"/>
        <v>100437</v>
      </c>
      <c r="P93" s="528">
        <f t="shared" si="16"/>
        <v>142197</v>
      </c>
      <c r="Q93" s="528">
        <f t="shared" si="16"/>
        <v>91142</v>
      </c>
      <c r="R93" s="528">
        <f t="shared" si="16"/>
        <v>101283</v>
      </c>
      <c r="S93" s="528">
        <f t="shared" si="16"/>
        <v>109034</v>
      </c>
      <c r="T93" s="528">
        <f t="shared" si="16"/>
        <v>116643</v>
      </c>
      <c r="U93" s="528">
        <f t="shared" si="16"/>
        <v>85107</v>
      </c>
      <c r="V93" s="528">
        <f t="shared" si="16"/>
        <v>78794</v>
      </c>
    </row>
    <row r="94" spans="1:29" ht="12" customHeight="1">
      <c r="A94" s="212">
        <v>3</v>
      </c>
      <c r="B94" s="474" t="s">
        <v>40</v>
      </c>
      <c r="E94" s="548" t="s">
        <v>669</v>
      </c>
      <c r="F94" s="528">
        <f>F27</f>
        <v>9418</v>
      </c>
      <c r="G94" s="528">
        <f t="shared" ref="G94:V94" si="17">G27</f>
        <v>10560</v>
      </c>
      <c r="H94" s="528">
        <f t="shared" si="17"/>
        <v>9631</v>
      </c>
      <c r="I94" s="528">
        <f t="shared" si="17"/>
        <v>10171</v>
      </c>
      <c r="J94" s="528">
        <f t="shared" si="17"/>
        <v>12016</v>
      </c>
      <c r="K94" s="528">
        <f t="shared" si="17"/>
        <v>14263</v>
      </c>
      <c r="L94" s="528">
        <f t="shared" si="17"/>
        <v>15485</v>
      </c>
      <c r="M94" s="528">
        <f t="shared" si="17"/>
        <v>14563</v>
      </c>
      <c r="N94" s="528">
        <f t="shared" si="17"/>
        <v>17329</v>
      </c>
      <c r="O94" s="528">
        <f t="shared" si="17"/>
        <v>17267</v>
      </c>
      <c r="P94" s="528">
        <f t="shared" si="17"/>
        <v>18354</v>
      </c>
      <c r="Q94" s="528">
        <f t="shared" si="17"/>
        <v>19081</v>
      </c>
      <c r="R94" s="528">
        <f t="shared" si="17"/>
        <v>21152</v>
      </c>
      <c r="S94" s="528">
        <f t="shared" si="17"/>
        <v>20878</v>
      </c>
      <c r="T94" s="528">
        <f t="shared" si="17"/>
        <v>21299</v>
      </c>
      <c r="U94" s="528">
        <f t="shared" si="17"/>
        <v>24056</v>
      </c>
      <c r="V94" s="528">
        <f t="shared" si="17"/>
        <v>21415</v>
      </c>
    </row>
    <row r="95" spans="1:29" ht="12" customHeight="1">
      <c r="A95" s="212">
        <v>4</v>
      </c>
      <c r="B95" s="474" t="s">
        <v>41</v>
      </c>
      <c r="E95" s="548" t="s">
        <v>670</v>
      </c>
      <c r="F95" s="528">
        <f>F32</f>
        <v>5768</v>
      </c>
      <c r="G95" s="528">
        <f t="shared" ref="G95:V97" si="18">G32</f>
        <v>6196</v>
      </c>
      <c r="H95" s="528">
        <f t="shared" si="18"/>
        <v>7113</v>
      </c>
      <c r="I95" s="528">
        <f t="shared" si="18"/>
        <v>7129</v>
      </c>
      <c r="J95" s="528">
        <f t="shared" si="18"/>
        <v>7352</v>
      </c>
      <c r="K95" s="528">
        <f t="shared" si="18"/>
        <v>7156</v>
      </c>
      <c r="L95" s="528">
        <f t="shared" si="18"/>
        <v>7097</v>
      </c>
      <c r="M95" s="528">
        <f t="shared" si="18"/>
        <v>7514</v>
      </c>
      <c r="N95" s="528">
        <f t="shared" si="18"/>
        <v>7919</v>
      </c>
      <c r="O95" s="528">
        <f t="shared" si="18"/>
        <v>9646</v>
      </c>
      <c r="P95" s="528">
        <f t="shared" si="18"/>
        <v>9261</v>
      </c>
      <c r="Q95" s="528">
        <f t="shared" si="18"/>
        <v>10274.701588</v>
      </c>
      <c r="R95" s="528">
        <f t="shared" si="18"/>
        <v>10335.791302</v>
      </c>
      <c r="S95" s="528">
        <f t="shared" si="18"/>
        <v>11334</v>
      </c>
      <c r="T95" s="528">
        <f t="shared" si="18"/>
        <v>11166</v>
      </c>
      <c r="U95" s="528">
        <f t="shared" si="18"/>
        <v>12363</v>
      </c>
      <c r="V95" s="528">
        <f t="shared" si="18"/>
        <v>13021</v>
      </c>
    </row>
    <row r="96" spans="1:29" ht="12" customHeight="1">
      <c r="A96" s="212">
        <v>5</v>
      </c>
      <c r="B96" s="474" t="s">
        <v>671</v>
      </c>
      <c r="E96" s="548" t="s">
        <v>672</v>
      </c>
      <c r="F96" s="528">
        <f>F33</f>
        <v>5704</v>
      </c>
      <c r="G96" s="528">
        <f t="shared" si="18"/>
        <v>5381</v>
      </c>
      <c r="H96" s="528">
        <f t="shared" si="18"/>
        <v>6261</v>
      </c>
      <c r="I96" s="528">
        <f t="shared" si="18"/>
        <v>6620</v>
      </c>
      <c r="J96" s="528">
        <f t="shared" si="18"/>
        <v>266</v>
      </c>
      <c r="K96" s="528">
        <f t="shared" si="18"/>
        <v>7127</v>
      </c>
      <c r="L96" s="528">
        <f t="shared" si="18"/>
        <v>1159</v>
      </c>
      <c r="M96" s="528">
        <f t="shared" si="18"/>
        <v>7472</v>
      </c>
      <c r="N96" s="528">
        <f t="shared" si="18"/>
        <v>12847</v>
      </c>
      <c r="O96" s="528">
        <f t="shared" si="18"/>
        <v>19736</v>
      </c>
      <c r="P96" s="528">
        <f t="shared" si="18"/>
        <v>20832</v>
      </c>
      <c r="Q96" s="528">
        <f t="shared" si="18"/>
        <v>21292</v>
      </c>
      <c r="R96" s="528">
        <f t="shared" si="18"/>
        <v>18487</v>
      </c>
      <c r="S96" s="528">
        <f t="shared" si="18"/>
        <v>1516</v>
      </c>
      <c r="T96" s="528">
        <f t="shared" si="18"/>
        <v>1383</v>
      </c>
      <c r="U96" s="528">
        <f t="shared" si="18"/>
        <v>1454</v>
      </c>
      <c r="V96" s="528">
        <f t="shared" si="18"/>
        <v>1406</v>
      </c>
      <c r="AB96" s="322"/>
      <c r="AC96" s="322"/>
    </row>
    <row r="97" spans="1:31" ht="12" customHeight="1">
      <c r="A97" s="212">
        <v>6</v>
      </c>
      <c r="B97" s="474" t="s">
        <v>673</v>
      </c>
      <c r="E97" s="548" t="s">
        <v>674</v>
      </c>
      <c r="F97" s="528">
        <f>F34</f>
        <v>1071</v>
      </c>
      <c r="G97" s="528">
        <f t="shared" si="18"/>
        <v>734</v>
      </c>
      <c r="H97" s="528">
        <f t="shared" si="18"/>
        <v>628</v>
      </c>
      <c r="I97" s="528">
        <f t="shared" si="18"/>
        <v>734</v>
      </c>
      <c r="J97" s="528">
        <f t="shared" si="18"/>
        <v>686</v>
      </c>
      <c r="K97" s="528">
        <f t="shared" si="18"/>
        <v>430</v>
      </c>
      <c r="L97" s="528">
        <f t="shared" si="18"/>
        <v>657</v>
      </c>
      <c r="M97" s="528">
        <f t="shared" si="18"/>
        <v>682</v>
      </c>
      <c r="N97" s="528">
        <f t="shared" si="18"/>
        <v>571</v>
      </c>
      <c r="O97" s="528">
        <f t="shared" si="18"/>
        <v>660</v>
      </c>
      <c r="P97" s="528">
        <f t="shared" si="18"/>
        <v>176</v>
      </c>
      <c r="Q97" s="528">
        <f t="shared" si="18"/>
        <v>4</v>
      </c>
      <c r="R97" s="528">
        <f t="shared" si="18"/>
        <v>5</v>
      </c>
      <c r="S97" s="528">
        <f t="shared" si="18"/>
        <v>5</v>
      </c>
      <c r="T97" s="528">
        <f t="shared" si="18"/>
        <v>0</v>
      </c>
      <c r="U97" s="528">
        <f t="shared" si="18"/>
        <v>0</v>
      </c>
      <c r="V97" s="528">
        <f t="shared" si="18"/>
        <v>0</v>
      </c>
    </row>
    <row r="98" spans="1:31" ht="12" customHeight="1">
      <c r="A98" s="212">
        <v>7</v>
      </c>
      <c r="B98" s="474" t="s">
        <v>675</v>
      </c>
      <c r="E98" s="548" t="s">
        <v>676</v>
      </c>
      <c r="F98" s="528">
        <f>F37</f>
        <v>30350</v>
      </c>
      <c r="G98" s="528">
        <f t="shared" ref="G98:V98" si="19">G37</f>
        <v>25102</v>
      </c>
      <c r="H98" s="528">
        <f t="shared" si="19"/>
        <v>30304</v>
      </c>
      <c r="I98" s="528">
        <f t="shared" si="19"/>
        <v>30153</v>
      </c>
      <c r="J98" s="528">
        <f t="shared" si="19"/>
        <v>31927</v>
      </c>
      <c r="K98" s="528">
        <f t="shared" si="19"/>
        <v>33143</v>
      </c>
      <c r="L98" s="528">
        <f t="shared" si="19"/>
        <v>33148</v>
      </c>
      <c r="M98" s="528">
        <f t="shared" si="19"/>
        <v>35844</v>
      </c>
      <c r="N98" s="528">
        <f t="shared" si="19"/>
        <v>35982</v>
      </c>
      <c r="O98" s="528">
        <f t="shared" si="19"/>
        <v>38461</v>
      </c>
      <c r="P98" s="528">
        <f t="shared" si="19"/>
        <v>44662</v>
      </c>
      <c r="Q98" s="528">
        <f t="shared" si="19"/>
        <v>44779.252</v>
      </c>
      <c r="R98" s="528">
        <f t="shared" si="19"/>
        <v>49333.396000000001</v>
      </c>
      <c r="S98" s="528">
        <f t="shared" si="19"/>
        <v>43310</v>
      </c>
      <c r="T98" s="528">
        <f t="shared" si="19"/>
        <v>46210</v>
      </c>
      <c r="U98" s="528">
        <f t="shared" si="19"/>
        <v>49942</v>
      </c>
      <c r="V98" s="528">
        <f t="shared" si="19"/>
        <v>48989</v>
      </c>
    </row>
    <row r="99" spans="1:31" ht="12" customHeight="1">
      <c r="A99" s="212">
        <v>8</v>
      </c>
      <c r="B99" s="549" t="s">
        <v>677</v>
      </c>
      <c r="C99" s="212"/>
      <c r="D99" s="212"/>
      <c r="E99" s="212"/>
      <c r="F99" s="529">
        <f>SUM(F92:F98)</f>
        <v>312221</v>
      </c>
      <c r="G99" s="529">
        <f t="shared" ref="G99:V99" si="20">SUM(G92:G98)</f>
        <v>227289</v>
      </c>
      <c r="H99" s="529">
        <f t="shared" si="20"/>
        <v>206181</v>
      </c>
      <c r="I99" s="529">
        <f t="shared" si="20"/>
        <v>233496</v>
      </c>
      <c r="J99" s="529">
        <f t="shared" si="20"/>
        <v>204834</v>
      </c>
      <c r="K99" s="529">
        <f t="shared" si="20"/>
        <v>222539</v>
      </c>
      <c r="L99" s="529">
        <f t="shared" si="20"/>
        <v>240952</v>
      </c>
      <c r="M99" s="529">
        <f t="shared" si="20"/>
        <v>234605</v>
      </c>
      <c r="N99" s="529">
        <f t="shared" si="20"/>
        <v>264279</v>
      </c>
      <c r="O99" s="529">
        <f t="shared" si="20"/>
        <v>273806</v>
      </c>
      <c r="P99" s="529">
        <f t="shared" si="20"/>
        <v>382589</v>
      </c>
      <c r="Q99" s="529">
        <f t="shared" si="20"/>
        <v>332206.95358799997</v>
      </c>
      <c r="R99" s="529">
        <f t="shared" si="20"/>
        <v>332391.18730200001</v>
      </c>
      <c r="S99" s="529">
        <f t="shared" si="20"/>
        <v>329981</v>
      </c>
      <c r="T99" s="529">
        <f t="shared" si="20"/>
        <v>317008</v>
      </c>
      <c r="U99" s="529">
        <f t="shared" si="20"/>
        <v>313407</v>
      </c>
      <c r="V99" s="529">
        <f t="shared" si="20"/>
        <v>300010</v>
      </c>
    </row>
    <row r="100" spans="1:31">
      <c r="A100" s="212">
        <v>9</v>
      </c>
      <c r="B100" s="212"/>
      <c r="C100" s="549" t="s">
        <v>678</v>
      </c>
      <c r="D100" s="212"/>
      <c r="E100" s="212"/>
      <c r="F100" s="528">
        <f>-'[9]PS Consolidated'!E29</f>
        <v>-234785.2591</v>
      </c>
      <c r="G100" s="528">
        <f>-'[9]PS Consolidated'!F29</f>
        <v>-156185</v>
      </c>
      <c r="H100" s="528">
        <f>-'[9]PS Consolidated'!G29</f>
        <v>-124379</v>
      </c>
      <c r="I100" s="528">
        <f>-'[9]PS Consolidated'!H29</f>
        <v>-154282</v>
      </c>
      <c r="J100" s="528">
        <f>-'[9]PS Consolidated'!I29</f>
        <v>-122799</v>
      </c>
      <c r="K100" s="528">
        <f>-'[9]PS Consolidated'!J29</f>
        <v>-133120.12169999999</v>
      </c>
      <c r="L100" s="528">
        <f>-'[9]PS Consolidated'!K29</f>
        <v>-152124</v>
      </c>
      <c r="M100" s="528">
        <f>-'[9]PS Consolidated'!L29</f>
        <v>-135719</v>
      </c>
      <c r="N100" s="528">
        <f>-'[9]PS Consolidated'!M29</f>
        <v>-152984</v>
      </c>
      <c r="O100" s="528">
        <f>-'[9]PS Consolidated'!N29</f>
        <v>-146538.0865</v>
      </c>
      <c r="P100" s="528">
        <f>-'[9]PS Consolidated'!O29</f>
        <v>-249368.62319999994</v>
      </c>
      <c r="Q100" s="528">
        <f>-'[9]PS Consolidated'!P29</f>
        <v>-188583.39639999997</v>
      </c>
      <c r="R100" s="528">
        <f>-'[9]PS Consolidated'!Q29</f>
        <v>-180833.76630000002</v>
      </c>
      <c r="S100" s="528">
        <f>-'[9]PS Consolidated'!R29</f>
        <v>-201471</v>
      </c>
      <c r="T100" s="528">
        <f>-'[9]PS Consolidated'!S29</f>
        <v>-186117</v>
      </c>
      <c r="U100" s="528">
        <f>-'[9]PS Consolidated'!T29</f>
        <v>-175095</v>
      </c>
      <c r="V100" s="528">
        <f>-'[9]PS Consolidated'!U29</f>
        <v>-160262</v>
      </c>
    </row>
    <row r="101" spans="1:31">
      <c r="A101" s="212">
        <v>10</v>
      </c>
      <c r="B101" s="212"/>
      <c r="C101" s="549" t="s">
        <v>679</v>
      </c>
      <c r="D101" s="212"/>
      <c r="E101" s="212"/>
      <c r="F101" s="528">
        <v>-3473.9924664958971</v>
      </c>
      <c r="G101" s="528">
        <v>-5119.6740560558192</v>
      </c>
      <c r="H101" s="528">
        <v>-6118.585627891699</v>
      </c>
      <c r="I101" s="528">
        <v>-6185.1797326807582</v>
      </c>
      <c r="J101" s="528">
        <v>0</v>
      </c>
      <c r="K101" s="528">
        <v>-6651.8503863469796</v>
      </c>
      <c r="L101" s="528">
        <v>0</v>
      </c>
      <c r="M101" s="528">
        <v>-6711.241907653648</v>
      </c>
      <c r="N101" s="528">
        <v>-12172.241960004189</v>
      </c>
      <c r="O101" s="528">
        <v>-19005.286818134227</v>
      </c>
      <c r="P101" s="528">
        <v>-19612.288298607476</v>
      </c>
      <c r="Q101" s="528">
        <v>-20235.39595435033</v>
      </c>
      <c r="R101" s="528">
        <v>-17018.187444246676</v>
      </c>
      <c r="S101" s="528">
        <v>0</v>
      </c>
      <c r="T101" s="528">
        <v>0</v>
      </c>
      <c r="U101" s="528">
        <v>0</v>
      </c>
      <c r="V101" s="528">
        <v>0</v>
      </c>
    </row>
    <row r="102" spans="1:31">
      <c r="A102" s="212">
        <v>11</v>
      </c>
      <c r="B102" s="212"/>
      <c r="C102" s="549" t="s">
        <v>680</v>
      </c>
      <c r="D102" s="212"/>
      <c r="E102" s="212"/>
      <c r="F102" s="528">
        <f>SUM([9]ResX!I34:I39)</f>
        <v>149.82242589535787</v>
      </c>
      <c r="G102" s="528">
        <f>SUM([9]ResX!J34:J39)</f>
        <v>12.746248201623811</v>
      </c>
      <c r="H102" s="528">
        <f>SUM([9]ResX!K34:K39)</f>
        <v>67.619926900139887</v>
      </c>
      <c r="I102" s="528">
        <f>SUM([9]ResX!L34:L39)</f>
        <v>57.06106451277779</v>
      </c>
      <c r="J102" s="528">
        <v>0</v>
      </c>
      <c r="K102" s="528">
        <f>SUM([9]ResX!N34:N39)</f>
        <v>62.298339440896243</v>
      </c>
      <c r="L102" s="528">
        <v>0</v>
      </c>
      <c r="M102" s="528">
        <f>SUM([9]ResX!P34:P39)</f>
        <v>37.041897183540996</v>
      </c>
      <c r="N102" s="528">
        <f>SUM([9]ResX!Q34:Q39)</f>
        <v>23.730172756779396</v>
      </c>
      <c r="O102" s="528">
        <f>SUM([9]ResX!R34:R39)</f>
        <v>26.576997173070886</v>
      </c>
      <c r="P102" s="528">
        <f>SUM([9]ResX!S34:S39)</f>
        <v>41.434898963459318</v>
      </c>
      <c r="Q102" s="528">
        <f>SUM([9]ResX!T34:T39)</f>
        <v>30.591749555020414</v>
      </c>
      <c r="R102" s="528">
        <f>SUM([9]ResX!U34:U39)</f>
        <v>55.257591875196319</v>
      </c>
      <c r="S102" s="528">
        <f>SUM([9]ResX!V34:V39)</f>
        <v>0</v>
      </c>
      <c r="T102" s="528">
        <f>SUM([9]ResX!W34:W39)</f>
        <v>0</v>
      </c>
      <c r="U102" s="528">
        <f>SUM([9]ResX!X34:X39)</f>
        <v>0</v>
      </c>
      <c r="V102" s="528">
        <f>SUM([9]ResX!Y34:Y39)</f>
        <v>0</v>
      </c>
      <c r="AE102" s="514"/>
    </row>
    <row r="103" spans="1:31">
      <c r="A103" s="212"/>
      <c r="B103" s="212"/>
      <c r="C103" s="549" t="s">
        <v>681</v>
      </c>
      <c r="D103" s="212"/>
      <c r="E103" s="212"/>
      <c r="F103" s="528"/>
      <c r="G103" s="528"/>
      <c r="H103" s="528"/>
      <c r="I103" s="528"/>
      <c r="J103" s="528"/>
      <c r="K103" s="528"/>
      <c r="L103" s="528"/>
      <c r="M103" s="528"/>
      <c r="N103" s="528"/>
      <c r="O103" s="528"/>
      <c r="P103" s="528"/>
      <c r="Q103" s="528"/>
      <c r="R103" s="528">
        <v>-4400</v>
      </c>
      <c r="S103" s="528">
        <v>1000</v>
      </c>
      <c r="T103" s="528">
        <v>1000</v>
      </c>
      <c r="U103" s="528">
        <v>1000</v>
      </c>
      <c r="V103" s="528">
        <v>1100</v>
      </c>
      <c r="AE103" s="514"/>
    </row>
    <row r="104" spans="1:31" ht="11.25" customHeight="1">
      <c r="A104" s="212"/>
      <c r="B104" s="212"/>
      <c r="C104" s="549" t="s">
        <v>682</v>
      </c>
      <c r="D104" s="212"/>
      <c r="E104" s="212"/>
      <c r="F104" s="528"/>
      <c r="G104" s="528"/>
      <c r="H104" s="528"/>
      <c r="I104" s="528"/>
      <c r="J104" s="528"/>
      <c r="K104" s="528"/>
      <c r="L104" s="528"/>
      <c r="M104" s="528"/>
      <c r="N104" s="528"/>
      <c r="O104" s="528"/>
      <c r="P104" s="528"/>
      <c r="Q104" s="528"/>
      <c r="R104" s="528"/>
      <c r="S104" s="528"/>
      <c r="T104" s="528"/>
      <c r="U104" s="528">
        <v>-2303</v>
      </c>
      <c r="V104" s="528">
        <v>0</v>
      </c>
      <c r="AE104" s="514"/>
    </row>
    <row r="105" spans="1:31" ht="12.75" thickBot="1">
      <c r="A105" s="212">
        <v>12</v>
      </c>
      <c r="B105" s="538" t="s">
        <v>683</v>
      </c>
      <c r="C105" s="212"/>
      <c r="D105" s="212"/>
      <c r="E105" s="212"/>
      <c r="F105" s="550">
        <f>SUM(F99:F102)</f>
        <v>74111.570859399464</v>
      </c>
      <c r="G105" s="550">
        <f t="shared" ref="G105:T105" si="21">SUM(G99:G104)</f>
        <v>65997.072192145803</v>
      </c>
      <c r="H105" s="550">
        <f t="shared" si="21"/>
        <v>75751.034299008432</v>
      </c>
      <c r="I105" s="550">
        <f t="shared" si="21"/>
        <v>73085.881331832017</v>
      </c>
      <c r="J105" s="550">
        <f t="shared" si="21"/>
        <v>82035</v>
      </c>
      <c r="K105" s="550">
        <f t="shared" si="21"/>
        <v>82829.326253093925</v>
      </c>
      <c r="L105" s="550">
        <f t="shared" si="21"/>
        <v>88828</v>
      </c>
      <c r="M105" s="550">
        <f t="shared" si="21"/>
        <v>92211.7999895299</v>
      </c>
      <c r="N105" s="550">
        <f t="shared" si="21"/>
        <v>99146.488212752593</v>
      </c>
      <c r="O105" s="550">
        <f t="shared" si="21"/>
        <v>108289.20367903885</v>
      </c>
      <c r="P105" s="550">
        <f t="shared" si="21"/>
        <v>113649.52340035603</v>
      </c>
      <c r="Q105" s="550">
        <f t="shared" si="21"/>
        <v>123418.7529832047</v>
      </c>
      <c r="R105" s="550">
        <f t="shared" si="21"/>
        <v>130194.49114962851</v>
      </c>
      <c r="S105" s="550">
        <f t="shared" si="21"/>
        <v>129510</v>
      </c>
      <c r="T105" s="550">
        <f t="shared" si="21"/>
        <v>131891</v>
      </c>
      <c r="U105" s="550">
        <f>SUM(U99:U104)</f>
        <v>137009</v>
      </c>
      <c r="V105" s="550">
        <f>SUM(V99:V104)</f>
        <v>140848</v>
      </c>
      <c r="AE105" s="551"/>
    </row>
    <row r="106" spans="1:31" ht="12.75" thickTop="1">
      <c r="A106" s="212"/>
      <c r="B106" s="212"/>
      <c r="C106" s="212"/>
      <c r="D106" s="212"/>
      <c r="E106" s="212"/>
      <c r="F106" s="528"/>
      <c r="G106" s="552"/>
      <c r="H106" s="552"/>
      <c r="I106" s="552"/>
      <c r="J106" s="552"/>
      <c r="K106" s="552"/>
      <c r="L106" s="552">
        <f t="shared" ref="L106:V106" si="22">(L105-K105)/K105</f>
        <v>7.242209997672179E-2</v>
      </c>
      <c r="M106" s="552">
        <f t="shared" si="22"/>
        <v>3.809384416546472E-2</v>
      </c>
      <c r="N106" s="552">
        <f t="shared" si="22"/>
        <v>7.5203913425506114E-2</v>
      </c>
      <c r="O106" s="552">
        <f t="shared" si="22"/>
        <v>9.2214213847569129E-2</v>
      </c>
      <c r="P106" s="552">
        <f t="shared" si="22"/>
        <v>4.9500038223614332E-2</v>
      </c>
      <c r="Q106" s="552">
        <f t="shared" si="22"/>
        <v>8.595926573694776E-2</v>
      </c>
      <c r="R106" s="552">
        <f t="shared" si="22"/>
        <v>5.4900394005324898E-2</v>
      </c>
      <c r="S106" s="552">
        <f>(S105-R105)/R105</f>
        <v>-5.2574509380880121E-3</v>
      </c>
      <c r="T106" s="552">
        <f t="shared" si="22"/>
        <v>1.838468071963555E-2</v>
      </c>
      <c r="U106" s="552">
        <f t="shared" si="22"/>
        <v>3.8804770606030735E-2</v>
      </c>
      <c r="V106" s="552">
        <f t="shared" si="22"/>
        <v>2.8020057076542416E-2</v>
      </c>
      <c r="Y106" s="552"/>
      <c r="Z106" s="552"/>
      <c r="AE106" s="514"/>
    </row>
    <row r="107" spans="1:31" ht="11.25" customHeight="1">
      <c r="A107" s="212"/>
      <c r="B107" s="212"/>
      <c r="C107" s="212"/>
      <c r="D107" s="212"/>
      <c r="E107" s="212"/>
      <c r="F107" s="528"/>
      <c r="G107" s="528"/>
      <c r="H107" s="528"/>
      <c r="I107" s="528"/>
      <c r="J107" s="528"/>
      <c r="K107" s="528"/>
      <c r="L107" s="528"/>
      <c r="M107" s="528"/>
      <c r="N107" s="528"/>
      <c r="O107" s="528"/>
      <c r="P107" s="528"/>
      <c r="Q107" s="528"/>
      <c r="R107" s="528"/>
      <c r="S107" s="528"/>
      <c r="T107" s="528"/>
      <c r="U107" s="528"/>
      <c r="V107" s="528"/>
      <c r="AE107" s="514"/>
    </row>
    <row r="108" spans="1:31">
      <c r="A108" s="212"/>
      <c r="C108" s="538" t="s">
        <v>508</v>
      </c>
      <c r="E108" s="212"/>
      <c r="F108" s="528"/>
      <c r="G108" s="528"/>
      <c r="H108" s="528"/>
      <c r="I108" s="528"/>
      <c r="J108" s="528"/>
      <c r="K108" s="528"/>
      <c r="L108" s="528"/>
      <c r="M108" s="525">
        <v>2007</v>
      </c>
      <c r="N108" s="525">
        <v>2008</v>
      </c>
      <c r="O108" s="525">
        <v>2009</v>
      </c>
      <c r="P108" s="525">
        <v>2010</v>
      </c>
      <c r="Q108" s="525">
        <v>2011</v>
      </c>
      <c r="R108" s="525">
        <v>2012</v>
      </c>
      <c r="S108" s="525">
        <v>2013</v>
      </c>
      <c r="T108" s="525">
        <v>2014</v>
      </c>
      <c r="U108" s="525">
        <v>2015</v>
      </c>
      <c r="V108" s="525">
        <v>2016</v>
      </c>
      <c r="AD108" s="548"/>
      <c r="AE108" s="514"/>
    </row>
    <row r="109" spans="1:31">
      <c r="A109" s="212">
        <v>13</v>
      </c>
      <c r="B109" s="549" t="s">
        <v>666</v>
      </c>
      <c r="C109" s="212"/>
      <c r="D109" s="212"/>
      <c r="E109" s="548" t="s">
        <v>684</v>
      </c>
      <c r="F109" s="528">
        <f t="shared" ref="F109:V109" si="23">F21</f>
        <v>14850</v>
      </c>
      <c r="G109" s="528">
        <f t="shared" si="23"/>
        <v>15202</v>
      </c>
      <c r="H109" s="528">
        <f t="shared" si="23"/>
        <v>20157</v>
      </c>
      <c r="I109" s="528">
        <f t="shared" si="23"/>
        <v>20523</v>
      </c>
      <c r="J109" s="528">
        <f t="shared" si="23"/>
        <v>22312</v>
      </c>
      <c r="K109" s="528">
        <f t="shared" si="23"/>
        <v>22629</v>
      </c>
      <c r="L109" s="528">
        <f t="shared" si="23"/>
        <v>24577</v>
      </c>
      <c r="M109" s="528">
        <f t="shared" si="23"/>
        <v>24877</v>
      </c>
      <c r="N109" s="528">
        <f t="shared" si="23"/>
        <v>23076</v>
      </c>
      <c r="O109" s="528">
        <f t="shared" si="23"/>
        <v>23969</v>
      </c>
      <c r="P109" s="528">
        <f t="shared" si="23"/>
        <v>25008</v>
      </c>
      <c r="Q109" s="528">
        <f t="shared" si="23"/>
        <v>25158</v>
      </c>
      <c r="R109" s="528">
        <f t="shared" si="23"/>
        <v>25680</v>
      </c>
      <c r="S109" s="528">
        <f t="shared" si="23"/>
        <v>23284</v>
      </c>
      <c r="T109" s="528">
        <f t="shared" si="23"/>
        <v>23715</v>
      </c>
      <c r="U109" s="528">
        <f t="shared" si="23"/>
        <v>24947</v>
      </c>
      <c r="V109" s="528">
        <f t="shared" si="23"/>
        <v>26676</v>
      </c>
      <c r="W109" s="514"/>
      <c r="X109" s="863"/>
      <c r="Y109" s="863"/>
      <c r="Z109" s="863"/>
      <c r="AE109" s="514"/>
    </row>
    <row r="110" spans="1:31">
      <c r="A110" s="212">
        <v>14</v>
      </c>
      <c r="B110" s="549" t="s">
        <v>40</v>
      </c>
      <c r="C110" s="212"/>
      <c r="D110" s="212"/>
      <c r="E110" s="548" t="s">
        <v>685</v>
      </c>
      <c r="F110" s="528">
        <f t="shared" ref="F110:V110" si="24">F28</f>
        <v>9056</v>
      </c>
      <c r="G110" s="528">
        <f t="shared" si="24"/>
        <v>9178</v>
      </c>
      <c r="H110" s="528">
        <f t="shared" si="24"/>
        <v>9427</v>
      </c>
      <c r="I110" s="528">
        <f t="shared" si="24"/>
        <v>9752</v>
      </c>
      <c r="J110" s="528">
        <f t="shared" si="24"/>
        <v>10067</v>
      </c>
      <c r="K110" s="528">
        <f t="shared" si="24"/>
        <v>10399</v>
      </c>
      <c r="L110" s="528">
        <f t="shared" si="24"/>
        <v>10776</v>
      </c>
      <c r="M110" s="528">
        <f t="shared" si="24"/>
        <v>11333</v>
      </c>
      <c r="N110" s="528">
        <f t="shared" si="24"/>
        <v>15611</v>
      </c>
      <c r="O110" s="528">
        <f t="shared" si="24"/>
        <v>16809</v>
      </c>
      <c r="P110" s="528">
        <f t="shared" si="24"/>
        <v>17985</v>
      </c>
      <c r="Q110" s="528">
        <f t="shared" si="24"/>
        <v>19240</v>
      </c>
      <c r="R110" s="528">
        <f t="shared" si="24"/>
        <v>20749</v>
      </c>
      <c r="S110" s="528">
        <f t="shared" si="24"/>
        <v>22303</v>
      </c>
      <c r="T110" s="528">
        <f t="shared" si="24"/>
        <v>23794</v>
      </c>
      <c r="U110" s="528">
        <f t="shared" si="24"/>
        <v>25379</v>
      </c>
      <c r="V110" s="528">
        <f t="shared" si="24"/>
        <v>27819</v>
      </c>
      <c r="W110" s="684"/>
      <c r="X110" s="863"/>
      <c r="Y110" s="863"/>
      <c r="Z110" s="863"/>
      <c r="AE110" s="373"/>
    </row>
    <row r="111" spans="1:31">
      <c r="A111" s="212">
        <v>15</v>
      </c>
      <c r="B111" s="474" t="s">
        <v>675</v>
      </c>
      <c r="C111" s="212"/>
      <c r="D111" s="212"/>
      <c r="E111" s="548" t="s">
        <v>686</v>
      </c>
      <c r="F111" s="528">
        <f t="shared" ref="F111:V111" si="25">F38</f>
        <v>3998</v>
      </c>
      <c r="G111" s="528">
        <f t="shared" si="25"/>
        <v>4414</v>
      </c>
      <c r="H111" s="528">
        <f t="shared" si="25"/>
        <v>6606</v>
      </c>
      <c r="I111" s="528">
        <f t="shared" si="25"/>
        <v>6659</v>
      </c>
      <c r="J111" s="528">
        <f t="shared" si="25"/>
        <v>6072</v>
      </c>
      <c r="K111" s="528">
        <f t="shared" si="25"/>
        <v>6537</v>
      </c>
      <c r="L111" s="528">
        <f t="shared" si="25"/>
        <v>6459</v>
      </c>
      <c r="M111" s="528">
        <f t="shared" si="25"/>
        <v>6739</v>
      </c>
      <c r="N111" s="528">
        <f t="shared" si="25"/>
        <v>7187</v>
      </c>
      <c r="O111" s="528">
        <f t="shared" si="25"/>
        <v>7688</v>
      </c>
      <c r="P111" s="528">
        <f t="shared" si="25"/>
        <v>9277</v>
      </c>
      <c r="Q111" s="528">
        <f t="shared" si="25"/>
        <v>10906</v>
      </c>
      <c r="R111" s="528">
        <f t="shared" si="25"/>
        <v>12517</v>
      </c>
      <c r="S111" s="528">
        <f t="shared" si="25"/>
        <v>14721</v>
      </c>
      <c r="T111" s="528">
        <f t="shared" si="25"/>
        <v>16947</v>
      </c>
      <c r="U111" s="528">
        <f t="shared" si="25"/>
        <v>21503</v>
      </c>
      <c r="V111" s="528">
        <f t="shared" si="25"/>
        <v>23877</v>
      </c>
      <c r="W111" s="685"/>
      <c r="X111" s="685"/>
      <c r="Y111" s="685"/>
      <c r="Z111" s="685"/>
      <c r="AE111" s="514"/>
    </row>
    <row r="112" spans="1:31" ht="12.75" thickBot="1">
      <c r="A112" s="212">
        <v>16</v>
      </c>
      <c r="B112" s="538" t="s">
        <v>688</v>
      </c>
      <c r="C112" s="212"/>
      <c r="D112" s="212"/>
      <c r="E112" s="212"/>
      <c r="F112" s="550">
        <f>SUM(F109:F111)</f>
        <v>27904</v>
      </c>
      <c r="G112" s="550">
        <f t="shared" ref="G112:V112" si="26">SUM(G109:G111)</f>
        <v>28794</v>
      </c>
      <c r="H112" s="550">
        <f t="shared" si="26"/>
        <v>36190</v>
      </c>
      <c r="I112" s="550">
        <f t="shared" si="26"/>
        <v>36934</v>
      </c>
      <c r="J112" s="550">
        <f t="shared" si="26"/>
        <v>38451</v>
      </c>
      <c r="K112" s="550">
        <f t="shared" si="26"/>
        <v>39565</v>
      </c>
      <c r="L112" s="550">
        <f t="shared" si="26"/>
        <v>41812</v>
      </c>
      <c r="M112" s="550">
        <f t="shared" si="26"/>
        <v>42949</v>
      </c>
      <c r="N112" s="550">
        <f t="shared" si="26"/>
        <v>45874</v>
      </c>
      <c r="O112" s="550">
        <f t="shared" si="26"/>
        <v>48466</v>
      </c>
      <c r="P112" s="550">
        <f t="shared" si="26"/>
        <v>52270</v>
      </c>
      <c r="Q112" s="550">
        <f t="shared" si="26"/>
        <v>55304</v>
      </c>
      <c r="R112" s="550">
        <f t="shared" si="26"/>
        <v>58946</v>
      </c>
      <c r="S112" s="550">
        <f t="shared" si="26"/>
        <v>60308</v>
      </c>
      <c r="T112" s="550">
        <f t="shared" si="26"/>
        <v>64456</v>
      </c>
      <c r="U112" s="550">
        <f t="shared" si="26"/>
        <v>71829</v>
      </c>
      <c r="V112" s="550">
        <f t="shared" si="26"/>
        <v>78372</v>
      </c>
      <c r="W112" s="686"/>
      <c r="X112" s="686"/>
      <c r="Y112" s="686"/>
      <c r="Z112" s="686"/>
      <c r="AE112" s="514"/>
    </row>
    <row r="113" spans="1:31" ht="12.75" thickTop="1">
      <c r="A113" s="212"/>
      <c r="B113" s="212"/>
      <c r="C113" s="212"/>
      <c r="D113" s="212"/>
      <c r="E113" s="212"/>
      <c r="F113" s="528"/>
      <c r="G113" s="552">
        <f>(G112-F112)/F112</f>
        <v>3.1895068807339451E-2</v>
      </c>
      <c r="H113" s="552">
        <f t="shared" ref="H113:U113" si="27">(H112-G112)/G112</f>
        <v>0.25685906786135998</v>
      </c>
      <c r="I113" s="552">
        <f t="shared" si="27"/>
        <v>2.0558165239016303E-2</v>
      </c>
      <c r="J113" s="552">
        <f t="shared" si="27"/>
        <v>4.1073265825526617E-2</v>
      </c>
      <c r="K113" s="552">
        <f t="shared" si="27"/>
        <v>2.8971938311097241E-2</v>
      </c>
      <c r="L113" s="552">
        <f t="shared" si="27"/>
        <v>5.6792619739668898E-2</v>
      </c>
      <c r="M113" s="552">
        <f t="shared" si="27"/>
        <v>2.7193150291782264E-2</v>
      </c>
      <c r="N113" s="552">
        <f t="shared" si="27"/>
        <v>6.8104030361591655E-2</v>
      </c>
      <c r="O113" s="552">
        <f t="shared" si="27"/>
        <v>5.6502594061995905E-2</v>
      </c>
      <c r="P113" s="552">
        <f t="shared" si="27"/>
        <v>7.8488012214748479E-2</v>
      </c>
      <c r="Q113" s="552">
        <f t="shared" si="27"/>
        <v>5.8044767553089724E-2</v>
      </c>
      <c r="R113" s="552">
        <f t="shared" si="27"/>
        <v>6.5854187762187183E-2</v>
      </c>
      <c r="S113" s="552">
        <f t="shared" si="27"/>
        <v>2.3105893529671226E-2</v>
      </c>
      <c r="T113" s="552">
        <f t="shared" si="27"/>
        <v>6.8780261325197323E-2</v>
      </c>
      <c r="U113" s="552">
        <f t="shared" si="27"/>
        <v>0.11438810971825741</v>
      </c>
      <c r="V113" s="552">
        <f>(V112-U112)/U112</f>
        <v>9.1091341937100612E-2</v>
      </c>
      <c r="W113" s="552"/>
      <c r="X113" s="552"/>
      <c r="Y113" s="552"/>
      <c r="Z113" s="552"/>
      <c r="AE113" s="514"/>
    </row>
    <row r="114" spans="1:31" ht="6" customHeight="1">
      <c r="A114" s="212"/>
      <c r="B114" s="212"/>
      <c r="C114" s="212"/>
      <c r="D114" s="212"/>
      <c r="E114" s="212"/>
      <c r="F114" s="528"/>
      <c r="G114" s="528"/>
      <c r="H114" s="528"/>
      <c r="I114" s="528"/>
      <c r="J114" s="528"/>
      <c r="K114" s="528"/>
      <c r="L114" s="528"/>
      <c r="M114" s="528"/>
      <c r="N114" s="528"/>
      <c r="O114" s="528"/>
      <c r="P114" s="528"/>
      <c r="Q114" s="528"/>
      <c r="R114" s="528"/>
      <c r="S114" s="528"/>
      <c r="T114" s="528"/>
      <c r="U114" s="528"/>
      <c r="V114" s="528"/>
      <c r="Z114" s="322"/>
      <c r="AE114" s="514"/>
    </row>
    <row r="115" spans="1:31" hidden="1">
      <c r="A115" s="212"/>
      <c r="B115" s="212"/>
      <c r="C115" s="212"/>
      <c r="D115" s="549" t="s">
        <v>689</v>
      </c>
      <c r="E115" s="212"/>
      <c r="F115" s="528"/>
      <c r="G115" s="528"/>
      <c r="H115" s="528"/>
      <c r="I115" s="528"/>
      <c r="J115" s="528"/>
      <c r="K115" s="528"/>
      <c r="L115" s="528"/>
      <c r="M115" s="528"/>
      <c r="N115" s="528"/>
      <c r="O115" s="528"/>
      <c r="P115" s="528"/>
      <c r="Q115" s="528"/>
      <c r="R115" s="528"/>
      <c r="S115" s="528"/>
      <c r="T115" s="528"/>
      <c r="U115" s="528"/>
      <c r="V115" s="528"/>
      <c r="AE115" s="514"/>
    </row>
    <row r="116" spans="1:31" hidden="1">
      <c r="A116" s="212">
        <v>17</v>
      </c>
      <c r="B116" s="549" t="s">
        <v>690</v>
      </c>
      <c r="C116" s="212"/>
      <c r="D116" s="212"/>
      <c r="E116" s="548" t="s">
        <v>691</v>
      </c>
      <c r="F116" s="528">
        <f t="shared" ref="F116:V116" si="28">F22</f>
        <v>-17964</v>
      </c>
      <c r="G116" s="528">
        <f t="shared" si="28"/>
        <v>-6050</v>
      </c>
      <c r="H116" s="528">
        <f t="shared" si="28"/>
        <v>-6349</v>
      </c>
      <c r="I116" s="528">
        <f t="shared" si="28"/>
        <v>-5608</v>
      </c>
      <c r="J116" s="528">
        <f t="shared" si="28"/>
        <v>567</v>
      </c>
      <c r="K116" s="528">
        <f t="shared" si="28"/>
        <v>-8817</v>
      </c>
      <c r="L116" s="528">
        <f t="shared" si="28"/>
        <v>1168</v>
      </c>
      <c r="M116" s="528">
        <f t="shared" si="28"/>
        <v>-3082</v>
      </c>
      <c r="N116" s="528">
        <f t="shared" si="28"/>
        <v>-1076</v>
      </c>
      <c r="O116" s="528">
        <f t="shared" si="28"/>
        <v>-1703</v>
      </c>
      <c r="P116" s="528">
        <f t="shared" si="28"/>
        <v>-2879</v>
      </c>
      <c r="Q116" s="528">
        <f t="shared" si="28"/>
        <v>403</v>
      </c>
      <c r="R116" s="528">
        <f t="shared" si="28"/>
        <v>-7744</v>
      </c>
      <c r="S116" s="528">
        <f t="shared" si="28"/>
        <v>8629</v>
      </c>
      <c r="T116" s="528">
        <f t="shared" si="28"/>
        <v>8101</v>
      </c>
      <c r="U116" s="528">
        <f t="shared" si="28"/>
        <v>5974</v>
      </c>
      <c r="V116" s="528">
        <f t="shared" si="28"/>
        <v>4706</v>
      </c>
    </row>
    <row r="117" spans="1:31" hidden="1">
      <c r="A117" s="212">
        <v>18</v>
      </c>
      <c r="B117" s="212"/>
      <c r="C117" s="549" t="s">
        <v>692</v>
      </c>
      <c r="D117" s="212"/>
      <c r="E117" s="212"/>
      <c r="F117" s="528">
        <f>[9]ResX!I24</f>
        <v>16644</v>
      </c>
      <c r="G117" s="528">
        <f>[9]ResX!J24</f>
        <v>1416</v>
      </c>
      <c r="H117" s="528">
        <f>[9]ResX!K24</f>
        <v>7512</v>
      </c>
      <c r="I117" s="528">
        <f>[9]ResX!L24</f>
        <v>6339</v>
      </c>
      <c r="J117" s="528">
        <v>0</v>
      </c>
      <c r="K117" s="528">
        <f>[9]ResX!N24</f>
        <v>9388</v>
      </c>
      <c r="L117" s="528">
        <v>0</v>
      </c>
      <c r="M117" s="528">
        <f>[9]ResX!P24</f>
        <v>5582</v>
      </c>
      <c r="N117" s="528">
        <f>[9]ResX!Q24</f>
        <v>3576</v>
      </c>
      <c r="O117" s="528">
        <f>[9]ResX!R24</f>
        <v>4005</v>
      </c>
      <c r="P117" s="528">
        <f>[9]ResX!S24</f>
        <v>6244</v>
      </c>
      <c r="Q117" s="528">
        <f>[9]ResX!T24</f>
        <v>4610</v>
      </c>
      <c r="R117" s="528">
        <f>[9]ResX!U24</f>
        <v>8327</v>
      </c>
      <c r="S117" s="528">
        <v>0</v>
      </c>
      <c r="T117" s="528">
        <v>0</v>
      </c>
      <c r="U117" s="528">
        <v>0</v>
      </c>
      <c r="V117" s="528">
        <v>0</v>
      </c>
    </row>
    <row r="118" spans="1:31" ht="12.75" hidden="1" thickBot="1">
      <c r="A118" s="212">
        <v>19</v>
      </c>
      <c r="B118" s="549" t="s">
        <v>693</v>
      </c>
      <c r="C118" s="212"/>
      <c r="D118" s="212"/>
      <c r="E118" s="212"/>
      <c r="F118" s="550">
        <f>SUM(F116:F117)</f>
        <v>-1320</v>
      </c>
      <c r="G118" s="550">
        <f t="shared" ref="G118:V118" si="29">SUM(G116:G117)</f>
        <v>-4634</v>
      </c>
      <c r="H118" s="550">
        <f t="shared" si="29"/>
        <v>1163</v>
      </c>
      <c r="I118" s="550">
        <f t="shared" si="29"/>
        <v>731</v>
      </c>
      <c r="J118" s="550">
        <f t="shared" si="29"/>
        <v>567</v>
      </c>
      <c r="K118" s="550">
        <f t="shared" si="29"/>
        <v>571</v>
      </c>
      <c r="L118" s="550">
        <f t="shared" si="29"/>
        <v>1168</v>
      </c>
      <c r="M118" s="550">
        <f t="shared" si="29"/>
        <v>2500</v>
      </c>
      <c r="N118" s="550">
        <f t="shared" si="29"/>
        <v>2500</v>
      </c>
      <c r="O118" s="550">
        <f t="shared" si="29"/>
        <v>2302</v>
      </c>
      <c r="P118" s="550">
        <f t="shared" si="29"/>
        <v>3365</v>
      </c>
      <c r="Q118" s="550">
        <f t="shared" si="29"/>
        <v>5013</v>
      </c>
      <c r="R118" s="550">
        <f t="shared" si="29"/>
        <v>583</v>
      </c>
      <c r="S118" s="550">
        <f t="shared" si="29"/>
        <v>8629</v>
      </c>
      <c r="T118" s="550">
        <f t="shared" si="29"/>
        <v>8101</v>
      </c>
      <c r="U118" s="550">
        <f t="shared" si="29"/>
        <v>5974</v>
      </c>
      <c r="V118" s="550">
        <f t="shared" si="29"/>
        <v>4706</v>
      </c>
    </row>
    <row r="119" spans="1:31" ht="0.75" hidden="1" customHeight="1">
      <c r="A119" s="212"/>
      <c r="B119" s="212"/>
      <c r="C119" s="212"/>
      <c r="D119" s="212"/>
      <c r="E119" s="212"/>
      <c r="F119" s="528"/>
      <c r="G119" s="552"/>
      <c r="H119" s="552"/>
      <c r="I119" s="552"/>
      <c r="J119" s="552"/>
      <c r="K119" s="552"/>
      <c r="L119" s="552"/>
      <c r="M119" s="552"/>
      <c r="N119" s="552"/>
      <c r="O119" s="552"/>
      <c r="P119" s="552"/>
      <c r="Q119" s="552"/>
      <c r="R119" s="552"/>
      <c r="S119" s="552"/>
      <c r="T119" s="552"/>
      <c r="U119" s="552"/>
      <c r="V119" s="552"/>
    </row>
    <row r="120" spans="1:31" ht="5.25" hidden="1" customHeight="1">
      <c r="A120" s="212"/>
      <c r="B120" s="212"/>
      <c r="C120" s="212"/>
      <c r="D120" s="212"/>
      <c r="E120" s="212"/>
      <c r="F120" s="528"/>
      <c r="G120" s="528"/>
      <c r="H120" s="528"/>
      <c r="I120" s="528"/>
      <c r="J120" s="528"/>
      <c r="K120" s="528"/>
      <c r="L120" s="528"/>
      <c r="M120" s="528"/>
      <c r="N120" s="528"/>
      <c r="O120" s="528"/>
      <c r="P120" s="528"/>
      <c r="Q120" s="528"/>
      <c r="R120" s="528"/>
      <c r="S120" s="528"/>
      <c r="T120" s="528"/>
      <c r="U120" s="528"/>
      <c r="V120" s="528"/>
    </row>
    <row r="121" spans="1:31">
      <c r="A121" s="212"/>
      <c r="B121" s="549"/>
      <c r="C121" s="212"/>
      <c r="D121" s="549" t="s">
        <v>694</v>
      </c>
      <c r="E121" s="212"/>
      <c r="F121" s="528"/>
      <c r="G121" s="528"/>
      <c r="H121" s="528"/>
      <c r="I121" s="528"/>
      <c r="J121" s="528"/>
      <c r="K121" s="528"/>
      <c r="L121" s="528"/>
      <c r="M121" s="528"/>
      <c r="N121" s="528"/>
      <c r="O121" s="528"/>
      <c r="P121" s="528"/>
      <c r="Q121" s="528"/>
      <c r="R121" s="528"/>
      <c r="S121" s="528"/>
      <c r="T121" s="528"/>
      <c r="U121" s="528"/>
      <c r="V121" s="528"/>
    </row>
    <row r="122" spans="1:31">
      <c r="A122" s="212">
        <v>20</v>
      </c>
      <c r="B122" s="549" t="s">
        <v>666</v>
      </c>
      <c r="C122" s="212"/>
      <c r="D122" s="212"/>
      <c r="E122" s="548" t="s">
        <v>695</v>
      </c>
      <c r="F122" s="528">
        <f t="shared" ref="F122:V122" si="30">F23</f>
        <v>9346</v>
      </c>
      <c r="G122" s="528">
        <f t="shared" si="30"/>
        <v>5139</v>
      </c>
      <c r="H122" s="528">
        <f t="shared" si="30"/>
        <v>7164</v>
      </c>
      <c r="I122" s="528">
        <f t="shared" si="30"/>
        <v>6722</v>
      </c>
      <c r="J122" s="528">
        <f t="shared" si="30"/>
        <v>7283</v>
      </c>
      <c r="K122" s="528">
        <f t="shared" si="30"/>
        <v>9900</v>
      </c>
      <c r="L122" s="528">
        <f t="shared" si="30"/>
        <v>9115</v>
      </c>
      <c r="M122" s="528">
        <f t="shared" si="30"/>
        <v>8319</v>
      </c>
      <c r="N122" s="528">
        <f t="shared" si="30"/>
        <v>8146</v>
      </c>
      <c r="O122" s="528">
        <f t="shared" si="30"/>
        <v>9014</v>
      </c>
      <c r="P122" s="528">
        <f t="shared" si="30"/>
        <v>9955</v>
      </c>
      <c r="Q122" s="528">
        <f t="shared" si="30"/>
        <v>10846</v>
      </c>
      <c r="R122" s="528">
        <f t="shared" si="30"/>
        <v>11456</v>
      </c>
      <c r="S122" s="528">
        <f t="shared" si="30"/>
        <v>12913</v>
      </c>
      <c r="T122" s="528">
        <f t="shared" si="30"/>
        <v>12828</v>
      </c>
      <c r="U122" s="528">
        <f t="shared" si="30"/>
        <v>14133</v>
      </c>
      <c r="V122" s="528">
        <f t="shared" si="30"/>
        <v>14654</v>
      </c>
    </row>
    <row r="123" spans="1:31">
      <c r="A123" s="212">
        <v>21</v>
      </c>
      <c r="B123" s="549" t="s">
        <v>40</v>
      </c>
      <c r="C123" s="212"/>
      <c r="D123" s="212"/>
      <c r="E123" s="548" t="s">
        <v>696</v>
      </c>
      <c r="F123" s="528">
        <f t="shared" ref="F123:V123" si="31">F29</f>
        <v>11693</v>
      </c>
      <c r="G123" s="528">
        <f t="shared" si="31"/>
        <v>15462</v>
      </c>
      <c r="H123" s="528">
        <f t="shared" si="31"/>
        <v>16996</v>
      </c>
      <c r="I123" s="528">
        <f t="shared" si="31"/>
        <v>17286</v>
      </c>
      <c r="J123" s="528">
        <f t="shared" si="31"/>
        <v>17401</v>
      </c>
      <c r="K123" s="528">
        <f t="shared" si="31"/>
        <v>14988</v>
      </c>
      <c r="L123" s="528">
        <f t="shared" si="31"/>
        <v>16307</v>
      </c>
      <c r="M123" s="528">
        <f t="shared" si="31"/>
        <v>16156</v>
      </c>
      <c r="N123" s="528">
        <f t="shared" si="31"/>
        <v>17416</v>
      </c>
      <c r="O123" s="528">
        <f t="shared" si="31"/>
        <v>18216</v>
      </c>
      <c r="P123" s="528">
        <f t="shared" si="31"/>
        <v>20029</v>
      </c>
      <c r="Q123" s="528">
        <f t="shared" si="31"/>
        <v>22459</v>
      </c>
      <c r="R123" s="528">
        <f t="shared" si="31"/>
        <v>22699</v>
      </c>
      <c r="S123" s="528">
        <f t="shared" si="31"/>
        <v>23809</v>
      </c>
      <c r="T123" s="528">
        <f t="shared" si="31"/>
        <v>25821</v>
      </c>
      <c r="U123" s="528">
        <f t="shared" si="31"/>
        <v>27448</v>
      </c>
      <c r="V123" s="528">
        <f t="shared" si="31"/>
        <v>27287</v>
      </c>
      <c r="W123" s="528"/>
    </row>
    <row r="124" spans="1:31">
      <c r="A124" s="212">
        <v>22</v>
      </c>
      <c r="B124" s="474" t="s">
        <v>675</v>
      </c>
      <c r="C124" s="212"/>
      <c r="D124" s="212"/>
      <c r="E124" s="548" t="s">
        <v>697</v>
      </c>
      <c r="F124" s="528">
        <f t="shared" ref="F124:V124" si="32">F39</f>
        <v>5</v>
      </c>
      <c r="G124" s="528">
        <f t="shared" si="32"/>
        <v>2</v>
      </c>
      <c r="H124" s="528">
        <f t="shared" si="32"/>
        <v>1</v>
      </c>
      <c r="I124" s="528">
        <f t="shared" si="32"/>
        <v>2</v>
      </c>
      <c r="J124" s="528">
        <f t="shared" si="32"/>
        <v>3</v>
      </c>
      <c r="K124" s="528">
        <f t="shared" si="32"/>
        <v>-4</v>
      </c>
      <c r="L124" s="528">
        <f t="shared" si="32"/>
        <v>0</v>
      </c>
      <c r="M124" s="528">
        <f t="shared" si="32"/>
        <v>-9</v>
      </c>
      <c r="N124" s="528">
        <f t="shared" si="32"/>
        <v>-3</v>
      </c>
      <c r="O124" s="528">
        <f t="shared" si="32"/>
        <v>-3</v>
      </c>
      <c r="P124" s="528">
        <f t="shared" si="32"/>
        <v>2</v>
      </c>
      <c r="Q124" s="528">
        <f t="shared" si="32"/>
        <v>0</v>
      </c>
      <c r="R124" s="528">
        <f t="shared" si="32"/>
        <v>-4</v>
      </c>
      <c r="S124" s="528">
        <f t="shared" si="32"/>
        <v>0</v>
      </c>
      <c r="T124" s="528">
        <f t="shared" si="32"/>
        <v>0</v>
      </c>
      <c r="U124" s="528">
        <f t="shared" si="32"/>
        <v>0</v>
      </c>
      <c r="V124" s="528">
        <f t="shared" si="32"/>
        <v>0</v>
      </c>
    </row>
    <row r="125" spans="1:31">
      <c r="A125" s="212">
        <v>23</v>
      </c>
      <c r="B125" s="549" t="s">
        <v>698</v>
      </c>
      <c r="C125" s="212"/>
      <c r="D125" s="212"/>
      <c r="E125" s="212"/>
      <c r="F125" s="529">
        <f>SUM(F122:F124)</f>
        <v>21044</v>
      </c>
      <c r="G125" s="529">
        <f t="shared" ref="G125:M125" si="33">SUM(G122:G124)</f>
        <v>20603</v>
      </c>
      <c r="H125" s="529">
        <f t="shared" si="33"/>
        <v>24161</v>
      </c>
      <c r="I125" s="529">
        <f t="shared" si="33"/>
        <v>24010</v>
      </c>
      <c r="J125" s="529">
        <f t="shared" si="33"/>
        <v>24687</v>
      </c>
      <c r="K125" s="529">
        <f t="shared" si="33"/>
        <v>24884</v>
      </c>
      <c r="L125" s="529">
        <f t="shared" si="33"/>
        <v>25422</v>
      </c>
      <c r="M125" s="529">
        <f t="shared" si="33"/>
        <v>24466</v>
      </c>
      <c r="N125" s="529">
        <f>SUM(N122:N124)</f>
        <v>25559</v>
      </c>
      <c r="O125" s="529">
        <f t="shared" ref="O125:V125" si="34">SUM(O122:O124)</f>
        <v>27227</v>
      </c>
      <c r="P125" s="529">
        <f t="shared" si="34"/>
        <v>29986</v>
      </c>
      <c r="Q125" s="529">
        <f t="shared" si="34"/>
        <v>33305</v>
      </c>
      <c r="R125" s="529">
        <f t="shared" si="34"/>
        <v>34151</v>
      </c>
      <c r="S125" s="529">
        <f t="shared" si="34"/>
        <v>36722</v>
      </c>
      <c r="T125" s="529">
        <f t="shared" si="34"/>
        <v>38649</v>
      </c>
      <c r="U125" s="529">
        <f t="shared" si="34"/>
        <v>41581</v>
      </c>
      <c r="V125" s="529">
        <f t="shared" si="34"/>
        <v>41941</v>
      </c>
    </row>
    <row r="126" spans="1:31">
      <c r="A126" s="212">
        <v>24</v>
      </c>
      <c r="B126" s="212"/>
      <c r="C126" s="549" t="s">
        <v>699</v>
      </c>
      <c r="D126" s="212"/>
      <c r="E126" s="212"/>
      <c r="F126" s="528">
        <v>-139.02531106267637</v>
      </c>
      <c r="G126" s="528">
        <v>-204.88365621028748</v>
      </c>
      <c r="H126" s="528">
        <v>-244.858985269843</v>
      </c>
      <c r="I126" s="528">
        <v>-247.52400720714672</v>
      </c>
      <c r="J126" s="528">
        <v>0</v>
      </c>
      <c r="K126" s="528">
        <v>-266.79687571981992</v>
      </c>
      <c r="L126" s="528">
        <v>0</v>
      </c>
      <c r="M126" s="528">
        <v>-269.17899068160403</v>
      </c>
      <c r="N126" s="528">
        <v>-488.21244267615958</v>
      </c>
      <c r="O126" s="528">
        <v>-762.2767877709141</v>
      </c>
      <c r="P126" s="528">
        <v>-786.62281017694488</v>
      </c>
      <c r="Q126" s="528">
        <v>-811.61482986074759</v>
      </c>
      <c r="R126" s="528">
        <v>-682.57687362579838</v>
      </c>
      <c r="S126" s="528">
        <v>0</v>
      </c>
      <c r="T126" s="528">
        <v>0</v>
      </c>
      <c r="U126" s="528">
        <v>0</v>
      </c>
      <c r="V126" s="528">
        <v>0</v>
      </c>
      <c r="W126" s="514"/>
    </row>
    <row r="127" spans="1:31">
      <c r="A127" s="212">
        <v>25</v>
      </c>
      <c r="B127" s="212"/>
      <c r="C127" s="549" t="s">
        <v>700</v>
      </c>
      <c r="D127" s="212"/>
      <c r="E127" s="212"/>
      <c r="F127" s="528">
        <f>[9]ResX!I31</f>
        <v>672.0700776436787</v>
      </c>
      <c r="G127" s="528">
        <f>[9]ResX!J31</f>
        <v>57.176834291243019</v>
      </c>
      <c r="H127" s="528">
        <f>[9]ResX!K31</f>
        <v>303.3279514094757</v>
      </c>
      <c r="I127" s="528">
        <f>[9]ResX!L31</f>
        <v>255.96324334194176</v>
      </c>
      <c r="J127" s="528">
        <v>0</v>
      </c>
      <c r="K127" s="528">
        <f>[9]ResX!N31</f>
        <v>379.03890273269815</v>
      </c>
      <c r="L127" s="528">
        <v>0</v>
      </c>
      <c r="M127" s="528">
        <f>[9]ResX!P31</f>
        <v>225.37230028269292</v>
      </c>
      <c r="N127" s="528">
        <f>[9]ResX!Q31</f>
        <v>144.3803915820333</v>
      </c>
      <c r="O127" s="528">
        <f>[9]ResX!R31</f>
        <v>161.701193592294</v>
      </c>
      <c r="P127" s="528">
        <f>[9]ResX!S31</f>
        <v>252.10043765050779</v>
      </c>
      <c r="Q127" s="528">
        <f>[9]ResX!T31</f>
        <v>186.12796565804626</v>
      </c>
      <c r="R127" s="528">
        <f>[9]ResX!U31</f>
        <v>336.20120825044501</v>
      </c>
      <c r="S127" s="528">
        <v>0</v>
      </c>
      <c r="T127" s="528">
        <v>0</v>
      </c>
      <c r="U127" s="528">
        <v>0</v>
      </c>
      <c r="V127" s="528">
        <v>0</v>
      </c>
      <c r="W127" s="514"/>
    </row>
    <row r="128" spans="1:31" ht="12.75" thickBot="1">
      <c r="A128" s="212">
        <v>26</v>
      </c>
      <c r="B128" s="538" t="s">
        <v>701</v>
      </c>
      <c r="C128" s="212"/>
      <c r="D128" s="212"/>
      <c r="E128" s="212"/>
      <c r="F128" s="550">
        <f>SUM(F125:F127)</f>
        <v>21577.044766581002</v>
      </c>
      <c r="G128" s="550">
        <f t="shared" ref="G128:V128" si="35">SUM(G125:G127)</f>
        <v>20455.293178080956</v>
      </c>
      <c r="H128" s="550">
        <f t="shared" si="35"/>
        <v>24219.468966139633</v>
      </c>
      <c r="I128" s="550">
        <f t="shared" si="35"/>
        <v>24018.439236134796</v>
      </c>
      <c r="J128" s="550">
        <f t="shared" si="35"/>
        <v>24687</v>
      </c>
      <c r="K128" s="550">
        <f t="shared" si="35"/>
        <v>24996.242027012875</v>
      </c>
      <c r="L128" s="550">
        <f t="shared" si="35"/>
        <v>25422</v>
      </c>
      <c r="M128" s="550">
        <f t="shared" si="35"/>
        <v>24422.193309601087</v>
      </c>
      <c r="N128" s="550">
        <f t="shared" si="35"/>
        <v>25215.167948905873</v>
      </c>
      <c r="O128" s="550">
        <f>SUM(O125:O127)</f>
        <v>26626.424405821377</v>
      </c>
      <c r="P128" s="550">
        <f t="shared" si="35"/>
        <v>29451.477627473563</v>
      </c>
      <c r="Q128" s="550">
        <f t="shared" si="35"/>
        <v>32679.513135797297</v>
      </c>
      <c r="R128" s="550">
        <f t="shared" si="35"/>
        <v>33804.624334624648</v>
      </c>
      <c r="S128" s="550">
        <f t="shared" si="35"/>
        <v>36722</v>
      </c>
      <c r="T128" s="550">
        <f t="shared" si="35"/>
        <v>38649</v>
      </c>
      <c r="U128" s="550">
        <f t="shared" si="35"/>
        <v>41581</v>
      </c>
      <c r="V128" s="550">
        <f t="shared" si="35"/>
        <v>41941</v>
      </c>
      <c r="W128" s="514"/>
      <c r="X128" s="553"/>
    </row>
    <row r="129" spans="1:30" ht="12.75" thickTop="1">
      <c r="A129" s="212"/>
      <c r="B129" s="519"/>
      <c r="C129" s="212"/>
      <c r="D129" s="212"/>
      <c r="E129" s="212"/>
      <c r="F129" s="528"/>
      <c r="G129" s="552">
        <f>(G128-F128)/F128</f>
        <v>-5.19881939642374E-2</v>
      </c>
      <c r="H129" s="552">
        <f t="shared" ref="H129:V129" si="36">(H128-G128)/G128</f>
        <v>0.18401964495391404</v>
      </c>
      <c r="I129" s="552">
        <f t="shared" si="36"/>
        <v>-8.300335993571507E-3</v>
      </c>
      <c r="J129" s="552">
        <f t="shared" si="36"/>
        <v>2.7835312581817567E-2</v>
      </c>
      <c r="K129" s="552">
        <f t="shared" si="36"/>
        <v>1.2526513023570099E-2</v>
      </c>
      <c r="L129" s="552">
        <f t="shared" si="36"/>
        <v>1.7032879283494611E-2</v>
      </c>
      <c r="M129" s="552">
        <f t="shared" si="36"/>
        <v>-3.9328404153839702E-2</v>
      </c>
      <c r="N129" s="552">
        <f t="shared" si="36"/>
        <v>3.2469427673928221E-2</v>
      </c>
      <c r="O129" s="552">
        <f t="shared" si="36"/>
        <v>5.5968552728864154E-2</v>
      </c>
      <c r="P129" s="552">
        <f t="shared" si="36"/>
        <v>0.10609960911742022</v>
      </c>
      <c r="Q129" s="552">
        <f t="shared" si="36"/>
        <v>0.1096052140118256</v>
      </c>
      <c r="R129" s="552">
        <f t="shared" si="36"/>
        <v>3.4428640174412488E-2</v>
      </c>
      <c r="S129" s="552">
        <f t="shared" si="36"/>
        <v>8.6301082257175296E-2</v>
      </c>
      <c r="T129" s="552">
        <f t="shared" si="36"/>
        <v>5.2475355372801048E-2</v>
      </c>
      <c r="U129" s="552">
        <f t="shared" si="36"/>
        <v>7.5862247406142461E-2</v>
      </c>
      <c r="V129" s="552">
        <f t="shared" si="36"/>
        <v>8.6578004376999113E-3</v>
      </c>
      <c r="W129" s="694"/>
      <c r="X129" s="858" t="s">
        <v>702</v>
      </c>
      <c r="Y129" s="858"/>
      <c r="Z129" s="859"/>
    </row>
    <row r="130" spans="1:30" ht="14.25" customHeight="1">
      <c r="A130" s="212"/>
      <c r="B130" s="549"/>
      <c r="C130" s="212"/>
      <c r="D130" s="212"/>
      <c r="E130" s="212"/>
      <c r="F130" s="528"/>
      <c r="G130" s="528"/>
      <c r="H130" s="528"/>
      <c r="I130" s="528"/>
      <c r="J130" s="528"/>
      <c r="K130" s="528"/>
      <c r="L130" s="528"/>
      <c r="M130" s="528"/>
      <c r="N130" s="528"/>
      <c r="O130" s="528"/>
      <c r="P130" s="528"/>
      <c r="Q130" s="528"/>
      <c r="R130" s="528"/>
      <c r="S130" s="528"/>
      <c r="T130" s="528"/>
      <c r="U130" s="528"/>
      <c r="V130" s="528"/>
      <c r="W130" s="685"/>
      <c r="X130" s="685" t="s">
        <v>601</v>
      </c>
      <c r="Y130" s="685" t="s">
        <v>609</v>
      </c>
      <c r="Z130" s="687" t="s">
        <v>687</v>
      </c>
      <c r="AD130" s="322"/>
    </row>
    <row r="131" spans="1:30" ht="12.75" thickBot="1">
      <c r="A131" s="212">
        <v>27</v>
      </c>
      <c r="B131" s="538" t="s">
        <v>703</v>
      </c>
      <c r="C131" s="212"/>
      <c r="D131" s="212"/>
      <c r="E131" s="548" t="s">
        <v>704</v>
      </c>
      <c r="F131" s="550">
        <f t="shared" ref="F131:V131" si="37">F78</f>
        <v>649149</v>
      </c>
      <c r="G131" s="550">
        <f t="shared" si="37"/>
        <v>662278</v>
      </c>
      <c r="H131" s="550">
        <f t="shared" si="37"/>
        <v>739502</v>
      </c>
      <c r="I131" s="550">
        <f t="shared" si="37"/>
        <v>720602</v>
      </c>
      <c r="J131" s="550">
        <f t="shared" si="37"/>
        <v>757756</v>
      </c>
      <c r="K131" s="550">
        <f t="shared" si="37"/>
        <v>799091</v>
      </c>
      <c r="L131" s="550">
        <f t="shared" si="37"/>
        <v>855712</v>
      </c>
      <c r="M131" s="550">
        <f t="shared" si="37"/>
        <v>870835</v>
      </c>
      <c r="N131" s="550">
        <f t="shared" si="37"/>
        <v>917247</v>
      </c>
      <c r="O131" s="550">
        <f t="shared" si="37"/>
        <v>987243</v>
      </c>
      <c r="P131" s="550">
        <f t="shared" si="37"/>
        <v>1036064</v>
      </c>
      <c r="Q131" s="550">
        <f t="shared" si="37"/>
        <v>1087140</v>
      </c>
      <c r="R131" s="550">
        <f t="shared" si="37"/>
        <v>1131570</v>
      </c>
      <c r="S131" s="550">
        <f t="shared" si="37"/>
        <v>1195010</v>
      </c>
      <c r="T131" s="550">
        <f t="shared" si="37"/>
        <v>1214504</v>
      </c>
      <c r="U131" s="550">
        <f t="shared" si="37"/>
        <v>1271626</v>
      </c>
      <c r="V131" s="550">
        <f t="shared" si="37"/>
        <v>1375685</v>
      </c>
      <c r="W131" s="686"/>
      <c r="X131" s="688">
        <v>1539337</v>
      </c>
      <c r="Y131" s="688">
        <v>1574348</v>
      </c>
      <c r="Z131" s="689">
        <v>1634379</v>
      </c>
      <c r="AB131" s="322"/>
      <c r="AC131" s="322"/>
      <c r="AD131" s="322"/>
    </row>
    <row r="132" spans="1:30" ht="3" customHeight="1" thickTop="1">
      <c r="A132" s="212"/>
      <c r="B132" s="212"/>
      <c r="C132" s="212"/>
      <c r="D132" s="212"/>
      <c r="E132" s="212"/>
      <c r="F132" s="528"/>
      <c r="G132" s="552">
        <f>(G131-F131)/F131</f>
        <v>2.0224940653070404E-2</v>
      </c>
      <c r="H132" s="552">
        <f t="shared" ref="H132:L132" si="38">(H131-G131)/G131</f>
        <v>0.11660360150873199</v>
      </c>
      <c r="I132" s="552">
        <f t="shared" si="38"/>
        <v>-2.5557740208951428E-2</v>
      </c>
      <c r="J132" s="552">
        <f t="shared" si="38"/>
        <v>5.1559668166338703E-2</v>
      </c>
      <c r="K132" s="552">
        <f t="shared" si="38"/>
        <v>5.4549221649185228E-2</v>
      </c>
      <c r="L132" s="552">
        <f t="shared" si="38"/>
        <v>7.0856760994680204E-2</v>
      </c>
      <c r="M132" s="552"/>
      <c r="N132" s="552"/>
      <c r="O132" s="552"/>
      <c r="P132" s="552"/>
      <c r="Q132" s="552"/>
      <c r="R132" s="552"/>
      <c r="S132" s="552"/>
      <c r="T132" s="552"/>
      <c r="U132" s="552"/>
      <c r="V132" s="552"/>
      <c r="W132" s="552"/>
      <c r="X132" s="552"/>
      <c r="Y132" s="552"/>
      <c r="Z132" s="552"/>
      <c r="AA132" s="322"/>
      <c r="AB132" s="322"/>
      <c r="AC132" s="322"/>
      <c r="AD132" s="322"/>
    </row>
    <row r="133" spans="1:30" ht="3.75" hidden="1" customHeight="1">
      <c r="A133" s="212"/>
      <c r="B133" s="538"/>
      <c r="C133" s="212"/>
      <c r="D133" s="212"/>
      <c r="E133" s="548"/>
      <c r="F133" s="528"/>
      <c r="G133" s="528"/>
      <c r="H133" s="528"/>
      <c r="I133" s="528"/>
      <c r="J133" s="528"/>
      <c r="K133" s="528"/>
      <c r="L133" s="528"/>
      <c r="M133" s="528"/>
      <c r="N133" s="528"/>
      <c r="O133" s="528"/>
      <c r="P133" s="528"/>
      <c r="Q133" s="528"/>
      <c r="R133" s="528"/>
      <c r="S133" s="528"/>
      <c r="T133" s="528"/>
      <c r="U133" s="528"/>
      <c r="V133" s="528"/>
      <c r="W133" s="514"/>
      <c r="AB133" s="322"/>
      <c r="AC133" s="322"/>
      <c r="AD133" s="322"/>
    </row>
    <row r="134" spans="1:30" ht="12.75" hidden="1" thickBot="1">
      <c r="A134" s="212">
        <v>28</v>
      </c>
      <c r="B134" s="538" t="s">
        <v>705</v>
      </c>
      <c r="C134" s="212"/>
      <c r="D134" s="212"/>
      <c r="E134" s="548" t="s">
        <v>706</v>
      </c>
      <c r="F134" s="550">
        <f t="shared" ref="F134:V134" si="39">F82</f>
        <v>568492</v>
      </c>
      <c r="G134" s="550">
        <f t="shared" si="39"/>
        <v>597515</v>
      </c>
      <c r="H134" s="550">
        <f t="shared" si="39"/>
        <v>761858</v>
      </c>
      <c r="I134" s="550">
        <f t="shared" si="39"/>
        <v>742443</v>
      </c>
      <c r="J134" s="550">
        <f t="shared" si="39"/>
        <v>778011</v>
      </c>
      <c r="K134" s="550">
        <f t="shared" si="39"/>
        <v>819842</v>
      </c>
      <c r="L134" s="550">
        <f t="shared" si="39"/>
        <v>874511</v>
      </c>
      <c r="M134" s="550">
        <f t="shared" si="39"/>
        <v>891855</v>
      </c>
      <c r="N134" s="550">
        <f t="shared" si="39"/>
        <v>936840</v>
      </c>
      <c r="O134" s="550">
        <f t="shared" si="39"/>
        <v>1005019</v>
      </c>
      <c r="P134" s="550">
        <f t="shared" si="39"/>
        <v>1072028</v>
      </c>
      <c r="Q134" s="550">
        <f t="shared" si="39"/>
        <v>1137863</v>
      </c>
      <c r="R134" s="550">
        <f t="shared" si="39"/>
        <v>1158975</v>
      </c>
      <c r="S134" s="550">
        <f t="shared" si="39"/>
        <v>1226052</v>
      </c>
      <c r="T134" s="550">
        <f t="shared" si="39"/>
        <v>1273157</v>
      </c>
      <c r="U134" s="550">
        <f t="shared" si="39"/>
        <v>1338806</v>
      </c>
      <c r="V134" s="550">
        <f t="shared" si="39"/>
        <v>1442726</v>
      </c>
      <c r="W134" s="514"/>
      <c r="AB134" s="322"/>
      <c r="AC134" s="322"/>
      <c r="AD134" s="322"/>
    </row>
    <row r="135" spans="1:30" hidden="1">
      <c r="A135" s="212"/>
      <c r="B135" s="212"/>
      <c r="C135" s="212"/>
      <c r="D135" s="212"/>
      <c r="E135" s="212"/>
      <c r="F135" s="528"/>
      <c r="G135" s="552">
        <f>(G134-F134)/F134</f>
        <v>5.1052609359498465E-2</v>
      </c>
      <c r="H135" s="552">
        <f t="shared" ref="H135:U135" si="40">(H134-G134)/G134</f>
        <v>0.27504414115126818</v>
      </c>
      <c r="I135" s="552">
        <f t="shared" si="40"/>
        <v>-2.5483751565252316E-2</v>
      </c>
      <c r="J135" s="552">
        <f t="shared" si="40"/>
        <v>4.7906707989704263E-2</v>
      </c>
      <c r="K135" s="552">
        <f t="shared" si="40"/>
        <v>5.3766591989059281E-2</v>
      </c>
      <c r="L135" s="552">
        <f t="shared" si="40"/>
        <v>6.6682360747558678E-2</v>
      </c>
      <c r="M135" s="552">
        <f t="shared" si="40"/>
        <v>1.9832797986531901E-2</v>
      </c>
      <c r="N135" s="552">
        <f t="shared" si="40"/>
        <v>5.0439813646837209E-2</v>
      </c>
      <c r="O135" s="552">
        <f t="shared" si="40"/>
        <v>7.2775500619102512E-2</v>
      </c>
      <c r="P135" s="552">
        <f t="shared" si="40"/>
        <v>6.6674361380232611E-2</v>
      </c>
      <c r="Q135" s="552">
        <f t="shared" si="40"/>
        <v>6.1411642233225254E-2</v>
      </c>
      <c r="R135" s="552">
        <f t="shared" si="40"/>
        <v>1.855407900599633E-2</v>
      </c>
      <c r="S135" s="552">
        <f t="shared" si="40"/>
        <v>5.7876140555231992E-2</v>
      </c>
      <c r="T135" s="552">
        <f t="shared" si="40"/>
        <v>3.8420067011839629E-2</v>
      </c>
      <c r="U135" s="552">
        <f t="shared" si="40"/>
        <v>5.1563946944485246E-2</v>
      </c>
      <c r="V135" s="552">
        <f>(V134-U134)/U134</f>
        <v>7.7621402951585219E-2</v>
      </c>
      <c r="W135" s="514"/>
    </row>
    <row r="136" spans="1:30" ht="18.75" hidden="1" customHeight="1">
      <c r="A136" s="212"/>
      <c r="B136" s="212"/>
      <c r="C136" s="212"/>
      <c r="D136" s="212"/>
      <c r="E136" s="212"/>
      <c r="F136" s="528"/>
      <c r="G136" s="528"/>
      <c r="H136" s="528"/>
      <c r="I136" s="528"/>
      <c r="J136" s="528"/>
      <c r="K136" s="528"/>
      <c r="L136" s="528"/>
      <c r="M136" s="528"/>
      <c r="N136" s="528"/>
      <c r="O136" s="528"/>
      <c r="P136" s="528"/>
      <c r="Q136" s="528"/>
      <c r="R136" s="528"/>
      <c r="S136" s="528"/>
      <c r="T136" s="528"/>
      <c r="U136" s="528"/>
      <c r="V136" s="528"/>
      <c r="W136" s="514"/>
    </row>
    <row r="137" spans="1:30" ht="1.5" hidden="1" customHeight="1">
      <c r="A137" s="212"/>
      <c r="B137" s="549" t="s">
        <v>707</v>
      </c>
      <c r="C137" s="212"/>
      <c r="D137" s="212"/>
      <c r="E137" s="212"/>
      <c r="F137" s="528"/>
      <c r="G137" s="528"/>
      <c r="H137" s="528"/>
      <c r="I137" s="528"/>
      <c r="J137" s="528"/>
      <c r="K137" s="528"/>
      <c r="L137" s="528"/>
      <c r="M137" s="528"/>
      <c r="N137" s="528"/>
      <c r="O137" s="528"/>
      <c r="P137" s="528"/>
      <c r="Q137" s="528"/>
      <c r="R137" s="528"/>
      <c r="S137" s="528"/>
      <c r="T137" s="528"/>
      <c r="U137" s="528"/>
      <c r="V137" s="528"/>
      <c r="W137" s="514"/>
      <c r="AB137" s="322"/>
      <c r="AC137" s="322"/>
      <c r="AD137" s="322"/>
    </row>
    <row r="138" spans="1:30" hidden="1">
      <c r="A138" s="212">
        <v>29</v>
      </c>
      <c r="B138" s="549" t="s">
        <v>708</v>
      </c>
      <c r="C138" s="212"/>
      <c r="D138" s="212"/>
      <c r="E138" s="548" t="s">
        <v>709</v>
      </c>
      <c r="F138" s="528">
        <f t="shared" ref="F138:V138" si="41">F14</f>
        <v>13062</v>
      </c>
      <c r="G138" s="528">
        <f t="shared" si="41"/>
        <v>14305</v>
      </c>
      <c r="H138" s="528">
        <f t="shared" si="41"/>
        <v>34274</v>
      </c>
      <c r="I138" s="528">
        <f t="shared" si="41"/>
        <v>57244</v>
      </c>
      <c r="J138" s="528">
        <f t="shared" si="41"/>
        <v>8587</v>
      </c>
      <c r="K138" s="528">
        <f t="shared" si="41"/>
        <v>10259</v>
      </c>
      <c r="L138" s="528">
        <f t="shared" si="41"/>
        <v>10178</v>
      </c>
      <c r="M138" s="528">
        <f t="shared" si="41"/>
        <v>10170</v>
      </c>
      <c r="N138" s="528">
        <f t="shared" si="41"/>
        <v>10927</v>
      </c>
      <c r="O138" s="528">
        <f t="shared" si="41"/>
        <v>9395</v>
      </c>
      <c r="P138" s="528">
        <f t="shared" si="41"/>
        <v>11786</v>
      </c>
      <c r="Q138" s="528">
        <f t="shared" si="41"/>
        <v>13666</v>
      </c>
      <c r="R138" s="528">
        <f t="shared" si="41"/>
        <v>13089</v>
      </c>
      <c r="S138" s="528">
        <f t="shared" si="41"/>
        <v>13408</v>
      </c>
      <c r="T138" s="528">
        <f t="shared" si="41"/>
        <v>17163</v>
      </c>
      <c r="U138" s="528">
        <f t="shared" si="41"/>
        <v>16920</v>
      </c>
      <c r="V138" s="528">
        <f t="shared" si="41"/>
        <v>17310</v>
      </c>
      <c r="W138" s="514"/>
      <c r="AB138" s="322"/>
      <c r="AC138" s="322"/>
      <c r="AD138" s="322"/>
    </row>
    <row r="139" spans="1:30" hidden="1">
      <c r="A139" s="212">
        <v>30</v>
      </c>
      <c r="B139" s="549"/>
      <c r="C139" s="549" t="s">
        <v>710</v>
      </c>
      <c r="D139" s="212"/>
      <c r="E139" s="548"/>
      <c r="F139" s="528"/>
      <c r="G139" s="528"/>
      <c r="H139" s="528"/>
      <c r="I139" s="528"/>
      <c r="J139" s="528"/>
      <c r="K139" s="528"/>
      <c r="L139" s="528"/>
      <c r="M139" s="528"/>
      <c r="N139" s="528"/>
      <c r="O139" s="528"/>
      <c r="P139" s="528"/>
      <c r="Q139" s="528"/>
      <c r="R139" s="528"/>
      <c r="S139" s="528"/>
      <c r="T139" s="528"/>
      <c r="U139" s="528">
        <f>-'[9]Other Rev'!T18</f>
        <v>-3691</v>
      </c>
      <c r="V139" s="528">
        <f>-'[9]Other Rev'!U18</f>
        <v>-3887</v>
      </c>
      <c r="W139" s="514"/>
      <c r="AB139" s="322"/>
      <c r="AC139" s="322"/>
      <c r="AD139" s="322"/>
    </row>
    <row r="140" spans="1:30" hidden="1">
      <c r="A140" s="212">
        <v>31</v>
      </c>
      <c r="B140" s="549"/>
      <c r="C140" s="549" t="s">
        <v>711</v>
      </c>
      <c r="D140" s="212"/>
      <c r="E140" s="212"/>
      <c r="F140" s="528">
        <f>-'[9]Other Rev'!E16</f>
        <v>-7824</v>
      </c>
      <c r="G140" s="528">
        <f>-'[9]Other Rev'!F19</f>
        <v>-2251</v>
      </c>
      <c r="H140" s="528">
        <f>-'[9]Other Rev'!G19</f>
        <v>-25293</v>
      </c>
      <c r="I140" s="528">
        <f>-'[9]Other Rev'!H19</f>
        <v>-47139</v>
      </c>
      <c r="J140" s="528">
        <f>-'[9]Other Rev'!I19</f>
        <v>-285</v>
      </c>
      <c r="K140" s="528">
        <f>-'[9]Other Rev'!J19</f>
        <v>-179.11379999999997</v>
      </c>
      <c r="L140" s="528">
        <f>-'[9]Other Rev'!K19</f>
        <v>-198</v>
      </c>
      <c r="M140" s="528">
        <f>-'[9]Other Rev'!L19</f>
        <v>-221</v>
      </c>
      <c r="N140" s="528">
        <f>-'[9]Other Rev'!M19</f>
        <v>-1839</v>
      </c>
      <c r="O140" s="528">
        <f>-'[9]Other Rev'!N19</f>
        <v>-448.37979999999999</v>
      </c>
      <c r="P140" s="528">
        <f>-'[9]Other Rev'!O19</f>
        <v>-639.87119999999993</v>
      </c>
      <c r="Q140" s="528">
        <f>-'[9]Other Rev'!P19</f>
        <v>-1751.694</v>
      </c>
      <c r="R140" s="528">
        <f>-'[9]Other Rev'!Q19</f>
        <v>-1489.3194000000001</v>
      </c>
      <c r="S140" s="528">
        <f>-'[9]Other Rev'!R19</f>
        <v>-282</v>
      </c>
      <c r="T140" s="528">
        <f>-'[9]Other Rev'!S19</f>
        <v>-3062.3724999999999</v>
      </c>
      <c r="U140" s="528">
        <f>-'[9]Other Rev'!T19</f>
        <v>-267.11410000000001</v>
      </c>
      <c r="V140" s="528">
        <f>-'[9]Other Rev'!U19</f>
        <v>-234.65610000000001</v>
      </c>
      <c r="W140" s="514"/>
      <c r="AD140" s="322"/>
    </row>
    <row r="141" spans="1:30" hidden="1">
      <c r="A141" s="212">
        <v>32</v>
      </c>
      <c r="B141" s="549"/>
      <c r="C141" s="549" t="s">
        <v>712</v>
      </c>
      <c r="D141" s="212"/>
      <c r="E141" s="212"/>
      <c r="F141" s="528">
        <f>-'[9]Other Rev'!E19</f>
        <v>-3487.7256000000007</v>
      </c>
      <c r="G141" s="528">
        <f>-'[9]Other Rev'!F16</f>
        <v>-9892</v>
      </c>
      <c r="H141" s="528">
        <f>-'[9]Other Rev'!G16</f>
        <v>-7115</v>
      </c>
      <c r="I141" s="528">
        <f>-'[9]Other Rev'!H16</f>
        <v>-7569</v>
      </c>
      <c r="J141" s="528">
        <f>-'[9]Other Rev'!I16</f>
        <v>-5523</v>
      </c>
      <c r="K141" s="528">
        <f>-'[9]Other Rev'!J16</f>
        <v>-6637</v>
      </c>
      <c r="L141" s="528">
        <f>-'[9]Other Rev'!K16</f>
        <v>-7024</v>
      </c>
      <c r="M141" s="528">
        <f>-'[9]Other Rev'!L16</f>
        <v>-6876</v>
      </c>
      <c r="N141" s="528">
        <f>-'[9]Other Rev'!M16</f>
        <v>-6213</v>
      </c>
      <c r="O141" s="528">
        <f>-'[9]Other Rev'!N16</f>
        <v>-6133</v>
      </c>
      <c r="P141" s="528">
        <f>-'[9]Other Rev'!O16</f>
        <v>-8333</v>
      </c>
      <c r="Q141" s="528">
        <f>-'[9]Other Rev'!P16</f>
        <v>-9102</v>
      </c>
      <c r="R141" s="528">
        <f>-'[9]Other Rev'!Q16</f>
        <v>-8285</v>
      </c>
      <c r="S141" s="528">
        <f>-'[9]Other Rev'!R16</f>
        <v>-9662</v>
      </c>
      <c r="T141" s="528">
        <f>-'[9]Other Rev'!S16</f>
        <v>-10622</v>
      </c>
      <c r="U141" s="528">
        <f>-'[9]Other Rev'!T16</f>
        <v>-10512</v>
      </c>
      <c r="V141" s="528">
        <f>-'[9]Other Rev'!U16</f>
        <v>-10386.6546</v>
      </c>
      <c r="W141" s="514"/>
      <c r="AD141" s="322"/>
    </row>
    <row r="142" spans="1:30" ht="12.75" hidden="1" thickBot="1">
      <c r="A142" s="212">
        <v>33</v>
      </c>
      <c r="B142" s="538" t="s">
        <v>713</v>
      </c>
      <c r="C142" s="549"/>
      <c r="D142" s="212"/>
      <c r="E142" s="212"/>
      <c r="F142" s="550">
        <f>SUM(F138:F141)</f>
        <v>1750.2743999999993</v>
      </c>
      <c r="G142" s="550">
        <f t="shared" ref="G142:V142" si="42">SUM(G138:G141)</f>
        <v>2162</v>
      </c>
      <c r="H142" s="550">
        <f t="shared" si="42"/>
        <v>1866</v>
      </c>
      <c r="I142" s="550">
        <f t="shared" si="42"/>
        <v>2536</v>
      </c>
      <c r="J142" s="550">
        <f t="shared" si="42"/>
        <v>2779</v>
      </c>
      <c r="K142" s="550">
        <f t="shared" si="42"/>
        <v>3442.8862000000008</v>
      </c>
      <c r="L142" s="550">
        <f t="shared" si="42"/>
        <v>2956</v>
      </c>
      <c r="M142" s="550">
        <f t="shared" si="42"/>
        <v>3073</v>
      </c>
      <c r="N142" s="550">
        <f t="shared" si="42"/>
        <v>2875</v>
      </c>
      <c r="O142" s="550">
        <f t="shared" si="42"/>
        <v>2813.6201999999994</v>
      </c>
      <c r="P142" s="550">
        <f t="shared" si="42"/>
        <v>2813.1288000000004</v>
      </c>
      <c r="Q142" s="550">
        <f t="shared" si="42"/>
        <v>2812.3060000000005</v>
      </c>
      <c r="R142" s="550">
        <f t="shared" si="42"/>
        <v>3314.6805999999997</v>
      </c>
      <c r="S142" s="550">
        <f t="shared" si="42"/>
        <v>3464</v>
      </c>
      <c r="T142" s="550">
        <f t="shared" si="42"/>
        <v>3478.6275000000005</v>
      </c>
      <c r="U142" s="550">
        <f t="shared" si="42"/>
        <v>2449.8858999999993</v>
      </c>
      <c r="V142" s="550">
        <f t="shared" si="42"/>
        <v>2801.6893</v>
      </c>
      <c r="W142" s="514"/>
    </row>
    <row r="143" spans="1:30" hidden="1">
      <c r="A143" s="212"/>
      <c r="F143" s="554"/>
      <c r="G143" s="552">
        <f>(G142-F142)/F142</f>
        <v>0.23523488659835329</v>
      </c>
      <c r="H143" s="552">
        <f t="shared" ref="H143:V143" si="43">(H142-G142)/G142</f>
        <v>-0.13691026827012026</v>
      </c>
      <c r="I143" s="552">
        <f t="shared" si="43"/>
        <v>0.35905680600214362</v>
      </c>
      <c r="J143" s="552">
        <f t="shared" si="43"/>
        <v>9.5820189274447951E-2</v>
      </c>
      <c r="K143" s="552">
        <f t="shared" si="43"/>
        <v>0.23889391867578294</v>
      </c>
      <c r="L143" s="552">
        <f t="shared" si="43"/>
        <v>-0.14141803467102709</v>
      </c>
      <c r="M143" s="552">
        <f t="shared" si="43"/>
        <v>3.9580514208389712E-2</v>
      </c>
      <c r="N143" s="552">
        <f t="shared" si="43"/>
        <v>-6.4432150992515452E-2</v>
      </c>
      <c r="O143" s="552">
        <f t="shared" si="43"/>
        <v>-2.1349495652174127E-2</v>
      </c>
      <c r="P143" s="552">
        <f t="shared" si="43"/>
        <v>-1.7465043789455863E-4</v>
      </c>
      <c r="Q143" s="552">
        <f t="shared" si="43"/>
        <v>-2.9248571910390862E-4</v>
      </c>
      <c r="R143" s="552">
        <f t="shared" si="43"/>
        <v>0.17863440180407078</v>
      </c>
      <c r="S143" s="552">
        <f t="shared" si="43"/>
        <v>4.5047899939439209E-2</v>
      </c>
      <c r="T143" s="552">
        <f t="shared" si="43"/>
        <v>4.222719399538253E-3</v>
      </c>
      <c r="U143" s="552">
        <f t="shared" si="43"/>
        <v>-0.29573203799487041</v>
      </c>
      <c r="V143" s="552">
        <f t="shared" si="43"/>
        <v>0.14359991214284745</v>
      </c>
      <c r="W143" s="514"/>
    </row>
    <row r="144" spans="1:30" ht="4.5" hidden="1" customHeight="1">
      <c r="A144" s="212"/>
      <c r="F144" s="554"/>
      <c r="G144" s="552"/>
      <c r="H144" s="552"/>
      <c r="I144" s="552"/>
      <c r="J144" s="552"/>
      <c r="K144" s="552"/>
      <c r="L144" s="552"/>
      <c r="M144" s="552"/>
      <c r="N144" s="552"/>
      <c r="O144" s="552"/>
      <c r="P144" s="552"/>
      <c r="Q144" s="552"/>
      <c r="R144" s="552"/>
      <c r="S144" s="524"/>
      <c r="T144" s="524"/>
      <c r="U144" s="524"/>
      <c r="V144" s="524"/>
      <c r="W144" s="514"/>
    </row>
    <row r="145" spans="1:26" ht="14.25" hidden="1" customHeight="1">
      <c r="A145" s="212"/>
      <c r="F145" s="554"/>
      <c r="G145" s="552"/>
      <c r="H145" s="552"/>
      <c r="I145" s="552"/>
      <c r="J145" s="552"/>
      <c r="K145" s="552"/>
      <c r="L145" s="552"/>
      <c r="M145" s="552"/>
      <c r="N145" s="552"/>
      <c r="O145" s="552"/>
      <c r="P145" s="552"/>
      <c r="Q145" s="552"/>
      <c r="R145" s="552"/>
      <c r="S145" s="555"/>
      <c r="T145" s="555"/>
      <c r="U145" s="556" t="s">
        <v>714</v>
      </c>
      <c r="V145" s="555"/>
      <c r="W145" s="514"/>
    </row>
    <row r="146" spans="1:26" ht="5.25" customHeight="1">
      <c r="A146" s="557"/>
      <c r="F146" s="554"/>
      <c r="G146" s="552"/>
      <c r="H146" s="552"/>
      <c r="I146" s="552"/>
      <c r="J146" s="552"/>
      <c r="K146" s="552"/>
      <c r="L146" s="552"/>
      <c r="M146" s="552"/>
      <c r="N146" s="552"/>
      <c r="O146" s="552"/>
      <c r="P146" s="552"/>
      <c r="Q146" s="552"/>
      <c r="R146" s="552"/>
      <c r="S146" s="524"/>
      <c r="T146" s="524"/>
      <c r="U146" s="524"/>
      <c r="V146" s="474"/>
      <c r="W146" s="514"/>
      <c r="Z146" s="322"/>
    </row>
    <row r="147" spans="1:26" ht="5.25" customHeight="1">
      <c r="A147" s="557"/>
      <c r="F147" s="554"/>
      <c r="G147" s="552"/>
      <c r="H147" s="552"/>
      <c r="I147" s="552"/>
      <c r="J147" s="552"/>
      <c r="K147" s="552"/>
      <c r="L147" s="552"/>
      <c r="M147" s="552"/>
      <c r="N147" s="552"/>
      <c r="O147" s="552"/>
      <c r="P147" s="552"/>
      <c r="Q147" s="552"/>
      <c r="R147" s="552"/>
      <c r="S147" s="524"/>
      <c r="T147" s="524"/>
      <c r="U147" s="524"/>
      <c r="V147" s="474"/>
    </row>
    <row r="148" spans="1:26">
      <c r="A148" s="557" t="s">
        <v>716</v>
      </c>
      <c r="F148" s="554"/>
      <c r="G148" s="552"/>
      <c r="H148" s="552"/>
      <c r="I148" s="552"/>
      <c r="J148" s="552"/>
      <c r="K148" s="552"/>
      <c r="L148" s="552"/>
      <c r="M148" s="552"/>
      <c r="N148" s="552"/>
      <c r="O148" s="552"/>
      <c r="P148" s="552"/>
      <c r="Q148" s="552"/>
      <c r="R148" s="552"/>
      <c r="S148" s="524"/>
      <c r="V148" s="474"/>
      <c r="X148" s="514"/>
      <c r="Y148" s="514"/>
    </row>
    <row r="149" spans="1:26" ht="0.6" customHeight="1">
      <c r="A149" s="212"/>
      <c r="G149" s="514"/>
      <c r="H149" s="514"/>
      <c r="I149" s="514"/>
      <c r="J149" s="514"/>
      <c r="L149" s="514"/>
      <c r="M149" s="514"/>
      <c r="N149" s="514"/>
      <c r="O149" s="514"/>
      <c r="P149" s="514"/>
      <c r="Q149" s="514"/>
      <c r="R149" s="514"/>
      <c r="V149" s="474"/>
      <c r="X149" s="514"/>
      <c r="Y149" s="514"/>
    </row>
    <row r="150" spans="1:26" ht="18" customHeight="1">
      <c r="A150" s="558" t="s">
        <v>7</v>
      </c>
      <c r="B150" s="545" t="s">
        <v>717</v>
      </c>
      <c r="F150" s="545"/>
      <c r="G150" s="545"/>
      <c r="H150" s="545"/>
      <c r="I150" s="545"/>
      <c r="J150" s="545"/>
      <c r="K150" s="545"/>
      <c r="L150" s="545"/>
      <c r="M150" s="545"/>
      <c r="N150" s="545"/>
      <c r="O150" s="545"/>
      <c r="P150" s="545"/>
      <c r="Q150" s="545"/>
      <c r="R150" s="545"/>
      <c r="T150" s="767" t="s">
        <v>853</v>
      </c>
      <c r="U150" s="524"/>
      <c r="V150" s="865" t="s">
        <v>854</v>
      </c>
      <c r="W150" s="514"/>
      <c r="X150" s="514"/>
      <c r="Y150" s="514"/>
    </row>
    <row r="151" spans="1:26" ht="12.75" hidden="1" customHeight="1">
      <c r="A151" s="559" t="s">
        <v>19</v>
      </c>
      <c r="B151" s="560" t="s">
        <v>718</v>
      </c>
      <c r="C151" s="560"/>
      <c r="D151" s="561"/>
      <c r="E151" s="562"/>
      <c r="F151" s="562"/>
      <c r="G151" s="563"/>
      <c r="H151" s="563" t="s">
        <v>719</v>
      </c>
      <c r="I151" s="563" t="s">
        <v>720</v>
      </c>
      <c r="J151" s="563" t="s">
        <v>721</v>
      </c>
      <c r="K151" s="563" t="s">
        <v>722</v>
      </c>
      <c r="L151" s="563" t="s">
        <v>723</v>
      </c>
      <c r="M151" s="563" t="s">
        <v>724</v>
      </c>
      <c r="N151" s="563" t="s">
        <v>725</v>
      </c>
      <c r="O151" s="563" t="s">
        <v>726</v>
      </c>
      <c r="P151" s="563" t="s">
        <v>727</v>
      </c>
      <c r="Q151" s="563" t="s">
        <v>728</v>
      </c>
      <c r="R151" s="563" t="s">
        <v>729</v>
      </c>
      <c r="S151" s="564" t="s">
        <v>730</v>
      </c>
      <c r="T151" s="564" t="s">
        <v>731</v>
      </c>
      <c r="U151" s="564"/>
      <c r="V151" s="865"/>
      <c r="W151" s="595"/>
      <c r="X151" s="595"/>
      <c r="Y151" s="564" t="s">
        <v>732</v>
      </c>
      <c r="Z151" s="564" t="s">
        <v>651</v>
      </c>
    </row>
    <row r="152" spans="1:26" ht="12.75" hidden="1" customHeight="1">
      <c r="A152" s="565"/>
      <c r="B152" s="566"/>
      <c r="C152" s="566"/>
      <c r="D152" s="566"/>
      <c r="E152" s="566"/>
      <c r="F152" s="566"/>
      <c r="G152" s="160"/>
      <c r="H152" s="160"/>
      <c r="I152" s="160"/>
      <c r="J152" s="160"/>
      <c r="K152" s="160"/>
      <c r="L152" s="160"/>
      <c r="M152" s="160"/>
      <c r="N152" s="160"/>
      <c r="O152" s="160"/>
      <c r="P152" s="567"/>
      <c r="Q152" s="567"/>
      <c r="R152" s="567"/>
      <c r="S152" s="568"/>
      <c r="T152" s="568"/>
      <c r="U152" s="568"/>
      <c r="V152" s="865"/>
      <c r="W152" s="606"/>
      <c r="X152" s="606"/>
      <c r="Y152" s="568"/>
      <c r="Z152" s="568"/>
    </row>
    <row r="153" spans="1:26" ht="12.75" hidden="1" customHeight="1">
      <c r="A153" s="565">
        <v>1</v>
      </c>
      <c r="B153" s="569" t="s">
        <v>683</v>
      </c>
      <c r="C153" s="566"/>
      <c r="D153" s="566"/>
      <c r="E153" s="566"/>
      <c r="F153" s="566"/>
      <c r="G153" s="570"/>
      <c r="H153" s="570">
        <f t="shared" ref="H153:T153" si="44">(H105-G105)/G105</f>
        <v>0.1477938608922629</v>
      </c>
      <c r="I153" s="570">
        <f t="shared" si="44"/>
        <v>-3.5183057127066861E-2</v>
      </c>
      <c r="J153" s="570">
        <f t="shared" si="44"/>
        <v>0.12244661356050802</v>
      </c>
      <c r="K153" s="570">
        <f t="shared" si="44"/>
        <v>9.6827726347769195E-3</v>
      </c>
      <c r="L153" s="570">
        <f t="shared" si="44"/>
        <v>7.242209997672179E-2</v>
      </c>
      <c r="M153" s="570">
        <f t="shared" si="44"/>
        <v>3.809384416546472E-2</v>
      </c>
      <c r="N153" s="570">
        <f t="shared" si="44"/>
        <v>7.5203913425506114E-2</v>
      </c>
      <c r="O153" s="571">
        <f t="shared" si="44"/>
        <v>9.2214213847569129E-2</v>
      </c>
      <c r="P153" s="571">
        <f t="shared" si="44"/>
        <v>4.9500038223614332E-2</v>
      </c>
      <c r="Q153" s="570">
        <f t="shared" si="44"/>
        <v>8.595926573694776E-2</v>
      </c>
      <c r="R153" s="570">
        <f t="shared" si="44"/>
        <v>5.4900394005324898E-2</v>
      </c>
      <c r="S153" s="571">
        <f t="shared" si="44"/>
        <v>-5.2574509380880121E-3</v>
      </c>
      <c r="T153" s="571">
        <f t="shared" si="44"/>
        <v>1.838468071963555E-2</v>
      </c>
      <c r="U153" s="571"/>
      <c r="V153" s="865"/>
      <c r="W153" s="691"/>
      <c r="X153" s="691"/>
      <c r="Y153" s="571"/>
      <c r="Z153" s="571"/>
    </row>
    <row r="154" spans="1:26" ht="12.75" hidden="1" customHeight="1">
      <c r="A154" s="565"/>
      <c r="B154" s="572"/>
      <c r="C154" s="566"/>
      <c r="D154" s="566"/>
      <c r="E154" s="566"/>
      <c r="F154" s="566"/>
      <c r="G154" s="160"/>
      <c r="H154" s="160"/>
      <c r="I154" s="160"/>
      <c r="J154" s="160"/>
      <c r="K154" s="160"/>
      <c r="L154" s="160"/>
      <c r="M154" s="160"/>
      <c r="N154" s="160"/>
      <c r="O154" s="160"/>
      <c r="P154" s="573"/>
      <c r="Q154" s="574"/>
      <c r="R154" s="373"/>
      <c r="S154" s="573"/>
      <c r="T154" s="573"/>
      <c r="U154" s="574"/>
      <c r="V154" s="865"/>
      <c r="W154" s="373"/>
      <c r="X154" s="373"/>
      <c r="Y154" s="373"/>
      <c r="Z154" s="373"/>
    </row>
    <row r="155" spans="1:26" ht="12.75" hidden="1" customHeight="1">
      <c r="A155" s="565">
        <v>2</v>
      </c>
      <c r="B155" s="569" t="s">
        <v>688</v>
      </c>
      <c r="C155" s="566"/>
      <c r="D155" s="566"/>
      <c r="E155" s="566"/>
      <c r="F155" s="566"/>
      <c r="G155" s="570"/>
      <c r="H155" s="570">
        <f t="shared" ref="H155:R155" si="45">(H112-G112)/G112</f>
        <v>0.25685906786135998</v>
      </c>
      <c r="I155" s="570">
        <f t="shared" si="45"/>
        <v>2.0558165239016303E-2</v>
      </c>
      <c r="J155" s="570">
        <f t="shared" si="45"/>
        <v>4.1073265825526617E-2</v>
      </c>
      <c r="K155" s="570">
        <f t="shared" si="45"/>
        <v>2.8971938311097241E-2</v>
      </c>
      <c r="L155" s="570">
        <f t="shared" si="45"/>
        <v>5.6792619739668898E-2</v>
      </c>
      <c r="M155" s="570">
        <f t="shared" si="45"/>
        <v>2.7193150291782264E-2</v>
      </c>
      <c r="N155" s="570">
        <f t="shared" si="45"/>
        <v>6.8104030361591655E-2</v>
      </c>
      <c r="O155" s="570">
        <f t="shared" si="45"/>
        <v>5.6502594061995905E-2</v>
      </c>
      <c r="P155" s="570">
        <f>(P112-O112)/O112</f>
        <v>7.8488012214748479E-2</v>
      </c>
      <c r="Q155" s="570">
        <f t="shared" si="45"/>
        <v>5.8044767553089724E-2</v>
      </c>
      <c r="R155" s="570">
        <f t="shared" si="45"/>
        <v>6.5854187762187183E-2</v>
      </c>
      <c r="S155" s="571">
        <f>(S112-R112)/R112</f>
        <v>2.3105893529671226E-2</v>
      </c>
      <c r="T155" s="571">
        <f>(T112-S112)/S112</f>
        <v>6.8780261325197323E-2</v>
      </c>
      <c r="U155" s="571"/>
      <c r="V155" s="865"/>
      <c r="W155" s="691"/>
      <c r="X155" s="691"/>
      <c r="Y155" s="571" t="e">
        <f t="shared" ref="Y155:Z155" si="46">(Y112-X112)/X112</f>
        <v>#DIV/0!</v>
      </c>
      <c r="Z155" s="571" t="e">
        <f t="shared" si="46"/>
        <v>#DIV/0!</v>
      </c>
    </row>
    <row r="156" spans="1:26" ht="12.75" hidden="1" customHeight="1">
      <c r="A156" s="565"/>
      <c r="B156" s="572"/>
      <c r="C156" s="566"/>
      <c r="D156" s="566"/>
      <c r="E156" s="566"/>
      <c r="F156" s="566"/>
      <c r="G156" s="160"/>
      <c r="H156" s="160"/>
      <c r="I156" s="160"/>
      <c r="J156" s="160"/>
      <c r="K156" s="160"/>
      <c r="L156" s="160"/>
      <c r="M156" s="160"/>
      <c r="N156" s="160"/>
      <c r="O156" s="160"/>
      <c r="P156" s="573"/>
      <c r="Q156" s="574"/>
      <c r="R156" s="373"/>
      <c r="S156" s="573"/>
      <c r="T156" s="573"/>
      <c r="U156" s="574"/>
      <c r="V156" s="865"/>
      <c r="W156" s="373"/>
      <c r="X156" s="373"/>
      <c r="Y156" s="373"/>
      <c r="Z156" s="373"/>
    </row>
    <row r="157" spans="1:26" ht="12.75" hidden="1" customHeight="1">
      <c r="A157" s="565">
        <v>3</v>
      </c>
      <c r="B157" s="575" t="s">
        <v>733</v>
      </c>
      <c r="C157" s="566"/>
      <c r="D157" s="566"/>
      <c r="E157" s="566"/>
      <c r="F157" s="566"/>
      <c r="G157" s="570"/>
      <c r="H157" s="570">
        <f t="shared" ref="H157:T157" si="47">(H128-G128)/G128</f>
        <v>0.18401964495391404</v>
      </c>
      <c r="I157" s="570">
        <f t="shared" si="47"/>
        <v>-8.300335993571507E-3</v>
      </c>
      <c r="J157" s="570">
        <f t="shared" si="47"/>
        <v>2.7835312581817567E-2</v>
      </c>
      <c r="K157" s="570">
        <f t="shared" si="47"/>
        <v>1.2526513023570099E-2</v>
      </c>
      <c r="L157" s="570">
        <f>(L128-K128)/K128</f>
        <v>1.7032879283494611E-2</v>
      </c>
      <c r="M157" s="570">
        <f t="shared" si="47"/>
        <v>-3.9328404153839702E-2</v>
      </c>
      <c r="N157" s="570">
        <f t="shared" si="47"/>
        <v>3.2469427673928221E-2</v>
      </c>
      <c r="O157" s="570">
        <f t="shared" si="47"/>
        <v>5.5968552728864154E-2</v>
      </c>
      <c r="P157" s="570">
        <f t="shared" si="47"/>
        <v>0.10609960911742022</v>
      </c>
      <c r="Q157" s="570">
        <f t="shared" si="47"/>
        <v>0.1096052140118256</v>
      </c>
      <c r="R157" s="570">
        <f t="shared" si="47"/>
        <v>3.4428640174412488E-2</v>
      </c>
      <c r="S157" s="571">
        <f t="shared" si="47"/>
        <v>8.6301082257175296E-2</v>
      </c>
      <c r="T157" s="571">
        <f t="shared" si="47"/>
        <v>5.2475355372801048E-2</v>
      </c>
      <c r="U157" s="571"/>
      <c r="V157" s="865"/>
      <c r="W157" s="691"/>
      <c r="X157" s="691"/>
      <c r="Y157" s="571"/>
      <c r="Z157" s="571"/>
    </row>
    <row r="158" spans="1:26" ht="12.75" hidden="1" customHeight="1">
      <c r="A158" s="565"/>
      <c r="B158" s="572"/>
      <c r="C158" s="566"/>
      <c r="D158" s="566"/>
      <c r="E158" s="566"/>
      <c r="F158" s="566"/>
      <c r="G158" s="160"/>
      <c r="H158" s="160"/>
      <c r="I158" s="160"/>
      <c r="J158" s="160"/>
      <c r="K158" s="160"/>
      <c r="L158" s="160"/>
      <c r="M158" s="160"/>
      <c r="N158" s="160"/>
      <c r="O158" s="160"/>
      <c r="P158" s="573"/>
      <c r="Q158" s="574"/>
      <c r="R158" s="373"/>
      <c r="S158" s="573"/>
      <c r="T158" s="573"/>
      <c r="U158" s="574"/>
      <c r="V158" s="865"/>
      <c r="W158" s="373"/>
      <c r="X158" s="373"/>
      <c r="Y158" s="373"/>
      <c r="Z158" s="373"/>
    </row>
    <row r="159" spans="1:26" ht="12.75" hidden="1" customHeight="1">
      <c r="A159" s="565">
        <v>4</v>
      </c>
      <c r="B159" s="160" t="s">
        <v>661</v>
      </c>
      <c r="C159" s="566"/>
      <c r="D159" s="566"/>
      <c r="E159" s="566"/>
      <c r="F159" s="566"/>
      <c r="G159" s="570"/>
      <c r="H159" s="570">
        <f t="shared" ref="H159:T159" si="48">(H131-G131)/G131</f>
        <v>0.11660360150873199</v>
      </c>
      <c r="I159" s="570">
        <f t="shared" si="48"/>
        <v>-2.5557740208951428E-2</v>
      </c>
      <c r="J159" s="570">
        <f t="shared" si="48"/>
        <v>5.1559668166338703E-2</v>
      </c>
      <c r="K159" s="570">
        <f t="shared" si="48"/>
        <v>5.4549221649185228E-2</v>
      </c>
      <c r="L159" s="570">
        <f t="shared" si="48"/>
        <v>7.0856760994680204E-2</v>
      </c>
      <c r="M159" s="570">
        <f t="shared" si="48"/>
        <v>1.7673002131558282E-2</v>
      </c>
      <c r="N159" s="570">
        <f t="shared" si="48"/>
        <v>5.3295974553158751E-2</v>
      </c>
      <c r="O159" s="570">
        <f t="shared" si="48"/>
        <v>7.6310960951630258E-2</v>
      </c>
      <c r="P159" s="570">
        <f t="shared" si="48"/>
        <v>4.9451857344139184E-2</v>
      </c>
      <c r="Q159" s="570">
        <f t="shared" si="48"/>
        <v>4.9298112857892949E-2</v>
      </c>
      <c r="R159" s="570">
        <f t="shared" si="48"/>
        <v>4.0868701363209893E-2</v>
      </c>
      <c r="S159" s="571">
        <f t="shared" si="48"/>
        <v>5.6063699108318529E-2</v>
      </c>
      <c r="T159" s="571">
        <f t="shared" si="48"/>
        <v>1.631283420222425E-2</v>
      </c>
      <c r="U159" s="571"/>
      <c r="V159" s="865"/>
      <c r="W159" s="691"/>
      <c r="X159" s="691"/>
      <c r="Y159" s="571">
        <f t="shared" ref="Y159:Z159" si="49">(Y131-X131)/X131</f>
        <v>2.2744207408774038E-2</v>
      </c>
      <c r="Z159" s="571">
        <f t="shared" si="49"/>
        <v>3.813070553651416E-2</v>
      </c>
    </row>
    <row r="160" spans="1:26" ht="12.75" hidden="1" customHeight="1">
      <c r="A160" s="565"/>
      <c r="B160" s="572"/>
      <c r="C160" s="566"/>
      <c r="D160" s="566"/>
      <c r="E160" s="566"/>
      <c r="F160" s="566"/>
      <c r="G160" s="160"/>
      <c r="H160" s="160"/>
      <c r="I160" s="160"/>
      <c r="J160" s="160"/>
      <c r="K160" s="160"/>
      <c r="L160" s="160"/>
      <c r="M160" s="160"/>
      <c r="N160" s="160"/>
      <c r="O160" s="160"/>
      <c r="P160" s="573"/>
      <c r="Q160" s="574"/>
      <c r="R160" s="373"/>
      <c r="S160" s="573"/>
      <c r="T160" s="573"/>
      <c r="U160" s="574"/>
      <c r="V160" s="865"/>
      <c r="W160" s="373"/>
      <c r="X160" s="373"/>
      <c r="Y160" s="373"/>
      <c r="Z160" s="373"/>
    </row>
    <row r="161" spans="1:30" ht="12.75" hidden="1" customHeight="1">
      <c r="A161" s="565">
        <v>5</v>
      </c>
      <c r="B161" s="160" t="s">
        <v>705</v>
      </c>
      <c r="C161" s="566"/>
      <c r="D161" s="566"/>
      <c r="E161" s="566"/>
      <c r="F161" s="566"/>
      <c r="G161" s="570"/>
      <c r="H161" s="570">
        <f t="shared" ref="H161:T161" si="50">(H134-G134)/G134</f>
        <v>0.27504414115126818</v>
      </c>
      <c r="I161" s="570">
        <f t="shared" si="50"/>
        <v>-2.5483751565252316E-2</v>
      </c>
      <c r="J161" s="570">
        <f t="shared" si="50"/>
        <v>4.7906707989704263E-2</v>
      </c>
      <c r="K161" s="570">
        <f t="shared" si="50"/>
        <v>5.3766591989059281E-2</v>
      </c>
      <c r="L161" s="570">
        <f t="shared" si="50"/>
        <v>6.6682360747558678E-2</v>
      </c>
      <c r="M161" s="570">
        <f t="shared" si="50"/>
        <v>1.9832797986531901E-2</v>
      </c>
      <c r="N161" s="570">
        <f t="shared" si="50"/>
        <v>5.0439813646837209E-2</v>
      </c>
      <c r="O161" s="570">
        <f t="shared" si="50"/>
        <v>7.2775500619102512E-2</v>
      </c>
      <c r="P161" s="570">
        <f t="shared" si="50"/>
        <v>6.6674361380232611E-2</v>
      </c>
      <c r="Q161" s="570">
        <f t="shared" si="50"/>
        <v>6.1411642233225254E-2</v>
      </c>
      <c r="R161" s="571"/>
      <c r="S161" s="571">
        <f t="shared" si="50"/>
        <v>5.7876140555231992E-2</v>
      </c>
      <c r="T161" s="571">
        <f t="shared" si="50"/>
        <v>3.8420067011839629E-2</v>
      </c>
      <c r="U161" s="571"/>
      <c r="V161" s="865"/>
      <c r="W161" s="691"/>
      <c r="X161" s="691"/>
      <c r="Y161" s="571"/>
      <c r="Z161" s="571"/>
    </row>
    <row r="162" spans="1:30" ht="12.75" hidden="1" customHeight="1">
      <c r="A162" s="565"/>
      <c r="B162" s="160"/>
      <c r="C162" s="566"/>
      <c r="D162" s="566"/>
      <c r="E162" s="566"/>
      <c r="F162" s="566"/>
      <c r="G162" s="570"/>
      <c r="H162" s="570"/>
      <c r="I162" s="570"/>
      <c r="J162" s="570"/>
      <c r="K162" s="570"/>
      <c r="L162" s="570"/>
      <c r="M162" s="570"/>
      <c r="N162" s="570"/>
      <c r="O162" s="570"/>
      <c r="P162" s="573"/>
      <c r="Q162" s="574"/>
      <c r="R162" s="373"/>
      <c r="S162" s="573"/>
      <c r="T162" s="573"/>
      <c r="U162" s="574"/>
      <c r="V162" s="865"/>
      <c r="W162" s="373"/>
      <c r="X162" s="514"/>
      <c r="Y162" s="514"/>
    </row>
    <row r="163" spans="1:30" ht="23.25" hidden="1" customHeight="1">
      <c r="A163" s="565">
        <v>6</v>
      </c>
      <c r="B163" s="160" t="s">
        <v>713</v>
      </c>
      <c r="C163" s="566"/>
      <c r="D163" s="566"/>
      <c r="E163" s="566"/>
      <c r="F163" s="566"/>
      <c r="G163" s="570"/>
      <c r="H163" s="570">
        <f t="shared" ref="H163:T163" si="51">(H142-G142)/G142</f>
        <v>-0.13691026827012026</v>
      </c>
      <c r="I163" s="570">
        <f t="shared" si="51"/>
        <v>0.35905680600214362</v>
      </c>
      <c r="J163" s="570">
        <f t="shared" si="51"/>
        <v>9.5820189274447951E-2</v>
      </c>
      <c r="K163" s="570">
        <f t="shared" si="51"/>
        <v>0.23889391867578294</v>
      </c>
      <c r="L163" s="570">
        <f t="shared" si="51"/>
        <v>-0.14141803467102709</v>
      </c>
      <c r="M163" s="570">
        <f t="shared" si="51"/>
        <v>3.9580514208389712E-2</v>
      </c>
      <c r="N163" s="570">
        <f t="shared" si="51"/>
        <v>-6.4432150992515452E-2</v>
      </c>
      <c r="O163" s="570">
        <f t="shared" si="51"/>
        <v>-2.1349495652174127E-2</v>
      </c>
      <c r="P163" s="570">
        <f t="shared" si="51"/>
        <v>-1.7465043789455863E-4</v>
      </c>
      <c r="Q163" s="570">
        <f t="shared" si="51"/>
        <v>-2.9248571910390862E-4</v>
      </c>
      <c r="R163" s="571"/>
      <c r="S163" s="571">
        <f t="shared" si="51"/>
        <v>4.5047899939439209E-2</v>
      </c>
      <c r="T163" s="571">
        <f t="shared" si="51"/>
        <v>4.222719399538253E-3</v>
      </c>
      <c r="U163" s="571"/>
      <c r="V163" s="865"/>
      <c r="W163" s="514"/>
      <c r="X163" s="514"/>
      <c r="Y163" s="514"/>
    </row>
    <row r="164" spans="1:30" ht="3" hidden="1" customHeight="1">
      <c r="A164" s="565"/>
      <c r="B164" s="566"/>
      <c r="C164" s="566"/>
      <c r="D164" s="566"/>
      <c r="E164" s="566"/>
      <c r="F164" s="566"/>
      <c r="G164" s="566"/>
      <c r="H164" s="566"/>
      <c r="I164" s="566"/>
      <c r="J164" s="566"/>
      <c r="K164" s="566"/>
      <c r="L164" s="576"/>
      <c r="M164" s="566"/>
      <c r="N164" s="576"/>
      <c r="O164" s="566"/>
      <c r="P164" s="576"/>
      <c r="Q164" s="567"/>
      <c r="R164" s="568"/>
      <c r="S164" s="474"/>
      <c r="T164" s="474"/>
      <c r="U164" s="474"/>
      <c r="V164" s="865"/>
      <c r="W164" s="514"/>
      <c r="X164" s="514"/>
      <c r="Y164" s="514"/>
    </row>
    <row r="165" spans="1:30" ht="12.75">
      <c r="A165" s="565" t="s">
        <v>19</v>
      </c>
      <c r="B165" s="560" t="s">
        <v>839</v>
      </c>
      <c r="C165" s="560"/>
      <c r="D165" s="561"/>
      <c r="E165" s="562"/>
      <c r="F165" s="562"/>
      <c r="G165" s="563"/>
      <c r="H165" s="563" t="s">
        <v>734</v>
      </c>
      <c r="I165" s="563" t="s">
        <v>735</v>
      </c>
      <c r="J165" s="563" t="s">
        <v>736</v>
      </c>
      <c r="K165" s="563" t="s">
        <v>737</v>
      </c>
      <c r="L165" s="563" t="s">
        <v>738</v>
      </c>
      <c r="M165" s="564"/>
      <c r="N165" s="563" t="s">
        <v>739</v>
      </c>
      <c r="O165" s="563" t="s">
        <v>740</v>
      </c>
      <c r="P165" s="563" t="s">
        <v>741</v>
      </c>
      <c r="Q165" s="563" t="s">
        <v>742</v>
      </c>
      <c r="R165" s="563" t="s">
        <v>743</v>
      </c>
      <c r="S165" s="564" t="s">
        <v>744</v>
      </c>
      <c r="T165" s="564" t="s">
        <v>648</v>
      </c>
      <c r="U165" s="564"/>
      <c r="V165" s="866"/>
      <c r="W165" s="595"/>
      <c r="Z165" s="212"/>
    </row>
    <row r="166" spans="1:30" ht="8.25" customHeight="1">
      <c r="A166" s="565"/>
      <c r="B166" s="566"/>
      <c r="C166" s="566"/>
      <c r="D166" s="566"/>
      <c r="E166" s="566"/>
      <c r="F166" s="566"/>
      <c r="G166" s="578"/>
      <c r="H166" s="578"/>
      <c r="I166" s="578"/>
      <c r="J166" s="578"/>
      <c r="K166" s="578"/>
      <c r="L166" s="578"/>
      <c r="M166" s="579"/>
      <c r="N166" s="580"/>
      <c r="O166" s="578"/>
      <c r="P166" s="567"/>
      <c r="Q166" s="567"/>
      <c r="R166" s="567"/>
      <c r="S166" s="212"/>
      <c r="T166" s="682"/>
      <c r="U166" s="682"/>
      <c r="W166" s="514"/>
    </row>
    <row r="167" spans="1:30" ht="15" customHeight="1">
      <c r="A167" s="565">
        <v>1</v>
      </c>
      <c r="B167" s="569" t="s">
        <v>683</v>
      </c>
      <c r="C167" s="566"/>
      <c r="D167" s="566"/>
      <c r="E167" s="566"/>
      <c r="F167" s="566"/>
      <c r="G167" s="582"/>
      <c r="H167" s="582">
        <f>RATE(13,,-G105,$T105)</f>
        <v>5.4702651491722785E-2</v>
      </c>
      <c r="I167" s="582">
        <f>RATE(12,,-H105,$T105)</f>
        <v>4.7294644812129492E-2</v>
      </c>
      <c r="J167" s="582">
        <f>RATE(11,,-I105,$T105)</f>
        <v>5.5133531303289039E-2</v>
      </c>
      <c r="K167" s="582">
        <f>RATE(10,,-J105,$T105)</f>
        <v>4.8628357343467064E-2</v>
      </c>
      <c r="L167" s="582">
        <f>RATE(9,,-K105,$T105)</f>
        <v>5.3047332832783331E-2</v>
      </c>
      <c r="M167" s="583"/>
      <c r="N167" s="584">
        <f>RATE(9,,-M105,$V105)</f>
        <v>4.8191093056040621E-2</v>
      </c>
      <c r="O167" s="583">
        <f>RATE(8,,-N105,$V105)</f>
        <v>4.4862562275938885E-2</v>
      </c>
      <c r="P167" s="583">
        <f>RATE(7,,-O105,$V105)</f>
        <v>3.8267740877742824E-2</v>
      </c>
      <c r="Q167" s="583">
        <f>RATE(6,,-P105,$V105)</f>
        <v>3.6407413701026146E-2</v>
      </c>
      <c r="R167" s="583">
        <f>RATE(5,,-Q105,$V105)</f>
        <v>2.6771737852322699E-2</v>
      </c>
      <c r="S167" s="583">
        <f>RATE(4,,-R105,$V105)</f>
        <v>1.9857558616754128E-2</v>
      </c>
      <c r="T167" s="583">
        <f>RATE(3,,-S105,$V105)</f>
        <v>2.8369356623313181E-2</v>
      </c>
      <c r="U167" s="583"/>
      <c r="V167" s="784">
        <f>T167-(T167*10%)</f>
        <v>2.5532420960981864E-2</v>
      </c>
      <c r="W167" s="583"/>
      <c r="X167" s="813" t="s">
        <v>888</v>
      </c>
      <c r="Y167" s="592"/>
      <c r="Z167" s="814">
        <v>2.3599999999999999E-2</v>
      </c>
    </row>
    <row r="168" spans="1:30" ht="9" hidden="1" customHeight="1">
      <c r="A168" s="565"/>
      <c r="B168" s="569"/>
      <c r="C168" s="566"/>
      <c r="D168" s="566"/>
      <c r="E168" s="566"/>
      <c r="F168" s="566"/>
      <c r="G168" s="582"/>
      <c r="H168" s="582"/>
      <c r="I168" s="582"/>
      <c r="J168" s="582"/>
      <c r="K168" s="582"/>
      <c r="L168" s="582"/>
      <c r="M168" s="583"/>
      <c r="N168" s="582"/>
      <c r="O168" s="582"/>
      <c r="P168" s="582"/>
      <c r="Q168" s="582"/>
      <c r="R168" s="582"/>
      <c r="S168" s="583"/>
      <c r="T168" s="583"/>
      <c r="U168" s="583"/>
      <c r="W168" s="514"/>
      <c r="Y168" s="692"/>
    </row>
    <row r="169" spans="1:30" ht="2.25" hidden="1" customHeight="1">
      <c r="A169" s="558" t="s">
        <v>746</v>
      </c>
      <c r="B169" s="569"/>
      <c r="C169" s="566"/>
      <c r="D169" s="566"/>
      <c r="E169" s="566"/>
      <c r="F169" s="566"/>
      <c r="G169" s="582"/>
      <c r="H169" s="582"/>
      <c r="I169" s="582"/>
      <c r="J169" s="582"/>
      <c r="K169" s="582"/>
      <c r="L169" s="582"/>
      <c r="M169" s="583"/>
      <c r="N169" s="583"/>
      <c r="O169" s="582"/>
      <c r="P169" s="582"/>
      <c r="Q169" s="582"/>
      <c r="R169" s="582"/>
      <c r="S169" s="583"/>
      <c r="T169" s="583"/>
      <c r="U169" s="583"/>
      <c r="W169" s="514"/>
      <c r="Y169" s="692"/>
    </row>
    <row r="170" spans="1:30" ht="11.25" customHeight="1">
      <c r="A170" s="558"/>
      <c r="B170" s="569"/>
      <c r="C170" s="566"/>
      <c r="D170" s="566"/>
      <c r="E170" s="566"/>
      <c r="F170" s="566"/>
      <c r="G170" s="582"/>
      <c r="H170" s="582"/>
      <c r="I170" s="582"/>
      <c r="J170" s="582"/>
      <c r="K170" s="582"/>
      <c r="L170" s="582"/>
      <c r="M170" s="583"/>
      <c r="N170" s="582"/>
      <c r="O170" s="582"/>
      <c r="P170" s="582"/>
      <c r="Q170" s="582"/>
      <c r="R170" s="582"/>
      <c r="S170" s="583"/>
      <c r="T170" s="583"/>
      <c r="U170" s="583"/>
      <c r="W170" s="514"/>
      <c r="X170" s="474" t="s">
        <v>874</v>
      </c>
      <c r="Y170" s="536"/>
      <c r="Z170" s="536"/>
    </row>
    <row r="171" spans="1:30" ht="12.75">
      <c r="A171" s="558">
        <v>2</v>
      </c>
      <c r="B171" s="569" t="s">
        <v>688</v>
      </c>
      <c r="C171" s="566"/>
      <c r="D171" s="566"/>
      <c r="E171" s="566"/>
      <c r="F171" s="566"/>
      <c r="G171" s="582"/>
      <c r="H171" s="582">
        <f>RATE(13,,-G112,$T112)</f>
        <v>6.394726835508166E-2</v>
      </c>
      <c r="I171" s="582">
        <f t="shared" ref="I171" si="52">RATE(12,,-H112,$T112)</f>
        <v>4.9275576140767163E-2</v>
      </c>
      <c r="J171" s="582">
        <f>RATE(11,,-I112,$T112)</f>
        <v>5.1925982638870098E-2</v>
      </c>
      <c r="K171" s="582">
        <f>RATE(10,,-J112,$T112)</f>
        <v>5.3017457362145651E-2</v>
      </c>
      <c r="L171" s="582">
        <f>RATE(9,,-K112,$T112)</f>
        <v>5.5723629797216304E-2</v>
      </c>
      <c r="M171" s="583"/>
      <c r="N171" s="583">
        <f>RATE(9,,-M112,$V112)</f>
        <v>6.9111736181121583E-2</v>
      </c>
      <c r="O171" s="583">
        <f>RATE(8,,-N112,$V112)</f>
        <v>6.9237766237775292E-2</v>
      </c>
      <c r="P171" s="583">
        <f>RATE(7,,-O112,$V112)</f>
        <v>7.1069565127570608E-2</v>
      </c>
      <c r="Q171" s="583">
        <f>RATE(6,,-P112,$V112)</f>
        <v>6.9838127868877761E-2</v>
      </c>
      <c r="R171" s="583">
        <f>RATE(5,,-Q112,$V112)</f>
        <v>7.2212527659928222E-2</v>
      </c>
      <c r="S171" s="583">
        <f>RATE(4,,-R112,$V112)</f>
        <v>7.3808030474377673E-2</v>
      </c>
      <c r="T171" s="583">
        <f>RATE(3,,-S112,$V112)</f>
        <v>9.1261083983235194E-2</v>
      </c>
      <c r="U171" s="583"/>
      <c r="V171" s="583"/>
      <c r="W171" s="583"/>
      <c r="X171" s="536"/>
      <c r="Y171" s="536"/>
      <c r="Z171" s="536"/>
    </row>
    <row r="172" spans="1:30" ht="6.75" customHeight="1">
      <c r="A172" s="558"/>
      <c r="B172" s="569"/>
      <c r="C172" s="566"/>
      <c r="D172" s="572"/>
      <c r="E172" s="566"/>
      <c r="F172" s="566"/>
      <c r="G172" s="585"/>
      <c r="H172" s="585"/>
      <c r="I172" s="585"/>
      <c r="J172" s="585"/>
      <c r="K172" s="585"/>
      <c r="L172" s="585"/>
      <c r="M172" s="586"/>
      <c r="N172" s="583"/>
      <c r="O172" s="586"/>
      <c r="P172" s="586"/>
      <c r="Q172" s="586"/>
      <c r="R172" s="586"/>
      <c r="S172" s="586"/>
      <c r="T172" s="586"/>
      <c r="U172" s="586"/>
      <c r="W172" s="514"/>
      <c r="X172" s="536"/>
      <c r="Y172" s="536"/>
      <c r="Z172" s="536"/>
    </row>
    <row r="173" spans="1:30" ht="12.75">
      <c r="A173" s="558">
        <v>3</v>
      </c>
      <c r="B173" s="569" t="s">
        <v>733</v>
      </c>
      <c r="C173" s="588"/>
      <c r="D173" s="588"/>
      <c r="E173" s="588"/>
      <c r="F173" s="588"/>
      <c r="G173" s="583"/>
      <c r="H173" s="583">
        <f>RATE(13,,-G128,$T128)</f>
        <v>5.0162123078173367E-2</v>
      </c>
      <c r="I173" s="583">
        <f>RATE(12,,-H128,$T128)</f>
        <v>3.9715384987870278E-2</v>
      </c>
      <c r="J173" s="583">
        <f>RATE(11,,-I128,$T128)</f>
        <v>4.4194076809312872E-2</v>
      </c>
      <c r="K173" s="583">
        <f>RATE(10,,-J128,$T128)</f>
        <v>4.5844205275785872E-2</v>
      </c>
      <c r="L173" s="583">
        <f>RATE(9,,-K128,$T128)</f>
        <v>4.9613196349063395E-2</v>
      </c>
      <c r="M173" s="583"/>
      <c r="N173" s="583">
        <f>RATE(9,,-M128,$V128)</f>
        <v>6.1927583819493162E-2</v>
      </c>
      <c r="O173" s="583">
        <f>RATE(8,,-N128,$V128)</f>
        <v>6.5668465156334302E-2</v>
      </c>
      <c r="P173" s="583">
        <f>RATE(7,,-O128,$V128)</f>
        <v>6.7061421508537375E-2</v>
      </c>
      <c r="Q173" s="583">
        <f>RATE(6,,-P128,$V128)</f>
        <v>6.0690344253766883E-2</v>
      </c>
      <c r="R173" s="583">
        <f>RATE(5,,-Q128,$V128)</f>
        <v>5.1169232473647283E-2</v>
      </c>
      <c r="S173" s="583">
        <f>RATE(4,,-R128,$V128)</f>
        <v>5.5396541737780233E-2</v>
      </c>
      <c r="T173" s="583">
        <f>RATE(3,,-S128,$V128)</f>
        <v>4.529165909887143E-2</v>
      </c>
      <c r="U173" s="583"/>
      <c r="W173" s="514"/>
      <c r="X173" s="536"/>
      <c r="Y173" s="536"/>
      <c r="Z173" s="536"/>
    </row>
    <row r="174" spans="1:30" ht="9" customHeight="1">
      <c r="A174" s="558"/>
      <c r="B174" s="572"/>
      <c r="C174" s="566"/>
      <c r="D174" s="572"/>
      <c r="E174" s="566"/>
      <c r="F174" s="566"/>
      <c r="G174" s="585"/>
      <c r="H174" s="585"/>
      <c r="I174" s="585"/>
      <c r="J174" s="585"/>
      <c r="K174" s="585"/>
      <c r="L174" s="585"/>
      <c r="M174" s="586"/>
      <c r="N174" s="583"/>
      <c r="O174" s="586"/>
      <c r="P174" s="586"/>
      <c r="Q174" s="586"/>
      <c r="R174" s="586"/>
      <c r="S174" s="586"/>
      <c r="T174" s="586"/>
      <c r="U174" s="586"/>
      <c r="W174" s="514"/>
      <c r="X174" s="536"/>
      <c r="Y174" s="536"/>
      <c r="Z174" s="536"/>
      <c r="AA174" s="514"/>
      <c r="AB174" s="514"/>
      <c r="AC174" s="514"/>
      <c r="AD174" s="514"/>
    </row>
    <row r="175" spans="1:30" ht="12.75">
      <c r="A175" s="558">
        <v>4</v>
      </c>
      <c r="B175" s="160" t="s">
        <v>661</v>
      </c>
      <c r="C175" s="566"/>
      <c r="D175" s="566"/>
      <c r="E175" s="567"/>
      <c r="F175" s="567"/>
      <c r="G175" s="589"/>
      <c r="H175" s="589">
        <f>RATE(13,,-G131,$T131)</f>
        <v>4.7751654874845346E-2</v>
      </c>
      <c r="I175" s="589">
        <f>RATE(12,,-H131,$T131)</f>
        <v>4.2209353212042514E-2</v>
      </c>
      <c r="J175" s="589">
        <f>RATE(11,,-I131,$T131)</f>
        <v>4.8598924277941435E-2</v>
      </c>
      <c r="K175" s="589">
        <f>RATE(10,,-J131,$T131)</f>
        <v>4.830330876750677E-2</v>
      </c>
      <c r="L175" s="589">
        <f>RATE(9,,-K131,$T131)</f>
        <v>4.7611606013095532E-2</v>
      </c>
      <c r="M175" s="590"/>
      <c r="N175" s="583">
        <f>RATE(9,,-M131,$V131)</f>
        <v>5.2118826317226481E-2</v>
      </c>
      <c r="O175" s="590">
        <f>RATE(8,,-N131,$V131)</f>
        <v>5.197177531847634E-2</v>
      </c>
      <c r="P175" s="590">
        <f>RATE(7,,-O131,$V131)</f>
        <v>4.8539972369379722E-2</v>
      </c>
      <c r="Q175" s="590">
        <f>RATE(6,,-P131,$V131)</f>
        <v>4.8388068592976959E-2</v>
      </c>
      <c r="R175" s="590">
        <f>RATE(5,,-Q131,$V131)</f>
        <v>4.8206154474426291E-2</v>
      </c>
      <c r="S175" s="590">
        <f>RATE(4,,-R131,$V131)</f>
        <v>5.0048585476755593E-2</v>
      </c>
      <c r="T175" s="590">
        <f>RATE(3,,-S131,$V131)</f>
        <v>4.805117077128554E-2</v>
      </c>
      <c r="U175" s="590"/>
      <c r="V175" s="605">
        <f>RATE(2,,-X131,$Z131)</f>
        <v>3.0408737162420218E-2</v>
      </c>
      <c r="W175" s="583"/>
      <c r="X175" s="693" t="s">
        <v>577</v>
      </c>
      <c r="AA175" s="514"/>
      <c r="AB175" s="514"/>
      <c r="AC175" s="514"/>
      <c r="AD175" s="514"/>
    </row>
    <row r="176" spans="1:30" ht="6.75" hidden="1" customHeight="1">
      <c r="A176" s="558"/>
      <c r="B176" s="160"/>
      <c r="C176" s="566"/>
      <c r="D176" s="566"/>
      <c r="E176" s="567"/>
      <c r="F176" s="567"/>
      <c r="G176" s="589"/>
      <c r="H176" s="589"/>
      <c r="I176" s="589"/>
      <c r="J176" s="589"/>
      <c r="K176" s="589"/>
      <c r="L176" s="589"/>
      <c r="M176" s="590"/>
      <c r="N176" s="583"/>
      <c r="O176" s="590"/>
      <c r="P176" s="590"/>
      <c r="Q176" s="590"/>
      <c r="R176" s="590"/>
      <c r="S176" s="590"/>
      <c r="T176" s="590"/>
      <c r="U176" s="591"/>
      <c r="W176" s="514"/>
      <c r="Z176" s="514"/>
      <c r="AA176" s="514"/>
      <c r="AB176" s="514"/>
      <c r="AC176" s="514"/>
      <c r="AD176" s="514"/>
    </row>
    <row r="177" spans="1:30" ht="12.75" hidden="1">
      <c r="A177" s="558">
        <v>11</v>
      </c>
      <c r="B177" s="160" t="s">
        <v>747</v>
      </c>
      <c r="C177" s="566"/>
      <c r="D177" s="566"/>
      <c r="E177" s="566"/>
      <c r="F177" s="566"/>
      <c r="G177" s="589"/>
      <c r="H177" s="589">
        <f>RATE(13,,-G134,$T134)</f>
        <v>5.9916811852193413E-2</v>
      </c>
      <c r="I177" s="589">
        <f>RATE(12,,-H134,$T134)</f>
        <v>4.3719972514857285E-2</v>
      </c>
      <c r="J177" s="589">
        <f>RATE(11,,-I134,$T134)</f>
        <v>5.0249835767023479E-2</v>
      </c>
      <c r="K177" s="589">
        <f>RATE(10,,-J134,$T134)</f>
        <v>5.0484436510544822E-2</v>
      </c>
      <c r="L177" s="589">
        <f>RATE(9,,-K134,$T134)</f>
        <v>5.01203841945803E-2</v>
      </c>
      <c r="M177" s="590"/>
      <c r="N177" s="583">
        <f>RATE(7,,-M134,$U134)</f>
        <v>5.9749798478817402E-2</v>
      </c>
      <c r="O177" s="590">
        <f>RATE(6,,-N134,$U134)</f>
        <v>6.1309465125706696E-2</v>
      </c>
      <c r="P177" s="590">
        <f>RATE(5,,-O134,$U134)</f>
        <v>5.9031006294123459E-2</v>
      </c>
      <c r="Q177" s="590">
        <f>RATE(4,,-P134,$U134)</f>
        <v>5.7128740584982567E-2</v>
      </c>
      <c r="R177" s="590">
        <f>RATE(4,,-Q134,$U134)</f>
        <v>4.1494350732095002E-2</v>
      </c>
      <c r="S177" s="590">
        <f>RATE(3,,-R134,$V134)</f>
        <v>7.5729958088000343E-2</v>
      </c>
      <c r="T177" s="590">
        <f>RATE(3,,-S134,$V134)</f>
        <v>5.5743272819740765E-2</v>
      </c>
      <c r="U177" s="591">
        <f>RATE(2,,-T134,$V134)</f>
        <v>6.4512947689998587E-2</v>
      </c>
      <c r="W177" s="514"/>
      <c r="Z177" s="514"/>
      <c r="AA177" s="514"/>
      <c r="AB177" s="514"/>
      <c r="AC177" s="514"/>
      <c r="AD177" s="514"/>
    </row>
    <row r="178" spans="1:30" ht="3.75" hidden="1" customHeight="1">
      <c r="A178" s="558"/>
      <c r="B178" s="575"/>
      <c r="C178" s="575"/>
      <c r="D178" s="572"/>
      <c r="E178" s="567"/>
      <c r="F178" s="567"/>
      <c r="G178" s="585"/>
      <c r="H178" s="585"/>
      <c r="I178" s="585"/>
      <c r="J178" s="585"/>
      <c r="K178" s="585"/>
      <c r="L178" s="585"/>
      <c r="M178" s="586"/>
      <c r="N178" s="583"/>
      <c r="O178" s="586"/>
      <c r="P178" s="586"/>
      <c r="Q178" s="586"/>
      <c r="R178" s="586"/>
      <c r="S178" s="586"/>
      <c r="T178" s="586"/>
      <c r="U178" s="587"/>
      <c r="W178" s="514"/>
      <c r="Z178" s="514"/>
      <c r="AA178" s="514"/>
      <c r="AB178" s="514"/>
      <c r="AC178" s="514"/>
      <c r="AD178" s="514"/>
    </row>
    <row r="179" spans="1:30" ht="12.75" hidden="1">
      <c r="A179" s="558">
        <v>12</v>
      </c>
      <c r="B179" s="160" t="s">
        <v>713</v>
      </c>
      <c r="C179" s="566"/>
      <c r="D179" s="566"/>
      <c r="E179" s="567"/>
      <c r="F179" s="567"/>
      <c r="G179" s="589"/>
      <c r="H179" s="589">
        <f>RATE(13,,-G142,$T142)</f>
        <v>3.7262395787796047E-2</v>
      </c>
      <c r="I179" s="589">
        <f>RATE(12,,-H142,$T142)</f>
        <v>5.3273984047451164E-2</v>
      </c>
      <c r="J179" s="589">
        <f>RATE(11,,-I142,$T142)</f>
        <v>2.914853821848196E-2</v>
      </c>
      <c r="K179" s="589">
        <f>RATE(10,,-J142,$T142)</f>
        <v>2.2708670528141389E-2</v>
      </c>
      <c r="L179" s="589">
        <f>RATE(9,,-K142,$T142)</f>
        <v>1.1481795651673353E-3</v>
      </c>
      <c r="M179" s="590"/>
      <c r="N179" s="583">
        <f>RATE(7,,-M142,$U142)</f>
        <v>-3.1854856764249012E-2</v>
      </c>
      <c r="O179" s="590">
        <f>RATE(6,,-N142,$U142)</f>
        <v>-2.6316071794573032E-2</v>
      </c>
      <c r="P179" s="590">
        <f>RATE(5,,-O142,$U142)</f>
        <v>-2.7306358322388511E-2</v>
      </c>
      <c r="Q179" s="590">
        <f>RATE(4,,-P142,$U142)</f>
        <v>-3.397345510314493E-2</v>
      </c>
      <c r="R179" s="590">
        <f>RATE(4,,-Q142,$U142)</f>
        <v>-3.3902804945406928E-2</v>
      </c>
      <c r="S179" s="590">
        <f>RATE(1,,-R142,$U142)</f>
        <v>-0.26089835020605023</v>
      </c>
      <c r="T179" s="590">
        <f>RATE(1,,-S142,$U142)</f>
        <v>-0.29275811200923813</v>
      </c>
      <c r="U179" s="591">
        <f>RATE(1,,-T142,$U142)</f>
        <v>-0.29573203799487036</v>
      </c>
      <c r="W179" s="514"/>
      <c r="Z179" s="514"/>
      <c r="AA179" s="514"/>
      <c r="AB179" s="514"/>
      <c r="AC179" s="514"/>
      <c r="AD179" s="514"/>
    </row>
    <row r="180" spans="1:30" ht="0.75" hidden="1" customHeight="1">
      <c r="A180" s="558"/>
      <c r="B180" s="575"/>
      <c r="C180" s="575"/>
      <c r="D180" s="575"/>
      <c r="E180" s="593"/>
      <c r="F180" s="593"/>
      <c r="G180" s="567"/>
      <c r="H180" s="567"/>
      <c r="I180" s="567"/>
      <c r="J180" s="567"/>
      <c r="K180" s="567"/>
      <c r="L180" s="567"/>
      <c r="M180" s="568"/>
      <c r="N180" s="594"/>
      <c r="O180" s="568"/>
      <c r="P180" s="568"/>
      <c r="Q180" s="568"/>
      <c r="R180" s="568"/>
      <c r="S180" s="474"/>
      <c r="T180" s="474"/>
      <c r="U180" s="592"/>
      <c r="W180" s="514"/>
      <c r="Z180" s="514"/>
      <c r="AA180" s="514"/>
      <c r="AB180" s="514"/>
      <c r="AC180" s="514"/>
      <c r="AD180" s="514"/>
    </row>
    <row r="181" spans="1:30" ht="12.75" hidden="1" customHeight="1">
      <c r="A181" s="558"/>
      <c r="B181" s="560" t="s">
        <v>748</v>
      </c>
      <c r="C181" s="560"/>
      <c r="D181" s="561"/>
      <c r="E181" s="562"/>
      <c r="F181" s="562"/>
      <c r="G181" s="563"/>
      <c r="H181" s="563" t="s">
        <v>734</v>
      </c>
      <c r="I181" s="563" t="s">
        <v>735</v>
      </c>
      <c r="J181" s="563" t="s">
        <v>736</v>
      </c>
      <c r="K181" s="563" t="s">
        <v>737</v>
      </c>
      <c r="L181" s="563" t="s">
        <v>738</v>
      </c>
      <c r="M181" s="564"/>
      <c r="N181" s="564" t="s">
        <v>739</v>
      </c>
      <c r="O181" s="564" t="s">
        <v>740</v>
      </c>
      <c r="P181" s="564" t="s">
        <v>741</v>
      </c>
      <c r="Q181" s="564" t="s">
        <v>742</v>
      </c>
      <c r="R181" s="564" t="s">
        <v>743</v>
      </c>
      <c r="S181" s="564" t="s">
        <v>744</v>
      </c>
      <c r="T181" s="564" t="s">
        <v>648</v>
      </c>
      <c r="U181" s="577" t="s">
        <v>745</v>
      </c>
      <c r="V181" s="474"/>
      <c r="W181" s="514"/>
      <c r="AA181" s="595"/>
      <c r="AB181" s="514"/>
      <c r="AC181" s="514"/>
      <c r="AD181" s="514"/>
    </row>
    <row r="182" spans="1:30" ht="6.75" hidden="1" customHeight="1">
      <c r="A182" s="558"/>
      <c r="B182" s="575"/>
      <c r="C182" s="575"/>
      <c r="D182" s="575"/>
      <c r="E182" s="593"/>
      <c r="F182" s="593"/>
      <c r="G182" s="596"/>
      <c r="H182" s="596"/>
      <c r="I182" s="596"/>
      <c r="J182" s="596"/>
      <c r="K182" s="596"/>
      <c r="L182" s="596"/>
      <c r="M182" s="597"/>
      <c r="N182" s="598"/>
      <c r="O182" s="597"/>
      <c r="P182" s="597"/>
      <c r="Q182" s="597"/>
      <c r="R182" s="597"/>
      <c r="S182" s="212"/>
      <c r="T182" s="682"/>
      <c r="U182" s="581"/>
      <c r="V182" s="474"/>
      <c r="W182" s="514"/>
      <c r="AA182" s="514"/>
      <c r="AB182" s="514"/>
      <c r="AC182" s="514"/>
      <c r="AD182" s="514"/>
    </row>
    <row r="183" spans="1:30" hidden="1">
      <c r="A183" s="558">
        <v>13</v>
      </c>
      <c r="B183" s="569" t="s">
        <v>683</v>
      </c>
      <c r="C183" s="575"/>
      <c r="D183" s="575"/>
      <c r="G183" s="593" t="s">
        <v>749</v>
      </c>
      <c r="H183" s="599">
        <f>2*H167</f>
        <v>0.10940530298344557</v>
      </c>
      <c r="I183" s="599">
        <f t="shared" ref="I183:R183" si="53">2*I167</f>
        <v>9.4589289624258985E-2</v>
      </c>
      <c r="J183" s="599">
        <f t="shared" si="53"/>
        <v>0.11026706260657808</v>
      </c>
      <c r="K183" s="599">
        <f t="shared" si="53"/>
        <v>9.7256714686934129E-2</v>
      </c>
      <c r="L183" s="599">
        <f t="shared" si="53"/>
        <v>0.10609466566556666</v>
      </c>
      <c r="M183" s="600"/>
      <c r="N183" s="601">
        <f>2*N167</f>
        <v>9.6382186112081242E-2</v>
      </c>
      <c r="O183" s="600">
        <f t="shared" si="53"/>
        <v>8.9725124551877769E-2</v>
      </c>
      <c r="P183" s="600">
        <f t="shared" si="53"/>
        <v>7.6535481755485649E-2</v>
      </c>
      <c r="Q183" s="600">
        <f t="shared" si="53"/>
        <v>7.2814827402052293E-2</v>
      </c>
      <c r="R183" s="600">
        <f t="shared" si="53"/>
        <v>5.3543475704645398E-2</v>
      </c>
      <c r="S183" s="600">
        <f>2.333*S167</f>
        <v>4.6327684252887386E-2</v>
      </c>
      <c r="T183" s="600">
        <f>2.333*T167</f>
        <v>6.618570900218966E-2</v>
      </c>
      <c r="U183" s="602">
        <f>2.333*U167</f>
        <v>0</v>
      </c>
      <c r="V183" s="474"/>
      <c r="W183" s="514"/>
      <c r="AA183" s="603"/>
      <c r="AB183" s="514"/>
      <c r="AC183" s="514"/>
      <c r="AD183" s="514"/>
    </row>
    <row r="184" spans="1:30" hidden="1">
      <c r="A184" s="558"/>
      <c r="B184" s="569"/>
      <c r="C184" s="575"/>
      <c r="D184" s="575"/>
      <c r="G184" s="593"/>
      <c r="H184" s="599"/>
      <c r="I184" s="599"/>
      <c r="J184" s="599"/>
      <c r="K184" s="599"/>
      <c r="L184" s="599"/>
      <c r="M184" s="600"/>
      <c r="N184" s="603"/>
      <c r="O184" s="600"/>
      <c r="P184" s="600"/>
      <c r="Q184" s="600"/>
      <c r="R184" s="600"/>
      <c r="S184" s="600"/>
      <c r="T184" s="600"/>
      <c r="U184" s="602"/>
      <c r="V184" s="474"/>
      <c r="W184" s="514"/>
      <c r="AA184" s="603"/>
      <c r="AB184" s="514"/>
      <c r="AC184" s="514"/>
      <c r="AD184" s="514"/>
    </row>
    <row r="185" spans="1:30" ht="2.25" hidden="1" customHeight="1">
      <c r="A185" s="558" t="s">
        <v>750</v>
      </c>
      <c r="B185" s="569" t="s">
        <v>751</v>
      </c>
      <c r="C185" s="575"/>
      <c r="D185" s="575"/>
      <c r="G185" s="593" t="s">
        <v>749</v>
      </c>
      <c r="H185" s="599"/>
      <c r="I185" s="599"/>
      <c r="J185" s="599"/>
      <c r="K185" s="599"/>
      <c r="L185" s="599"/>
      <c r="M185" s="600"/>
      <c r="N185" s="603">
        <f>2*N169</f>
        <v>0</v>
      </c>
      <c r="O185" s="600"/>
      <c r="P185" s="600"/>
      <c r="Q185" s="600"/>
      <c r="R185" s="600"/>
      <c r="S185" s="600"/>
      <c r="T185" s="600"/>
      <c r="U185" s="602"/>
      <c r="V185" s="474"/>
      <c r="W185" s="514"/>
      <c r="AA185" s="603"/>
      <c r="AB185" s="514"/>
      <c r="AC185" s="514"/>
      <c r="AD185" s="514"/>
    </row>
    <row r="186" spans="1:30" ht="12" hidden="1" customHeight="1">
      <c r="A186" s="558"/>
      <c r="B186" s="604"/>
      <c r="C186" s="575"/>
      <c r="D186" s="575"/>
      <c r="G186" s="593"/>
      <c r="H186" s="599"/>
      <c r="I186" s="599"/>
      <c r="J186" s="599"/>
      <c r="K186" s="599"/>
      <c r="L186" s="599"/>
      <c r="M186" s="600"/>
      <c r="N186" s="583"/>
      <c r="O186" s="600"/>
      <c r="P186" s="600"/>
      <c r="Q186" s="600"/>
      <c r="R186" s="600"/>
      <c r="S186" s="322"/>
      <c r="T186" s="322"/>
      <c r="U186" s="605"/>
      <c r="V186" s="474"/>
      <c r="W186" s="514"/>
      <c r="AA186" s="373"/>
      <c r="AB186" s="514"/>
      <c r="AC186" s="514"/>
      <c r="AD186" s="514"/>
    </row>
    <row r="187" spans="1:30" hidden="1">
      <c r="A187" s="558">
        <v>14</v>
      </c>
      <c r="B187" s="569" t="s">
        <v>752</v>
      </c>
      <c r="C187" s="575"/>
      <c r="D187" s="575"/>
      <c r="G187" s="606" t="s">
        <v>749</v>
      </c>
      <c r="H187" s="599">
        <f>2*H171</f>
        <v>0.12789453671016332</v>
      </c>
      <c r="I187" s="599">
        <f t="shared" ref="I187:R187" si="54">2*I171</f>
        <v>9.8551152281534327E-2</v>
      </c>
      <c r="J187" s="599">
        <f t="shared" si="54"/>
        <v>0.1038519652777402</v>
      </c>
      <c r="K187" s="599">
        <f t="shared" si="54"/>
        <v>0.1060349147242913</v>
      </c>
      <c r="L187" s="599">
        <f t="shared" si="54"/>
        <v>0.11144725959443261</v>
      </c>
      <c r="M187" s="600"/>
      <c r="N187" s="603">
        <f t="shared" si="54"/>
        <v>0.13822347236224317</v>
      </c>
      <c r="O187" s="600">
        <f t="shared" si="54"/>
        <v>0.13847553247555058</v>
      </c>
      <c r="P187" s="600">
        <f t="shared" si="54"/>
        <v>0.14213913025514122</v>
      </c>
      <c r="Q187" s="600">
        <f t="shared" si="54"/>
        <v>0.13967625573775552</v>
      </c>
      <c r="R187" s="600">
        <f t="shared" si="54"/>
        <v>0.14442505531985644</v>
      </c>
      <c r="S187" s="600">
        <f>2.333*S171</f>
        <v>0.17219413509672313</v>
      </c>
      <c r="T187" s="600">
        <f>2.333*T171</f>
        <v>0.21291210893288773</v>
      </c>
      <c r="U187" s="602">
        <f t="shared" ref="U187" si="55">2.333*U171</f>
        <v>0</v>
      </c>
      <c r="V187" s="474"/>
      <c r="W187" s="514"/>
      <c r="AA187" s="603"/>
      <c r="AB187" s="514"/>
      <c r="AC187" s="514"/>
      <c r="AD187" s="514"/>
    </row>
    <row r="188" spans="1:30" hidden="1">
      <c r="A188" s="558"/>
      <c r="B188" s="604"/>
      <c r="C188" s="575"/>
      <c r="D188" s="575"/>
      <c r="G188" s="593"/>
      <c r="H188" s="599"/>
      <c r="I188" s="599"/>
      <c r="J188" s="599"/>
      <c r="K188" s="599"/>
      <c r="L188" s="599"/>
      <c r="M188" s="600"/>
      <c r="N188" s="583"/>
      <c r="O188" s="600"/>
      <c r="P188" s="600"/>
      <c r="Q188" s="600"/>
      <c r="R188" s="600"/>
      <c r="S188" s="600"/>
      <c r="T188" s="600"/>
      <c r="U188" s="602"/>
      <c r="V188" s="474"/>
      <c r="W188" s="514"/>
      <c r="AA188" s="603"/>
      <c r="AB188" s="514"/>
      <c r="AC188" s="514"/>
      <c r="AD188" s="514"/>
    </row>
    <row r="189" spans="1:30" hidden="1">
      <c r="A189" s="558">
        <v>15</v>
      </c>
      <c r="B189" s="569" t="s">
        <v>733</v>
      </c>
      <c r="C189" s="575"/>
      <c r="D189" s="575"/>
      <c r="G189" s="606" t="s">
        <v>749</v>
      </c>
      <c r="H189" s="599">
        <f>2*H173</f>
        <v>0.10032424615634673</v>
      </c>
      <c r="I189" s="599">
        <f t="shared" ref="I189:R189" si="56">2*I173</f>
        <v>7.9430769975740556E-2</v>
      </c>
      <c r="J189" s="599">
        <f t="shared" si="56"/>
        <v>8.8388153618625745E-2</v>
      </c>
      <c r="K189" s="599">
        <f t="shared" si="56"/>
        <v>9.1688410551571745E-2</v>
      </c>
      <c r="L189" s="599">
        <f t="shared" si="56"/>
        <v>9.9226392698126789E-2</v>
      </c>
      <c r="M189" s="600"/>
      <c r="N189" s="603">
        <f t="shared" si="56"/>
        <v>0.12385516763898632</v>
      </c>
      <c r="O189" s="600">
        <f t="shared" si="56"/>
        <v>0.1313369303126686</v>
      </c>
      <c r="P189" s="600">
        <f t="shared" si="56"/>
        <v>0.13412284301707475</v>
      </c>
      <c r="Q189" s="600">
        <f t="shared" si="56"/>
        <v>0.12138068850753377</v>
      </c>
      <c r="R189" s="600">
        <f t="shared" si="56"/>
        <v>0.10233846494729457</v>
      </c>
      <c r="S189" s="600">
        <f>2.333*S173</f>
        <v>0.1292401318742413</v>
      </c>
      <c r="T189" s="600">
        <f>2.333*T173</f>
        <v>0.10566544067766706</v>
      </c>
      <c r="U189" s="602">
        <f t="shared" ref="U189" si="57">2.333*U173</f>
        <v>0</v>
      </c>
      <c r="V189" s="474"/>
      <c r="W189" s="514"/>
      <c r="AA189" s="603"/>
      <c r="AB189" s="514"/>
      <c r="AC189" s="514"/>
      <c r="AD189" s="514"/>
    </row>
    <row r="190" spans="1:30" ht="12.75" hidden="1">
      <c r="A190" s="558"/>
      <c r="B190" s="566"/>
      <c r="C190" s="575"/>
      <c r="D190" s="575"/>
      <c r="G190" s="593"/>
      <c r="H190" s="596"/>
      <c r="I190" s="596"/>
      <c r="J190" s="596"/>
      <c r="K190" s="596"/>
      <c r="L190" s="596"/>
      <c r="M190" s="597"/>
      <c r="N190" s="607"/>
      <c r="O190" s="597"/>
      <c r="P190" s="597"/>
      <c r="Q190" s="597"/>
      <c r="R190" s="597"/>
      <c r="S190" s="597"/>
      <c r="T190" s="597"/>
      <c r="U190" s="608"/>
      <c r="V190" s="474"/>
      <c r="W190" s="514"/>
      <c r="AA190" s="598"/>
      <c r="AB190" s="514"/>
      <c r="AC190" s="514"/>
      <c r="AD190" s="514"/>
    </row>
    <row r="191" spans="1:30" ht="15" hidden="1" customHeight="1">
      <c r="A191" s="558">
        <v>16</v>
      </c>
      <c r="B191" s="160" t="s">
        <v>661</v>
      </c>
      <c r="C191" s="575"/>
      <c r="D191" s="575"/>
      <c r="G191" s="606" t="s">
        <v>749</v>
      </c>
      <c r="H191" s="599">
        <f>2*H175</f>
        <v>9.5503309749690693E-2</v>
      </c>
      <c r="I191" s="599">
        <f t="shared" ref="I191:R191" si="58">2*I175</f>
        <v>8.4418706424085027E-2</v>
      </c>
      <c r="J191" s="599">
        <f t="shared" si="58"/>
        <v>9.7197848555882871E-2</v>
      </c>
      <c r="K191" s="599">
        <f t="shared" si="58"/>
        <v>9.6606617535013539E-2</v>
      </c>
      <c r="L191" s="599">
        <f t="shared" si="58"/>
        <v>9.5223212026191065E-2</v>
      </c>
      <c r="M191" s="600"/>
      <c r="N191" s="609">
        <f t="shared" si="58"/>
        <v>0.10423765263445296</v>
      </c>
      <c r="O191" s="599">
        <f t="shared" si="58"/>
        <v>0.10394355063695268</v>
      </c>
      <c r="P191" s="599">
        <f t="shared" si="58"/>
        <v>9.7079944738759444E-2</v>
      </c>
      <c r="Q191" s="599">
        <f t="shared" si="58"/>
        <v>9.6776137185953917E-2</v>
      </c>
      <c r="R191" s="599">
        <f t="shared" si="58"/>
        <v>9.6412308948852582E-2</v>
      </c>
      <c r="S191" s="600">
        <f>2.333*S175</f>
        <v>0.1167633499172708</v>
      </c>
      <c r="T191" s="600">
        <f>2.333*T175</f>
        <v>0.11210338140940918</v>
      </c>
      <c r="U191" s="602">
        <f t="shared" ref="U191" si="59">2.333*U175</f>
        <v>0</v>
      </c>
      <c r="V191" s="474"/>
      <c r="W191" s="514"/>
      <c r="AA191" s="603"/>
      <c r="AB191" s="514"/>
      <c r="AC191" s="514"/>
      <c r="AD191" s="514"/>
    </row>
    <row r="192" spans="1:30" ht="1.5" hidden="1" customHeight="1">
      <c r="A192" s="558"/>
      <c r="B192" s="610"/>
      <c r="C192" s="575"/>
      <c r="D192" s="575"/>
      <c r="G192" s="593"/>
      <c r="H192" s="599"/>
      <c r="I192" s="599"/>
      <c r="J192" s="599"/>
      <c r="K192" s="599"/>
      <c r="L192" s="599"/>
      <c r="M192" s="599"/>
      <c r="N192" s="611"/>
      <c r="O192" s="599"/>
      <c r="P192" s="599"/>
      <c r="Q192" s="599"/>
      <c r="R192" s="600"/>
      <c r="S192" s="600"/>
      <c r="T192" s="600"/>
      <c r="U192" s="600"/>
      <c r="V192" s="474"/>
      <c r="W192" s="514"/>
      <c r="AA192" s="514"/>
      <c r="AB192" s="514"/>
      <c r="AC192" s="514"/>
      <c r="AD192" s="514"/>
    </row>
    <row r="193" spans="1:30" ht="12" hidden="1" customHeight="1">
      <c r="A193" s="558">
        <v>17</v>
      </c>
      <c r="B193" s="160" t="s">
        <v>747</v>
      </c>
      <c r="G193" s="606" t="s">
        <v>749</v>
      </c>
      <c r="H193" s="599">
        <f>2*H177</f>
        <v>0.11983362370438683</v>
      </c>
      <c r="I193" s="599">
        <f t="shared" ref="I193:U195" si="60">2*I177</f>
        <v>8.7439945029714569E-2</v>
      </c>
      <c r="J193" s="599">
        <f t="shared" si="60"/>
        <v>0.10049967153404696</v>
      </c>
      <c r="K193" s="599">
        <f t="shared" si="60"/>
        <v>0.10096887302108964</v>
      </c>
      <c r="L193" s="599">
        <f t="shared" si="60"/>
        <v>0.1002407683891606</v>
      </c>
      <c r="M193" s="599">
        <f t="shared" si="60"/>
        <v>0</v>
      </c>
      <c r="N193" s="612">
        <f t="shared" si="60"/>
        <v>0.1194995969576348</v>
      </c>
      <c r="O193" s="599">
        <f t="shared" si="60"/>
        <v>0.12261893025141339</v>
      </c>
      <c r="P193" s="599">
        <f t="shared" si="60"/>
        <v>0.11806201258824692</v>
      </c>
      <c r="Q193" s="599">
        <f t="shared" si="60"/>
        <v>0.11425748116996513</v>
      </c>
      <c r="R193" s="613">
        <f t="shared" si="60"/>
        <v>8.2988701464190004E-2</v>
      </c>
      <c r="S193" s="600">
        <f>2.333*S177</f>
        <v>0.1766779922193048</v>
      </c>
      <c r="T193" s="600">
        <f t="shared" si="60"/>
        <v>0.11148654563948153</v>
      </c>
      <c r="U193" s="600">
        <f t="shared" si="60"/>
        <v>0.12902589537999717</v>
      </c>
      <c r="V193" s="474"/>
      <c r="W193" s="514"/>
      <c r="AA193" s="514"/>
      <c r="AB193" s="514"/>
      <c r="AC193" s="514"/>
      <c r="AD193" s="514"/>
    </row>
    <row r="194" spans="1:30" ht="12.75" hidden="1" customHeight="1">
      <c r="A194" s="558"/>
      <c r="B194" s="566"/>
      <c r="G194" s="514"/>
      <c r="H194" s="474"/>
      <c r="I194" s="474"/>
      <c r="J194" s="474"/>
      <c r="K194" s="474"/>
      <c r="L194" s="474"/>
      <c r="M194" s="474"/>
      <c r="N194" s="614"/>
      <c r="O194" s="474"/>
      <c r="P194" s="474"/>
      <c r="Q194" s="474"/>
      <c r="R194" s="615"/>
      <c r="S194" s="474"/>
      <c r="T194" s="474"/>
      <c r="U194" s="474"/>
      <c r="V194" s="474"/>
      <c r="W194" s="514"/>
      <c r="AA194" s="514"/>
      <c r="AB194" s="514"/>
      <c r="AC194" s="514"/>
      <c r="AD194" s="514"/>
    </row>
    <row r="195" spans="1:30" ht="0.75" hidden="1" customHeight="1">
      <c r="A195" s="558">
        <v>18</v>
      </c>
      <c r="B195" s="160" t="s">
        <v>713</v>
      </c>
      <c r="G195" s="606" t="s">
        <v>749</v>
      </c>
      <c r="H195" s="599">
        <f t="shared" ref="H195:L195" si="61">(1+H179)^2-1</f>
        <v>7.5913277715438321E-2</v>
      </c>
      <c r="I195" s="599">
        <f t="shared" si="61"/>
        <v>0.10938608547119055</v>
      </c>
      <c r="J195" s="599">
        <f t="shared" si="61"/>
        <v>5.914671371723812E-2</v>
      </c>
      <c r="K195" s="599">
        <f t="shared" si="61"/>
        <v>4.5933024773438413E-2</v>
      </c>
      <c r="L195" s="599">
        <f t="shared" si="61"/>
        <v>2.2976774466485494E-3</v>
      </c>
      <c r="M195" s="599">
        <f t="shared" si="60"/>
        <v>0</v>
      </c>
      <c r="N195" s="616">
        <f t="shared" si="60"/>
        <v>-6.3709713528498024E-2</v>
      </c>
      <c r="O195" s="599">
        <f t="shared" si="60"/>
        <v>-5.2632143589146065E-2</v>
      </c>
      <c r="P195" s="599">
        <f t="shared" si="60"/>
        <v>-5.4612716644777022E-2</v>
      </c>
      <c r="Q195" s="599">
        <f t="shared" si="60"/>
        <v>-6.7946910206289859E-2</v>
      </c>
      <c r="R195" s="599">
        <f t="shared" si="60"/>
        <v>-6.7805609890813856E-2</v>
      </c>
      <c r="S195" s="600">
        <f t="shared" si="60"/>
        <v>-0.52179670041210047</v>
      </c>
      <c r="T195" s="600">
        <f t="shared" si="60"/>
        <v>-0.58551622401847625</v>
      </c>
      <c r="U195" s="600">
        <f>2*U179</f>
        <v>-0.59146407598974071</v>
      </c>
      <c r="V195" s="474"/>
      <c r="W195" s="514"/>
      <c r="AA195" s="514"/>
      <c r="AB195" s="514"/>
      <c r="AC195" s="514"/>
      <c r="AD195" s="514"/>
    </row>
    <row r="196" spans="1:30" ht="5.25" customHeight="1" thickBot="1">
      <c r="A196" s="558"/>
      <c r="D196" s="514"/>
      <c r="G196" s="474"/>
      <c r="H196" s="474"/>
      <c r="I196" s="474"/>
      <c r="J196" s="474"/>
      <c r="K196" s="474"/>
      <c r="L196" s="474"/>
      <c r="M196" s="514"/>
      <c r="N196" s="514"/>
      <c r="O196" s="514"/>
      <c r="P196" s="514"/>
      <c r="Q196" s="514"/>
      <c r="R196" s="514"/>
      <c r="S196" s="474"/>
      <c r="U196" s="474"/>
      <c r="V196" s="474"/>
      <c r="W196" s="514"/>
    </row>
    <row r="197" spans="1:30">
      <c r="A197" s="558"/>
      <c r="D197" s="617"/>
      <c r="E197" s="618"/>
      <c r="F197" s="618"/>
      <c r="G197" s="618"/>
      <c r="H197" s="618"/>
      <c r="I197" s="618"/>
      <c r="J197" s="618"/>
      <c r="K197" s="618"/>
      <c r="L197" s="618"/>
      <c r="M197" s="618" t="s">
        <v>646</v>
      </c>
      <c r="N197" s="618"/>
      <c r="O197" s="618"/>
      <c r="P197" s="618"/>
      <c r="Q197" s="618"/>
      <c r="R197" s="618"/>
      <c r="S197" s="618"/>
      <c r="T197" s="780" t="s">
        <v>648</v>
      </c>
      <c r="V197" s="815" t="s">
        <v>651</v>
      </c>
      <c r="W197" s="595"/>
    </row>
    <row r="198" spans="1:30">
      <c r="A198" s="558">
        <v>5</v>
      </c>
      <c r="D198" s="679" t="s">
        <v>636</v>
      </c>
      <c r="E198" s="514"/>
      <c r="G198" s="514"/>
      <c r="H198" s="514"/>
      <c r="I198" s="514"/>
      <c r="J198" s="514"/>
      <c r="L198" s="514"/>
      <c r="M198" s="680">
        <f>'ADJ DETAIL-INPUT-Restate'!AJ41</f>
        <v>0.20051949770646785</v>
      </c>
      <c r="N198" s="373">
        <f t="shared" ref="N198:T198" si="62">N171*$M$198</f>
        <v>1.385825062466042E-2</v>
      </c>
      <c r="O198" s="373">
        <f t="shared" si="62"/>
        <v>1.388352210831654E-2</v>
      </c>
      <c r="P198" s="373">
        <f t="shared" si="62"/>
        <v>1.4250833501597561E-2</v>
      </c>
      <c r="Q198" s="373">
        <f t="shared" si="62"/>
        <v>1.4003906321027442E-2</v>
      </c>
      <c r="R198" s="373">
        <f t="shared" si="62"/>
        <v>1.4480019774483223E-2</v>
      </c>
      <c r="S198" s="373">
        <f t="shared" si="62"/>
        <v>1.4799949197425883E-2</v>
      </c>
      <c r="T198" s="690">
        <f t="shared" si="62"/>
        <v>1.8299626720466099E-2</v>
      </c>
      <c r="U198" s="373"/>
      <c r="V198" s="816">
        <f>T198</f>
        <v>1.8299626720466099E-2</v>
      </c>
      <c r="W198" s="373"/>
      <c r="Z198" s="373"/>
      <c r="AA198" s="373"/>
      <c r="AB198" s="373"/>
      <c r="AC198" s="373"/>
      <c r="AD198" s="373"/>
    </row>
    <row r="199" spans="1:30">
      <c r="A199" s="558">
        <v>6</v>
      </c>
      <c r="D199" s="679" t="s">
        <v>637</v>
      </c>
      <c r="E199" s="514"/>
      <c r="G199" s="514"/>
      <c r="H199" s="514"/>
      <c r="I199" s="514"/>
      <c r="J199" s="514"/>
      <c r="L199" s="514"/>
      <c r="M199" s="680">
        <f>'ADJ DETAIL-INPUT-Restate'!AJ42</f>
        <v>0.3573623040489835</v>
      </c>
      <c r="N199" s="373">
        <f t="shared" ref="N199:T199" si="63">N167*$M$199</f>
        <v>1.7221680049145646E-2</v>
      </c>
      <c r="O199" s="373">
        <f t="shared" si="63"/>
        <v>1.6032188620470528E-2</v>
      </c>
      <c r="P199" s="373">
        <f t="shared" si="63"/>
        <v>1.3675448050819647E-2</v>
      </c>
      <c r="Q199" s="373">
        <f t="shared" si="63"/>
        <v>1.3010637244663234E-2</v>
      </c>
      <c r="R199" s="373">
        <f t="shared" si="63"/>
        <v>9.5672099223014246E-3</v>
      </c>
      <c r="S199" s="373">
        <f t="shared" si="63"/>
        <v>7.0963429000710006E-3</v>
      </c>
      <c r="T199" s="690">
        <f t="shared" si="63"/>
        <v>1.0138138647294489E-2</v>
      </c>
      <c r="U199" s="373"/>
      <c r="V199" s="816">
        <f>M199*Z167</f>
        <v>8.4337503755560102E-3</v>
      </c>
      <c r="W199" s="373"/>
      <c r="X199" s="474" t="s">
        <v>886</v>
      </c>
      <c r="AA199" s="373"/>
      <c r="AB199" s="373"/>
      <c r="AC199" s="373"/>
      <c r="AD199" s="373"/>
    </row>
    <row r="200" spans="1:30">
      <c r="A200" s="558">
        <v>7</v>
      </c>
      <c r="D200" s="679" t="s">
        <v>638</v>
      </c>
      <c r="E200" s="514"/>
      <c r="G200" s="514"/>
      <c r="H200" s="514"/>
      <c r="I200" s="514"/>
      <c r="J200" s="514"/>
      <c r="L200" s="514"/>
      <c r="M200" s="680">
        <f>'ADJ DETAIL-INPUT-Restate'!AJ43</f>
        <v>9.81597699268488E-2</v>
      </c>
      <c r="N200" s="373">
        <f>N173*$M$200</f>
        <v>6.0787973798470934E-3</v>
      </c>
      <c r="O200" s="373">
        <f t="shared" ref="O200:T200" si="64">O173*$M$200</f>
        <v>6.4460014311950621E-3</v>
      </c>
      <c r="P200" s="373">
        <f t="shared" si="64"/>
        <v>6.5827337062454583E-3</v>
      </c>
      <c r="Q200" s="373">
        <f t="shared" si="64"/>
        <v>5.9573502287310074E-3</v>
      </c>
      <c r="R200" s="373">
        <f t="shared" si="64"/>
        <v>5.0227600869466576E-3</v>
      </c>
      <c r="S200" s="373">
        <f t="shared" si="64"/>
        <v>5.4377117917235847E-3</v>
      </c>
      <c r="T200" s="690">
        <f t="shared" si="64"/>
        <v>4.4458188367504873E-3</v>
      </c>
      <c r="U200" s="373"/>
      <c r="V200" s="816">
        <f>T200</f>
        <v>4.4458188367504873E-3</v>
      </c>
      <c r="W200" s="373"/>
      <c r="X200" s="373"/>
      <c r="AA200" s="373"/>
      <c r="AB200" s="373"/>
      <c r="AC200" s="373"/>
      <c r="AD200" s="373"/>
    </row>
    <row r="201" spans="1:30">
      <c r="A201" s="558">
        <v>8</v>
      </c>
      <c r="D201" s="681" t="s">
        <v>843</v>
      </c>
      <c r="E201" s="514"/>
      <c r="G201" s="514"/>
      <c r="H201" s="514"/>
      <c r="I201" s="514"/>
      <c r="J201" s="514"/>
      <c r="L201" s="514"/>
      <c r="M201" s="680">
        <f>'ADJ DETAIL-INPUT-Restate'!AJ45</f>
        <v>0.3439584283176999</v>
      </c>
      <c r="N201" s="373">
        <f>N175*$M$201</f>
        <v>1.7926709585836396E-2</v>
      </c>
      <c r="O201" s="373">
        <f t="shared" ref="O201:S201" si="65">O175*$M$201</f>
        <v>1.7876130155423751E-2</v>
      </c>
      <c r="P201" s="373">
        <f t="shared" si="65"/>
        <v>1.6695732606756428E-2</v>
      </c>
      <c r="Q201" s="373">
        <f t="shared" si="65"/>
        <v>1.6643484022569412E-2</v>
      </c>
      <c r="R201" s="373">
        <f t="shared" si="65"/>
        <v>1.6580913128263923E-2</v>
      </c>
      <c r="S201" s="373">
        <f t="shared" si="65"/>
        <v>1.7214632800108914E-2</v>
      </c>
      <c r="T201" s="690">
        <f>T175*$M$201</f>
        <v>1.6527605177316773E-2</v>
      </c>
      <c r="U201" s="373"/>
      <c r="V201" s="816">
        <f>V175*$M$201</f>
        <v>1.0459341441512091E-2</v>
      </c>
      <c r="W201" s="373"/>
      <c r="X201" s="373" t="s">
        <v>890</v>
      </c>
      <c r="AA201" s="373"/>
      <c r="AB201" s="373"/>
      <c r="AC201" s="373"/>
      <c r="AD201" s="373"/>
    </row>
    <row r="202" spans="1:30">
      <c r="A202" s="558">
        <v>9</v>
      </c>
      <c r="D202" s="681" t="s">
        <v>29</v>
      </c>
      <c r="E202" s="514"/>
      <c r="G202" s="514"/>
      <c r="H202" s="514"/>
      <c r="I202" s="514"/>
      <c r="J202" s="514"/>
      <c r="L202" s="514"/>
      <c r="M202" s="514"/>
      <c r="N202" s="619">
        <v>-1.0200000000000001E-2</v>
      </c>
      <c r="O202" s="619">
        <v>-1.0200000000000001E-2</v>
      </c>
      <c r="P202" s="619">
        <v>-1.0200000000000001E-2</v>
      </c>
      <c r="Q202" s="619">
        <v>-1.0200000000000001E-2</v>
      </c>
      <c r="R202" s="619">
        <v>-1.0200000000000001E-2</v>
      </c>
      <c r="S202" s="619">
        <v>-1.0200000000000001E-2</v>
      </c>
      <c r="T202" s="695">
        <v>-1.0200000000000001E-2</v>
      </c>
      <c r="U202" s="373"/>
      <c r="V202" s="817">
        <f>T202</f>
        <v>-1.0200000000000001E-2</v>
      </c>
      <c r="W202" s="373"/>
      <c r="X202" s="575" t="s">
        <v>891</v>
      </c>
      <c r="Z202" s="373"/>
      <c r="AA202" s="373"/>
      <c r="AB202" s="373"/>
      <c r="AC202" s="373"/>
      <c r="AD202" s="373"/>
    </row>
    <row r="203" spans="1:30">
      <c r="A203" s="558"/>
      <c r="D203" s="681"/>
      <c r="E203" s="514"/>
      <c r="G203" s="514"/>
      <c r="H203" s="514"/>
      <c r="I203" s="514"/>
      <c r="J203" s="514"/>
      <c r="L203" s="514"/>
      <c r="M203" s="514"/>
      <c r="N203" s="514"/>
      <c r="O203" s="514"/>
      <c r="P203" s="514"/>
      <c r="Q203" s="514"/>
      <c r="R203" s="514"/>
      <c r="T203" s="737"/>
      <c r="V203" s="816"/>
      <c r="W203" s="373"/>
      <c r="Z203" s="373"/>
      <c r="AA203" s="373"/>
      <c r="AB203" s="373"/>
      <c r="AC203" s="373"/>
      <c r="AD203" s="373"/>
    </row>
    <row r="204" spans="1:30" ht="12.75" thickBot="1">
      <c r="A204" s="558">
        <v>10</v>
      </c>
      <c r="D204" s="681" t="s">
        <v>753</v>
      </c>
      <c r="E204" s="514"/>
      <c r="G204" s="514"/>
      <c r="H204" s="514"/>
      <c r="I204" s="514"/>
      <c r="J204" s="514"/>
      <c r="L204" s="514"/>
      <c r="M204" s="514"/>
      <c r="N204" s="373">
        <f>SUM(N198:N202)</f>
        <v>4.4885437639489559E-2</v>
      </c>
      <c r="O204" s="373">
        <f t="shared" ref="O204:T204" si="66">SUM(O198:O202)</f>
        <v>4.4037842315405876E-2</v>
      </c>
      <c r="P204" s="373">
        <f t="shared" si="66"/>
        <v>4.1004747865419092E-2</v>
      </c>
      <c r="Q204" s="373">
        <f t="shared" si="66"/>
        <v>3.9415377816991094E-2</v>
      </c>
      <c r="R204" s="373">
        <f t="shared" si="66"/>
        <v>3.5450902911995229E-2</v>
      </c>
      <c r="S204" s="373">
        <f t="shared" si="66"/>
        <v>3.434863668932938E-2</v>
      </c>
      <c r="T204" s="690">
        <f t="shared" si="66"/>
        <v>3.9211189381827848E-2</v>
      </c>
      <c r="U204" s="373"/>
      <c r="V204" s="818">
        <f>SUM(V198:V202)</f>
        <v>3.1438537374284689E-2</v>
      </c>
      <c r="W204" s="373"/>
      <c r="X204" s="474" t="s">
        <v>874</v>
      </c>
      <c r="Z204" s="781"/>
      <c r="AA204" s="373"/>
      <c r="AB204" s="373"/>
      <c r="AC204" s="373"/>
      <c r="AD204" s="373"/>
    </row>
    <row r="205" spans="1:30" ht="13.5" thickTop="1" thickBot="1">
      <c r="A205" s="558"/>
      <c r="D205" s="620"/>
      <c r="E205" s="621"/>
      <c r="F205" s="621"/>
      <c r="G205" s="621"/>
      <c r="H205" s="621"/>
      <c r="I205" s="621"/>
      <c r="J205" s="621"/>
      <c r="K205" s="621"/>
      <c r="L205" s="621"/>
      <c r="M205" s="621"/>
      <c r="N205" s="621"/>
      <c r="O205" s="621"/>
      <c r="P205" s="621"/>
      <c r="Q205" s="621"/>
      <c r="R205" s="621"/>
      <c r="S205" s="621"/>
      <c r="T205" s="738"/>
      <c r="V205" s="819"/>
      <c r="W205" s="373"/>
      <c r="Z205" s="373"/>
      <c r="AA205" s="373"/>
      <c r="AB205" s="373"/>
      <c r="AC205" s="373"/>
      <c r="AD205" s="373"/>
    </row>
    <row r="206" spans="1:30" ht="48.75" customHeight="1">
      <c r="D206" s="860" t="s">
        <v>887</v>
      </c>
      <c r="E206" s="861"/>
      <c r="F206" s="861"/>
      <c r="G206" s="861"/>
      <c r="H206" s="861"/>
      <c r="I206" s="861"/>
      <c r="J206" s="861"/>
      <c r="K206" s="861"/>
      <c r="L206" s="861"/>
      <c r="M206" s="861"/>
      <c r="N206" s="861"/>
      <c r="O206" s="861"/>
      <c r="P206" s="861"/>
      <c r="Q206" s="861"/>
      <c r="R206" s="861"/>
      <c r="S206" s="861"/>
      <c r="T206" s="861"/>
      <c r="U206" s="861"/>
      <c r="V206" s="861"/>
      <c r="W206" s="861"/>
      <c r="X206" s="861"/>
      <c r="Y206" s="861"/>
      <c r="Z206" s="373"/>
      <c r="AA206" s="373"/>
      <c r="AB206" s="373"/>
      <c r="AC206" s="373"/>
      <c r="AD206" s="373"/>
    </row>
    <row r="207" spans="1:30" ht="19.5" customHeight="1">
      <c r="G207" s="474"/>
      <c r="H207" s="474"/>
      <c r="I207" s="474"/>
      <c r="J207" s="474"/>
      <c r="K207" s="474"/>
      <c r="L207" s="474"/>
      <c r="M207" s="474"/>
      <c r="N207" s="474"/>
      <c r="O207" s="474"/>
      <c r="P207" s="474"/>
      <c r="Q207" s="474"/>
    </row>
    <row r="208" spans="1:30">
      <c r="G208" s="474"/>
      <c r="H208" s="474"/>
      <c r="I208" s="474"/>
      <c r="J208" s="474"/>
      <c r="K208" s="474"/>
      <c r="L208" s="474"/>
      <c r="M208" s="474"/>
      <c r="N208" s="474"/>
      <c r="O208" s="474"/>
      <c r="P208" s="474"/>
      <c r="Q208" s="474"/>
      <c r="W208" s="739"/>
      <c r="X208" s="739"/>
      <c r="Y208" s="739"/>
      <c r="Z208" s="739"/>
    </row>
    <row r="209" spans="7:26">
      <c r="G209" s="474"/>
      <c r="H209" s="474"/>
      <c r="I209" s="474"/>
      <c r="J209" s="474"/>
      <c r="K209" s="474"/>
      <c r="L209" s="474"/>
      <c r="M209" s="474"/>
      <c r="N209" s="474"/>
      <c r="O209" s="474"/>
      <c r="P209" s="474"/>
      <c r="Q209" s="474"/>
      <c r="W209" s="739"/>
      <c r="X209" s="739"/>
      <c r="Y209" s="739"/>
      <c r="Z209" s="739"/>
    </row>
    <row r="210" spans="7:26">
      <c r="G210" s="474"/>
      <c r="H210" s="474"/>
      <c r="I210" s="474"/>
      <c r="J210" s="474"/>
      <c r="K210" s="474"/>
      <c r="L210" s="474"/>
      <c r="M210" s="474"/>
      <c r="N210" s="474"/>
      <c r="O210" s="474"/>
      <c r="P210" s="474"/>
      <c r="Q210" s="474"/>
      <c r="W210" s="739"/>
      <c r="X210" s="739"/>
      <c r="Y210" s="739"/>
      <c r="Z210" s="739"/>
    </row>
    <row r="211" spans="7:26">
      <c r="G211" s="474"/>
      <c r="H211" s="474"/>
      <c r="I211" s="474"/>
      <c r="J211" s="474"/>
      <c r="K211" s="474"/>
      <c r="L211" s="474"/>
      <c r="M211" s="474"/>
      <c r="N211" s="474"/>
      <c r="O211" s="474"/>
      <c r="P211" s="474"/>
      <c r="Q211" s="474"/>
      <c r="W211" s="739"/>
      <c r="X211" s="739"/>
      <c r="Y211" s="739"/>
      <c r="Z211" s="739"/>
    </row>
    <row r="212" spans="7:26">
      <c r="G212" s="474"/>
      <c r="H212" s="474"/>
      <c r="I212" s="474"/>
      <c r="J212" s="474"/>
      <c r="K212" s="474"/>
      <c r="L212" s="474"/>
      <c r="M212" s="474"/>
      <c r="N212" s="474"/>
      <c r="O212" s="474"/>
      <c r="P212" s="474"/>
      <c r="Q212" s="474"/>
      <c r="W212" s="739"/>
      <c r="X212" s="739"/>
      <c r="Y212" s="739"/>
      <c r="Z212" s="739"/>
    </row>
    <row r="213" spans="7:26">
      <c r="G213" s="474"/>
      <c r="H213" s="474"/>
      <c r="I213" s="474"/>
      <c r="J213" s="474"/>
      <c r="K213" s="474"/>
      <c r="L213" s="474"/>
      <c r="M213" s="474"/>
      <c r="N213" s="474"/>
      <c r="O213" s="474"/>
      <c r="P213" s="474"/>
      <c r="Q213" s="474"/>
      <c r="W213" s="739"/>
      <c r="X213" s="739"/>
      <c r="Y213" s="739"/>
      <c r="Z213" s="739"/>
    </row>
    <row r="214" spans="7:26">
      <c r="G214" s="474"/>
      <c r="H214" s="474"/>
      <c r="I214" s="474"/>
      <c r="J214" s="474"/>
      <c r="K214" s="474"/>
      <c r="L214" s="474"/>
      <c r="M214" s="474"/>
      <c r="N214" s="474"/>
      <c r="O214" s="474"/>
      <c r="P214" s="474"/>
      <c r="Q214" s="474"/>
      <c r="W214" s="739"/>
      <c r="X214" s="739"/>
      <c r="Y214" s="739"/>
      <c r="Z214" s="739"/>
    </row>
    <row r="215" spans="7:26">
      <c r="G215" s="474"/>
      <c r="H215" s="474"/>
      <c r="I215" s="474"/>
      <c r="J215" s="474"/>
      <c r="K215" s="474"/>
      <c r="L215" s="474"/>
      <c r="M215" s="474"/>
      <c r="N215" s="474"/>
      <c r="O215" s="474"/>
      <c r="P215" s="474"/>
      <c r="Q215" s="474"/>
      <c r="W215" s="739"/>
      <c r="X215" s="739"/>
      <c r="Y215" s="739"/>
      <c r="Z215" s="739"/>
    </row>
    <row r="216" spans="7:26">
      <c r="G216" s="474"/>
      <c r="H216" s="474"/>
      <c r="I216" s="474"/>
      <c r="J216" s="474"/>
      <c r="K216" s="474"/>
      <c r="L216" s="474"/>
      <c r="M216" s="474"/>
      <c r="N216" s="474"/>
      <c r="O216" s="474"/>
      <c r="P216" s="474"/>
      <c r="Q216" s="474"/>
      <c r="W216" s="739"/>
      <c r="X216" s="739"/>
      <c r="Y216" s="739"/>
      <c r="Z216" s="739"/>
    </row>
    <row r="217" spans="7:26">
      <c r="G217" s="474"/>
      <c r="H217" s="474"/>
      <c r="I217" s="474"/>
      <c r="J217" s="474"/>
      <c r="K217" s="474"/>
      <c r="L217" s="474"/>
      <c r="M217" s="474"/>
      <c r="N217" s="474"/>
      <c r="O217" s="474"/>
      <c r="P217" s="474"/>
      <c r="Q217" s="474"/>
      <c r="W217" s="739"/>
      <c r="X217" s="739"/>
      <c r="Y217" s="739"/>
      <c r="Z217" s="739"/>
    </row>
    <row r="218" spans="7:26">
      <c r="G218" s="474"/>
      <c r="H218" s="474"/>
      <c r="I218" s="474"/>
      <c r="J218" s="474"/>
      <c r="K218" s="474"/>
      <c r="L218" s="474"/>
      <c r="M218" s="474"/>
      <c r="N218" s="474"/>
      <c r="O218" s="474"/>
      <c r="P218" s="474"/>
      <c r="Q218" s="474"/>
      <c r="W218" s="739"/>
      <c r="X218" s="739"/>
      <c r="Y218" s="739"/>
      <c r="Z218" s="739"/>
    </row>
    <row r="219" spans="7:26">
      <c r="G219" s="474"/>
      <c r="H219" s="474"/>
      <c r="I219" s="474"/>
      <c r="J219" s="474"/>
      <c r="K219" s="474"/>
      <c r="L219" s="474"/>
      <c r="M219" s="474"/>
      <c r="N219" s="474"/>
      <c r="O219" s="474"/>
      <c r="P219" s="474"/>
      <c r="Q219" s="474"/>
      <c r="W219" s="739"/>
      <c r="X219" s="739"/>
      <c r="Y219" s="739"/>
      <c r="Z219" s="739"/>
    </row>
    <row r="220" spans="7:26">
      <c r="G220" s="474"/>
      <c r="H220" s="474"/>
      <c r="I220" s="474"/>
      <c r="J220" s="474"/>
      <c r="K220" s="474"/>
      <c r="L220" s="474"/>
      <c r="M220" s="474"/>
      <c r="N220" s="474"/>
      <c r="O220" s="474"/>
      <c r="P220" s="474"/>
      <c r="Q220" s="474"/>
      <c r="W220" s="739"/>
      <c r="X220" s="739"/>
      <c r="Y220" s="739"/>
      <c r="Z220" s="739"/>
    </row>
    <row r="221" spans="7:26">
      <c r="G221" s="474"/>
      <c r="H221" s="474"/>
      <c r="I221" s="474"/>
      <c r="J221" s="474"/>
      <c r="K221" s="474"/>
      <c r="L221" s="474"/>
      <c r="M221" s="474"/>
      <c r="N221" s="474"/>
      <c r="O221" s="474"/>
      <c r="P221" s="474"/>
      <c r="Q221" s="474"/>
      <c r="W221" s="739"/>
      <c r="X221" s="739"/>
      <c r="Y221" s="739"/>
      <c r="Z221" s="739"/>
    </row>
    <row r="222" spans="7:26">
      <c r="G222" s="474"/>
      <c r="H222" s="474"/>
      <c r="I222" s="474"/>
      <c r="J222" s="474"/>
      <c r="K222" s="474"/>
      <c r="L222" s="474"/>
      <c r="M222" s="474"/>
      <c r="N222" s="474"/>
      <c r="O222" s="474"/>
      <c r="P222" s="474"/>
      <c r="Q222" s="474"/>
    </row>
    <row r="223" spans="7:26">
      <c r="G223" s="474"/>
      <c r="H223" s="474"/>
      <c r="I223" s="474"/>
      <c r="J223" s="474"/>
      <c r="K223" s="474"/>
      <c r="L223" s="474"/>
      <c r="M223" s="474"/>
      <c r="N223" s="474"/>
      <c r="O223" s="474"/>
      <c r="P223" s="474"/>
      <c r="Q223" s="474"/>
    </row>
    <row r="224" spans="7:26">
      <c r="G224" s="474"/>
      <c r="H224" s="474"/>
      <c r="I224" s="474"/>
      <c r="J224" s="474"/>
      <c r="K224" s="474"/>
      <c r="L224" s="474"/>
      <c r="M224" s="474"/>
      <c r="N224" s="474"/>
      <c r="O224" s="474"/>
      <c r="P224" s="474"/>
      <c r="Q224" s="474"/>
    </row>
    <row r="225" spans="7:17">
      <c r="G225" s="474"/>
      <c r="H225" s="474"/>
      <c r="I225" s="474"/>
      <c r="J225" s="474"/>
      <c r="K225" s="474"/>
      <c r="L225" s="474"/>
      <c r="M225" s="474"/>
      <c r="N225" s="474"/>
      <c r="O225" s="474"/>
      <c r="P225" s="474"/>
      <c r="Q225" s="474"/>
    </row>
    <row r="226" spans="7:17">
      <c r="G226" s="474"/>
      <c r="H226" s="474"/>
      <c r="I226" s="474"/>
      <c r="J226" s="474"/>
      <c r="K226" s="474"/>
      <c r="L226" s="474"/>
      <c r="M226" s="474"/>
      <c r="N226" s="474"/>
      <c r="O226" s="474"/>
      <c r="P226" s="474"/>
      <c r="Q226" s="474"/>
    </row>
    <row r="227" spans="7:17">
      <c r="G227" s="474"/>
      <c r="H227" s="474"/>
      <c r="I227" s="474"/>
      <c r="J227" s="474"/>
      <c r="K227" s="474"/>
      <c r="L227" s="474"/>
      <c r="M227" s="474"/>
      <c r="N227" s="474"/>
      <c r="O227" s="474"/>
      <c r="P227" s="474"/>
      <c r="Q227" s="474"/>
    </row>
    <row r="228" spans="7:17">
      <c r="G228" s="474"/>
      <c r="H228" s="474"/>
      <c r="I228" s="474"/>
      <c r="J228" s="474"/>
      <c r="K228" s="474"/>
      <c r="L228" s="474"/>
      <c r="M228" s="474"/>
      <c r="N228" s="474"/>
      <c r="O228" s="474"/>
      <c r="P228" s="474"/>
      <c r="Q228" s="474"/>
    </row>
    <row r="229" spans="7:17">
      <c r="G229" s="474"/>
      <c r="H229" s="474"/>
      <c r="I229" s="474"/>
      <c r="J229" s="474"/>
      <c r="K229" s="474"/>
      <c r="L229" s="474"/>
      <c r="M229" s="474"/>
      <c r="N229" s="474"/>
      <c r="O229" s="474"/>
      <c r="P229" s="474"/>
      <c r="Q229" s="474"/>
    </row>
    <row r="230" spans="7:17">
      <c r="G230" s="474"/>
      <c r="H230" s="474"/>
      <c r="I230" s="474"/>
      <c r="J230" s="474"/>
      <c r="K230" s="474"/>
      <c r="L230" s="474"/>
      <c r="M230" s="474"/>
      <c r="N230" s="474"/>
      <c r="O230" s="474"/>
      <c r="P230" s="474"/>
      <c r="Q230" s="474"/>
    </row>
    <row r="231" spans="7:17">
      <c r="G231" s="474"/>
      <c r="H231" s="474"/>
      <c r="I231" s="474"/>
      <c r="J231" s="474"/>
      <c r="K231" s="474"/>
      <c r="L231" s="474"/>
      <c r="M231" s="474"/>
      <c r="N231" s="474"/>
      <c r="O231" s="474"/>
      <c r="P231" s="474"/>
      <c r="Q231" s="474"/>
    </row>
    <row r="232" spans="7:17">
      <c r="G232" s="474"/>
      <c r="H232" s="474"/>
      <c r="I232" s="474"/>
      <c r="J232" s="474"/>
      <c r="K232" s="474"/>
      <c r="L232" s="474"/>
      <c r="M232" s="474"/>
      <c r="N232" s="474"/>
      <c r="O232" s="474"/>
      <c r="P232" s="474"/>
      <c r="Q232" s="474"/>
    </row>
    <row r="233" spans="7:17">
      <c r="G233" s="474"/>
      <c r="H233" s="474"/>
      <c r="I233" s="474"/>
      <c r="J233" s="474"/>
      <c r="K233" s="474"/>
      <c r="L233" s="474"/>
      <c r="M233" s="474"/>
      <c r="N233" s="474"/>
      <c r="O233" s="474"/>
      <c r="P233" s="474"/>
      <c r="Q233" s="474"/>
    </row>
    <row r="234" spans="7:17">
      <c r="G234" s="474"/>
      <c r="H234" s="474"/>
      <c r="I234" s="474"/>
      <c r="J234" s="474"/>
      <c r="K234" s="474"/>
      <c r="L234" s="474"/>
      <c r="M234" s="474"/>
      <c r="N234" s="474"/>
      <c r="O234" s="474"/>
      <c r="P234" s="474"/>
      <c r="Q234" s="474"/>
    </row>
    <row r="235" spans="7:17">
      <c r="G235" s="474"/>
      <c r="H235" s="474"/>
      <c r="I235" s="474"/>
      <c r="J235" s="474"/>
      <c r="K235" s="474"/>
      <c r="L235" s="474"/>
      <c r="M235" s="474"/>
      <c r="N235" s="474"/>
      <c r="O235" s="474"/>
      <c r="P235" s="474"/>
      <c r="Q235" s="474"/>
    </row>
    <row r="236" spans="7:17">
      <c r="G236" s="474"/>
      <c r="H236" s="474"/>
      <c r="I236" s="474"/>
      <c r="J236" s="474"/>
      <c r="K236" s="474"/>
      <c r="L236" s="474"/>
      <c r="M236" s="474"/>
      <c r="N236" s="474"/>
      <c r="O236" s="474"/>
      <c r="P236" s="474"/>
      <c r="Q236" s="474"/>
    </row>
    <row r="237" spans="7:17">
      <c r="G237" s="474"/>
      <c r="H237" s="474"/>
      <c r="I237" s="474"/>
      <c r="J237" s="474"/>
      <c r="K237" s="474"/>
      <c r="L237" s="474"/>
      <c r="M237" s="474"/>
      <c r="N237" s="474"/>
      <c r="O237" s="474"/>
      <c r="P237" s="474"/>
      <c r="Q237" s="474"/>
    </row>
    <row r="238" spans="7:17">
      <c r="G238" s="474"/>
      <c r="H238" s="474"/>
      <c r="I238" s="474"/>
      <c r="J238" s="474"/>
      <c r="K238" s="474"/>
      <c r="L238" s="474"/>
      <c r="M238" s="474"/>
      <c r="N238" s="474"/>
      <c r="O238" s="474"/>
      <c r="P238" s="474"/>
      <c r="Q238" s="474"/>
    </row>
    <row r="239" spans="7:17">
      <c r="G239" s="474"/>
      <c r="H239" s="474"/>
      <c r="I239" s="474"/>
      <c r="J239" s="474"/>
      <c r="K239" s="474"/>
      <c r="L239" s="474"/>
      <c r="M239" s="474"/>
      <c r="N239" s="474"/>
      <c r="O239" s="474"/>
      <c r="P239" s="474"/>
      <c r="Q239" s="474"/>
    </row>
    <row r="240" spans="7:17">
      <c r="G240" s="474"/>
      <c r="H240" s="474"/>
      <c r="I240" s="474"/>
      <c r="J240" s="474"/>
      <c r="K240" s="474"/>
      <c r="L240" s="474"/>
      <c r="M240" s="474"/>
      <c r="N240" s="474"/>
      <c r="O240" s="474"/>
      <c r="P240" s="474"/>
      <c r="Q240" s="474"/>
    </row>
    <row r="241" spans="7:17">
      <c r="G241" s="474"/>
      <c r="H241" s="474"/>
      <c r="I241" s="474"/>
      <c r="J241" s="474"/>
      <c r="K241" s="474"/>
      <c r="L241" s="474"/>
      <c r="M241" s="474"/>
      <c r="N241" s="474"/>
      <c r="O241" s="474"/>
      <c r="P241" s="474"/>
      <c r="Q241" s="474"/>
    </row>
    <row r="242" spans="7:17">
      <c r="G242" s="474"/>
      <c r="H242" s="474"/>
      <c r="I242" s="474"/>
      <c r="J242" s="474"/>
      <c r="K242" s="474"/>
      <c r="L242" s="474"/>
      <c r="M242" s="474"/>
      <c r="N242" s="474"/>
      <c r="O242" s="474"/>
      <c r="P242" s="474"/>
      <c r="Q242" s="474"/>
    </row>
    <row r="243" spans="7:17">
      <c r="G243" s="474"/>
      <c r="H243" s="474"/>
      <c r="I243" s="474"/>
      <c r="J243" s="474"/>
      <c r="K243" s="474"/>
      <c r="L243" s="474"/>
      <c r="M243" s="474"/>
      <c r="N243" s="474"/>
      <c r="O243" s="474"/>
      <c r="P243" s="474"/>
      <c r="Q243" s="474"/>
    </row>
    <row r="244" spans="7:17">
      <c r="G244" s="474"/>
      <c r="H244" s="474"/>
      <c r="I244" s="474"/>
      <c r="J244" s="474"/>
      <c r="K244" s="474"/>
      <c r="L244" s="474"/>
      <c r="M244" s="474"/>
      <c r="N244" s="474"/>
      <c r="O244" s="474"/>
      <c r="P244" s="474"/>
      <c r="Q244" s="474"/>
    </row>
    <row r="245" spans="7:17">
      <c r="G245" s="474"/>
      <c r="H245" s="474"/>
      <c r="I245" s="474"/>
      <c r="J245" s="474"/>
      <c r="K245" s="474"/>
      <c r="L245" s="474"/>
      <c r="M245" s="474"/>
      <c r="N245" s="474"/>
      <c r="O245" s="474"/>
      <c r="P245" s="474"/>
      <c r="Q245" s="474"/>
    </row>
    <row r="246" spans="7:17">
      <c r="G246" s="474"/>
      <c r="H246" s="474"/>
      <c r="I246" s="474"/>
      <c r="J246" s="474"/>
      <c r="K246" s="474"/>
      <c r="L246" s="474"/>
      <c r="M246" s="474"/>
      <c r="N246" s="474"/>
      <c r="O246" s="474"/>
      <c r="P246" s="474"/>
      <c r="Q246" s="474"/>
    </row>
    <row r="247" spans="7:17">
      <c r="G247" s="474"/>
      <c r="H247" s="474"/>
      <c r="I247" s="474"/>
      <c r="J247" s="474"/>
      <c r="K247" s="474"/>
      <c r="L247" s="474"/>
      <c r="M247" s="474"/>
      <c r="N247" s="474"/>
      <c r="O247" s="474"/>
      <c r="P247" s="474"/>
      <c r="Q247" s="474"/>
    </row>
    <row r="248" spans="7:17">
      <c r="G248" s="474"/>
      <c r="H248" s="474"/>
      <c r="I248" s="474"/>
      <c r="J248" s="474"/>
      <c r="K248" s="474"/>
      <c r="L248" s="474"/>
      <c r="M248" s="474"/>
      <c r="N248" s="474"/>
      <c r="O248" s="474"/>
      <c r="P248" s="474"/>
      <c r="Q248" s="474"/>
    </row>
    <row r="249" spans="7:17">
      <c r="G249" s="474"/>
      <c r="H249" s="474"/>
      <c r="I249" s="474"/>
      <c r="J249" s="474"/>
      <c r="K249" s="474"/>
      <c r="L249" s="474"/>
      <c r="M249" s="474"/>
      <c r="N249" s="474"/>
      <c r="O249" s="474"/>
      <c r="P249" s="474"/>
      <c r="Q249" s="474"/>
    </row>
    <row r="250" spans="7:17">
      <c r="G250" s="474"/>
      <c r="H250" s="474"/>
      <c r="I250" s="474"/>
      <c r="J250" s="474"/>
      <c r="K250" s="474"/>
      <c r="L250" s="474"/>
      <c r="M250" s="474"/>
      <c r="N250" s="474"/>
      <c r="O250" s="474"/>
      <c r="P250" s="474"/>
      <c r="Q250" s="474"/>
    </row>
    <row r="251" spans="7:17">
      <c r="G251" s="474"/>
      <c r="H251" s="474"/>
      <c r="I251" s="474"/>
      <c r="J251" s="474"/>
      <c r="K251" s="474"/>
      <c r="L251" s="474"/>
      <c r="M251" s="474"/>
      <c r="N251" s="474"/>
      <c r="O251" s="474"/>
      <c r="P251" s="474"/>
      <c r="Q251" s="474"/>
    </row>
    <row r="252" spans="7:17">
      <c r="G252" s="474"/>
      <c r="H252" s="474"/>
      <c r="I252" s="474"/>
      <c r="J252" s="474"/>
      <c r="K252" s="474"/>
      <c r="L252" s="474"/>
      <c r="M252" s="474"/>
      <c r="N252" s="474"/>
      <c r="O252" s="474"/>
      <c r="P252" s="474"/>
      <c r="Q252" s="474"/>
    </row>
    <row r="253" spans="7:17">
      <c r="G253" s="474"/>
      <c r="H253" s="474"/>
      <c r="I253" s="474"/>
      <c r="J253" s="474"/>
      <c r="K253" s="474"/>
      <c r="L253" s="474"/>
      <c r="M253" s="474"/>
      <c r="N253" s="474"/>
      <c r="O253" s="474"/>
      <c r="P253" s="474"/>
      <c r="Q253" s="474"/>
    </row>
    <row r="254" spans="7:17">
      <c r="G254" s="474"/>
      <c r="H254" s="474"/>
      <c r="I254" s="474"/>
      <c r="J254" s="474"/>
      <c r="K254" s="474"/>
      <c r="L254" s="474"/>
      <c r="M254" s="474"/>
      <c r="N254" s="474"/>
      <c r="O254" s="474"/>
      <c r="P254" s="474"/>
      <c r="Q254" s="474"/>
    </row>
    <row r="255" spans="7:17">
      <c r="G255" s="474"/>
      <c r="H255" s="474"/>
      <c r="I255" s="474"/>
      <c r="J255" s="474"/>
      <c r="K255" s="474"/>
      <c r="L255" s="474"/>
      <c r="M255" s="474"/>
      <c r="N255" s="474"/>
      <c r="O255" s="474"/>
      <c r="P255" s="474"/>
      <c r="Q255" s="474"/>
    </row>
    <row r="256" spans="7:17">
      <c r="G256" s="474"/>
      <c r="H256" s="474"/>
      <c r="I256" s="474"/>
      <c r="J256" s="474"/>
      <c r="K256" s="474"/>
      <c r="L256" s="474"/>
      <c r="M256" s="474"/>
      <c r="N256" s="474"/>
      <c r="O256" s="474"/>
      <c r="P256" s="474"/>
      <c r="Q256" s="474"/>
    </row>
    <row r="257" spans="7:17">
      <c r="G257" s="474"/>
      <c r="H257" s="474"/>
      <c r="I257" s="474"/>
      <c r="J257" s="474"/>
      <c r="K257" s="474"/>
      <c r="L257" s="474"/>
      <c r="M257" s="474"/>
      <c r="N257" s="474"/>
      <c r="O257" s="474"/>
      <c r="P257" s="474"/>
      <c r="Q257" s="474"/>
    </row>
    <row r="258" spans="7:17">
      <c r="G258" s="474"/>
      <c r="H258" s="474"/>
      <c r="I258" s="474"/>
      <c r="J258" s="474"/>
      <c r="K258" s="474"/>
      <c r="L258" s="474"/>
      <c r="M258" s="474"/>
      <c r="N258" s="474"/>
      <c r="O258" s="474"/>
      <c r="P258" s="474"/>
      <c r="Q258" s="474"/>
    </row>
    <row r="259" spans="7:17">
      <c r="G259" s="474"/>
      <c r="H259" s="474"/>
      <c r="I259" s="474"/>
      <c r="J259" s="474"/>
      <c r="K259" s="474"/>
      <c r="L259" s="474"/>
      <c r="M259" s="474"/>
      <c r="N259" s="474"/>
      <c r="O259" s="474"/>
      <c r="P259" s="474"/>
      <c r="Q259" s="474"/>
    </row>
    <row r="260" spans="7:17">
      <c r="G260" s="474"/>
      <c r="H260" s="474"/>
      <c r="I260" s="474"/>
      <c r="J260" s="474"/>
      <c r="K260" s="474"/>
      <c r="L260" s="474"/>
      <c r="M260" s="474"/>
      <c r="N260" s="474"/>
      <c r="O260" s="474"/>
      <c r="P260" s="474"/>
      <c r="Q260" s="474"/>
    </row>
    <row r="261" spans="7:17">
      <c r="G261" s="474"/>
      <c r="H261" s="474"/>
      <c r="I261" s="474"/>
      <c r="J261" s="474"/>
      <c r="K261" s="474"/>
      <c r="L261" s="474"/>
      <c r="M261" s="474"/>
      <c r="N261" s="474"/>
      <c r="O261" s="474"/>
      <c r="P261" s="474"/>
      <c r="Q261" s="474"/>
    </row>
    <row r="262" spans="7:17">
      <c r="G262" s="474"/>
      <c r="H262" s="474"/>
      <c r="I262" s="474"/>
      <c r="J262" s="474"/>
      <c r="K262" s="474"/>
      <c r="L262" s="474"/>
      <c r="M262" s="474"/>
      <c r="N262" s="474"/>
      <c r="O262" s="474"/>
      <c r="P262" s="474"/>
      <c r="Q262" s="474"/>
    </row>
    <row r="263" spans="7:17">
      <c r="G263" s="474"/>
      <c r="H263" s="474"/>
      <c r="I263" s="474"/>
      <c r="J263" s="474"/>
      <c r="K263" s="474"/>
      <c r="L263" s="474"/>
      <c r="M263" s="474"/>
      <c r="N263" s="474"/>
      <c r="O263" s="474"/>
      <c r="P263" s="474"/>
      <c r="Q263" s="474"/>
    </row>
    <row r="264" spans="7:17">
      <c r="G264" s="474"/>
      <c r="H264" s="474"/>
      <c r="I264" s="474"/>
      <c r="J264" s="474"/>
      <c r="K264" s="474"/>
      <c r="L264" s="474"/>
      <c r="M264" s="474"/>
      <c r="N264" s="474"/>
      <c r="O264" s="474"/>
      <c r="P264" s="474"/>
      <c r="Q264" s="474"/>
    </row>
    <row r="265" spans="7:17">
      <c r="G265" s="474"/>
      <c r="H265" s="474"/>
      <c r="I265" s="474"/>
      <c r="J265" s="474"/>
      <c r="K265" s="474"/>
      <c r="L265" s="474"/>
      <c r="M265" s="474"/>
      <c r="N265" s="474"/>
      <c r="O265" s="474"/>
      <c r="P265" s="474"/>
      <c r="Q265" s="474"/>
    </row>
    <row r="266" spans="7:17">
      <c r="G266" s="474"/>
      <c r="H266" s="474"/>
      <c r="I266" s="474"/>
      <c r="J266" s="474"/>
      <c r="K266" s="474"/>
      <c r="L266" s="474"/>
      <c r="M266" s="474"/>
      <c r="N266" s="474"/>
      <c r="O266" s="474"/>
      <c r="P266" s="474"/>
      <c r="Q266" s="474"/>
    </row>
    <row r="267" spans="7:17">
      <c r="G267" s="474"/>
      <c r="H267" s="474"/>
      <c r="I267" s="474"/>
      <c r="J267" s="474"/>
      <c r="K267" s="474"/>
      <c r="L267" s="474"/>
      <c r="M267" s="474"/>
      <c r="N267" s="474"/>
      <c r="O267" s="474"/>
      <c r="P267" s="474"/>
      <c r="Q267" s="474"/>
    </row>
    <row r="268" spans="7:17">
      <c r="G268" s="474"/>
      <c r="H268" s="474"/>
      <c r="I268" s="474"/>
      <c r="J268" s="474"/>
      <c r="K268" s="474"/>
      <c r="L268" s="474"/>
      <c r="M268" s="474"/>
      <c r="N268" s="474"/>
      <c r="O268" s="474"/>
      <c r="P268" s="474"/>
      <c r="Q268" s="474"/>
    </row>
    <row r="269" spans="7:17">
      <c r="G269" s="474"/>
      <c r="H269" s="474"/>
      <c r="I269" s="474"/>
      <c r="J269" s="474"/>
      <c r="K269" s="474"/>
      <c r="L269" s="474"/>
      <c r="M269" s="474"/>
      <c r="N269" s="474"/>
      <c r="O269" s="474"/>
      <c r="P269" s="474"/>
      <c r="Q269" s="474"/>
    </row>
    <row r="270" spans="7:17">
      <c r="G270" s="474"/>
      <c r="H270" s="474"/>
      <c r="I270" s="474"/>
      <c r="J270" s="474"/>
      <c r="K270" s="474"/>
      <c r="L270" s="474"/>
      <c r="M270" s="474"/>
      <c r="N270" s="474"/>
      <c r="O270" s="474"/>
      <c r="P270" s="474"/>
      <c r="Q270" s="474"/>
    </row>
    <row r="271" spans="7:17">
      <c r="G271" s="474"/>
      <c r="H271" s="474"/>
      <c r="I271" s="474"/>
      <c r="J271" s="474"/>
      <c r="K271" s="474"/>
      <c r="L271" s="474"/>
      <c r="M271" s="474"/>
      <c r="N271" s="474"/>
      <c r="O271" s="474"/>
      <c r="P271" s="474"/>
      <c r="Q271" s="474"/>
    </row>
    <row r="272" spans="7:17">
      <c r="G272" s="474"/>
      <c r="H272" s="474"/>
      <c r="I272" s="474"/>
      <c r="J272" s="474"/>
      <c r="K272" s="474"/>
      <c r="L272" s="474"/>
      <c r="M272" s="474"/>
      <c r="N272" s="474"/>
      <c r="O272" s="474"/>
      <c r="P272" s="474"/>
      <c r="Q272" s="474"/>
    </row>
    <row r="273" spans="7:17">
      <c r="G273" s="474"/>
      <c r="H273" s="474"/>
      <c r="I273" s="474"/>
      <c r="J273" s="474"/>
      <c r="K273" s="474"/>
      <c r="L273" s="474"/>
      <c r="M273" s="474"/>
      <c r="N273" s="474"/>
      <c r="O273" s="474"/>
      <c r="P273" s="474"/>
      <c r="Q273" s="474"/>
    </row>
    <row r="274" spans="7:17">
      <c r="G274" s="474"/>
      <c r="H274" s="474"/>
      <c r="I274" s="474"/>
      <c r="J274" s="474"/>
      <c r="K274" s="474"/>
      <c r="L274" s="474"/>
      <c r="M274" s="474"/>
      <c r="N274" s="474"/>
      <c r="O274" s="474"/>
      <c r="P274" s="474"/>
      <c r="Q274" s="474"/>
    </row>
    <row r="275" spans="7:17">
      <c r="G275" s="474"/>
      <c r="H275" s="474"/>
      <c r="I275" s="474"/>
      <c r="J275" s="474"/>
      <c r="K275" s="474"/>
      <c r="L275" s="474"/>
      <c r="M275" s="474"/>
      <c r="N275" s="474"/>
      <c r="O275" s="474"/>
      <c r="P275" s="474"/>
      <c r="Q275" s="474"/>
    </row>
    <row r="276" spans="7:17">
      <c r="G276" s="474"/>
      <c r="H276" s="474"/>
      <c r="I276" s="474"/>
      <c r="J276" s="474"/>
      <c r="K276" s="474"/>
      <c r="L276" s="474"/>
      <c r="M276" s="474"/>
      <c r="N276" s="474"/>
      <c r="O276" s="474"/>
      <c r="P276" s="474"/>
      <c r="Q276" s="474"/>
    </row>
    <row r="277" spans="7:17">
      <c r="G277" s="474"/>
      <c r="H277" s="474"/>
      <c r="I277" s="474"/>
      <c r="J277" s="474"/>
      <c r="K277" s="474"/>
      <c r="L277" s="474"/>
      <c r="M277" s="474"/>
      <c r="N277" s="474"/>
      <c r="O277" s="474"/>
      <c r="P277" s="474"/>
      <c r="Q277" s="474"/>
    </row>
    <row r="278" spans="7:17">
      <c r="G278" s="474"/>
      <c r="H278" s="474"/>
      <c r="I278" s="474"/>
      <c r="J278" s="474"/>
      <c r="K278" s="474"/>
      <c r="L278" s="474"/>
      <c r="M278" s="474"/>
      <c r="N278" s="474"/>
      <c r="O278" s="474"/>
      <c r="P278" s="474"/>
      <c r="Q278" s="474"/>
    </row>
    <row r="279" spans="7:17">
      <c r="G279" s="474"/>
      <c r="H279" s="474"/>
      <c r="I279" s="474"/>
      <c r="J279" s="474"/>
      <c r="K279" s="474"/>
      <c r="L279" s="474"/>
      <c r="M279" s="474"/>
      <c r="N279" s="474"/>
      <c r="O279" s="474"/>
      <c r="P279" s="474"/>
      <c r="Q279" s="474"/>
    </row>
    <row r="280" spans="7:17">
      <c r="G280" s="474"/>
      <c r="H280" s="474"/>
      <c r="I280" s="474"/>
      <c r="J280" s="474"/>
      <c r="K280" s="474"/>
      <c r="L280" s="474"/>
      <c r="M280" s="474"/>
      <c r="N280" s="474"/>
      <c r="O280" s="474"/>
      <c r="P280" s="474"/>
      <c r="Q280" s="474"/>
    </row>
    <row r="281" spans="7:17">
      <c r="G281" s="474"/>
      <c r="H281" s="474"/>
      <c r="I281" s="474"/>
      <c r="J281" s="474"/>
      <c r="K281" s="474"/>
      <c r="L281" s="474"/>
      <c r="M281" s="474"/>
      <c r="N281" s="474"/>
      <c r="O281" s="474"/>
      <c r="P281" s="474"/>
      <c r="Q281" s="474"/>
    </row>
    <row r="282" spans="7:17">
      <c r="G282" s="474"/>
      <c r="H282" s="474"/>
      <c r="I282" s="474"/>
      <c r="J282" s="474"/>
      <c r="K282" s="474"/>
      <c r="L282" s="474"/>
      <c r="M282" s="474"/>
      <c r="N282" s="474"/>
      <c r="O282" s="474"/>
      <c r="P282" s="474"/>
      <c r="Q282" s="474"/>
    </row>
    <row r="283" spans="7:17">
      <c r="G283" s="474"/>
      <c r="H283" s="474"/>
      <c r="I283" s="474"/>
      <c r="J283" s="474"/>
      <c r="K283" s="474"/>
      <c r="L283" s="474"/>
      <c r="M283" s="474"/>
      <c r="N283" s="474"/>
      <c r="O283" s="474"/>
      <c r="P283" s="474"/>
      <c r="Q283" s="474"/>
    </row>
    <row r="284" spans="7:17">
      <c r="G284" s="474"/>
      <c r="H284" s="474"/>
      <c r="I284" s="474"/>
      <c r="J284" s="474"/>
      <c r="K284" s="474"/>
      <c r="L284" s="474"/>
      <c r="M284" s="474"/>
      <c r="N284" s="474"/>
      <c r="O284" s="474"/>
      <c r="P284" s="474"/>
      <c r="Q284" s="474"/>
    </row>
    <row r="285" spans="7:17">
      <c r="G285" s="474"/>
      <c r="H285" s="474"/>
      <c r="I285" s="474"/>
      <c r="J285" s="474"/>
      <c r="K285" s="474"/>
      <c r="L285" s="474"/>
      <c r="M285" s="474"/>
      <c r="N285" s="474"/>
      <c r="O285" s="474"/>
      <c r="P285" s="474"/>
      <c r="Q285" s="474"/>
    </row>
    <row r="286" spans="7:17">
      <c r="G286" s="474"/>
      <c r="H286" s="474"/>
      <c r="I286" s="474"/>
      <c r="J286" s="474"/>
      <c r="K286" s="474"/>
      <c r="L286" s="474"/>
      <c r="M286" s="474"/>
      <c r="N286" s="474"/>
      <c r="O286" s="474"/>
      <c r="P286" s="474"/>
      <c r="Q286" s="474"/>
    </row>
    <row r="287" spans="7:17">
      <c r="G287" s="474"/>
      <c r="H287" s="474"/>
      <c r="I287" s="474"/>
      <c r="J287" s="474"/>
      <c r="K287" s="474"/>
      <c r="L287" s="474"/>
      <c r="M287" s="474"/>
      <c r="N287" s="474"/>
      <c r="O287" s="474"/>
      <c r="P287" s="474"/>
      <c r="Q287" s="474"/>
    </row>
    <row r="288" spans="7:17">
      <c r="G288" s="474"/>
      <c r="H288" s="474"/>
      <c r="I288" s="474"/>
      <c r="J288" s="474"/>
      <c r="K288" s="474"/>
      <c r="L288" s="474"/>
      <c r="M288" s="474"/>
      <c r="N288" s="474"/>
      <c r="O288" s="474"/>
      <c r="P288" s="474"/>
      <c r="Q288" s="474"/>
    </row>
    <row r="289" spans="7:17">
      <c r="G289" s="474"/>
      <c r="H289" s="474"/>
      <c r="I289" s="474"/>
      <c r="J289" s="474"/>
      <c r="K289" s="474"/>
      <c r="L289" s="474"/>
      <c r="M289" s="474"/>
      <c r="N289" s="474"/>
      <c r="O289" s="474"/>
      <c r="P289" s="474"/>
      <c r="Q289" s="474"/>
    </row>
    <row r="290" spans="7:17">
      <c r="G290" s="474"/>
      <c r="H290" s="474"/>
      <c r="I290" s="474"/>
      <c r="J290" s="474"/>
      <c r="K290" s="474"/>
      <c r="L290" s="474"/>
      <c r="M290" s="474"/>
      <c r="N290" s="474"/>
      <c r="O290" s="474"/>
      <c r="P290" s="474"/>
      <c r="Q290" s="474"/>
    </row>
    <row r="291" spans="7:17">
      <c r="G291" s="474"/>
      <c r="H291" s="474"/>
      <c r="I291" s="474"/>
      <c r="J291" s="474"/>
      <c r="K291" s="474"/>
      <c r="L291" s="474"/>
      <c r="M291" s="474"/>
      <c r="N291" s="474"/>
      <c r="O291" s="474"/>
      <c r="P291" s="474"/>
      <c r="Q291" s="474"/>
    </row>
    <row r="292" spans="7:17">
      <c r="G292" s="474"/>
      <c r="H292" s="474"/>
      <c r="I292" s="474"/>
      <c r="J292" s="474"/>
      <c r="K292" s="474"/>
      <c r="L292" s="474"/>
      <c r="M292" s="474"/>
      <c r="N292" s="474"/>
      <c r="O292" s="474"/>
      <c r="P292" s="474"/>
      <c r="Q292" s="474"/>
    </row>
    <row r="293" spans="7:17">
      <c r="G293" s="474"/>
      <c r="H293" s="474"/>
      <c r="I293" s="474"/>
      <c r="J293" s="474"/>
      <c r="K293" s="474"/>
      <c r="L293" s="474"/>
      <c r="M293" s="474"/>
      <c r="N293" s="474"/>
      <c r="O293" s="474"/>
      <c r="P293" s="474"/>
      <c r="Q293" s="474"/>
    </row>
    <row r="294" spans="7:17">
      <c r="G294" s="474"/>
      <c r="H294" s="474"/>
      <c r="I294" s="474"/>
      <c r="J294" s="474"/>
      <c r="K294" s="474"/>
      <c r="L294" s="474"/>
      <c r="M294" s="474"/>
      <c r="N294" s="474"/>
      <c r="O294" s="474"/>
      <c r="P294" s="474"/>
      <c r="Q294" s="474"/>
    </row>
    <row r="295" spans="7:17">
      <c r="G295" s="474"/>
      <c r="H295" s="474"/>
      <c r="I295" s="474"/>
      <c r="J295" s="474"/>
      <c r="K295" s="474"/>
      <c r="L295" s="474"/>
      <c r="M295" s="474"/>
      <c r="N295" s="474"/>
      <c r="O295" s="474"/>
      <c r="P295" s="474"/>
      <c r="Q295" s="474"/>
    </row>
    <row r="296" spans="7:17">
      <c r="G296" s="474"/>
      <c r="H296" s="474"/>
      <c r="I296" s="474"/>
      <c r="J296" s="474"/>
      <c r="K296" s="474"/>
      <c r="L296" s="474"/>
      <c r="M296" s="474"/>
      <c r="N296" s="474"/>
      <c r="O296" s="474"/>
      <c r="P296" s="474"/>
      <c r="Q296" s="474"/>
    </row>
    <row r="297" spans="7:17">
      <c r="G297" s="474"/>
      <c r="H297" s="474"/>
      <c r="I297" s="474"/>
      <c r="J297" s="474"/>
      <c r="K297" s="474"/>
      <c r="L297" s="474"/>
      <c r="M297" s="474"/>
      <c r="N297" s="474"/>
      <c r="O297" s="474"/>
      <c r="P297" s="474"/>
      <c r="Q297" s="474"/>
    </row>
    <row r="298" spans="7:17">
      <c r="G298" s="474"/>
      <c r="H298" s="474"/>
      <c r="I298" s="474"/>
      <c r="J298" s="474"/>
      <c r="K298" s="474"/>
      <c r="L298" s="474"/>
      <c r="M298" s="474"/>
      <c r="N298" s="474"/>
      <c r="O298" s="474"/>
      <c r="P298" s="474"/>
      <c r="Q298" s="474"/>
    </row>
    <row r="299" spans="7:17">
      <c r="G299" s="474"/>
      <c r="H299" s="474"/>
      <c r="I299" s="474"/>
      <c r="J299" s="474"/>
      <c r="K299" s="474"/>
      <c r="L299" s="474"/>
      <c r="M299" s="474"/>
      <c r="N299" s="474"/>
      <c r="O299" s="474"/>
      <c r="P299" s="474"/>
      <c r="Q299" s="474"/>
    </row>
    <row r="300" spans="7:17">
      <c r="G300" s="474"/>
      <c r="H300" s="474"/>
      <c r="I300" s="474"/>
      <c r="J300" s="474"/>
      <c r="K300" s="474"/>
      <c r="L300" s="474"/>
      <c r="M300" s="474"/>
      <c r="N300" s="474"/>
      <c r="O300" s="474"/>
      <c r="P300" s="474"/>
      <c r="Q300" s="474"/>
    </row>
    <row r="301" spans="7:17">
      <c r="G301" s="474"/>
      <c r="H301" s="474"/>
      <c r="I301" s="474"/>
      <c r="J301" s="474"/>
      <c r="K301" s="474"/>
      <c r="L301" s="474"/>
      <c r="M301" s="474"/>
      <c r="N301" s="474"/>
      <c r="O301" s="474"/>
      <c r="P301" s="474"/>
      <c r="Q301" s="474"/>
    </row>
    <row r="302" spans="7:17">
      <c r="G302" s="474"/>
      <c r="H302" s="474"/>
      <c r="I302" s="474"/>
      <c r="J302" s="474"/>
      <c r="K302" s="474"/>
      <c r="L302" s="474"/>
      <c r="M302" s="474"/>
      <c r="N302" s="474"/>
      <c r="O302" s="474"/>
      <c r="P302" s="474"/>
      <c r="Q302" s="474"/>
    </row>
    <row r="303" spans="7:17">
      <c r="G303" s="474"/>
      <c r="H303" s="474"/>
      <c r="I303" s="474"/>
      <c r="J303" s="474"/>
      <c r="K303" s="474"/>
      <c r="L303" s="474"/>
      <c r="M303" s="474"/>
      <c r="N303" s="474"/>
      <c r="O303" s="474"/>
      <c r="P303" s="474"/>
      <c r="Q303" s="474"/>
    </row>
    <row r="304" spans="7:17">
      <c r="G304" s="474"/>
      <c r="H304" s="474"/>
      <c r="I304" s="474"/>
      <c r="J304" s="474"/>
      <c r="K304" s="474"/>
      <c r="L304" s="474"/>
      <c r="M304" s="474"/>
      <c r="N304" s="474"/>
      <c r="O304" s="474"/>
      <c r="P304" s="474"/>
      <c r="Q304" s="474"/>
    </row>
    <row r="305" spans="7:17">
      <c r="G305" s="474"/>
      <c r="H305" s="474"/>
      <c r="I305" s="474"/>
      <c r="J305" s="474"/>
      <c r="K305" s="474"/>
      <c r="L305" s="474"/>
      <c r="M305" s="474"/>
      <c r="N305" s="474"/>
      <c r="O305" s="474"/>
      <c r="P305" s="474"/>
      <c r="Q305" s="474"/>
    </row>
    <row r="306" spans="7:17">
      <c r="G306" s="474"/>
      <c r="H306" s="474"/>
      <c r="I306" s="474"/>
      <c r="J306" s="474"/>
      <c r="K306" s="474"/>
      <c r="L306" s="474"/>
      <c r="M306" s="474"/>
      <c r="N306" s="474"/>
      <c r="O306" s="474"/>
      <c r="P306" s="474"/>
      <c r="Q306" s="474"/>
    </row>
    <row r="307" spans="7:17">
      <c r="G307" s="474"/>
      <c r="H307" s="474"/>
      <c r="I307" s="474"/>
      <c r="J307" s="474"/>
      <c r="K307" s="474"/>
      <c r="L307" s="474"/>
      <c r="M307" s="474"/>
      <c r="N307" s="474"/>
      <c r="O307" s="474"/>
      <c r="P307" s="474"/>
      <c r="Q307" s="474"/>
    </row>
    <row r="308" spans="7:17">
      <c r="G308" s="474"/>
      <c r="H308" s="474"/>
      <c r="I308" s="474"/>
      <c r="J308" s="474"/>
      <c r="K308" s="474"/>
      <c r="L308" s="474"/>
      <c r="M308" s="474"/>
      <c r="N308" s="474"/>
      <c r="O308" s="474"/>
      <c r="P308" s="474"/>
      <c r="Q308" s="474"/>
    </row>
    <row r="309" spans="7:17">
      <c r="G309" s="474"/>
      <c r="H309" s="474"/>
      <c r="I309" s="474"/>
      <c r="J309" s="474"/>
      <c r="K309" s="474"/>
      <c r="L309" s="474"/>
      <c r="M309" s="474"/>
      <c r="N309" s="474"/>
      <c r="O309" s="474"/>
      <c r="P309" s="474"/>
      <c r="Q309" s="474"/>
    </row>
    <row r="310" spans="7:17">
      <c r="G310" s="474"/>
      <c r="H310" s="474"/>
      <c r="I310" s="474"/>
      <c r="J310" s="474"/>
      <c r="K310" s="474"/>
      <c r="L310" s="474"/>
      <c r="M310" s="474"/>
      <c r="N310" s="474"/>
      <c r="O310" s="474"/>
      <c r="P310" s="474"/>
      <c r="Q310" s="474"/>
    </row>
    <row r="311" spans="7:17">
      <c r="G311" s="474"/>
      <c r="H311" s="474"/>
      <c r="I311" s="474"/>
      <c r="J311" s="474"/>
      <c r="K311" s="474"/>
      <c r="L311" s="474"/>
      <c r="M311" s="474"/>
      <c r="N311" s="474"/>
      <c r="O311" s="474"/>
      <c r="P311" s="474"/>
      <c r="Q311" s="474"/>
    </row>
    <row r="312" spans="7:17">
      <c r="G312" s="474"/>
      <c r="H312" s="474"/>
      <c r="I312" s="474"/>
      <c r="J312" s="474"/>
      <c r="K312" s="474"/>
      <c r="L312" s="474"/>
      <c r="M312" s="474"/>
      <c r="N312" s="474"/>
      <c r="O312" s="474"/>
      <c r="P312" s="474"/>
      <c r="Q312" s="474"/>
    </row>
    <row r="313" spans="7:17">
      <c r="G313" s="474"/>
      <c r="H313" s="474"/>
      <c r="I313" s="474"/>
      <c r="J313" s="474"/>
      <c r="K313" s="474"/>
      <c r="L313" s="474"/>
      <c r="M313" s="474"/>
      <c r="N313" s="474"/>
      <c r="O313" s="474"/>
      <c r="P313" s="474"/>
      <c r="Q313" s="474"/>
    </row>
    <row r="314" spans="7:17">
      <c r="G314" s="474"/>
      <c r="H314" s="474"/>
      <c r="I314" s="474"/>
      <c r="J314" s="474"/>
      <c r="K314" s="474"/>
      <c r="L314" s="474"/>
      <c r="M314" s="474"/>
      <c r="N314" s="474"/>
      <c r="O314" s="474"/>
      <c r="P314" s="474"/>
      <c r="Q314" s="474"/>
    </row>
    <row r="315" spans="7:17">
      <c r="G315" s="474"/>
      <c r="H315" s="474"/>
      <c r="I315" s="474"/>
      <c r="J315" s="474"/>
      <c r="K315" s="474"/>
      <c r="L315" s="474"/>
      <c r="M315" s="474"/>
      <c r="N315" s="474"/>
      <c r="O315" s="474"/>
      <c r="P315" s="474"/>
      <c r="Q315" s="474"/>
    </row>
    <row r="316" spans="7:17">
      <c r="G316" s="474"/>
      <c r="H316" s="474"/>
      <c r="I316" s="474"/>
      <c r="J316" s="474"/>
      <c r="K316" s="474"/>
      <c r="L316" s="474"/>
      <c r="M316" s="474"/>
      <c r="N316" s="474"/>
      <c r="O316" s="474"/>
      <c r="P316" s="474"/>
      <c r="Q316" s="474"/>
    </row>
    <row r="317" spans="7:17">
      <c r="G317" s="474"/>
      <c r="H317" s="474"/>
      <c r="I317" s="474"/>
      <c r="J317" s="474"/>
      <c r="K317" s="474"/>
      <c r="L317" s="474"/>
      <c r="M317" s="474"/>
      <c r="N317" s="474"/>
      <c r="O317" s="474"/>
      <c r="P317" s="474"/>
      <c r="Q317" s="474"/>
    </row>
    <row r="318" spans="7:17">
      <c r="G318" s="474"/>
      <c r="H318" s="474"/>
      <c r="I318" s="474"/>
      <c r="J318" s="474"/>
      <c r="K318" s="474"/>
      <c r="L318" s="474"/>
      <c r="M318" s="474"/>
      <c r="N318" s="474"/>
      <c r="O318" s="474"/>
      <c r="P318" s="474"/>
      <c r="Q318" s="474"/>
    </row>
    <row r="319" spans="7:17">
      <c r="G319" s="474"/>
      <c r="H319" s="474"/>
      <c r="I319" s="474"/>
      <c r="J319" s="474"/>
      <c r="K319" s="474"/>
      <c r="L319" s="474"/>
      <c r="M319" s="474"/>
      <c r="N319" s="474"/>
      <c r="O319" s="474"/>
      <c r="P319" s="474"/>
      <c r="Q319" s="474"/>
    </row>
    <row r="320" spans="7:17">
      <c r="G320" s="474"/>
      <c r="H320" s="474"/>
      <c r="I320" s="474"/>
      <c r="J320" s="474"/>
      <c r="K320" s="474"/>
      <c r="L320" s="474"/>
      <c r="M320" s="474"/>
      <c r="N320" s="474"/>
      <c r="O320" s="474"/>
      <c r="P320" s="474"/>
      <c r="Q320" s="474"/>
    </row>
    <row r="321" spans="7:17">
      <c r="G321" s="474"/>
      <c r="H321" s="474"/>
      <c r="I321" s="474"/>
      <c r="J321" s="474"/>
      <c r="K321" s="474"/>
      <c r="L321" s="474"/>
      <c r="M321" s="474"/>
      <c r="N321" s="474"/>
      <c r="O321" s="474"/>
      <c r="P321" s="474"/>
      <c r="Q321" s="474"/>
    </row>
    <row r="322" spans="7:17">
      <c r="G322" s="474"/>
      <c r="H322" s="474"/>
      <c r="I322" s="474"/>
      <c r="J322" s="474"/>
      <c r="K322" s="474"/>
      <c r="L322" s="474"/>
      <c r="M322" s="474"/>
      <c r="N322" s="474"/>
      <c r="O322" s="474"/>
      <c r="P322" s="474"/>
      <c r="Q322" s="474"/>
    </row>
    <row r="323" spans="7:17">
      <c r="G323" s="474"/>
      <c r="H323" s="474"/>
      <c r="I323" s="474"/>
      <c r="J323" s="474"/>
      <c r="K323" s="474"/>
      <c r="L323" s="474"/>
      <c r="M323" s="474"/>
      <c r="N323" s="474"/>
      <c r="O323" s="474"/>
      <c r="P323" s="474"/>
      <c r="Q323" s="474"/>
    </row>
    <row r="324" spans="7:17">
      <c r="G324" s="474"/>
      <c r="H324" s="474"/>
      <c r="I324" s="474"/>
      <c r="J324" s="474"/>
      <c r="K324" s="474"/>
      <c r="L324" s="474"/>
      <c r="M324" s="474"/>
      <c r="N324" s="474"/>
      <c r="O324" s="474"/>
      <c r="P324" s="474"/>
      <c r="Q324" s="474"/>
    </row>
    <row r="325" spans="7:17">
      <c r="G325" s="474"/>
      <c r="H325" s="474"/>
      <c r="I325" s="474"/>
      <c r="J325" s="474"/>
      <c r="K325" s="474"/>
      <c r="L325" s="474"/>
      <c r="M325" s="474"/>
      <c r="N325" s="474"/>
      <c r="O325" s="474"/>
      <c r="P325" s="474"/>
      <c r="Q325" s="474"/>
    </row>
    <row r="326" spans="7:17">
      <c r="G326" s="474"/>
      <c r="H326" s="474"/>
      <c r="I326" s="474"/>
      <c r="J326" s="474"/>
      <c r="K326" s="474"/>
      <c r="L326" s="474"/>
      <c r="M326" s="474"/>
      <c r="N326" s="474"/>
      <c r="O326" s="474"/>
      <c r="P326" s="474"/>
      <c r="Q326" s="474"/>
    </row>
    <row r="327" spans="7:17">
      <c r="G327" s="474"/>
      <c r="H327" s="474"/>
      <c r="I327" s="474"/>
      <c r="J327" s="474"/>
      <c r="K327" s="474"/>
      <c r="L327" s="474"/>
      <c r="M327" s="474"/>
      <c r="N327" s="474"/>
      <c r="O327" s="474"/>
      <c r="P327" s="474"/>
      <c r="Q327" s="474"/>
    </row>
    <row r="328" spans="7:17">
      <c r="G328" s="474"/>
      <c r="H328" s="474"/>
      <c r="I328" s="474"/>
      <c r="J328" s="474"/>
      <c r="K328" s="474"/>
      <c r="L328" s="474"/>
      <c r="M328" s="474"/>
      <c r="N328" s="474"/>
      <c r="O328" s="474"/>
      <c r="P328" s="474"/>
      <c r="Q328" s="474"/>
    </row>
    <row r="329" spans="7:17">
      <c r="G329" s="474"/>
      <c r="H329" s="474"/>
      <c r="I329" s="474"/>
      <c r="J329" s="474"/>
      <c r="K329" s="474"/>
      <c r="L329" s="474"/>
      <c r="M329" s="474"/>
      <c r="N329" s="474"/>
      <c r="O329" s="474"/>
      <c r="P329" s="474"/>
      <c r="Q329" s="474"/>
    </row>
    <row r="330" spans="7:17">
      <c r="G330" s="474"/>
      <c r="H330" s="474"/>
      <c r="I330" s="474"/>
      <c r="J330" s="474"/>
      <c r="K330" s="474"/>
      <c r="L330" s="474"/>
      <c r="M330" s="474"/>
      <c r="N330" s="474"/>
      <c r="O330" s="474"/>
      <c r="P330" s="474"/>
      <c r="Q330" s="474"/>
    </row>
    <row r="331" spans="7:17">
      <c r="G331" s="474"/>
      <c r="H331" s="474"/>
      <c r="I331" s="474"/>
      <c r="J331" s="474"/>
      <c r="K331" s="474"/>
      <c r="L331" s="474"/>
      <c r="M331" s="474"/>
      <c r="N331" s="474"/>
      <c r="O331" s="474"/>
      <c r="P331" s="474"/>
      <c r="Q331" s="474"/>
    </row>
    <row r="332" spans="7:17">
      <c r="G332" s="474"/>
      <c r="H332" s="474"/>
      <c r="I332" s="474"/>
      <c r="J332" s="474"/>
      <c r="K332" s="474"/>
      <c r="L332" s="474"/>
      <c r="M332" s="474"/>
      <c r="N332" s="474"/>
      <c r="O332" s="474"/>
      <c r="P332" s="474"/>
      <c r="Q332" s="474"/>
    </row>
    <row r="333" spans="7:17">
      <c r="G333" s="474"/>
      <c r="H333" s="474"/>
      <c r="I333" s="474"/>
      <c r="J333" s="474"/>
      <c r="K333" s="474"/>
      <c r="L333" s="474"/>
      <c r="M333" s="474"/>
      <c r="N333" s="474"/>
      <c r="O333" s="474"/>
      <c r="P333" s="474"/>
      <c r="Q333" s="474"/>
    </row>
    <row r="334" spans="7:17">
      <c r="G334" s="474"/>
      <c r="H334" s="474"/>
      <c r="I334" s="474"/>
      <c r="J334" s="474"/>
      <c r="K334" s="474"/>
      <c r="L334" s="474"/>
      <c r="M334" s="474"/>
      <c r="N334" s="474"/>
      <c r="O334" s="474"/>
      <c r="P334" s="474"/>
      <c r="Q334" s="474"/>
    </row>
    <row r="335" spans="7:17">
      <c r="G335" s="474"/>
      <c r="H335" s="474"/>
      <c r="I335" s="474"/>
      <c r="J335" s="474"/>
      <c r="K335" s="474"/>
      <c r="L335" s="474"/>
      <c r="M335" s="474"/>
      <c r="N335" s="474"/>
      <c r="O335" s="474"/>
      <c r="P335" s="474"/>
      <c r="Q335" s="474"/>
    </row>
    <row r="336" spans="7:17">
      <c r="G336" s="474"/>
      <c r="H336" s="474"/>
      <c r="I336" s="474"/>
      <c r="J336" s="474"/>
      <c r="K336" s="474"/>
      <c r="L336" s="474"/>
      <c r="M336" s="474"/>
      <c r="N336" s="474"/>
      <c r="O336" s="474"/>
      <c r="P336" s="474"/>
      <c r="Q336" s="474"/>
    </row>
    <row r="337" spans="7:17">
      <c r="G337" s="474"/>
      <c r="H337" s="474"/>
      <c r="I337" s="474"/>
      <c r="J337" s="474"/>
      <c r="K337" s="474"/>
      <c r="L337" s="474"/>
      <c r="M337" s="474"/>
      <c r="N337" s="474"/>
      <c r="O337" s="474"/>
      <c r="P337" s="474"/>
      <c r="Q337" s="474"/>
    </row>
    <row r="338" spans="7:17">
      <c r="G338" s="474"/>
      <c r="H338" s="474"/>
      <c r="I338" s="474"/>
      <c r="J338" s="474"/>
      <c r="K338" s="474"/>
      <c r="L338" s="474"/>
      <c r="M338" s="474"/>
      <c r="N338" s="474"/>
      <c r="O338" s="474"/>
      <c r="P338" s="474"/>
      <c r="Q338" s="474"/>
    </row>
    <row r="339" spans="7:17">
      <c r="G339" s="474"/>
      <c r="H339" s="474"/>
      <c r="I339" s="474"/>
      <c r="J339" s="474"/>
      <c r="K339" s="474"/>
      <c r="L339" s="474"/>
      <c r="M339" s="474"/>
      <c r="N339" s="474"/>
      <c r="O339" s="474"/>
      <c r="P339" s="474"/>
      <c r="Q339" s="474"/>
    </row>
    <row r="340" spans="7:17">
      <c r="G340" s="474"/>
      <c r="H340" s="474"/>
      <c r="I340" s="474"/>
      <c r="J340" s="474"/>
      <c r="K340" s="474"/>
      <c r="L340" s="474"/>
      <c r="M340" s="474"/>
      <c r="N340" s="474"/>
      <c r="O340" s="474"/>
      <c r="P340" s="474"/>
      <c r="Q340" s="474"/>
    </row>
    <row r="341" spans="7:17">
      <c r="G341" s="474"/>
      <c r="H341" s="474"/>
      <c r="I341" s="474"/>
      <c r="J341" s="474"/>
      <c r="K341" s="474"/>
      <c r="L341" s="474"/>
      <c r="M341" s="474"/>
      <c r="N341" s="474"/>
      <c r="O341" s="474"/>
      <c r="P341" s="474"/>
      <c r="Q341" s="474"/>
    </row>
    <row r="342" spans="7:17">
      <c r="G342" s="474"/>
      <c r="H342" s="474"/>
      <c r="I342" s="474"/>
      <c r="J342" s="474"/>
      <c r="K342" s="474"/>
      <c r="L342" s="474"/>
      <c r="M342" s="474"/>
      <c r="N342" s="474"/>
      <c r="O342" s="474"/>
      <c r="P342" s="474"/>
      <c r="Q342" s="474"/>
    </row>
    <row r="343" spans="7:17">
      <c r="G343" s="474"/>
      <c r="H343" s="474"/>
      <c r="I343" s="474"/>
      <c r="J343" s="474"/>
      <c r="K343" s="474"/>
      <c r="L343" s="474"/>
      <c r="M343" s="474"/>
      <c r="N343" s="474"/>
      <c r="O343" s="474"/>
      <c r="P343" s="474"/>
      <c r="Q343" s="474"/>
    </row>
    <row r="344" spans="7:17">
      <c r="G344" s="474"/>
      <c r="H344" s="474"/>
      <c r="I344" s="474"/>
      <c r="J344" s="474"/>
      <c r="K344" s="474"/>
      <c r="L344" s="474"/>
      <c r="M344" s="474"/>
      <c r="N344" s="474"/>
      <c r="O344" s="474"/>
      <c r="P344" s="474"/>
      <c r="Q344" s="474"/>
    </row>
    <row r="345" spans="7:17">
      <c r="G345" s="474"/>
      <c r="H345" s="474"/>
      <c r="I345" s="474"/>
      <c r="J345" s="474"/>
      <c r="K345" s="474"/>
      <c r="L345" s="474"/>
      <c r="M345" s="474"/>
      <c r="N345" s="474"/>
      <c r="O345" s="474"/>
      <c r="P345" s="474"/>
      <c r="Q345" s="474"/>
    </row>
    <row r="346" spans="7:17">
      <c r="G346" s="474"/>
      <c r="H346" s="474"/>
      <c r="I346" s="474"/>
      <c r="J346" s="474"/>
      <c r="K346" s="474"/>
      <c r="L346" s="474"/>
      <c r="M346" s="474"/>
      <c r="N346" s="474"/>
      <c r="O346" s="474"/>
      <c r="P346" s="474"/>
      <c r="Q346" s="474"/>
    </row>
    <row r="347" spans="7:17">
      <c r="G347" s="474"/>
      <c r="H347" s="474"/>
      <c r="I347" s="474"/>
      <c r="J347" s="474"/>
      <c r="K347" s="474"/>
      <c r="L347" s="474"/>
      <c r="M347" s="474"/>
      <c r="N347" s="474"/>
      <c r="O347" s="474"/>
      <c r="P347" s="474"/>
      <c r="Q347" s="474"/>
    </row>
    <row r="348" spans="7:17">
      <c r="G348" s="474"/>
      <c r="H348" s="474"/>
      <c r="I348" s="474"/>
      <c r="J348" s="474"/>
      <c r="K348" s="474"/>
      <c r="L348" s="474"/>
      <c r="M348" s="474"/>
      <c r="N348" s="474"/>
      <c r="O348" s="474"/>
      <c r="P348" s="474"/>
      <c r="Q348" s="474"/>
    </row>
    <row r="349" spans="7:17">
      <c r="G349" s="474"/>
      <c r="H349" s="474"/>
      <c r="I349" s="474"/>
      <c r="J349" s="474"/>
      <c r="K349" s="474"/>
      <c r="L349" s="474"/>
      <c r="M349" s="474"/>
      <c r="N349" s="474"/>
      <c r="O349" s="474"/>
      <c r="P349" s="474"/>
      <c r="Q349" s="474"/>
    </row>
    <row r="350" spans="7:17">
      <c r="G350" s="474"/>
      <c r="H350" s="474"/>
      <c r="I350" s="474"/>
      <c r="J350" s="474"/>
      <c r="K350" s="474"/>
      <c r="L350" s="474"/>
      <c r="M350" s="474"/>
      <c r="N350" s="474"/>
      <c r="O350" s="474"/>
      <c r="P350" s="474"/>
      <c r="Q350" s="474"/>
    </row>
    <row r="351" spans="7:17">
      <c r="G351" s="474"/>
      <c r="H351" s="474"/>
      <c r="I351" s="474"/>
      <c r="J351" s="474"/>
      <c r="K351" s="474"/>
      <c r="L351" s="474"/>
      <c r="M351" s="474"/>
      <c r="N351" s="474"/>
      <c r="O351" s="474"/>
      <c r="P351" s="474"/>
      <c r="Q351" s="474"/>
    </row>
    <row r="352" spans="7:17">
      <c r="G352" s="474"/>
      <c r="H352" s="474"/>
      <c r="I352" s="474"/>
      <c r="J352" s="474"/>
      <c r="K352" s="474"/>
      <c r="L352" s="474"/>
      <c r="M352" s="474"/>
      <c r="N352" s="474"/>
      <c r="O352" s="474"/>
      <c r="P352" s="474"/>
      <c r="Q352" s="474"/>
    </row>
    <row r="353" spans="7:17">
      <c r="G353" s="474"/>
      <c r="H353" s="474"/>
      <c r="I353" s="474"/>
      <c r="J353" s="474"/>
      <c r="K353" s="474"/>
      <c r="L353" s="474"/>
      <c r="M353" s="474"/>
      <c r="N353" s="474"/>
      <c r="O353" s="474"/>
      <c r="P353" s="474"/>
      <c r="Q353" s="474"/>
    </row>
    <row r="354" spans="7:17">
      <c r="G354" s="474"/>
      <c r="H354" s="474"/>
      <c r="I354" s="474"/>
      <c r="J354" s="474"/>
      <c r="K354" s="474"/>
      <c r="L354" s="474"/>
      <c r="M354" s="474"/>
      <c r="N354" s="474"/>
      <c r="O354" s="474"/>
      <c r="P354" s="474"/>
      <c r="Q354" s="474"/>
    </row>
    <row r="355" spans="7:17">
      <c r="G355" s="474"/>
      <c r="H355" s="474"/>
      <c r="I355" s="474"/>
      <c r="J355" s="474"/>
      <c r="K355" s="474"/>
      <c r="L355" s="474"/>
      <c r="M355" s="474"/>
      <c r="N355" s="474"/>
      <c r="O355" s="474"/>
      <c r="P355" s="474"/>
      <c r="Q355" s="474"/>
    </row>
    <row r="356" spans="7:17">
      <c r="G356" s="474"/>
      <c r="H356" s="474"/>
      <c r="I356" s="474"/>
      <c r="J356" s="474"/>
      <c r="K356" s="474"/>
      <c r="L356" s="474"/>
      <c r="M356" s="474"/>
      <c r="N356" s="474"/>
      <c r="O356" s="474"/>
      <c r="P356" s="474"/>
      <c r="Q356" s="474"/>
    </row>
    <row r="357" spans="7:17">
      <c r="G357" s="474"/>
      <c r="H357" s="474"/>
      <c r="I357" s="474"/>
      <c r="J357" s="474"/>
      <c r="K357" s="474"/>
      <c r="L357" s="474"/>
      <c r="M357" s="474"/>
      <c r="N357" s="474"/>
      <c r="O357" s="474"/>
      <c r="P357" s="474"/>
      <c r="Q357" s="474"/>
    </row>
    <row r="358" spans="7:17">
      <c r="G358" s="474"/>
      <c r="H358" s="474"/>
      <c r="I358" s="474"/>
      <c r="J358" s="474"/>
      <c r="K358" s="474"/>
      <c r="L358" s="474"/>
      <c r="M358" s="474"/>
      <c r="N358" s="474"/>
      <c r="O358" s="474"/>
      <c r="P358" s="474"/>
      <c r="Q358" s="474"/>
    </row>
    <row r="359" spans="7:17">
      <c r="G359" s="474"/>
      <c r="H359" s="474"/>
      <c r="I359" s="474"/>
      <c r="J359" s="474"/>
      <c r="K359" s="474"/>
      <c r="L359" s="474"/>
      <c r="M359" s="474"/>
      <c r="N359" s="474"/>
      <c r="O359" s="474"/>
      <c r="P359" s="474"/>
      <c r="Q359" s="474"/>
    </row>
    <row r="360" spans="7:17">
      <c r="G360" s="474"/>
      <c r="H360" s="474"/>
      <c r="I360" s="474"/>
      <c r="J360" s="474"/>
      <c r="K360" s="474"/>
      <c r="L360" s="474"/>
      <c r="M360" s="474"/>
      <c r="N360" s="474"/>
      <c r="O360" s="474"/>
      <c r="P360" s="474"/>
      <c r="Q360" s="474"/>
    </row>
    <row r="361" spans="7:17">
      <c r="G361" s="474"/>
      <c r="H361" s="474"/>
      <c r="I361" s="474"/>
      <c r="J361" s="474"/>
      <c r="K361" s="474"/>
      <c r="L361" s="474"/>
      <c r="M361" s="474"/>
      <c r="N361" s="474"/>
      <c r="O361" s="474"/>
      <c r="P361" s="474"/>
      <c r="Q361" s="474"/>
    </row>
    <row r="362" spans="7:17">
      <c r="G362" s="474"/>
      <c r="H362" s="474"/>
      <c r="I362" s="474"/>
      <c r="J362" s="474"/>
      <c r="K362" s="474"/>
      <c r="L362" s="474"/>
      <c r="M362" s="474"/>
      <c r="N362" s="474"/>
      <c r="O362" s="474"/>
      <c r="P362" s="474"/>
      <c r="Q362" s="474"/>
    </row>
    <row r="363" spans="7:17">
      <c r="G363" s="474"/>
      <c r="H363" s="474"/>
      <c r="I363" s="474"/>
      <c r="J363" s="474"/>
      <c r="K363" s="474"/>
      <c r="L363" s="474"/>
      <c r="M363" s="474"/>
      <c r="N363" s="474"/>
      <c r="O363" s="474"/>
      <c r="P363" s="474"/>
      <c r="Q363" s="474"/>
    </row>
    <row r="364" spans="7:17">
      <c r="G364" s="474"/>
      <c r="H364" s="474"/>
      <c r="I364" s="474"/>
      <c r="J364" s="474"/>
      <c r="K364" s="474"/>
      <c r="L364" s="474"/>
      <c r="M364" s="474"/>
      <c r="N364" s="474"/>
      <c r="O364" s="474"/>
      <c r="P364" s="474"/>
      <c r="Q364" s="474"/>
    </row>
    <row r="365" spans="7:17">
      <c r="G365" s="474"/>
      <c r="H365" s="474"/>
      <c r="I365" s="474"/>
      <c r="J365" s="474"/>
      <c r="K365" s="474"/>
      <c r="L365" s="474"/>
      <c r="M365" s="474"/>
      <c r="N365" s="474"/>
      <c r="O365" s="474"/>
      <c r="P365" s="474"/>
      <c r="Q365" s="474"/>
    </row>
    <row r="366" spans="7:17">
      <c r="G366" s="474"/>
      <c r="H366" s="474"/>
      <c r="I366" s="474"/>
      <c r="J366" s="474"/>
      <c r="K366" s="474"/>
      <c r="L366" s="474"/>
      <c r="M366" s="474"/>
      <c r="N366" s="474"/>
      <c r="O366" s="474"/>
      <c r="P366" s="474"/>
      <c r="Q366" s="474"/>
    </row>
    <row r="367" spans="7:17">
      <c r="G367" s="474"/>
      <c r="H367" s="474"/>
      <c r="I367" s="474"/>
      <c r="J367" s="474"/>
      <c r="K367" s="474"/>
      <c r="L367" s="474"/>
      <c r="M367" s="474"/>
      <c r="N367" s="474"/>
      <c r="O367" s="474"/>
      <c r="P367" s="474"/>
      <c r="Q367" s="474"/>
    </row>
    <row r="368" spans="7:17">
      <c r="G368" s="474"/>
      <c r="H368" s="474"/>
      <c r="I368" s="474"/>
      <c r="J368" s="474"/>
      <c r="K368" s="474"/>
      <c r="L368" s="474"/>
      <c r="M368" s="474"/>
      <c r="N368" s="474"/>
      <c r="O368" s="474"/>
      <c r="P368" s="474"/>
      <c r="Q368" s="474"/>
    </row>
    <row r="369" spans="7:17">
      <c r="G369" s="474"/>
      <c r="H369" s="474"/>
      <c r="I369" s="474"/>
      <c r="J369" s="474"/>
      <c r="K369" s="474"/>
      <c r="L369" s="474"/>
      <c r="M369" s="474"/>
      <c r="N369" s="474"/>
      <c r="O369" s="474"/>
      <c r="P369" s="474"/>
      <c r="Q369" s="474"/>
    </row>
    <row r="370" spans="7:17">
      <c r="G370" s="474"/>
      <c r="H370" s="474"/>
      <c r="I370" s="474"/>
      <c r="J370" s="474"/>
      <c r="K370" s="474"/>
      <c r="L370" s="474"/>
      <c r="M370" s="474"/>
      <c r="N370" s="474"/>
      <c r="O370" s="474"/>
      <c r="P370" s="474"/>
      <c r="Q370" s="474"/>
    </row>
    <row r="371" spans="7:17">
      <c r="G371" s="474"/>
      <c r="H371" s="474"/>
      <c r="I371" s="474"/>
      <c r="J371" s="474"/>
      <c r="K371" s="474"/>
      <c r="L371" s="474"/>
      <c r="M371" s="474"/>
      <c r="N371" s="474"/>
      <c r="O371" s="474"/>
      <c r="P371" s="474"/>
      <c r="Q371" s="474"/>
    </row>
    <row r="372" spans="7:17">
      <c r="G372" s="474"/>
      <c r="H372" s="474"/>
      <c r="I372" s="474"/>
      <c r="J372" s="474"/>
      <c r="K372" s="474"/>
      <c r="L372" s="474"/>
      <c r="M372" s="474"/>
      <c r="N372" s="474"/>
      <c r="O372" s="474"/>
      <c r="P372" s="474"/>
      <c r="Q372" s="474"/>
    </row>
    <row r="373" spans="7:17">
      <c r="G373" s="474"/>
      <c r="H373" s="474"/>
      <c r="I373" s="474"/>
      <c r="J373" s="474"/>
      <c r="K373" s="474"/>
      <c r="L373" s="474"/>
      <c r="M373" s="474"/>
      <c r="N373" s="474"/>
      <c r="O373" s="474"/>
      <c r="P373" s="474"/>
      <c r="Q373" s="474"/>
    </row>
    <row r="374" spans="7:17">
      <c r="G374" s="474"/>
      <c r="H374" s="474"/>
      <c r="I374" s="474"/>
      <c r="J374" s="474"/>
      <c r="K374" s="474"/>
      <c r="L374" s="474"/>
      <c r="M374" s="474"/>
      <c r="N374" s="474"/>
      <c r="O374" s="474"/>
      <c r="P374" s="474"/>
      <c r="Q374" s="474"/>
    </row>
    <row r="375" spans="7:17">
      <c r="G375" s="474"/>
      <c r="H375" s="474"/>
      <c r="I375" s="474"/>
      <c r="J375" s="474"/>
      <c r="K375" s="474"/>
      <c r="L375" s="474"/>
      <c r="M375" s="474"/>
      <c r="N375" s="474"/>
      <c r="O375" s="474"/>
      <c r="P375" s="474"/>
      <c r="Q375" s="474"/>
    </row>
    <row r="376" spans="7:17">
      <c r="G376" s="474"/>
      <c r="H376" s="474"/>
      <c r="I376" s="474"/>
      <c r="J376" s="474"/>
      <c r="K376" s="474"/>
      <c r="L376" s="474"/>
      <c r="M376" s="474"/>
      <c r="N376" s="474"/>
      <c r="O376" s="474"/>
      <c r="P376" s="474"/>
      <c r="Q376" s="474"/>
    </row>
    <row r="377" spans="7:17">
      <c r="G377" s="474"/>
      <c r="H377" s="474"/>
      <c r="I377" s="474"/>
      <c r="J377" s="474"/>
      <c r="K377" s="474"/>
      <c r="L377" s="474"/>
      <c r="M377" s="474"/>
      <c r="N377" s="474"/>
      <c r="O377" s="474"/>
      <c r="P377" s="474"/>
      <c r="Q377" s="474"/>
    </row>
    <row r="378" spans="7:17">
      <c r="G378" s="474"/>
      <c r="H378" s="474"/>
      <c r="I378" s="474"/>
      <c r="J378" s="474"/>
      <c r="K378" s="474"/>
      <c r="L378" s="474"/>
      <c r="M378" s="474"/>
      <c r="N378" s="474"/>
      <c r="O378" s="474"/>
      <c r="P378" s="474"/>
      <c r="Q378" s="474"/>
    </row>
    <row r="379" spans="7:17">
      <c r="G379" s="474"/>
      <c r="H379" s="474"/>
      <c r="I379" s="474"/>
      <c r="J379" s="474"/>
      <c r="K379" s="474"/>
      <c r="L379" s="474"/>
      <c r="M379" s="474"/>
      <c r="N379" s="474"/>
      <c r="O379" s="474"/>
      <c r="P379" s="474"/>
      <c r="Q379" s="474"/>
    </row>
    <row r="380" spans="7:17">
      <c r="G380" s="474"/>
      <c r="H380" s="474"/>
      <c r="I380" s="474"/>
      <c r="J380" s="474"/>
      <c r="K380" s="474"/>
      <c r="L380" s="474"/>
      <c r="M380" s="474"/>
      <c r="N380" s="474"/>
      <c r="O380" s="474"/>
      <c r="P380" s="474"/>
      <c r="Q380" s="474"/>
    </row>
    <row r="381" spans="7:17">
      <c r="G381" s="474"/>
      <c r="H381" s="474"/>
      <c r="I381" s="474"/>
      <c r="J381" s="474"/>
      <c r="K381" s="474"/>
      <c r="L381" s="474"/>
      <c r="M381" s="474"/>
      <c r="N381" s="474"/>
      <c r="O381" s="474"/>
      <c r="P381" s="474"/>
      <c r="Q381" s="474"/>
    </row>
    <row r="382" spans="7:17">
      <c r="G382" s="474"/>
      <c r="H382" s="474"/>
      <c r="I382" s="474"/>
      <c r="J382" s="474"/>
      <c r="K382" s="474"/>
      <c r="L382" s="474"/>
      <c r="M382" s="474"/>
      <c r="N382" s="474"/>
      <c r="O382" s="474"/>
      <c r="P382" s="474"/>
      <c r="Q382" s="474"/>
    </row>
    <row r="383" spans="7:17">
      <c r="G383" s="474"/>
      <c r="H383" s="474"/>
      <c r="I383" s="474"/>
      <c r="J383" s="474"/>
      <c r="K383" s="474"/>
      <c r="L383" s="474"/>
      <c r="M383" s="474"/>
      <c r="N383" s="474"/>
      <c r="O383" s="474"/>
      <c r="P383" s="474"/>
      <c r="Q383" s="474"/>
    </row>
    <row r="384" spans="7:17">
      <c r="G384" s="474"/>
      <c r="H384" s="474"/>
      <c r="I384" s="474"/>
      <c r="J384" s="474"/>
      <c r="K384" s="474"/>
      <c r="L384" s="474"/>
      <c r="M384" s="474"/>
      <c r="N384" s="474"/>
      <c r="O384" s="474"/>
      <c r="P384" s="474"/>
      <c r="Q384" s="474"/>
    </row>
    <row r="385" spans="7:17">
      <c r="G385" s="474"/>
      <c r="H385" s="474"/>
      <c r="I385" s="474"/>
      <c r="J385" s="474"/>
      <c r="K385" s="474"/>
      <c r="L385" s="474"/>
      <c r="M385" s="474"/>
      <c r="N385" s="474"/>
      <c r="O385" s="474"/>
      <c r="P385" s="474"/>
      <c r="Q385" s="474"/>
    </row>
    <row r="386" spans="7:17">
      <c r="G386" s="474"/>
      <c r="H386" s="474"/>
      <c r="I386" s="474"/>
      <c r="J386" s="474"/>
      <c r="K386" s="474"/>
      <c r="L386" s="474"/>
      <c r="M386" s="474"/>
      <c r="N386" s="474"/>
      <c r="O386" s="474"/>
      <c r="P386" s="474"/>
      <c r="Q386" s="474"/>
    </row>
    <row r="387" spans="7:17">
      <c r="G387" s="474"/>
      <c r="H387" s="474"/>
      <c r="I387" s="474"/>
      <c r="J387" s="474"/>
      <c r="K387" s="474"/>
      <c r="L387" s="474"/>
      <c r="M387" s="474"/>
      <c r="N387" s="474"/>
      <c r="O387" s="474"/>
      <c r="P387" s="474"/>
      <c r="Q387" s="474"/>
    </row>
    <row r="388" spans="7:17">
      <c r="G388" s="474"/>
      <c r="H388" s="474"/>
      <c r="I388" s="474"/>
      <c r="J388" s="474"/>
      <c r="K388" s="474"/>
      <c r="L388" s="474"/>
      <c r="M388" s="474"/>
      <c r="N388" s="474"/>
      <c r="O388" s="474"/>
      <c r="P388" s="474"/>
      <c r="Q388" s="474"/>
    </row>
    <row r="389" spans="7:17">
      <c r="G389" s="474"/>
      <c r="H389" s="474"/>
      <c r="I389" s="474"/>
      <c r="J389" s="474"/>
      <c r="K389" s="474"/>
      <c r="L389" s="474"/>
      <c r="M389" s="474"/>
      <c r="N389" s="474"/>
      <c r="O389" s="474"/>
      <c r="P389" s="474"/>
      <c r="Q389" s="474"/>
    </row>
    <row r="390" spans="7:17">
      <c r="G390" s="474"/>
      <c r="H390" s="474"/>
      <c r="I390" s="474"/>
      <c r="J390" s="474"/>
      <c r="K390" s="474"/>
      <c r="L390" s="474"/>
      <c r="M390" s="474"/>
      <c r="N390" s="474"/>
      <c r="O390" s="474"/>
      <c r="P390" s="474"/>
      <c r="Q390" s="474"/>
    </row>
    <row r="391" spans="7:17">
      <c r="G391" s="474"/>
      <c r="H391" s="474"/>
      <c r="I391" s="474"/>
      <c r="J391" s="474"/>
      <c r="K391" s="474"/>
      <c r="L391" s="474"/>
      <c r="M391" s="474"/>
      <c r="N391" s="474"/>
      <c r="O391" s="474"/>
      <c r="P391" s="474"/>
      <c r="Q391" s="474"/>
    </row>
    <row r="392" spans="7:17">
      <c r="G392" s="474"/>
      <c r="H392" s="474"/>
      <c r="I392" s="474"/>
      <c r="J392" s="474"/>
      <c r="K392" s="474"/>
      <c r="L392" s="474"/>
      <c r="M392" s="474"/>
      <c r="N392" s="474"/>
      <c r="O392" s="474"/>
      <c r="P392" s="474"/>
      <c r="Q392" s="474"/>
    </row>
    <row r="393" spans="7:17">
      <c r="G393" s="474"/>
      <c r="H393" s="474"/>
      <c r="I393" s="474"/>
      <c r="J393" s="474"/>
      <c r="K393" s="474"/>
      <c r="L393" s="474"/>
      <c r="M393" s="474"/>
      <c r="N393" s="474"/>
      <c r="O393" s="474"/>
      <c r="P393" s="474"/>
      <c r="Q393" s="474"/>
    </row>
    <row r="394" spans="7:17">
      <c r="G394" s="474"/>
      <c r="H394" s="474"/>
      <c r="I394" s="474"/>
      <c r="J394" s="474"/>
      <c r="K394" s="474"/>
      <c r="L394" s="474"/>
      <c r="M394" s="474"/>
      <c r="N394" s="474"/>
      <c r="O394" s="474"/>
      <c r="P394" s="474"/>
      <c r="Q394" s="474"/>
    </row>
    <row r="395" spans="7:17">
      <c r="G395" s="474"/>
      <c r="H395" s="474"/>
      <c r="I395" s="474"/>
      <c r="J395" s="474"/>
      <c r="K395" s="474"/>
      <c r="L395" s="474"/>
      <c r="M395" s="474"/>
      <c r="N395" s="474"/>
      <c r="O395" s="474"/>
      <c r="P395" s="474"/>
      <c r="Q395" s="474"/>
    </row>
    <row r="396" spans="7:17">
      <c r="G396" s="474"/>
      <c r="H396" s="474"/>
      <c r="I396" s="474"/>
      <c r="J396" s="474"/>
      <c r="K396" s="474"/>
      <c r="L396" s="474"/>
      <c r="M396" s="474"/>
      <c r="N396" s="474"/>
      <c r="O396" s="474"/>
      <c r="P396" s="474"/>
      <c r="Q396" s="474"/>
    </row>
    <row r="397" spans="7:17">
      <c r="G397" s="474"/>
      <c r="H397" s="474"/>
      <c r="I397" s="474"/>
      <c r="J397" s="474"/>
      <c r="K397" s="474"/>
      <c r="L397" s="474"/>
      <c r="M397" s="474"/>
      <c r="N397" s="474"/>
      <c r="O397" s="474"/>
      <c r="P397" s="474"/>
      <c r="Q397" s="474"/>
    </row>
    <row r="398" spans="7:17">
      <c r="G398" s="474"/>
      <c r="H398" s="474"/>
      <c r="I398" s="474"/>
      <c r="J398" s="474"/>
      <c r="K398" s="474"/>
      <c r="L398" s="474"/>
      <c r="M398" s="474"/>
      <c r="N398" s="474"/>
      <c r="O398" s="474"/>
      <c r="P398" s="474"/>
      <c r="Q398" s="474"/>
    </row>
    <row r="399" spans="7:17">
      <c r="G399" s="474"/>
      <c r="H399" s="474"/>
      <c r="I399" s="474"/>
      <c r="J399" s="474"/>
      <c r="K399" s="474"/>
      <c r="L399" s="474"/>
      <c r="M399" s="474"/>
      <c r="N399" s="474"/>
      <c r="O399" s="474"/>
      <c r="P399" s="474"/>
      <c r="Q399" s="474"/>
    </row>
    <row r="400" spans="7:17">
      <c r="G400" s="474"/>
      <c r="H400" s="474"/>
      <c r="I400" s="474"/>
      <c r="J400" s="474"/>
      <c r="K400" s="474"/>
      <c r="L400" s="474"/>
      <c r="M400" s="474"/>
      <c r="N400" s="474"/>
      <c r="O400" s="474"/>
      <c r="P400" s="474"/>
      <c r="Q400" s="474"/>
    </row>
    <row r="401" spans="7:17">
      <c r="G401" s="474"/>
      <c r="H401" s="474"/>
      <c r="I401" s="474"/>
      <c r="J401" s="474"/>
      <c r="K401" s="474"/>
      <c r="L401" s="474"/>
      <c r="M401" s="474"/>
      <c r="N401" s="474"/>
      <c r="O401" s="474"/>
      <c r="P401" s="474"/>
      <c r="Q401" s="474"/>
    </row>
    <row r="402" spans="7:17">
      <c r="G402" s="474"/>
      <c r="H402" s="474"/>
      <c r="I402" s="474"/>
      <c r="J402" s="474"/>
      <c r="K402" s="474"/>
      <c r="L402" s="474"/>
      <c r="M402" s="474"/>
      <c r="N402" s="474"/>
      <c r="O402" s="474"/>
      <c r="P402" s="474"/>
      <c r="Q402" s="474"/>
    </row>
    <row r="403" spans="7:17">
      <c r="G403" s="474"/>
      <c r="H403" s="474"/>
      <c r="I403" s="474"/>
      <c r="J403" s="474"/>
      <c r="K403" s="474"/>
      <c r="L403" s="474"/>
      <c r="M403" s="474"/>
      <c r="N403" s="474"/>
      <c r="O403" s="474"/>
      <c r="P403" s="474"/>
      <c r="Q403" s="474"/>
    </row>
    <row r="404" spans="7:17">
      <c r="G404" s="474"/>
      <c r="H404" s="474"/>
      <c r="I404" s="474"/>
      <c r="J404" s="474"/>
      <c r="K404" s="474"/>
      <c r="L404" s="474"/>
      <c r="M404" s="474"/>
      <c r="N404" s="474"/>
      <c r="O404" s="474"/>
      <c r="P404" s="474"/>
      <c r="Q404" s="474"/>
    </row>
    <row r="405" spans="7:17">
      <c r="G405" s="474"/>
      <c r="H405" s="474"/>
      <c r="I405" s="474"/>
      <c r="J405" s="474"/>
      <c r="K405" s="474"/>
      <c r="L405" s="474"/>
      <c r="M405" s="474"/>
      <c r="N405" s="474"/>
      <c r="O405" s="474"/>
      <c r="P405" s="474"/>
      <c r="Q405" s="474"/>
    </row>
    <row r="406" spans="7:17">
      <c r="G406" s="474"/>
      <c r="H406" s="474"/>
      <c r="I406" s="474"/>
      <c r="J406" s="474"/>
      <c r="K406" s="474"/>
      <c r="L406" s="474"/>
      <c r="M406" s="474"/>
      <c r="N406" s="474"/>
      <c r="O406" s="474"/>
      <c r="P406" s="474"/>
      <c r="Q406" s="474"/>
    </row>
    <row r="407" spans="7:17">
      <c r="G407" s="474"/>
      <c r="H407" s="474"/>
      <c r="I407" s="474"/>
      <c r="J407" s="474"/>
      <c r="K407" s="474"/>
      <c r="L407" s="474"/>
      <c r="M407" s="474"/>
      <c r="N407" s="474"/>
      <c r="O407" s="474"/>
      <c r="P407" s="474"/>
      <c r="Q407" s="474"/>
    </row>
    <row r="408" spans="7:17">
      <c r="G408" s="474"/>
      <c r="H408" s="474"/>
      <c r="I408" s="474"/>
      <c r="J408" s="474"/>
      <c r="K408" s="474"/>
      <c r="L408" s="474"/>
      <c r="M408" s="474"/>
      <c r="N408" s="474"/>
      <c r="O408" s="474"/>
      <c r="P408" s="474"/>
      <c r="Q408" s="474"/>
    </row>
    <row r="409" spans="7:17">
      <c r="G409" s="474"/>
      <c r="H409" s="474"/>
      <c r="I409" s="474"/>
      <c r="J409" s="474"/>
      <c r="K409" s="474"/>
      <c r="L409" s="474"/>
      <c r="M409" s="474"/>
      <c r="N409" s="474"/>
      <c r="O409" s="474"/>
      <c r="P409" s="474"/>
      <c r="Q409" s="474"/>
    </row>
    <row r="410" spans="7:17">
      <c r="G410" s="474"/>
      <c r="H410" s="474"/>
      <c r="I410" s="474"/>
      <c r="J410" s="474"/>
      <c r="K410" s="474"/>
      <c r="L410" s="474"/>
      <c r="M410" s="474"/>
      <c r="N410" s="474"/>
      <c r="O410" s="474"/>
      <c r="P410" s="474"/>
      <c r="Q410" s="474"/>
    </row>
    <row r="411" spans="7:17">
      <c r="G411" s="474"/>
      <c r="H411" s="474"/>
      <c r="I411" s="474"/>
      <c r="J411" s="474"/>
      <c r="K411" s="474"/>
      <c r="L411" s="474"/>
      <c r="M411" s="474"/>
      <c r="N411" s="474"/>
      <c r="O411" s="474"/>
      <c r="P411" s="474"/>
      <c r="Q411" s="474"/>
    </row>
    <row r="412" spans="7:17">
      <c r="G412" s="474"/>
      <c r="H412" s="474"/>
      <c r="I412" s="474"/>
      <c r="J412" s="474"/>
      <c r="K412" s="474"/>
      <c r="L412" s="474"/>
      <c r="M412" s="474"/>
      <c r="N412" s="474"/>
      <c r="O412" s="474"/>
      <c r="P412" s="474"/>
      <c r="Q412" s="474"/>
    </row>
    <row r="413" spans="7:17">
      <c r="G413" s="474"/>
      <c r="H413" s="474"/>
      <c r="I413" s="474"/>
      <c r="J413" s="474"/>
      <c r="K413" s="474"/>
      <c r="L413" s="474"/>
      <c r="M413" s="474"/>
      <c r="N413" s="474"/>
      <c r="O413" s="474"/>
      <c r="P413" s="474"/>
      <c r="Q413" s="474"/>
    </row>
    <row r="414" spans="7:17">
      <c r="G414" s="474"/>
      <c r="H414" s="474"/>
      <c r="I414" s="474"/>
      <c r="J414" s="474"/>
      <c r="K414" s="474"/>
      <c r="L414" s="474"/>
      <c r="M414" s="474"/>
      <c r="N414" s="474"/>
      <c r="O414" s="474"/>
      <c r="P414" s="474"/>
      <c r="Q414" s="474"/>
    </row>
    <row r="415" spans="7:17">
      <c r="G415" s="474"/>
      <c r="H415" s="474"/>
      <c r="I415" s="474"/>
      <c r="J415" s="474"/>
      <c r="K415" s="474"/>
      <c r="L415" s="474"/>
      <c r="M415" s="474"/>
      <c r="N415" s="474"/>
      <c r="O415" s="474"/>
      <c r="P415" s="474"/>
      <c r="Q415" s="474"/>
    </row>
    <row r="416" spans="7:17">
      <c r="G416" s="474"/>
      <c r="H416" s="474"/>
      <c r="I416" s="474"/>
      <c r="J416" s="474"/>
      <c r="K416" s="474"/>
      <c r="L416" s="474"/>
      <c r="M416" s="474"/>
      <c r="N416" s="474"/>
      <c r="O416" s="474"/>
      <c r="P416" s="474"/>
      <c r="Q416" s="474"/>
    </row>
    <row r="417" spans="7:17">
      <c r="G417" s="474"/>
      <c r="H417" s="474"/>
      <c r="I417" s="474"/>
      <c r="J417" s="474"/>
      <c r="K417" s="474"/>
      <c r="L417" s="474"/>
      <c r="M417" s="474"/>
      <c r="N417" s="474"/>
      <c r="O417" s="474"/>
      <c r="P417" s="474"/>
      <c r="Q417" s="474"/>
    </row>
    <row r="418" spans="7:17">
      <c r="G418" s="474"/>
      <c r="H418" s="474"/>
      <c r="I418" s="474"/>
      <c r="J418" s="474"/>
      <c r="K418" s="474"/>
      <c r="L418" s="474"/>
      <c r="M418" s="474"/>
      <c r="N418" s="474"/>
      <c r="O418" s="474"/>
      <c r="P418" s="474"/>
      <c r="Q418" s="474"/>
    </row>
    <row r="419" spans="7:17">
      <c r="G419" s="474"/>
      <c r="H419" s="474"/>
      <c r="I419" s="474"/>
      <c r="J419" s="474"/>
      <c r="K419" s="474"/>
      <c r="L419" s="474"/>
      <c r="M419" s="474"/>
      <c r="N419" s="474"/>
      <c r="O419" s="474"/>
      <c r="P419" s="474"/>
      <c r="Q419" s="474"/>
    </row>
    <row r="420" spans="7:17">
      <c r="G420" s="474"/>
      <c r="H420" s="474"/>
      <c r="I420" s="474"/>
      <c r="J420" s="474"/>
      <c r="K420" s="474"/>
      <c r="L420" s="474"/>
      <c r="M420" s="474"/>
      <c r="N420" s="474"/>
      <c r="O420" s="474"/>
      <c r="P420" s="474"/>
      <c r="Q420" s="474"/>
    </row>
    <row r="421" spans="7:17">
      <c r="G421" s="474"/>
      <c r="H421" s="474"/>
      <c r="I421" s="474"/>
      <c r="J421" s="474"/>
      <c r="K421" s="474"/>
      <c r="L421" s="474"/>
      <c r="M421" s="474"/>
      <c r="N421" s="474"/>
      <c r="O421" s="474"/>
      <c r="P421" s="474"/>
      <c r="Q421" s="474"/>
    </row>
    <row r="422" spans="7:17">
      <c r="G422" s="474"/>
      <c r="H422" s="474"/>
      <c r="I422" s="474"/>
      <c r="J422" s="474"/>
      <c r="K422" s="474"/>
      <c r="L422" s="474"/>
      <c r="M422" s="474"/>
      <c r="N422" s="474"/>
      <c r="O422" s="474"/>
      <c r="P422" s="474"/>
      <c r="Q422" s="474"/>
    </row>
    <row r="423" spans="7:17">
      <c r="G423" s="474"/>
      <c r="H423" s="474"/>
      <c r="I423" s="474"/>
      <c r="J423" s="474"/>
      <c r="K423" s="474"/>
      <c r="L423" s="474"/>
      <c r="M423" s="474"/>
      <c r="N423" s="474"/>
      <c r="O423" s="474"/>
      <c r="P423" s="474"/>
      <c r="Q423" s="474"/>
    </row>
    <row r="424" spans="7:17">
      <c r="G424" s="474"/>
      <c r="H424" s="474"/>
      <c r="I424" s="474"/>
      <c r="J424" s="474"/>
      <c r="K424" s="474"/>
      <c r="L424" s="474"/>
      <c r="M424" s="474"/>
      <c r="N424" s="474"/>
      <c r="O424" s="474"/>
      <c r="P424" s="474"/>
      <c r="Q424" s="474"/>
    </row>
    <row r="425" spans="7:17">
      <c r="G425" s="474"/>
      <c r="H425" s="474"/>
      <c r="I425" s="474"/>
      <c r="J425" s="474"/>
      <c r="K425" s="474"/>
      <c r="L425" s="474"/>
      <c r="M425" s="474"/>
      <c r="N425" s="474"/>
      <c r="O425" s="474"/>
      <c r="P425" s="474"/>
      <c r="Q425" s="474"/>
    </row>
    <row r="426" spans="7:17">
      <c r="G426" s="474"/>
      <c r="H426" s="474"/>
      <c r="I426" s="474"/>
      <c r="J426" s="474"/>
      <c r="K426" s="474"/>
      <c r="L426" s="474"/>
      <c r="M426" s="474"/>
      <c r="N426" s="474"/>
      <c r="O426" s="474"/>
      <c r="P426" s="474"/>
      <c r="Q426" s="474"/>
    </row>
    <row r="427" spans="7:17">
      <c r="G427" s="474"/>
      <c r="H427" s="474"/>
      <c r="I427" s="474"/>
      <c r="J427" s="474"/>
      <c r="K427" s="474"/>
      <c r="L427" s="474"/>
      <c r="M427" s="474"/>
      <c r="N427" s="474"/>
      <c r="O427" s="474"/>
      <c r="P427" s="474"/>
      <c r="Q427" s="474"/>
    </row>
    <row r="428" spans="7:17">
      <c r="G428" s="474"/>
      <c r="H428" s="474"/>
      <c r="I428" s="474"/>
      <c r="J428" s="474"/>
      <c r="K428" s="474"/>
      <c r="L428" s="474"/>
      <c r="M428" s="474"/>
      <c r="N428" s="474"/>
      <c r="O428" s="474"/>
      <c r="P428" s="474"/>
      <c r="Q428" s="474"/>
    </row>
    <row r="429" spans="7:17">
      <c r="G429" s="474"/>
      <c r="H429" s="474"/>
      <c r="I429" s="474"/>
      <c r="J429" s="474"/>
      <c r="K429" s="474"/>
      <c r="L429" s="474"/>
      <c r="M429" s="474"/>
      <c r="N429" s="474"/>
      <c r="O429" s="474"/>
      <c r="P429" s="474"/>
      <c r="Q429" s="474"/>
    </row>
    <row r="430" spans="7:17">
      <c r="G430" s="474"/>
      <c r="H430" s="474"/>
      <c r="I430" s="474"/>
      <c r="J430" s="474"/>
      <c r="K430" s="474"/>
      <c r="L430" s="474"/>
      <c r="M430" s="474"/>
      <c r="N430" s="474"/>
      <c r="O430" s="474"/>
      <c r="P430" s="474"/>
      <c r="Q430" s="474"/>
    </row>
    <row r="431" spans="7:17">
      <c r="G431" s="474"/>
      <c r="H431" s="474"/>
      <c r="I431" s="474"/>
      <c r="J431" s="474"/>
      <c r="K431" s="474"/>
      <c r="L431" s="474"/>
      <c r="M431" s="474"/>
      <c r="N431" s="474"/>
      <c r="O431" s="474"/>
      <c r="P431" s="474"/>
      <c r="Q431" s="474"/>
    </row>
    <row r="432" spans="7:17">
      <c r="G432" s="474"/>
      <c r="H432" s="474"/>
      <c r="I432" s="474"/>
      <c r="J432" s="474"/>
      <c r="K432" s="474"/>
      <c r="L432" s="474"/>
      <c r="M432" s="474"/>
      <c r="N432" s="474"/>
      <c r="O432" s="474"/>
      <c r="P432" s="474"/>
      <c r="Q432" s="474"/>
    </row>
    <row r="433" spans="7:17">
      <c r="G433" s="474"/>
      <c r="H433" s="474"/>
      <c r="I433" s="474"/>
      <c r="J433" s="474"/>
      <c r="K433" s="474"/>
      <c r="L433" s="474"/>
      <c r="M433" s="474"/>
      <c r="N433" s="474"/>
      <c r="O433" s="474"/>
      <c r="P433" s="474"/>
      <c r="Q433" s="474"/>
    </row>
    <row r="434" spans="7:17">
      <c r="G434" s="474"/>
      <c r="H434" s="474"/>
      <c r="I434" s="474"/>
      <c r="J434" s="474"/>
      <c r="K434" s="474"/>
      <c r="L434" s="474"/>
      <c r="M434" s="474"/>
      <c r="N434" s="474"/>
      <c r="O434" s="474"/>
      <c r="P434" s="474"/>
      <c r="Q434" s="474"/>
    </row>
    <row r="435" spans="7:17">
      <c r="G435" s="474"/>
      <c r="H435" s="474"/>
      <c r="I435" s="474"/>
      <c r="J435" s="474"/>
      <c r="K435" s="474"/>
      <c r="L435" s="474"/>
      <c r="M435" s="474"/>
      <c r="N435" s="474"/>
      <c r="O435" s="474"/>
      <c r="P435" s="474"/>
      <c r="Q435" s="474"/>
    </row>
    <row r="436" spans="7:17">
      <c r="G436" s="474"/>
      <c r="H436" s="474"/>
      <c r="I436" s="474"/>
      <c r="J436" s="474"/>
      <c r="K436" s="474"/>
      <c r="L436" s="474"/>
      <c r="M436" s="474"/>
      <c r="N436" s="474"/>
      <c r="O436" s="474"/>
      <c r="P436" s="474"/>
      <c r="Q436" s="474"/>
    </row>
    <row r="437" spans="7:17">
      <c r="G437" s="474"/>
      <c r="H437" s="474"/>
      <c r="I437" s="474"/>
      <c r="J437" s="474"/>
      <c r="K437" s="474"/>
      <c r="L437" s="474"/>
      <c r="M437" s="474"/>
      <c r="N437" s="474"/>
      <c r="O437" s="474"/>
      <c r="P437" s="474"/>
      <c r="Q437" s="474"/>
    </row>
    <row r="438" spans="7:17">
      <c r="G438" s="474"/>
      <c r="H438" s="474"/>
      <c r="I438" s="474"/>
      <c r="J438" s="474"/>
      <c r="K438" s="474"/>
      <c r="L438" s="474"/>
      <c r="M438" s="474"/>
      <c r="N438" s="474"/>
      <c r="O438" s="474"/>
      <c r="P438" s="474"/>
      <c r="Q438" s="474"/>
    </row>
    <row r="439" spans="7:17">
      <c r="G439" s="474"/>
      <c r="H439" s="474"/>
      <c r="I439" s="474"/>
      <c r="J439" s="474"/>
      <c r="K439" s="474"/>
      <c r="L439" s="474"/>
      <c r="M439" s="474"/>
      <c r="N439" s="474"/>
      <c r="O439" s="474"/>
      <c r="P439" s="474"/>
      <c r="Q439" s="474"/>
    </row>
    <row r="440" spans="7:17">
      <c r="G440" s="474"/>
      <c r="H440" s="474"/>
      <c r="I440" s="474"/>
      <c r="J440" s="474"/>
      <c r="K440" s="474"/>
      <c r="L440" s="474"/>
      <c r="M440" s="474"/>
      <c r="N440" s="474"/>
      <c r="O440" s="474"/>
      <c r="P440" s="474"/>
      <c r="Q440" s="474"/>
    </row>
    <row r="441" spans="7:17">
      <c r="G441" s="474"/>
      <c r="H441" s="474"/>
      <c r="I441" s="474"/>
      <c r="J441" s="474"/>
      <c r="K441" s="474"/>
      <c r="L441" s="474"/>
      <c r="M441" s="474"/>
      <c r="N441" s="474"/>
      <c r="O441" s="474"/>
      <c r="P441" s="474"/>
      <c r="Q441" s="474"/>
    </row>
    <row r="442" spans="7:17">
      <c r="G442" s="474"/>
      <c r="H442" s="474"/>
      <c r="I442" s="474"/>
      <c r="J442" s="474"/>
      <c r="K442" s="474"/>
      <c r="L442" s="474"/>
      <c r="M442" s="474"/>
      <c r="N442" s="474"/>
      <c r="O442" s="474"/>
      <c r="P442" s="474"/>
      <c r="Q442" s="474"/>
    </row>
    <row r="443" spans="7:17">
      <c r="G443" s="474"/>
      <c r="H443" s="474"/>
      <c r="I443" s="474"/>
      <c r="J443" s="474"/>
      <c r="K443" s="474"/>
      <c r="L443" s="474"/>
      <c r="M443" s="474"/>
      <c r="N443" s="474"/>
      <c r="O443" s="474"/>
      <c r="P443" s="474"/>
      <c r="Q443" s="474"/>
    </row>
    <row r="444" spans="7:17">
      <c r="G444" s="474"/>
      <c r="H444" s="474"/>
      <c r="I444" s="474"/>
      <c r="J444" s="474"/>
      <c r="K444" s="474"/>
      <c r="L444" s="474"/>
      <c r="M444" s="474"/>
      <c r="N444" s="474"/>
      <c r="O444" s="474"/>
      <c r="P444" s="474"/>
      <c r="Q444" s="474"/>
    </row>
    <row r="445" spans="7:17">
      <c r="G445" s="474"/>
      <c r="H445" s="474"/>
      <c r="I445" s="474"/>
      <c r="J445" s="474"/>
      <c r="K445" s="474"/>
      <c r="L445" s="474"/>
      <c r="M445" s="474"/>
      <c r="N445" s="474"/>
      <c r="O445" s="474"/>
      <c r="P445" s="474"/>
      <c r="Q445" s="474"/>
    </row>
    <row r="446" spans="7:17">
      <c r="G446" s="474"/>
      <c r="H446" s="474"/>
      <c r="I446" s="474"/>
      <c r="J446" s="474"/>
      <c r="K446" s="474"/>
      <c r="L446" s="474"/>
      <c r="M446" s="474"/>
      <c r="N446" s="474"/>
      <c r="O446" s="474"/>
      <c r="P446" s="474"/>
      <c r="Q446" s="474"/>
    </row>
    <row r="447" spans="7:17">
      <c r="G447" s="474"/>
      <c r="H447" s="474"/>
      <c r="I447" s="474"/>
      <c r="J447" s="474"/>
      <c r="K447" s="474"/>
      <c r="L447" s="474"/>
      <c r="M447" s="474"/>
      <c r="N447" s="474"/>
      <c r="O447" s="474"/>
      <c r="P447" s="474"/>
      <c r="Q447" s="474"/>
    </row>
    <row r="448" spans="7:17">
      <c r="G448" s="474"/>
      <c r="H448" s="474"/>
      <c r="I448" s="474"/>
      <c r="J448" s="474"/>
      <c r="K448" s="474"/>
      <c r="L448" s="474"/>
      <c r="M448" s="474"/>
      <c r="N448" s="474"/>
      <c r="O448" s="474"/>
      <c r="P448" s="474"/>
      <c r="Q448" s="474"/>
    </row>
    <row r="449" spans="7:17">
      <c r="G449" s="474"/>
      <c r="H449" s="474"/>
      <c r="I449" s="474"/>
      <c r="J449" s="474"/>
      <c r="K449" s="474"/>
      <c r="L449" s="474"/>
      <c r="M449" s="474"/>
      <c r="N449" s="474"/>
      <c r="O449" s="474"/>
      <c r="P449" s="474"/>
      <c r="Q449" s="474"/>
    </row>
    <row r="450" spans="7:17">
      <c r="G450" s="474"/>
      <c r="H450" s="474"/>
      <c r="I450" s="474"/>
      <c r="J450" s="474"/>
      <c r="K450" s="474"/>
      <c r="L450" s="474"/>
      <c r="M450" s="474"/>
      <c r="N450" s="474"/>
      <c r="O450" s="474"/>
      <c r="P450" s="474"/>
      <c r="Q450" s="474"/>
    </row>
    <row r="451" spans="7:17">
      <c r="G451" s="474"/>
      <c r="H451" s="474"/>
      <c r="I451" s="474"/>
      <c r="J451" s="474"/>
      <c r="K451" s="474"/>
      <c r="L451" s="474"/>
      <c r="M451" s="474"/>
      <c r="N451" s="474"/>
      <c r="O451" s="474"/>
      <c r="P451" s="474"/>
      <c r="Q451" s="474"/>
    </row>
    <row r="452" spans="7:17">
      <c r="G452" s="474"/>
      <c r="H452" s="474"/>
      <c r="I452" s="474"/>
      <c r="J452" s="474"/>
      <c r="K452" s="474"/>
      <c r="L452" s="474"/>
      <c r="M452" s="474"/>
      <c r="N452" s="474"/>
      <c r="O452" s="474"/>
      <c r="P452" s="474"/>
      <c r="Q452" s="474"/>
    </row>
    <row r="453" spans="7:17">
      <c r="G453" s="474"/>
      <c r="H453" s="474"/>
      <c r="I453" s="474"/>
      <c r="J453" s="474"/>
      <c r="K453" s="474"/>
      <c r="L453" s="474"/>
      <c r="M453" s="474"/>
      <c r="N453" s="474"/>
      <c r="O453" s="474"/>
      <c r="P453" s="474"/>
      <c r="Q453" s="474"/>
    </row>
    <row r="454" spans="7:17">
      <c r="G454" s="474"/>
      <c r="H454" s="474"/>
      <c r="I454" s="474"/>
      <c r="J454" s="474"/>
      <c r="K454" s="474"/>
      <c r="L454" s="474"/>
      <c r="M454" s="474"/>
      <c r="N454" s="474"/>
      <c r="O454" s="474"/>
      <c r="P454" s="474"/>
      <c r="Q454" s="474"/>
    </row>
    <row r="455" spans="7:17">
      <c r="G455" s="474"/>
      <c r="H455" s="474"/>
      <c r="I455" s="474"/>
      <c r="J455" s="474"/>
      <c r="K455" s="474"/>
      <c r="L455" s="474"/>
      <c r="M455" s="474"/>
      <c r="N455" s="474"/>
      <c r="O455" s="474"/>
      <c r="P455" s="474"/>
      <c r="Q455" s="474"/>
    </row>
    <row r="456" spans="7:17">
      <c r="G456" s="474"/>
      <c r="H456" s="474"/>
      <c r="I456" s="474"/>
      <c r="J456" s="474"/>
      <c r="K456" s="474"/>
      <c r="L456" s="474"/>
      <c r="M456" s="474"/>
      <c r="N456" s="474"/>
      <c r="O456" s="474"/>
      <c r="P456" s="474"/>
      <c r="Q456" s="474"/>
    </row>
    <row r="457" spans="7:17">
      <c r="G457" s="474"/>
      <c r="H457" s="474"/>
      <c r="I457" s="474"/>
      <c r="J457" s="474"/>
      <c r="K457" s="474"/>
      <c r="L457" s="474"/>
      <c r="M457" s="474"/>
      <c r="N457" s="474"/>
      <c r="O457" s="474"/>
      <c r="P457" s="474"/>
      <c r="Q457" s="474"/>
    </row>
    <row r="458" spans="7:17">
      <c r="G458" s="474"/>
      <c r="H458" s="474"/>
      <c r="I458" s="474"/>
      <c r="J458" s="474"/>
      <c r="K458" s="474"/>
      <c r="L458" s="474"/>
      <c r="M458" s="474"/>
      <c r="N458" s="474"/>
      <c r="O458" s="474"/>
      <c r="P458" s="474"/>
      <c r="Q458" s="474"/>
    </row>
    <row r="459" spans="7:17">
      <c r="G459" s="474"/>
      <c r="H459" s="474"/>
      <c r="I459" s="474"/>
      <c r="J459" s="474"/>
      <c r="K459" s="474"/>
      <c r="L459" s="474"/>
      <c r="M459" s="474"/>
      <c r="N459" s="474"/>
      <c r="O459" s="474"/>
      <c r="P459" s="474"/>
      <c r="Q459" s="474"/>
    </row>
    <row r="460" spans="7:17">
      <c r="G460" s="474"/>
      <c r="H460" s="474"/>
      <c r="I460" s="474"/>
      <c r="J460" s="474"/>
      <c r="K460" s="474"/>
      <c r="L460" s="474"/>
      <c r="M460" s="474"/>
      <c r="N460" s="474"/>
      <c r="O460" s="474"/>
      <c r="P460" s="474"/>
      <c r="Q460" s="474"/>
    </row>
    <row r="461" spans="7:17">
      <c r="G461" s="474"/>
      <c r="H461" s="474"/>
      <c r="I461" s="474"/>
      <c r="J461" s="474"/>
      <c r="K461" s="474"/>
      <c r="L461" s="474"/>
      <c r="M461" s="474"/>
      <c r="N461" s="474"/>
      <c r="O461" s="474"/>
      <c r="P461" s="474"/>
      <c r="Q461" s="474"/>
    </row>
    <row r="462" spans="7:17">
      <c r="G462" s="474"/>
      <c r="H462" s="474"/>
      <c r="I462" s="474"/>
      <c r="J462" s="474"/>
      <c r="K462" s="474"/>
      <c r="L462" s="474"/>
      <c r="M462" s="474"/>
      <c r="N462" s="474"/>
      <c r="O462" s="474"/>
      <c r="P462" s="474"/>
      <c r="Q462" s="474"/>
    </row>
    <row r="463" spans="7:17">
      <c r="G463" s="474"/>
      <c r="H463" s="474"/>
      <c r="I463" s="474"/>
      <c r="J463" s="474"/>
      <c r="K463" s="474"/>
      <c r="L463" s="474"/>
      <c r="M463" s="474"/>
      <c r="N463" s="474"/>
      <c r="O463" s="474"/>
      <c r="P463" s="474"/>
      <c r="Q463" s="474"/>
    </row>
    <row r="464" spans="7:17">
      <c r="G464" s="474"/>
      <c r="H464" s="474"/>
      <c r="I464" s="474"/>
      <c r="J464" s="474"/>
      <c r="K464" s="474"/>
      <c r="L464" s="474"/>
      <c r="M464" s="474"/>
      <c r="N464" s="474"/>
      <c r="O464" s="474"/>
      <c r="P464" s="474"/>
      <c r="Q464" s="474"/>
    </row>
    <row r="465" spans="7:17">
      <c r="G465" s="474"/>
      <c r="H465" s="474"/>
      <c r="I465" s="474"/>
      <c r="J465" s="474"/>
      <c r="K465" s="474"/>
      <c r="L465" s="474"/>
      <c r="M465" s="474"/>
      <c r="N465" s="474"/>
      <c r="O465" s="474"/>
      <c r="P465" s="474"/>
      <c r="Q465" s="474"/>
    </row>
    <row r="466" spans="7:17">
      <c r="G466" s="474"/>
      <c r="H466" s="474"/>
      <c r="I466" s="474"/>
      <c r="J466" s="474"/>
      <c r="K466" s="474"/>
      <c r="L466" s="474"/>
      <c r="M466" s="474"/>
      <c r="N466" s="474"/>
      <c r="O466" s="474"/>
      <c r="P466" s="474"/>
      <c r="Q466" s="474"/>
    </row>
    <row r="467" spans="7:17">
      <c r="G467" s="474"/>
      <c r="H467" s="474"/>
      <c r="I467" s="474"/>
      <c r="J467" s="474"/>
      <c r="K467" s="474"/>
      <c r="L467" s="474"/>
      <c r="M467" s="474"/>
      <c r="N467" s="474"/>
      <c r="O467" s="474"/>
      <c r="P467" s="474"/>
      <c r="Q467" s="474"/>
    </row>
    <row r="468" spans="7:17">
      <c r="G468" s="474"/>
      <c r="H468" s="474"/>
      <c r="I468" s="474"/>
      <c r="J468" s="474"/>
      <c r="K468" s="474"/>
      <c r="L468" s="474"/>
      <c r="M468" s="474"/>
      <c r="N468" s="474"/>
      <c r="O468" s="474"/>
      <c r="P468" s="474"/>
      <c r="Q468" s="474"/>
    </row>
    <row r="469" spans="7:17">
      <c r="G469" s="474"/>
      <c r="H469" s="474"/>
      <c r="I469" s="474"/>
      <c r="J469" s="474"/>
      <c r="K469" s="474"/>
      <c r="L469" s="474"/>
      <c r="M469" s="474"/>
      <c r="N469" s="474"/>
      <c r="O469" s="474"/>
      <c r="P469" s="474"/>
      <c r="Q469" s="474"/>
    </row>
    <row r="470" spans="7:17">
      <c r="G470" s="474"/>
      <c r="H470" s="474"/>
      <c r="I470" s="474"/>
      <c r="J470" s="474"/>
      <c r="K470" s="474"/>
      <c r="L470" s="474"/>
      <c r="M470" s="474"/>
      <c r="N470" s="474"/>
      <c r="O470" s="474"/>
      <c r="P470" s="474"/>
      <c r="Q470" s="474"/>
    </row>
    <row r="471" spans="7:17">
      <c r="G471" s="474"/>
      <c r="H471" s="474"/>
      <c r="I471" s="474"/>
      <c r="J471" s="474"/>
      <c r="K471" s="474"/>
      <c r="L471" s="474"/>
      <c r="M471" s="474"/>
      <c r="N471" s="474"/>
      <c r="O471" s="474"/>
      <c r="P471" s="474"/>
      <c r="Q471" s="474"/>
    </row>
    <row r="472" spans="7:17">
      <c r="G472" s="474"/>
      <c r="H472" s="474"/>
      <c r="I472" s="474"/>
      <c r="J472" s="474"/>
      <c r="K472" s="474"/>
      <c r="L472" s="474"/>
      <c r="M472" s="474"/>
      <c r="N472" s="474"/>
      <c r="O472" s="474"/>
      <c r="P472" s="474"/>
      <c r="Q472" s="474"/>
    </row>
    <row r="473" spans="7:17">
      <c r="G473" s="474"/>
      <c r="H473" s="474"/>
      <c r="I473" s="474"/>
      <c r="J473" s="474"/>
      <c r="K473" s="474"/>
      <c r="L473" s="474"/>
      <c r="M473" s="474"/>
      <c r="N473" s="474"/>
      <c r="O473" s="474"/>
      <c r="P473" s="474"/>
      <c r="Q473" s="474"/>
    </row>
    <row r="474" spans="7:17">
      <c r="G474" s="474"/>
      <c r="H474" s="474"/>
      <c r="I474" s="474"/>
      <c r="J474" s="474"/>
      <c r="K474" s="474"/>
      <c r="L474" s="474"/>
      <c r="M474" s="474"/>
      <c r="N474" s="474"/>
      <c r="O474" s="474"/>
      <c r="P474" s="474"/>
      <c r="Q474" s="474"/>
    </row>
    <row r="475" spans="7:17">
      <c r="G475" s="474"/>
      <c r="H475" s="474"/>
      <c r="I475" s="474"/>
      <c r="J475" s="474"/>
      <c r="K475" s="474"/>
      <c r="L475" s="474"/>
      <c r="M475" s="474"/>
      <c r="N475" s="474"/>
      <c r="O475" s="474"/>
      <c r="P475" s="474"/>
      <c r="Q475" s="474"/>
    </row>
    <row r="476" spans="7:17">
      <c r="G476" s="474"/>
      <c r="H476" s="474"/>
      <c r="I476" s="474"/>
      <c r="J476" s="474"/>
      <c r="K476" s="474"/>
      <c r="L476" s="474"/>
      <c r="M476" s="474"/>
      <c r="N476" s="474"/>
      <c r="O476" s="474"/>
      <c r="P476" s="474"/>
      <c r="Q476" s="474"/>
    </row>
    <row r="477" spans="7:17">
      <c r="G477" s="474"/>
      <c r="H477" s="474"/>
      <c r="I477" s="474"/>
      <c r="J477" s="474"/>
      <c r="K477" s="474"/>
      <c r="L477" s="474"/>
      <c r="M477" s="474"/>
      <c r="N477" s="474"/>
      <c r="O477" s="474"/>
      <c r="P477" s="474"/>
      <c r="Q477" s="474"/>
    </row>
    <row r="478" spans="7:17">
      <c r="G478" s="474"/>
      <c r="H478" s="474"/>
      <c r="I478" s="474"/>
      <c r="J478" s="474"/>
      <c r="K478" s="474"/>
      <c r="L478" s="474"/>
      <c r="M478" s="474"/>
      <c r="N478" s="474"/>
      <c r="O478" s="474"/>
      <c r="P478" s="474"/>
      <c r="Q478" s="474"/>
    </row>
    <row r="479" spans="7:17">
      <c r="G479" s="474"/>
      <c r="H479" s="474"/>
      <c r="I479" s="474"/>
      <c r="J479" s="474"/>
      <c r="K479" s="474"/>
      <c r="L479" s="474"/>
      <c r="M479" s="474"/>
      <c r="N479" s="474"/>
      <c r="O479" s="474"/>
      <c r="P479" s="474"/>
      <c r="Q479" s="474"/>
    </row>
    <row r="480" spans="7:17">
      <c r="G480" s="474"/>
      <c r="H480" s="474"/>
      <c r="I480" s="474"/>
      <c r="J480" s="474"/>
      <c r="K480" s="474"/>
      <c r="L480" s="474"/>
      <c r="M480" s="474"/>
      <c r="N480" s="474"/>
      <c r="O480" s="474"/>
      <c r="P480" s="474"/>
      <c r="Q480" s="474"/>
    </row>
    <row r="481" spans="7:17">
      <c r="G481" s="474"/>
      <c r="H481" s="474"/>
      <c r="I481" s="474"/>
      <c r="J481" s="474"/>
      <c r="K481" s="474"/>
      <c r="L481" s="474"/>
      <c r="M481" s="474"/>
      <c r="N481" s="474"/>
      <c r="O481" s="474"/>
      <c r="P481" s="474"/>
      <c r="Q481" s="474"/>
    </row>
    <row r="482" spans="7:17">
      <c r="G482" s="474"/>
      <c r="H482" s="474"/>
      <c r="I482" s="474"/>
      <c r="J482" s="474"/>
      <c r="K482" s="474"/>
      <c r="L482" s="474"/>
      <c r="M482" s="474"/>
      <c r="N482" s="474"/>
      <c r="O482" s="474"/>
      <c r="P482" s="474"/>
      <c r="Q482" s="474"/>
    </row>
    <row r="483" spans="7:17">
      <c r="G483" s="474"/>
      <c r="H483" s="474"/>
      <c r="I483" s="474"/>
      <c r="J483" s="474"/>
      <c r="K483" s="474"/>
      <c r="L483" s="474"/>
      <c r="M483" s="474"/>
      <c r="N483" s="474"/>
      <c r="O483" s="474"/>
      <c r="P483" s="474"/>
      <c r="Q483" s="474"/>
    </row>
    <row r="484" spans="7:17">
      <c r="G484" s="474"/>
      <c r="H484" s="474"/>
      <c r="I484" s="474"/>
      <c r="J484" s="474"/>
      <c r="K484" s="474"/>
      <c r="L484" s="474"/>
      <c r="M484" s="474"/>
      <c r="N484" s="474"/>
      <c r="O484" s="474"/>
      <c r="P484" s="474"/>
      <c r="Q484" s="474"/>
    </row>
    <row r="485" spans="7:17">
      <c r="G485" s="474"/>
      <c r="H485" s="474"/>
      <c r="I485" s="474"/>
      <c r="J485" s="474"/>
      <c r="K485" s="474"/>
      <c r="L485" s="474"/>
      <c r="M485" s="474"/>
      <c r="N485" s="474"/>
      <c r="O485" s="474"/>
      <c r="P485" s="474"/>
      <c r="Q485" s="474"/>
    </row>
    <row r="486" spans="7:17">
      <c r="G486" s="474"/>
      <c r="H486" s="474"/>
      <c r="I486" s="474"/>
      <c r="J486" s="474"/>
      <c r="K486" s="474"/>
      <c r="L486" s="474"/>
      <c r="M486" s="474"/>
      <c r="N486" s="474"/>
      <c r="O486" s="474"/>
      <c r="P486" s="474"/>
      <c r="Q486" s="474"/>
    </row>
    <row r="487" spans="7:17">
      <c r="G487" s="474"/>
      <c r="H487" s="474"/>
      <c r="I487" s="474"/>
      <c r="J487" s="474"/>
      <c r="K487" s="474"/>
      <c r="L487" s="474"/>
      <c r="M487" s="474"/>
      <c r="N487" s="474"/>
      <c r="O487" s="474"/>
      <c r="P487" s="474"/>
      <c r="Q487" s="474"/>
    </row>
    <row r="488" spans="7:17">
      <c r="G488" s="474"/>
      <c r="H488" s="474"/>
      <c r="I488" s="474"/>
      <c r="J488" s="474"/>
      <c r="K488" s="474"/>
      <c r="L488" s="474"/>
      <c r="M488" s="474"/>
      <c r="N488" s="474"/>
      <c r="O488" s="474"/>
      <c r="P488" s="474"/>
      <c r="Q488" s="474"/>
    </row>
    <row r="489" spans="7:17">
      <c r="G489" s="474"/>
      <c r="H489" s="474"/>
      <c r="I489" s="474"/>
      <c r="J489" s="474"/>
      <c r="K489" s="474"/>
      <c r="L489" s="474"/>
      <c r="M489" s="474"/>
      <c r="N489" s="474"/>
      <c r="O489" s="474"/>
      <c r="P489" s="474"/>
      <c r="Q489" s="474"/>
    </row>
    <row r="490" spans="7:17">
      <c r="G490" s="474"/>
      <c r="H490" s="474"/>
      <c r="I490" s="474"/>
      <c r="J490" s="474"/>
      <c r="K490" s="474"/>
      <c r="L490" s="474"/>
      <c r="M490" s="474"/>
      <c r="N490" s="474"/>
      <c r="O490" s="474"/>
      <c r="P490" s="474"/>
      <c r="Q490" s="474"/>
    </row>
    <row r="491" spans="7:17">
      <c r="G491" s="474"/>
      <c r="H491" s="474"/>
      <c r="I491" s="474"/>
      <c r="J491" s="474"/>
      <c r="K491" s="474"/>
      <c r="L491" s="474"/>
      <c r="M491" s="474"/>
      <c r="N491" s="474"/>
      <c r="O491" s="474"/>
      <c r="P491" s="474"/>
      <c r="Q491" s="474"/>
    </row>
    <row r="492" spans="7:17">
      <c r="G492" s="474"/>
      <c r="H492" s="474"/>
      <c r="I492" s="474"/>
      <c r="J492" s="474"/>
      <c r="K492" s="474"/>
      <c r="L492" s="474"/>
      <c r="M492" s="474"/>
      <c r="N492" s="474"/>
      <c r="O492" s="474"/>
      <c r="P492" s="474"/>
      <c r="Q492" s="474"/>
    </row>
    <row r="493" spans="7:17">
      <c r="G493" s="474"/>
      <c r="H493" s="474"/>
      <c r="I493" s="474"/>
      <c r="J493" s="474"/>
      <c r="K493" s="474"/>
      <c r="L493" s="474"/>
      <c r="M493" s="474"/>
      <c r="N493" s="474"/>
      <c r="O493" s="474"/>
      <c r="P493" s="474"/>
      <c r="Q493" s="474"/>
    </row>
    <row r="494" spans="7:17">
      <c r="G494" s="474"/>
      <c r="H494" s="474"/>
      <c r="I494" s="474"/>
      <c r="J494" s="474"/>
      <c r="K494" s="474"/>
      <c r="L494" s="474"/>
      <c r="M494" s="474"/>
      <c r="N494" s="474"/>
      <c r="O494" s="474"/>
      <c r="P494" s="474"/>
      <c r="Q494" s="474"/>
    </row>
    <row r="495" spans="7:17">
      <c r="G495" s="474"/>
      <c r="H495" s="474"/>
      <c r="I495" s="474"/>
      <c r="J495" s="474"/>
      <c r="K495" s="474"/>
      <c r="L495" s="474"/>
      <c r="M495" s="474"/>
      <c r="N495" s="474"/>
      <c r="O495" s="474"/>
      <c r="P495" s="474"/>
      <c r="Q495" s="474"/>
    </row>
    <row r="496" spans="7:17">
      <c r="G496" s="474"/>
      <c r="H496" s="474"/>
      <c r="I496" s="474"/>
      <c r="J496" s="474"/>
      <c r="K496" s="474"/>
      <c r="L496" s="474"/>
      <c r="M496" s="474"/>
      <c r="N496" s="474"/>
      <c r="O496" s="474"/>
      <c r="P496" s="474"/>
      <c r="Q496" s="474"/>
    </row>
    <row r="497" spans="7:17">
      <c r="G497" s="474"/>
      <c r="H497" s="474"/>
      <c r="I497" s="474"/>
      <c r="J497" s="474"/>
      <c r="K497" s="474"/>
      <c r="L497" s="474"/>
      <c r="M497" s="474"/>
      <c r="N497" s="474"/>
      <c r="O497" s="474"/>
      <c r="P497" s="474"/>
      <c r="Q497" s="474"/>
    </row>
    <row r="498" spans="7:17">
      <c r="G498" s="474"/>
      <c r="H498" s="474"/>
      <c r="I498" s="474"/>
      <c r="J498" s="474"/>
      <c r="K498" s="474"/>
      <c r="L498" s="474"/>
      <c r="M498" s="474"/>
      <c r="N498" s="474"/>
      <c r="O498" s="474"/>
      <c r="P498" s="474"/>
      <c r="Q498" s="474"/>
    </row>
    <row r="499" spans="7:17">
      <c r="G499" s="474"/>
      <c r="H499" s="474"/>
      <c r="I499" s="474"/>
      <c r="J499" s="474"/>
      <c r="K499" s="474"/>
      <c r="L499" s="474"/>
      <c r="M499" s="474"/>
      <c r="N499" s="474"/>
      <c r="O499" s="474"/>
      <c r="P499" s="474"/>
      <c r="Q499" s="474"/>
    </row>
    <row r="500" spans="7:17">
      <c r="G500" s="474"/>
      <c r="H500" s="474"/>
      <c r="I500" s="474"/>
      <c r="J500" s="474"/>
      <c r="K500" s="474"/>
      <c r="L500" s="474"/>
      <c r="M500" s="474"/>
      <c r="N500" s="474"/>
      <c r="O500" s="474"/>
      <c r="P500" s="474"/>
      <c r="Q500" s="474"/>
    </row>
    <row r="501" spans="7:17">
      <c r="G501" s="474"/>
      <c r="H501" s="474"/>
      <c r="I501" s="474"/>
      <c r="J501" s="474"/>
      <c r="K501" s="474"/>
      <c r="L501" s="474"/>
      <c r="M501" s="474"/>
      <c r="N501" s="474"/>
      <c r="O501" s="474"/>
      <c r="P501" s="474"/>
      <c r="Q501" s="474"/>
    </row>
    <row r="502" spans="7:17">
      <c r="G502" s="474"/>
      <c r="H502" s="474"/>
      <c r="I502" s="474"/>
      <c r="J502" s="474"/>
      <c r="K502" s="474"/>
      <c r="L502" s="474"/>
      <c r="M502" s="474"/>
      <c r="N502" s="474"/>
      <c r="O502" s="474"/>
      <c r="P502" s="474"/>
      <c r="Q502" s="474"/>
    </row>
    <row r="503" spans="7:17">
      <c r="G503" s="474"/>
      <c r="H503" s="474"/>
      <c r="I503" s="474"/>
      <c r="J503" s="474"/>
      <c r="K503" s="474"/>
      <c r="L503" s="474"/>
      <c r="M503" s="474"/>
      <c r="N503" s="474"/>
      <c r="O503" s="474"/>
      <c r="P503" s="474"/>
      <c r="Q503" s="474"/>
    </row>
    <row r="504" spans="7:17">
      <c r="G504" s="474"/>
      <c r="H504" s="474"/>
      <c r="I504" s="474"/>
      <c r="J504" s="474"/>
      <c r="K504" s="474"/>
      <c r="L504" s="474"/>
      <c r="M504" s="474"/>
      <c r="N504" s="474"/>
      <c r="O504" s="474"/>
      <c r="P504" s="474"/>
      <c r="Q504" s="474"/>
    </row>
    <row r="505" spans="7:17">
      <c r="G505" s="474"/>
      <c r="H505" s="474"/>
      <c r="I505" s="474"/>
      <c r="J505" s="474"/>
      <c r="K505" s="474"/>
      <c r="L505" s="474"/>
      <c r="M505" s="474"/>
      <c r="N505" s="474"/>
      <c r="O505" s="474"/>
      <c r="P505" s="474"/>
      <c r="Q505" s="474"/>
    </row>
    <row r="506" spans="7:17">
      <c r="G506" s="474"/>
      <c r="H506" s="474"/>
      <c r="I506" s="474"/>
      <c r="J506" s="474"/>
      <c r="K506" s="474"/>
      <c r="L506" s="474"/>
      <c r="M506" s="474"/>
      <c r="N506" s="474"/>
      <c r="O506" s="474"/>
      <c r="P506" s="474"/>
      <c r="Q506" s="474"/>
    </row>
    <row r="507" spans="7:17">
      <c r="G507" s="474"/>
      <c r="H507" s="474"/>
      <c r="I507" s="474"/>
      <c r="J507" s="474"/>
      <c r="K507" s="474"/>
      <c r="L507" s="474"/>
      <c r="M507" s="474"/>
      <c r="N507" s="474"/>
      <c r="O507" s="474"/>
      <c r="P507" s="474"/>
      <c r="Q507" s="474"/>
    </row>
    <row r="508" spans="7:17">
      <c r="G508" s="474"/>
      <c r="H508" s="474"/>
      <c r="I508" s="474"/>
      <c r="J508" s="474"/>
      <c r="K508" s="474"/>
      <c r="L508" s="474"/>
      <c r="M508" s="474"/>
      <c r="N508" s="474"/>
      <c r="O508" s="474"/>
      <c r="P508" s="474"/>
      <c r="Q508" s="474"/>
    </row>
    <row r="509" spans="7:17">
      <c r="G509" s="474"/>
      <c r="H509" s="474"/>
      <c r="I509" s="474"/>
      <c r="J509" s="474"/>
      <c r="K509" s="474"/>
      <c r="L509" s="474"/>
      <c r="M509" s="474"/>
      <c r="N509" s="474"/>
      <c r="O509" s="474"/>
      <c r="P509" s="474"/>
      <c r="Q509" s="474"/>
    </row>
    <row r="510" spans="7:17">
      <c r="G510" s="474"/>
      <c r="H510" s="474"/>
      <c r="I510" s="474"/>
      <c r="J510" s="474"/>
      <c r="K510" s="474"/>
      <c r="L510" s="474"/>
      <c r="M510" s="474"/>
      <c r="N510" s="474"/>
      <c r="O510" s="474"/>
      <c r="P510" s="474"/>
      <c r="Q510" s="474"/>
    </row>
    <row r="511" spans="7:17">
      <c r="G511" s="474"/>
      <c r="H511" s="474"/>
      <c r="I511" s="474"/>
      <c r="J511" s="474"/>
      <c r="K511" s="474"/>
      <c r="L511" s="474"/>
      <c r="M511" s="474"/>
      <c r="N511" s="474"/>
      <c r="O511" s="474"/>
      <c r="P511" s="474"/>
      <c r="Q511" s="474"/>
    </row>
    <row r="512" spans="7:17">
      <c r="G512" s="474"/>
      <c r="H512" s="474"/>
      <c r="I512" s="474"/>
      <c r="J512" s="474"/>
      <c r="K512" s="474"/>
      <c r="L512" s="474"/>
      <c r="M512" s="474"/>
      <c r="N512" s="474"/>
      <c r="O512" s="474"/>
      <c r="P512" s="474"/>
      <c r="Q512" s="474"/>
    </row>
    <row r="513" spans="7:17">
      <c r="G513" s="474"/>
      <c r="H513" s="474"/>
      <c r="I513" s="474"/>
      <c r="J513" s="474"/>
      <c r="K513" s="474"/>
      <c r="L513" s="474"/>
      <c r="M513" s="474"/>
      <c r="N513" s="474"/>
      <c r="O513" s="474"/>
      <c r="P513" s="474"/>
      <c r="Q513" s="474"/>
    </row>
    <row r="514" spans="7:17">
      <c r="G514" s="474"/>
      <c r="H514" s="474"/>
      <c r="I514" s="474"/>
      <c r="J514" s="474"/>
      <c r="K514" s="474"/>
      <c r="L514" s="474"/>
      <c r="M514" s="474"/>
      <c r="N514" s="474"/>
      <c r="O514" s="474"/>
      <c r="P514" s="474"/>
      <c r="Q514" s="474"/>
    </row>
    <row r="515" spans="7:17">
      <c r="G515" s="474"/>
      <c r="H515" s="474"/>
      <c r="I515" s="474"/>
      <c r="J515" s="474"/>
      <c r="K515" s="474"/>
      <c r="L515" s="474"/>
      <c r="M515" s="474"/>
      <c r="N515" s="474"/>
      <c r="O515" s="474"/>
      <c r="P515" s="474"/>
      <c r="Q515" s="474"/>
    </row>
    <row r="516" spans="7:17">
      <c r="G516" s="474"/>
      <c r="H516" s="474"/>
      <c r="I516" s="474"/>
      <c r="J516" s="474"/>
      <c r="K516" s="474"/>
      <c r="L516" s="474"/>
      <c r="M516" s="474"/>
      <c r="N516" s="474"/>
      <c r="O516" s="474"/>
      <c r="P516" s="474"/>
      <c r="Q516" s="474"/>
    </row>
    <row r="517" spans="7:17">
      <c r="G517" s="474"/>
      <c r="H517" s="474"/>
      <c r="I517" s="474"/>
      <c r="J517" s="474"/>
      <c r="K517" s="474"/>
      <c r="L517" s="474"/>
      <c r="M517" s="474"/>
      <c r="N517" s="474"/>
      <c r="O517" s="474"/>
      <c r="P517" s="474"/>
      <c r="Q517" s="474"/>
    </row>
    <row r="518" spans="7:17">
      <c r="G518" s="474"/>
      <c r="H518" s="474"/>
      <c r="I518" s="474"/>
      <c r="J518" s="474"/>
      <c r="K518" s="474"/>
      <c r="L518" s="474"/>
      <c r="M518" s="474"/>
      <c r="N518" s="474"/>
      <c r="O518" s="474"/>
      <c r="P518" s="474"/>
      <c r="Q518" s="474"/>
    </row>
    <row r="519" spans="7:17">
      <c r="G519" s="474"/>
      <c r="H519" s="474"/>
      <c r="I519" s="474"/>
      <c r="J519" s="474"/>
      <c r="K519" s="474"/>
      <c r="L519" s="474"/>
      <c r="M519" s="474"/>
      <c r="N519" s="474"/>
      <c r="O519" s="474"/>
      <c r="P519" s="474"/>
      <c r="Q519" s="474"/>
    </row>
    <row r="520" spans="7:17">
      <c r="G520" s="474"/>
      <c r="H520" s="474"/>
      <c r="I520" s="474"/>
      <c r="J520" s="474"/>
      <c r="K520" s="474"/>
      <c r="L520" s="474"/>
      <c r="M520" s="474"/>
      <c r="N520" s="474"/>
      <c r="O520" s="474"/>
      <c r="P520" s="474"/>
      <c r="Q520" s="474"/>
    </row>
    <row r="521" spans="7:17">
      <c r="G521" s="474"/>
      <c r="H521" s="474"/>
      <c r="I521" s="474"/>
      <c r="J521" s="474"/>
      <c r="K521" s="474"/>
      <c r="L521" s="474"/>
      <c r="M521" s="474"/>
      <c r="N521" s="474"/>
      <c r="O521" s="474"/>
      <c r="P521" s="474"/>
      <c r="Q521" s="474"/>
    </row>
    <row r="522" spans="7:17">
      <c r="G522" s="474"/>
      <c r="H522" s="474"/>
      <c r="I522" s="474"/>
      <c r="J522" s="474"/>
      <c r="K522" s="474"/>
      <c r="L522" s="474"/>
      <c r="M522" s="474"/>
      <c r="N522" s="474"/>
      <c r="O522" s="474"/>
      <c r="P522" s="474"/>
      <c r="Q522" s="474"/>
    </row>
    <row r="523" spans="7:17">
      <c r="G523" s="474"/>
      <c r="H523" s="474"/>
      <c r="I523" s="474"/>
      <c r="J523" s="474"/>
      <c r="K523" s="474"/>
      <c r="L523" s="474"/>
      <c r="M523" s="474"/>
      <c r="N523" s="474"/>
      <c r="O523" s="474"/>
      <c r="P523" s="474"/>
      <c r="Q523" s="474"/>
    </row>
    <row r="524" spans="7:17">
      <c r="G524" s="474"/>
      <c r="H524" s="474"/>
      <c r="I524" s="474"/>
      <c r="J524" s="474"/>
      <c r="K524" s="474"/>
      <c r="L524" s="474"/>
      <c r="M524" s="474"/>
      <c r="N524" s="474"/>
      <c r="O524" s="474"/>
      <c r="P524" s="474"/>
      <c r="Q524" s="474"/>
    </row>
    <row r="525" spans="7:17">
      <c r="G525" s="474"/>
      <c r="H525" s="474"/>
      <c r="I525" s="474"/>
      <c r="J525" s="474"/>
      <c r="K525" s="474"/>
      <c r="L525" s="474"/>
      <c r="M525" s="474"/>
      <c r="N525" s="474"/>
      <c r="O525" s="474"/>
      <c r="P525" s="474"/>
      <c r="Q525" s="474"/>
    </row>
    <row r="526" spans="7:17">
      <c r="G526" s="474"/>
      <c r="H526" s="474"/>
      <c r="I526" s="474"/>
      <c r="J526" s="474"/>
      <c r="K526" s="474"/>
      <c r="L526" s="474"/>
      <c r="M526" s="474"/>
      <c r="N526" s="474"/>
      <c r="O526" s="474"/>
      <c r="P526" s="474"/>
      <c r="Q526" s="474"/>
    </row>
    <row r="527" spans="7:17">
      <c r="G527" s="474"/>
      <c r="H527" s="474"/>
      <c r="I527" s="474"/>
      <c r="J527" s="474"/>
      <c r="K527" s="474"/>
      <c r="L527" s="474"/>
      <c r="M527" s="474"/>
      <c r="N527" s="474"/>
      <c r="O527" s="474"/>
      <c r="P527" s="474"/>
      <c r="Q527" s="474"/>
    </row>
    <row r="528" spans="7:17">
      <c r="G528" s="474"/>
      <c r="H528" s="474"/>
      <c r="I528" s="474"/>
      <c r="J528" s="474"/>
      <c r="K528" s="474"/>
      <c r="L528" s="474"/>
      <c r="M528" s="474"/>
      <c r="N528" s="474"/>
      <c r="O528" s="474"/>
      <c r="P528" s="474"/>
      <c r="Q528" s="474"/>
    </row>
    <row r="529" spans="7:17">
      <c r="G529" s="474"/>
      <c r="H529" s="474"/>
      <c r="I529" s="474"/>
      <c r="J529" s="474"/>
      <c r="K529" s="474"/>
      <c r="L529" s="474"/>
      <c r="M529" s="474"/>
      <c r="N529" s="474"/>
      <c r="O529" s="474"/>
      <c r="P529" s="474"/>
      <c r="Q529" s="474"/>
    </row>
    <row r="530" spans="7:17">
      <c r="G530" s="474"/>
      <c r="H530" s="474"/>
      <c r="I530" s="474"/>
      <c r="J530" s="474"/>
      <c r="K530" s="474"/>
      <c r="L530" s="474"/>
      <c r="M530" s="474"/>
      <c r="N530" s="474"/>
      <c r="O530" s="474"/>
      <c r="P530" s="474"/>
      <c r="Q530" s="474"/>
    </row>
    <row r="531" spans="7:17">
      <c r="G531" s="474"/>
      <c r="H531" s="474"/>
      <c r="I531" s="474"/>
      <c r="J531" s="474"/>
      <c r="K531" s="474"/>
      <c r="L531" s="474"/>
      <c r="M531" s="474"/>
      <c r="N531" s="474"/>
      <c r="O531" s="474"/>
      <c r="P531" s="474"/>
      <c r="Q531" s="474"/>
    </row>
    <row r="532" spans="7:17">
      <c r="G532" s="474"/>
      <c r="H532" s="474"/>
      <c r="I532" s="474"/>
      <c r="J532" s="474"/>
      <c r="K532" s="474"/>
      <c r="L532" s="474"/>
      <c r="M532" s="474"/>
      <c r="N532" s="474"/>
      <c r="O532" s="474"/>
      <c r="P532" s="474"/>
      <c r="Q532" s="474"/>
    </row>
    <row r="533" spans="7:17">
      <c r="G533" s="474"/>
      <c r="H533" s="474"/>
      <c r="I533" s="474"/>
      <c r="J533" s="474"/>
      <c r="K533" s="474"/>
      <c r="L533" s="474"/>
      <c r="M533" s="474"/>
      <c r="N533" s="474"/>
      <c r="O533" s="474"/>
      <c r="P533" s="474"/>
      <c r="Q533" s="474"/>
    </row>
    <row r="534" spans="7:17">
      <c r="G534" s="474"/>
      <c r="H534" s="474"/>
      <c r="I534" s="474"/>
      <c r="J534" s="474"/>
      <c r="K534" s="474"/>
      <c r="L534" s="474"/>
      <c r="M534" s="474"/>
      <c r="N534" s="474"/>
      <c r="O534" s="474"/>
      <c r="P534" s="474"/>
      <c r="Q534" s="474"/>
    </row>
    <row r="535" spans="7:17">
      <c r="G535" s="474"/>
      <c r="H535" s="474"/>
      <c r="I535" s="474"/>
      <c r="J535" s="474"/>
      <c r="K535" s="474"/>
      <c r="L535" s="474"/>
      <c r="M535" s="474"/>
      <c r="N535" s="474"/>
      <c r="O535" s="474"/>
      <c r="P535" s="474"/>
      <c r="Q535" s="474"/>
    </row>
    <row r="536" spans="7:17">
      <c r="G536" s="474"/>
      <c r="H536" s="474"/>
      <c r="I536" s="474"/>
      <c r="J536" s="474"/>
      <c r="K536" s="474"/>
      <c r="L536" s="474"/>
      <c r="M536" s="474"/>
      <c r="N536" s="474"/>
      <c r="O536" s="474"/>
      <c r="P536" s="474"/>
      <c r="Q536" s="474"/>
    </row>
    <row r="537" spans="7:17">
      <c r="G537" s="474"/>
      <c r="H537" s="474"/>
      <c r="I537" s="474"/>
      <c r="J537" s="474"/>
      <c r="K537" s="474"/>
      <c r="L537" s="474"/>
      <c r="M537" s="474"/>
      <c r="N537" s="474"/>
      <c r="O537" s="474"/>
      <c r="P537" s="474"/>
      <c r="Q537" s="474"/>
    </row>
    <row r="538" spans="7:17">
      <c r="G538" s="474"/>
      <c r="H538" s="474"/>
      <c r="I538" s="474"/>
      <c r="J538" s="474"/>
      <c r="K538" s="474"/>
      <c r="L538" s="474"/>
      <c r="M538" s="474"/>
      <c r="N538" s="474"/>
      <c r="O538" s="474"/>
      <c r="P538" s="474"/>
      <c r="Q538" s="474"/>
    </row>
    <row r="539" spans="7:17">
      <c r="G539" s="474"/>
      <c r="H539" s="474"/>
      <c r="I539" s="474"/>
      <c r="J539" s="474"/>
      <c r="K539" s="474"/>
      <c r="L539" s="474"/>
      <c r="M539" s="474"/>
      <c r="N539" s="474"/>
      <c r="O539" s="474"/>
      <c r="P539" s="474"/>
      <c r="Q539" s="474"/>
    </row>
    <row r="540" spans="7:17">
      <c r="G540" s="474"/>
      <c r="H540" s="474"/>
      <c r="I540" s="474"/>
      <c r="J540" s="474"/>
      <c r="K540" s="474"/>
      <c r="L540" s="474"/>
      <c r="M540" s="474"/>
      <c r="N540" s="474"/>
      <c r="O540" s="474"/>
      <c r="P540" s="474"/>
      <c r="Q540" s="474"/>
    </row>
    <row r="541" spans="7:17">
      <c r="G541" s="474"/>
      <c r="H541" s="474"/>
      <c r="I541" s="474"/>
      <c r="J541" s="474"/>
      <c r="K541" s="474"/>
      <c r="L541" s="474"/>
      <c r="M541" s="474"/>
      <c r="N541" s="474"/>
      <c r="O541" s="474"/>
      <c r="P541" s="474"/>
      <c r="Q541" s="474"/>
    </row>
    <row r="542" spans="7:17">
      <c r="G542" s="474"/>
      <c r="H542" s="474"/>
      <c r="I542" s="474"/>
      <c r="J542" s="474"/>
      <c r="K542" s="474"/>
      <c r="L542" s="474"/>
      <c r="M542" s="474"/>
      <c r="N542" s="474"/>
      <c r="O542" s="474"/>
      <c r="P542" s="474"/>
      <c r="Q542" s="474"/>
    </row>
    <row r="543" spans="7:17">
      <c r="G543" s="474"/>
      <c r="H543" s="474"/>
      <c r="I543" s="474"/>
      <c r="J543" s="474"/>
      <c r="K543" s="474"/>
      <c r="L543" s="474"/>
      <c r="M543" s="474"/>
      <c r="N543" s="474"/>
      <c r="O543" s="474"/>
      <c r="P543" s="474"/>
      <c r="Q543" s="474"/>
    </row>
    <row r="544" spans="7:17">
      <c r="G544" s="474"/>
      <c r="H544" s="474"/>
      <c r="I544" s="474"/>
      <c r="J544" s="474"/>
      <c r="K544" s="474"/>
      <c r="L544" s="474"/>
      <c r="M544" s="474"/>
      <c r="N544" s="474"/>
      <c r="O544" s="474"/>
      <c r="P544" s="474"/>
      <c r="Q544" s="474"/>
    </row>
    <row r="545" spans="7:17">
      <c r="G545" s="474"/>
      <c r="H545" s="474"/>
      <c r="I545" s="474"/>
      <c r="J545" s="474"/>
      <c r="K545" s="474"/>
      <c r="L545" s="474"/>
      <c r="M545" s="474"/>
      <c r="N545" s="474"/>
      <c r="O545" s="474"/>
      <c r="P545" s="474"/>
      <c r="Q545" s="474"/>
    </row>
    <row r="546" spans="7:17">
      <c r="G546" s="474"/>
      <c r="H546" s="474"/>
      <c r="I546" s="474"/>
      <c r="J546" s="474"/>
      <c r="K546" s="474"/>
      <c r="L546" s="474"/>
      <c r="M546" s="474"/>
      <c r="N546" s="474"/>
      <c r="O546" s="474"/>
      <c r="P546" s="474"/>
      <c r="Q546" s="474"/>
    </row>
    <row r="547" spans="7:17">
      <c r="G547" s="474"/>
      <c r="H547" s="474"/>
      <c r="I547" s="474"/>
      <c r="J547" s="474"/>
      <c r="K547" s="474"/>
      <c r="L547" s="474"/>
      <c r="M547" s="474"/>
      <c r="N547" s="474"/>
      <c r="O547" s="474"/>
      <c r="P547" s="474"/>
      <c r="Q547" s="474"/>
    </row>
    <row r="548" spans="7:17">
      <c r="G548" s="474"/>
      <c r="H548" s="474"/>
      <c r="I548" s="474"/>
      <c r="J548" s="474"/>
      <c r="K548" s="474"/>
      <c r="L548" s="474"/>
      <c r="M548" s="474"/>
      <c r="N548" s="474"/>
      <c r="O548" s="474"/>
      <c r="P548" s="474"/>
      <c r="Q548" s="474"/>
    </row>
    <row r="549" spans="7:17">
      <c r="G549" s="474"/>
      <c r="H549" s="474"/>
      <c r="I549" s="474"/>
      <c r="J549" s="474"/>
      <c r="K549" s="474"/>
      <c r="L549" s="474"/>
      <c r="M549" s="474"/>
      <c r="N549" s="474"/>
      <c r="O549" s="474"/>
      <c r="P549" s="474"/>
      <c r="Q549" s="474"/>
    </row>
    <row r="550" spans="7:17">
      <c r="G550" s="474"/>
      <c r="H550" s="474"/>
      <c r="I550" s="474"/>
      <c r="J550" s="474"/>
      <c r="K550" s="474"/>
      <c r="L550" s="474"/>
      <c r="M550" s="474"/>
      <c r="N550" s="474"/>
      <c r="O550" s="474"/>
      <c r="P550" s="474"/>
      <c r="Q550" s="474"/>
    </row>
    <row r="551" spans="7:17">
      <c r="G551" s="474"/>
      <c r="H551" s="474"/>
      <c r="I551" s="474"/>
      <c r="J551" s="474"/>
      <c r="K551" s="474"/>
      <c r="L551" s="474"/>
      <c r="M551" s="474"/>
      <c r="N551" s="474"/>
      <c r="O551" s="474"/>
      <c r="P551" s="474"/>
      <c r="Q551" s="474"/>
    </row>
    <row r="552" spans="7:17">
      <c r="G552" s="474"/>
      <c r="H552" s="474"/>
      <c r="I552" s="474"/>
      <c r="J552" s="474"/>
      <c r="K552" s="474"/>
      <c r="L552" s="474"/>
      <c r="M552" s="474"/>
      <c r="N552" s="474"/>
      <c r="O552" s="474"/>
      <c r="P552" s="474"/>
      <c r="Q552" s="474"/>
    </row>
    <row r="553" spans="7:17">
      <c r="G553" s="474"/>
      <c r="H553" s="474"/>
      <c r="I553" s="474"/>
      <c r="J553" s="474"/>
      <c r="K553" s="474"/>
      <c r="L553" s="474"/>
      <c r="M553" s="474"/>
      <c r="N553" s="474"/>
      <c r="O553" s="474"/>
      <c r="P553" s="474"/>
      <c r="Q553" s="474"/>
    </row>
    <row r="554" spans="7:17">
      <c r="G554" s="474"/>
      <c r="H554" s="474"/>
      <c r="I554" s="474"/>
      <c r="J554" s="474"/>
      <c r="K554" s="474"/>
      <c r="L554" s="474"/>
      <c r="M554" s="474"/>
      <c r="N554" s="474"/>
      <c r="O554" s="474"/>
      <c r="P554" s="474"/>
      <c r="Q554" s="474"/>
    </row>
    <row r="555" spans="7:17">
      <c r="G555" s="474"/>
      <c r="H555" s="474"/>
      <c r="I555" s="474"/>
      <c r="J555" s="474"/>
      <c r="K555" s="474"/>
      <c r="L555" s="474"/>
      <c r="M555" s="474"/>
      <c r="N555" s="474"/>
      <c r="O555" s="474"/>
      <c r="P555" s="474"/>
      <c r="Q555" s="474"/>
    </row>
    <row r="556" spans="7:17">
      <c r="G556" s="474"/>
      <c r="H556" s="474"/>
      <c r="I556" s="474"/>
      <c r="J556" s="474"/>
      <c r="K556" s="474"/>
      <c r="L556" s="474"/>
      <c r="M556" s="474"/>
      <c r="N556" s="474"/>
      <c r="O556" s="474"/>
      <c r="P556" s="474"/>
      <c r="Q556" s="474"/>
    </row>
    <row r="557" spans="7:17">
      <c r="G557" s="474"/>
      <c r="H557" s="474"/>
      <c r="I557" s="474"/>
      <c r="J557" s="474"/>
      <c r="K557" s="474"/>
      <c r="L557" s="474"/>
      <c r="M557" s="474"/>
      <c r="N557" s="474"/>
      <c r="O557" s="474"/>
      <c r="P557" s="474"/>
      <c r="Q557" s="474"/>
    </row>
    <row r="558" spans="7:17">
      <c r="G558" s="474"/>
      <c r="H558" s="474"/>
      <c r="I558" s="474"/>
      <c r="J558" s="474"/>
      <c r="K558" s="474"/>
      <c r="L558" s="474"/>
      <c r="M558" s="474"/>
      <c r="N558" s="474"/>
      <c r="O558" s="474"/>
      <c r="P558" s="474"/>
      <c r="Q558" s="474"/>
    </row>
    <row r="559" spans="7:17">
      <c r="G559" s="474"/>
      <c r="H559" s="474"/>
      <c r="I559" s="474"/>
      <c r="J559" s="474"/>
      <c r="K559" s="474"/>
      <c r="L559" s="474"/>
      <c r="M559" s="474"/>
      <c r="N559" s="474"/>
      <c r="O559" s="474"/>
      <c r="P559" s="474"/>
      <c r="Q559" s="474"/>
    </row>
    <row r="560" spans="7:17">
      <c r="G560" s="474"/>
      <c r="H560" s="474"/>
      <c r="I560" s="474"/>
      <c r="J560" s="474"/>
      <c r="K560" s="474"/>
      <c r="L560" s="474"/>
      <c r="M560" s="474"/>
      <c r="N560" s="474"/>
      <c r="O560" s="474"/>
      <c r="P560" s="474"/>
      <c r="Q560" s="474"/>
    </row>
    <row r="561" spans="7:17">
      <c r="G561" s="474"/>
      <c r="H561" s="474"/>
      <c r="I561" s="474"/>
      <c r="J561" s="474"/>
      <c r="K561" s="474"/>
      <c r="L561" s="474"/>
      <c r="M561" s="474"/>
      <c r="N561" s="474"/>
      <c r="O561" s="474"/>
      <c r="P561" s="474"/>
      <c r="Q561" s="474"/>
    </row>
    <row r="562" spans="7:17">
      <c r="G562" s="474"/>
      <c r="H562" s="474"/>
      <c r="I562" s="474"/>
      <c r="J562" s="474"/>
      <c r="K562" s="474"/>
      <c r="L562" s="474"/>
      <c r="M562" s="474"/>
      <c r="N562" s="474"/>
      <c r="O562" s="474"/>
      <c r="P562" s="474"/>
      <c r="Q562" s="474"/>
    </row>
    <row r="563" spans="7:17">
      <c r="G563" s="474"/>
      <c r="H563" s="474"/>
      <c r="I563" s="474"/>
      <c r="J563" s="474"/>
      <c r="K563" s="474"/>
      <c r="L563" s="474"/>
      <c r="M563" s="474"/>
      <c r="N563" s="474"/>
      <c r="O563" s="474"/>
      <c r="P563" s="474"/>
      <c r="Q563" s="474"/>
    </row>
    <row r="564" spans="7:17">
      <c r="G564" s="474"/>
      <c r="H564" s="474"/>
      <c r="I564" s="474"/>
      <c r="J564" s="474"/>
      <c r="K564" s="474"/>
      <c r="L564" s="474"/>
      <c r="M564" s="474"/>
      <c r="N564" s="474"/>
      <c r="O564" s="474"/>
      <c r="P564" s="474"/>
      <c r="Q564" s="474"/>
    </row>
    <row r="565" spans="7:17">
      <c r="G565" s="474"/>
      <c r="H565" s="474"/>
      <c r="I565" s="474"/>
      <c r="J565" s="474"/>
      <c r="K565" s="474"/>
      <c r="L565" s="474"/>
      <c r="M565" s="474"/>
      <c r="N565" s="474"/>
      <c r="O565" s="474"/>
      <c r="P565" s="474"/>
      <c r="Q565" s="474"/>
    </row>
    <row r="566" spans="7:17">
      <c r="G566" s="474"/>
      <c r="H566" s="474"/>
      <c r="I566" s="474"/>
      <c r="J566" s="474"/>
      <c r="K566" s="474"/>
      <c r="L566" s="474"/>
      <c r="M566" s="474"/>
      <c r="N566" s="474"/>
      <c r="O566" s="474"/>
      <c r="P566" s="474"/>
      <c r="Q566" s="474"/>
    </row>
    <row r="567" spans="7:17">
      <c r="G567" s="474"/>
      <c r="H567" s="474"/>
      <c r="I567" s="474"/>
      <c r="J567" s="474"/>
      <c r="K567" s="474"/>
      <c r="L567" s="474"/>
      <c r="M567" s="474"/>
      <c r="N567" s="474"/>
      <c r="O567" s="474"/>
      <c r="P567" s="474"/>
      <c r="Q567" s="474"/>
    </row>
    <row r="568" spans="7:17">
      <c r="G568" s="474"/>
      <c r="H568" s="474"/>
      <c r="I568" s="474"/>
      <c r="J568" s="474"/>
      <c r="K568" s="474"/>
      <c r="L568" s="474"/>
      <c r="M568" s="474"/>
      <c r="N568" s="474"/>
      <c r="O568" s="474"/>
      <c r="P568" s="474"/>
      <c r="Q568" s="474"/>
    </row>
    <row r="569" spans="7:17">
      <c r="G569" s="474"/>
      <c r="H569" s="474"/>
      <c r="I569" s="474"/>
      <c r="J569" s="474"/>
      <c r="K569" s="474"/>
      <c r="L569" s="474"/>
      <c r="M569" s="474"/>
      <c r="N569" s="474"/>
      <c r="O569" s="474"/>
      <c r="P569" s="474"/>
      <c r="Q569" s="474"/>
    </row>
    <row r="570" spans="7:17">
      <c r="G570" s="474"/>
      <c r="H570" s="474"/>
      <c r="I570" s="474"/>
      <c r="J570" s="474"/>
      <c r="K570" s="474"/>
      <c r="L570" s="474"/>
      <c r="M570" s="474"/>
      <c r="N570" s="474"/>
      <c r="O570" s="474"/>
      <c r="P570" s="474"/>
      <c r="Q570" s="474"/>
    </row>
    <row r="571" spans="7:17">
      <c r="G571" s="474"/>
      <c r="H571" s="474"/>
      <c r="I571" s="474"/>
      <c r="J571" s="474"/>
      <c r="K571" s="474"/>
      <c r="L571" s="474"/>
      <c r="M571" s="474"/>
      <c r="N571" s="474"/>
      <c r="O571" s="474"/>
      <c r="P571" s="474"/>
      <c r="Q571" s="474"/>
    </row>
    <row r="572" spans="7:17">
      <c r="G572" s="474"/>
      <c r="H572" s="474"/>
      <c r="I572" s="474"/>
      <c r="J572" s="474"/>
      <c r="K572" s="474"/>
      <c r="L572" s="474"/>
      <c r="M572" s="474"/>
      <c r="N572" s="474"/>
      <c r="O572" s="474"/>
      <c r="P572" s="474"/>
      <c r="Q572" s="474"/>
    </row>
    <row r="573" spans="7:17">
      <c r="G573" s="474"/>
      <c r="H573" s="474"/>
      <c r="I573" s="474"/>
      <c r="J573" s="474"/>
      <c r="K573" s="474"/>
      <c r="L573" s="474"/>
      <c r="M573" s="474"/>
      <c r="N573" s="474"/>
      <c r="O573" s="474"/>
      <c r="P573" s="474"/>
      <c r="Q573" s="474"/>
    </row>
    <row r="574" spans="7:17">
      <c r="G574" s="474"/>
      <c r="H574" s="474"/>
      <c r="I574" s="474"/>
      <c r="J574" s="474"/>
      <c r="K574" s="474"/>
      <c r="L574" s="474"/>
      <c r="M574" s="474"/>
      <c r="N574" s="474"/>
      <c r="O574" s="474"/>
      <c r="P574" s="474"/>
      <c r="Q574" s="474"/>
    </row>
    <row r="575" spans="7:17">
      <c r="G575" s="474"/>
      <c r="H575" s="474"/>
      <c r="I575" s="474"/>
      <c r="J575" s="474"/>
      <c r="K575" s="474"/>
      <c r="L575" s="474"/>
      <c r="M575" s="474"/>
      <c r="N575" s="474"/>
      <c r="O575" s="474"/>
      <c r="P575" s="474"/>
      <c r="Q575" s="474"/>
    </row>
    <row r="576" spans="7:17">
      <c r="G576" s="474"/>
      <c r="H576" s="474"/>
      <c r="I576" s="474"/>
      <c r="J576" s="474"/>
      <c r="K576" s="474"/>
      <c r="L576" s="474"/>
      <c r="M576" s="474"/>
      <c r="N576" s="474"/>
      <c r="O576" s="474"/>
      <c r="P576" s="474"/>
      <c r="Q576" s="474"/>
    </row>
    <row r="577" spans="7:17">
      <c r="G577" s="474"/>
      <c r="H577" s="474"/>
      <c r="I577" s="474"/>
      <c r="J577" s="474"/>
      <c r="K577" s="474"/>
      <c r="L577" s="474"/>
      <c r="M577" s="474"/>
      <c r="N577" s="474"/>
      <c r="O577" s="474"/>
      <c r="P577" s="474"/>
      <c r="Q577" s="474"/>
    </row>
    <row r="578" spans="7:17">
      <c r="G578" s="474"/>
      <c r="H578" s="474"/>
      <c r="I578" s="474"/>
      <c r="J578" s="474"/>
      <c r="K578" s="474"/>
      <c r="L578" s="474"/>
      <c r="M578" s="474"/>
      <c r="N578" s="474"/>
      <c r="O578" s="474"/>
      <c r="P578" s="474"/>
      <c r="Q578" s="474"/>
    </row>
    <row r="579" spans="7:17">
      <c r="G579" s="474"/>
      <c r="H579" s="474"/>
      <c r="I579" s="474"/>
      <c r="J579" s="474"/>
      <c r="K579" s="474"/>
      <c r="L579" s="474"/>
      <c r="M579" s="474"/>
      <c r="N579" s="474"/>
      <c r="O579" s="474"/>
      <c r="P579" s="474"/>
      <c r="Q579" s="474"/>
    </row>
    <row r="580" spans="7:17">
      <c r="G580" s="474"/>
      <c r="H580" s="474"/>
      <c r="I580" s="474"/>
      <c r="J580" s="474"/>
      <c r="K580" s="474"/>
      <c r="L580" s="474"/>
      <c r="M580" s="474"/>
      <c r="N580" s="474"/>
      <c r="O580" s="474"/>
      <c r="P580" s="474"/>
      <c r="Q580" s="474"/>
    </row>
    <row r="581" spans="7:17">
      <c r="G581" s="474"/>
      <c r="H581" s="474"/>
      <c r="I581" s="474"/>
      <c r="J581" s="474"/>
      <c r="K581" s="474"/>
      <c r="L581" s="474"/>
      <c r="M581" s="474"/>
      <c r="N581" s="474"/>
      <c r="O581" s="474"/>
      <c r="P581" s="474"/>
      <c r="Q581" s="474"/>
    </row>
    <row r="582" spans="7:17">
      <c r="G582" s="474"/>
      <c r="H582" s="474"/>
      <c r="I582" s="474"/>
      <c r="J582" s="474"/>
      <c r="K582" s="474"/>
      <c r="L582" s="474"/>
      <c r="M582" s="474"/>
      <c r="N582" s="474"/>
      <c r="O582" s="474"/>
      <c r="P582" s="474"/>
      <c r="Q582" s="474"/>
    </row>
    <row r="583" spans="7:17">
      <c r="G583" s="474"/>
      <c r="H583" s="474"/>
      <c r="I583" s="474"/>
      <c r="J583" s="474"/>
      <c r="K583" s="474"/>
      <c r="L583" s="474"/>
      <c r="M583" s="474"/>
      <c r="N583" s="474"/>
      <c r="O583" s="474"/>
      <c r="P583" s="474"/>
      <c r="Q583" s="474"/>
    </row>
    <row r="584" spans="7:17">
      <c r="G584" s="474"/>
      <c r="H584" s="474"/>
      <c r="I584" s="474"/>
      <c r="J584" s="474"/>
      <c r="K584" s="474"/>
      <c r="L584" s="474"/>
      <c r="M584" s="474"/>
      <c r="N584" s="474"/>
      <c r="O584" s="474"/>
      <c r="P584" s="474"/>
      <c r="Q584" s="474"/>
    </row>
    <row r="585" spans="7:17">
      <c r="G585" s="474"/>
      <c r="H585" s="474"/>
      <c r="I585" s="474"/>
      <c r="J585" s="474"/>
      <c r="K585" s="474"/>
      <c r="L585" s="474"/>
      <c r="M585" s="474"/>
      <c r="N585" s="474"/>
      <c r="O585" s="474"/>
      <c r="P585" s="474"/>
      <c r="Q585" s="474"/>
    </row>
    <row r="586" spans="7:17">
      <c r="G586" s="474"/>
      <c r="H586" s="474"/>
      <c r="I586" s="474"/>
      <c r="J586" s="474"/>
      <c r="K586" s="474"/>
      <c r="L586" s="474"/>
      <c r="M586" s="474"/>
      <c r="N586" s="474"/>
      <c r="O586" s="474"/>
      <c r="P586" s="474"/>
      <c r="Q586" s="474"/>
    </row>
    <row r="587" spans="7:17">
      <c r="G587" s="474"/>
      <c r="H587" s="474"/>
      <c r="I587" s="474"/>
      <c r="J587" s="474"/>
      <c r="K587" s="474"/>
      <c r="L587" s="474"/>
      <c r="M587" s="474"/>
      <c r="N587" s="474"/>
      <c r="O587" s="474"/>
      <c r="P587" s="474"/>
      <c r="Q587" s="474"/>
    </row>
    <row r="588" spans="7:17">
      <c r="G588" s="474"/>
      <c r="H588" s="474"/>
      <c r="I588" s="474"/>
      <c r="J588" s="474"/>
      <c r="K588" s="474"/>
      <c r="L588" s="474"/>
      <c r="M588" s="474"/>
      <c r="N588" s="474"/>
      <c r="O588" s="474"/>
      <c r="P588" s="474"/>
      <c r="Q588" s="474"/>
    </row>
    <row r="589" spans="7:17">
      <c r="G589" s="474"/>
      <c r="H589" s="474"/>
      <c r="I589" s="474"/>
      <c r="J589" s="474"/>
      <c r="K589" s="474"/>
      <c r="L589" s="474"/>
      <c r="M589" s="474"/>
      <c r="N589" s="474"/>
      <c r="O589" s="474"/>
      <c r="P589" s="474"/>
      <c r="Q589" s="474"/>
    </row>
    <row r="590" spans="7:17">
      <c r="G590" s="474"/>
      <c r="H590" s="474"/>
      <c r="I590" s="474"/>
      <c r="J590" s="474"/>
      <c r="K590" s="474"/>
      <c r="L590" s="474"/>
      <c r="M590" s="474"/>
      <c r="N590" s="474"/>
      <c r="O590" s="474"/>
      <c r="P590" s="474"/>
      <c r="Q590" s="474"/>
    </row>
    <row r="591" spans="7:17">
      <c r="G591" s="474"/>
      <c r="H591" s="474"/>
      <c r="I591" s="474"/>
      <c r="J591" s="474"/>
      <c r="K591" s="474"/>
      <c r="L591" s="474"/>
      <c r="M591" s="474"/>
      <c r="N591" s="474"/>
      <c r="O591" s="474"/>
      <c r="P591" s="474"/>
      <c r="Q591" s="474"/>
    </row>
    <row r="592" spans="7:17">
      <c r="G592" s="474"/>
      <c r="H592" s="474"/>
      <c r="I592" s="474"/>
      <c r="J592" s="474"/>
      <c r="K592" s="474"/>
      <c r="L592" s="474"/>
      <c r="M592" s="474"/>
      <c r="N592" s="474"/>
      <c r="O592" s="474"/>
      <c r="P592" s="474"/>
      <c r="Q592" s="474"/>
    </row>
    <row r="593" spans="7:17">
      <c r="G593" s="474"/>
      <c r="H593" s="474"/>
      <c r="I593" s="474"/>
      <c r="J593" s="474"/>
      <c r="K593" s="474"/>
      <c r="L593" s="474"/>
      <c r="M593" s="474"/>
      <c r="N593" s="474"/>
      <c r="O593" s="474"/>
      <c r="P593" s="474"/>
      <c r="Q593" s="474"/>
    </row>
    <row r="594" spans="7:17">
      <c r="G594" s="474"/>
      <c r="H594" s="474"/>
      <c r="I594" s="474"/>
      <c r="J594" s="474"/>
      <c r="K594" s="474"/>
      <c r="L594" s="474"/>
      <c r="M594" s="474"/>
      <c r="N594" s="474"/>
      <c r="O594" s="474"/>
      <c r="P594" s="474"/>
      <c r="Q594" s="474"/>
    </row>
    <row r="595" spans="7:17">
      <c r="G595" s="474"/>
      <c r="H595" s="474"/>
      <c r="I595" s="474"/>
      <c r="J595" s="474"/>
      <c r="K595" s="474"/>
      <c r="L595" s="474"/>
      <c r="M595" s="474"/>
      <c r="N595" s="474"/>
      <c r="O595" s="474"/>
      <c r="P595" s="474"/>
      <c r="Q595" s="474"/>
    </row>
    <row r="596" spans="7:17">
      <c r="G596" s="474"/>
      <c r="H596" s="474"/>
      <c r="I596" s="474"/>
      <c r="J596" s="474"/>
      <c r="K596" s="474"/>
      <c r="L596" s="474"/>
      <c r="M596" s="474"/>
      <c r="N596" s="474"/>
      <c r="O596" s="474"/>
      <c r="P596" s="474"/>
      <c r="Q596" s="474"/>
    </row>
    <row r="597" spans="7:17">
      <c r="G597" s="474"/>
      <c r="H597" s="474"/>
      <c r="I597" s="474"/>
      <c r="J597" s="474"/>
      <c r="K597" s="474"/>
      <c r="L597" s="474"/>
      <c r="M597" s="474"/>
      <c r="N597" s="474"/>
      <c r="O597" s="474"/>
      <c r="P597" s="474"/>
      <c r="Q597" s="474"/>
    </row>
    <row r="598" spans="7:17">
      <c r="G598" s="474"/>
      <c r="H598" s="474"/>
      <c r="I598" s="474"/>
      <c r="J598" s="474"/>
      <c r="K598" s="474"/>
      <c r="L598" s="474"/>
      <c r="M598" s="474"/>
      <c r="N598" s="474"/>
      <c r="O598" s="474"/>
      <c r="P598" s="474"/>
      <c r="Q598" s="474"/>
    </row>
    <row r="599" spans="7:17">
      <c r="G599" s="474"/>
      <c r="H599" s="474"/>
      <c r="I599" s="474"/>
      <c r="J599" s="474"/>
      <c r="K599" s="474"/>
      <c r="L599" s="474"/>
      <c r="M599" s="474"/>
      <c r="N599" s="474"/>
      <c r="O599" s="474"/>
      <c r="P599" s="474"/>
      <c r="Q599" s="474"/>
    </row>
    <row r="600" spans="7:17">
      <c r="G600" s="474"/>
      <c r="H600" s="474"/>
      <c r="I600" s="474"/>
      <c r="J600" s="474"/>
      <c r="K600" s="474"/>
      <c r="L600" s="474"/>
      <c r="M600" s="474"/>
      <c r="N600" s="474"/>
      <c r="O600" s="474"/>
      <c r="P600" s="474"/>
      <c r="Q600" s="474"/>
    </row>
    <row r="601" spans="7:17">
      <c r="G601" s="474"/>
      <c r="H601" s="474"/>
      <c r="I601" s="474"/>
      <c r="J601" s="474"/>
      <c r="K601" s="474"/>
      <c r="L601" s="474"/>
      <c r="M601" s="474"/>
      <c r="N601" s="474"/>
      <c r="O601" s="474"/>
      <c r="P601" s="474"/>
      <c r="Q601" s="474"/>
    </row>
    <row r="602" spans="7:17">
      <c r="G602" s="474"/>
      <c r="H602" s="474"/>
      <c r="I602" s="474"/>
      <c r="J602" s="474"/>
      <c r="K602" s="474"/>
      <c r="L602" s="474"/>
      <c r="M602" s="474"/>
      <c r="N602" s="474"/>
      <c r="O602" s="474"/>
      <c r="P602" s="474"/>
      <c r="Q602" s="474"/>
    </row>
    <row r="603" spans="7:17">
      <c r="G603" s="474"/>
      <c r="H603" s="474"/>
      <c r="I603" s="474"/>
      <c r="J603" s="474"/>
      <c r="K603" s="474"/>
      <c r="L603" s="474"/>
      <c r="M603" s="474"/>
      <c r="N603" s="474"/>
      <c r="O603" s="474"/>
      <c r="P603" s="474"/>
      <c r="Q603" s="474"/>
    </row>
    <row r="604" spans="7:17">
      <c r="G604" s="474"/>
      <c r="H604" s="474"/>
      <c r="I604" s="474"/>
      <c r="J604" s="474"/>
      <c r="K604" s="474"/>
      <c r="L604" s="474"/>
      <c r="M604" s="474"/>
      <c r="N604" s="474"/>
      <c r="O604" s="474"/>
      <c r="P604" s="474"/>
      <c r="Q604" s="474"/>
    </row>
    <row r="605" spans="7:17">
      <c r="G605" s="474"/>
      <c r="H605" s="474"/>
      <c r="I605" s="474"/>
      <c r="J605" s="474"/>
      <c r="K605" s="474"/>
      <c r="L605" s="474"/>
      <c r="M605" s="474"/>
      <c r="N605" s="474"/>
      <c r="O605" s="474"/>
      <c r="P605" s="474"/>
      <c r="Q605" s="474"/>
    </row>
    <row r="606" spans="7:17">
      <c r="G606" s="474"/>
      <c r="H606" s="474"/>
      <c r="I606" s="474"/>
      <c r="J606" s="474"/>
      <c r="K606" s="474"/>
      <c r="L606" s="474"/>
      <c r="M606" s="474"/>
      <c r="N606" s="474"/>
      <c r="O606" s="474"/>
      <c r="P606" s="474"/>
      <c r="Q606" s="474"/>
    </row>
    <row r="607" spans="7:17">
      <c r="G607" s="474"/>
      <c r="H607" s="474"/>
      <c r="I607" s="474"/>
      <c r="J607" s="474"/>
      <c r="K607" s="474"/>
      <c r="L607" s="474"/>
      <c r="M607" s="474"/>
      <c r="N607" s="474"/>
      <c r="O607" s="474"/>
      <c r="P607" s="474"/>
      <c r="Q607" s="474"/>
    </row>
    <row r="608" spans="7:17">
      <c r="G608" s="474"/>
      <c r="H608" s="474"/>
      <c r="I608" s="474"/>
      <c r="J608" s="474"/>
      <c r="K608" s="474"/>
      <c r="L608" s="474"/>
      <c r="M608" s="474"/>
      <c r="N608" s="474"/>
      <c r="O608" s="474"/>
      <c r="P608" s="474"/>
      <c r="Q608" s="474"/>
    </row>
    <row r="609" spans="7:17">
      <c r="G609" s="474"/>
      <c r="H609" s="474"/>
      <c r="I609" s="474"/>
      <c r="J609" s="474"/>
      <c r="K609" s="474"/>
      <c r="L609" s="474"/>
      <c r="M609" s="474"/>
      <c r="N609" s="474"/>
      <c r="O609" s="474"/>
      <c r="P609" s="474"/>
      <c r="Q609" s="474"/>
    </row>
    <row r="610" spans="7:17">
      <c r="G610" s="474"/>
      <c r="H610" s="474"/>
      <c r="I610" s="474"/>
      <c r="J610" s="474"/>
      <c r="K610" s="474"/>
      <c r="L610" s="474"/>
      <c r="M610" s="474"/>
      <c r="N610" s="474"/>
      <c r="O610" s="474"/>
      <c r="P610" s="474"/>
      <c r="Q610" s="474"/>
    </row>
    <row r="611" spans="7:17">
      <c r="G611" s="474"/>
      <c r="H611" s="474"/>
      <c r="I611" s="474"/>
      <c r="J611" s="474"/>
      <c r="K611" s="474"/>
      <c r="L611" s="474"/>
      <c r="M611" s="474"/>
      <c r="N611" s="474"/>
      <c r="O611" s="474"/>
      <c r="P611" s="474"/>
      <c r="Q611" s="474"/>
    </row>
    <row r="612" spans="7:17">
      <c r="G612" s="474"/>
      <c r="H612" s="474"/>
      <c r="I612" s="474"/>
      <c r="J612" s="474"/>
      <c r="K612" s="474"/>
      <c r="L612" s="474"/>
      <c r="M612" s="474"/>
      <c r="N612" s="474"/>
      <c r="O612" s="474"/>
      <c r="P612" s="474"/>
      <c r="Q612" s="474"/>
    </row>
    <row r="613" spans="7:17">
      <c r="G613" s="474"/>
      <c r="H613" s="474"/>
      <c r="I613" s="474"/>
      <c r="J613" s="474"/>
      <c r="K613" s="474"/>
      <c r="L613" s="474"/>
      <c r="M613" s="474"/>
      <c r="N613" s="474"/>
      <c r="O613" s="474"/>
      <c r="P613" s="474"/>
      <c r="Q613" s="474"/>
    </row>
    <row r="614" spans="7:17">
      <c r="G614" s="474"/>
      <c r="H614" s="474"/>
      <c r="I614" s="474"/>
      <c r="J614" s="474"/>
      <c r="K614" s="474"/>
      <c r="L614" s="474"/>
      <c r="M614" s="474"/>
      <c r="N614" s="474"/>
      <c r="O614" s="474"/>
      <c r="P614" s="474"/>
      <c r="Q614" s="474"/>
    </row>
    <row r="615" spans="7:17">
      <c r="G615" s="474"/>
      <c r="H615" s="474"/>
      <c r="I615" s="474"/>
      <c r="J615" s="474"/>
      <c r="K615" s="474"/>
      <c r="L615" s="474"/>
      <c r="M615" s="474"/>
      <c r="N615" s="474"/>
      <c r="O615" s="474"/>
      <c r="P615" s="474"/>
      <c r="Q615" s="474"/>
    </row>
    <row r="616" spans="7:17">
      <c r="G616" s="474"/>
      <c r="H616" s="474"/>
      <c r="I616" s="474"/>
      <c r="J616" s="474"/>
      <c r="K616" s="474"/>
      <c r="L616" s="474"/>
      <c r="M616" s="474"/>
      <c r="N616" s="474"/>
      <c r="O616" s="474"/>
      <c r="P616" s="474"/>
      <c r="Q616" s="474"/>
    </row>
    <row r="617" spans="7:17">
      <c r="G617" s="474"/>
      <c r="H617" s="474"/>
      <c r="I617" s="474"/>
      <c r="J617" s="474"/>
      <c r="K617" s="474"/>
      <c r="L617" s="474"/>
      <c r="M617" s="474"/>
      <c r="N617" s="474"/>
      <c r="O617" s="474"/>
      <c r="P617" s="474"/>
      <c r="Q617" s="474"/>
    </row>
    <row r="618" spans="7:17">
      <c r="G618" s="474"/>
      <c r="H618" s="474"/>
      <c r="I618" s="474"/>
      <c r="J618" s="474"/>
      <c r="K618" s="474"/>
      <c r="L618" s="474"/>
      <c r="M618" s="474"/>
      <c r="N618" s="474"/>
      <c r="O618" s="474"/>
      <c r="P618" s="474"/>
      <c r="Q618" s="474"/>
    </row>
    <row r="619" spans="7:17">
      <c r="G619" s="474"/>
      <c r="H619" s="474"/>
      <c r="I619" s="474"/>
      <c r="J619" s="474"/>
      <c r="K619" s="474"/>
      <c r="L619" s="474"/>
      <c r="M619" s="474"/>
      <c r="N619" s="474"/>
      <c r="O619" s="474"/>
      <c r="P619" s="474"/>
      <c r="Q619" s="474"/>
    </row>
    <row r="620" spans="7:17">
      <c r="G620" s="474"/>
      <c r="H620" s="474"/>
      <c r="I620" s="474"/>
      <c r="J620" s="474"/>
      <c r="K620" s="474"/>
      <c r="L620" s="474"/>
      <c r="M620" s="474"/>
      <c r="N620" s="474"/>
      <c r="O620" s="474"/>
      <c r="P620" s="474"/>
      <c r="Q620" s="474"/>
    </row>
    <row r="621" spans="7:17">
      <c r="G621" s="474"/>
      <c r="H621" s="474"/>
      <c r="I621" s="474"/>
      <c r="J621" s="474"/>
      <c r="K621" s="474"/>
      <c r="L621" s="474"/>
      <c r="M621" s="474"/>
      <c r="N621" s="474"/>
      <c r="O621" s="474"/>
      <c r="P621" s="474"/>
      <c r="Q621" s="474"/>
    </row>
    <row r="622" spans="7:17">
      <c r="G622" s="474"/>
      <c r="H622" s="474"/>
      <c r="I622" s="474"/>
      <c r="J622" s="474"/>
      <c r="K622" s="474"/>
      <c r="L622" s="474"/>
      <c r="M622" s="474"/>
      <c r="N622" s="474"/>
      <c r="O622" s="474"/>
      <c r="P622" s="474"/>
      <c r="Q622" s="474"/>
    </row>
    <row r="623" spans="7:17">
      <c r="G623" s="474"/>
      <c r="H623" s="474"/>
      <c r="I623" s="474"/>
      <c r="J623" s="474"/>
      <c r="K623" s="474"/>
      <c r="L623" s="474"/>
      <c r="M623" s="474"/>
      <c r="N623" s="474"/>
      <c r="O623" s="474"/>
      <c r="P623" s="474"/>
      <c r="Q623" s="474"/>
    </row>
    <row r="624" spans="7:17">
      <c r="G624" s="474"/>
      <c r="H624" s="474"/>
      <c r="I624" s="474"/>
      <c r="J624" s="474"/>
      <c r="K624" s="474"/>
      <c r="L624" s="474"/>
      <c r="M624" s="474"/>
      <c r="N624" s="474"/>
      <c r="O624" s="474"/>
      <c r="P624" s="474"/>
      <c r="Q624" s="474"/>
    </row>
    <row r="625" spans="7:17">
      <c r="G625" s="474"/>
      <c r="H625" s="474"/>
      <c r="I625" s="474"/>
      <c r="J625" s="474"/>
      <c r="K625" s="474"/>
      <c r="L625" s="474"/>
      <c r="M625" s="474"/>
      <c r="N625" s="474"/>
      <c r="O625" s="474"/>
      <c r="P625" s="474"/>
      <c r="Q625" s="474"/>
    </row>
    <row r="626" spans="7:17">
      <c r="G626" s="474"/>
      <c r="H626" s="474"/>
      <c r="I626" s="474"/>
      <c r="J626" s="474"/>
      <c r="K626" s="474"/>
      <c r="L626" s="474"/>
      <c r="M626" s="474"/>
      <c r="N626" s="474"/>
      <c r="O626" s="474"/>
      <c r="P626" s="474"/>
      <c r="Q626" s="474"/>
    </row>
    <row r="627" spans="7:17">
      <c r="G627" s="474"/>
      <c r="H627" s="474"/>
      <c r="I627" s="474"/>
      <c r="J627" s="474"/>
      <c r="K627" s="474"/>
      <c r="L627" s="474"/>
      <c r="M627" s="474"/>
      <c r="N627" s="474"/>
      <c r="O627" s="474"/>
      <c r="P627" s="474"/>
      <c r="Q627" s="474"/>
    </row>
    <row r="628" spans="7:17">
      <c r="G628" s="474"/>
      <c r="H628" s="474"/>
      <c r="I628" s="474"/>
      <c r="J628" s="474"/>
      <c r="K628" s="474"/>
      <c r="L628" s="474"/>
      <c r="M628" s="474"/>
      <c r="N628" s="474"/>
      <c r="O628" s="474"/>
      <c r="P628" s="474"/>
      <c r="Q628" s="474"/>
    </row>
    <row r="629" spans="7:17">
      <c r="G629" s="474"/>
      <c r="H629" s="474"/>
      <c r="I629" s="474"/>
      <c r="J629" s="474"/>
      <c r="K629" s="474"/>
      <c r="L629" s="474"/>
      <c r="M629" s="474"/>
      <c r="N629" s="474"/>
      <c r="O629" s="474"/>
      <c r="P629" s="474"/>
      <c r="Q629" s="474"/>
    </row>
    <row r="630" spans="7:17">
      <c r="G630" s="474"/>
      <c r="H630" s="474"/>
      <c r="I630" s="474"/>
      <c r="J630" s="474"/>
      <c r="K630" s="474"/>
      <c r="L630" s="474"/>
      <c r="M630" s="474"/>
      <c r="N630" s="474"/>
      <c r="O630" s="474"/>
      <c r="P630" s="474"/>
      <c r="Q630" s="474"/>
    </row>
    <row r="631" spans="7:17">
      <c r="G631" s="474"/>
      <c r="H631" s="474"/>
      <c r="I631" s="474"/>
      <c r="J631" s="474"/>
      <c r="K631" s="474"/>
      <c r="L631" s="474"/>
      <c r="M631" s="474"/>
      <c r="N631" s="474"/>
      <c r="O631" s="474"/>
      <c r="P631" s="474"/>
      <c r="Q631" s="474"/>
    </row>
    <row r="632" spans="7:17">
      <c r="G632" s="474"/>
      <c r="H632" s="474"/>
      <c r="I632" s="474"/>
      <c r="J632" s="474"/>
      <c r="K632" s="474"/>
      <c r="L632" s="474"/>
      <c r="M632" s="474"/>
      <c r="N632" s="474"/>
      <c r="O632" s="474"/>
      <c r="P632" s="474"/>
      <c r="Q632" s="474"/>
    </row>
    <row r="633" spans="7:17">
      <c r="G633" s="474"/>
      <c r="H633" s="474"/>
      <c r="I633" s="474"/>
      <c r="J633" s="474"/>
      <c r="K633" s="474"/>
      <c r="L633" s="474"/>
      <c r="M633" s="474"/>
      <c r="N633" s="474"/>
      <c r="O633" s="474"/>
      <c r="P633" s="474"/>
      <c r="Q633" s="474"/>
    </row>
    <row r="634" spans="7:17">
      <c r="G634" s="474"/>
      <c r="H634" s="474"/>
      <c r="I634" s="474"/>
      <c r="J634" s="474"/>
      <c r="K634" s="474"/>
      <c r="L634" s="474"/>
      <c r="M634" s="474"/>
      <c r="N634" s="474"/>
      <c r="O634" s="474"/>
      <c r="P634" s="474"/>
      <c r="Q634" s="474"/>
    </row>
    <row r="635" spans="7:17">
      <c r="G635" s="474"/>
      <c r="H635" s="474"/>
      <c r="I635" s="474"/>
      <c r="J635" s="474"/>
      <c r="K635" s="474"/>
      <c r="L635" s="474"/>
      <c r="M635" s="474"/>
      <c r="N635" s="474"/>
      <c r="O635" s="474"/>
      <c r="P635" s="474"/>
      <c r="Q635" s="474"/>
    </row>
    <row r="636" spans="7:17">
      <c r="G636" s="474"/>
      <c r="H636" s="474"/>
      <c r="I636" s="474"/>
      <c r="J636" s="474"/>
      <c r="K636" s="474"/>
      <c r="L636" s="474"/>
      <c r="M636" s="474"/>
      <c r="N636" s="474"/>
      <c r="O636" s="474"/>
      <c r="P636" s="474"/>
      <c r="Q636" s="474"/>
    </row>
    <row r="637" spans="7:17">
      <c r="G637" s="474"/>
      <c r="H637" s="474"/>
      <c r="I637" s="474"/>
      <c r="J637" s="474"/>
      <c r="K637" s="474"/>
      <c r="L637" s="474"/>
      <c r="M637" s="474"/>
      <c r="N637" s="474"/>
      <c r="O637" s="474"/>
      <c r="P637" s="474"/>
      <c r="Q637" s="474"/>
    </row>
    <row r="638" spans="7:17">
      <c r="G638" s="474"/>
      <c r="H638" s="474"/>
      <c r="I638" s="474"/>
      <c r="J638" s="474"/>
      <c r="K638" s="474"/>
      <c r="L638" s="474"/>
      <c r="M638" s="474"/>
      <c r="N638" s="474"/>
      <c r="O638" s="474"/>
      <c r="P638" s="474"/>
      <c r="Q638" s="474"/>
    </row>
    <row r="639" spans="7:17">
      <c r="G639" s="474"/>
      <c r="H639" s="474"/>
      <c r="I639" s="474"/>
      <c r="J639" s="474"/>
      <c r="K639" s="474"/>
      <c r="L639" s="474"/>
      <c r="M639" s="474"/>
      <c r="N639" s="474"/>
      <c r="O639" s="474"/>
      <c r="P639" s="474"/>
      <c r="Q639" s="474"/>
    </row>
    <row r="640" spans="7:17">
      <c r="G640" s="474"/>
      <c r="H640" s="474"/>
      <c r="I640" s="474"/>
      <c r="J640" s="474"/>
      <c r="K640" s="474"/>
      <c r="L640" s="474"/>
      <c r="M640" s="474"/>
      <c r="N640" s="474"/>
      <c r="O640" s="474"/>
      <c r="P640" s="474"/>
      <c r="Q640" s="474"/>
    </row>
    <row r="641" spans="7:17">
      <c r="G641" s="474"/>
      <c r="H641" s="474"/>
      <c r="I641" s="474"/>
      <c r="J641" s="474"/>
      <c r="K641" s="474"/>
      <c r="L641" s="474"/>
      <c r="M641" s="474"/>
      <c r="N641" s="474"/>
      <c r="O641" s="474"/>
      <c r="P641" s="474"/>
      <c r="Q641" s="474"/>
    </row>
    <row r="642" spans="7:17">
      <c r="G642" s="474"/>
      <c r="H642" s="474"/>
      <c r="I642" s="474"/>
      <c r="J642" s="474"/>
      <c r="K642" s="474"/>
      <c r="L642" s="474"/>
      <c r="M642" s="474"/>
      <c r="N642" s="474"/>
      <c r="O642" s="474"/>
      <c r="P642" s="474"/>
      <c r="Q642" s="474"/>
    </row>
    <row r="643" spans="7:17">
      <c r="G643" s="474"/>
      <c r="H643" s="474"/>
      <c r="I643" s="474"/>
      <c r="J643" s="474"/>
      <c r="K643" s="474"/>
      <c r="L643" s="474"/>
      <c r="M643" s="474"/>
      <c r="N643" s="474"/>
      <c r="O643" s="474"/>
      <c r="P643" s="474"/>
      <c r="Q643" s="474"/>
    </row>
    <row r="644" spans="7:17">
      <c r="G644" s="474"/>
      <c r="H644" s="474"/>
      <c r="I644" s="474"/>
      <c r="J644" s="474"/>
      <c r="K644" s="474"/>
      <c r="L644" s="474"/>
      <c r="M644" s="474"/>
      <c r="N644" s="474"/>
      <c r="O644" s="474"/>
      <c r="P644" s="474"/>
      <c r="Q644" s="474"/>
    </row>
    <row r="645" spans="7:17">
      <c r="G645" s="474"/>
      <c r="H645" s="474"/>
      <c r="I645" s="474"/>
      <c r="J645" s="474"/>
      <c r="K645" s="474"/>
      <c r="L645" s="474"/>
      <c r="M645" s="474"/>
      <c r="N645" s="474"/>
      <c r="O645" s="474"/>
      <c r="P645" s="474"/>
      <c r="Q645" s="474"/>
    </row>
    <row r="646" spans="7:17">
      <c r="G646" s="474"/>
      <c r="H646" s="474"/>
      <c r="I646" s="474"/>
      <c r="J646" s="474"/>
      <c r="K646" s="474"/>
      <c r="L646" s="474"/>
      <c r="M646" s="474"/>
      <c r="N646" s="474"/>
      <c r="O646" s="474"/>
      <c r="P646" s="474"/>
      <c r="Q646" s="474"/>
    </row>
    <row r="647" spans="7:17">
      <c r="G647" s="474"/>
      <c r="H647" s="474"/>
      <c r="I647" s="474"/>
      <c r="J647" s="474"/>
      <c r="K647" s="474"/>
      <c r="L647" s="474"/>
      <c r="M647" s="474"/>
      <c r="N647" s="474"/>
      <c r="O647" s="474"/>
      <c r="P647" s="474"/>
      <c r="Q647" s="474"/>
    </row>
    <row r="648" spans="7:17">
      <c r="G648" s="474"/>
      <c r="H648" s="474"/>
      <c r="I648" s="474"/>
      <c r="J648" s="474"/>
      <c r="K648" s="474"/>
      <c r="L648" s="474"/>
      <c r="M648" s="474"/>
      <c r="N648" s="474"/>
      <c r="O648" s="474"/>
      <c r="P648" s="474"/>
      <c r="Q648" s="474"/>
    </row>
    <row r="649" spans="7:17">
      <c r="G649" s="474"/>
      <c r="H649" s="474"/>
      <c r="I649" s="474"/>
      <c r="J649" s="474"/>
      <c r="K649" s="474"/>
      <c r="L649" s="474"/>
      <c r="M649" s="474"/>
      <c r="N649" s="474"/>
      <c r="O649" s="474"/>
      <c r="P649" s="474"/>
      <c r="Q649" s="474"/>
    </row>
    <row r="650" spans="7:17">
      <c r="G650" s="474"/>
      <c r="H650" s="474"/>
      <c r="I650" s="474"/>
      <c r="J650" s="474"/>
      <c r="K650" s="474"/>
      <c r="L650" s="474"/>
      <c r="M650" s="474"/>
      <c r="N650" s="474"/>
      <c r="O650" s="474"/>
      <c r="P650" s="474"/>
      <c r="Q650" s="474"/>
    </row>
    <row r="651" spans="7:17">
      <c r="G651" s="474"/>
      <c r="H651" s="474"/>
      <c r="I651" s="474"/>
      <c r="J651" s="474"/>
      <c r="K651" s="474"/>
      <c r="L651" s="474"/>
      <c r="M651" s="474"/>
      <c r="N651" s="474"/>
      <c r="O651" s="474"/>
      <c r="P651" s="474"/>
      <c r="Q651" s="474"/>
    </row>
    <row r="652" spans="7:17">
      <c r="G652" s="474"/>
      <c r="H652" s="474"/>
      <c r="I652" s="474"/>
      <c r="J652" s="474"/>
      <c r="K652" s="474"/>
      <c r="L652" s="474"/>
      <c r="M652" s="474"/>
      <c r="N652" s="474"/>
      <c r="O652" s="474"/>
      <c r="P652" s="474"/>
      <c r="Q652" s="474"/>
    </row>
    <row r="653" spans="7:17">
      <c r="G653" s="474"/>
      <c r="H653" s="474"/>
      <c r="I653" s="474"/>
      <c r="J653" s="474"/>
      <c r="K653" s="474"/>
      <c r="L653" s="474"/>
      <c r="M653" s="474"/>
      <c r="N653" s="474"/>
      <c r="O653" s="474"/>
      <c r="P653" s="474"/>
      <c r="Q653" s="474"/>
    </row>
    <row r="654" spans="7:17">
      <c r="G654" s="474"/>
      <c r="H654" s="474"/>
      <c r="I654" s="474"/>
      <c r="J654" s="474"/>
      <c r="K654" s="474"/>
      <c r="L654" s="474"/>
      <c r="M654" s="474"/>
      <c r="N654" s="474"/>
      <c r="O654" s="474"/>
      <c r="P654" s="474"/>
      <c r="Q654" s="474"/>
    </row>
    <row r="655" spans="7:17">
      <c r="G655" s="474"/>
      <c r="H655" s="474"/>
      <c r="I655" s="474"/>
      <c r="J655" s="474"/>
      <c r="K655" s="474"/>
      <c r="L655" s="474"/>
      <c r="M655" s="474"/>
      <c r="N655" s="474"/>
      <c r="O655" s="474"/>
      <c r="P655" s="474"/>
      <c r="Q655" s="474"/>
    </row>
    <row r="656" spans="7:17">
      <c r="G656" s="474"/>
      <c r="H656" s="474"/>
      <c r="I656" s="474"/>
      <c r="J656" s="474"/>
      <c r="K656" s="474"/>
      <c r="L656" s="474"/>
      <c r="M656" s="474"/>
      <c r="N656" s="474"/>
      <c r="O656" s="474"/>
      <c r="P656" s="474"/>
      <c r="Q656" s="474"/>
    </row>
    <row r="657" spans="7:17">
      <c r="G657" s="474"/>
      <c r="H657" s="474"/>
      <c r="I657" s="474"/>
      <c r="J657" s="474"/>
      <c r="K657" s="474"/>
      <c r="L657" s="474"/>
      <c r="M657" s="474"/>
      <c r="N657" s="474"/>
      <c r="O657" s="474"/>
      <c r="P657" s="474"/>
      <c r="Q657" s="474"/>
    </row>
    <row r="658" spans="7:17">
      <c r="G658" s="474"/>
      <c r="H658" s="474"/>
      <c r="I658" s="474"/>
      <c r="J658" s="474"/>
      <c r="K658" s="474"/>
      <c r="L658" s="474"/>
      <c r="M658" s="474"/>
      <c r="N658" s="474"/>
      <c r="O658" s="474"/>
      <c r="P658" s="474"/>
      <c r="Q658" s="474"/>
    </row>
    <row r="659" spans="7:17">
      <c r="G659" s="474"/>
      <c r="H659" s="474"/>
      <c r="I659" s="474"/>
      <c r="J659" s="474"/>
      <c r="K659" s="474"/>
      <c r="L659" s="474"/>
      <c r="M659" s="474"/>
      <c r="N659" s="474"/>
      <c r="O659" s="474"/>
      <c r="P659" s="474"/>
      <c r="Q659" s="474"/>
    </row>
    <row r="660" spans="7:17">
      <c r="G660" s="474"/>
      <c r="H660" s="474"/>
      <c r="I660" s="474"/>
      <c r="J660" s="474"/>
      <c r="K660" s="474"/>
      <c r="L660" s="474"/>
      <c r="M660" s="474"/>
      <c r="N660" s="474"/>
      <c r="O660" s="474"/>
      <c r="P660" s="474"/>
      <c r="Q660" s="474"/>
    </row>
    <row r="661" spans="7:17">
      <c r="G661" s="474"/>
      <c r="H661" s="474"/>
      <c r="I661" s="474"/>
      <c r="J661" s="474"/>
      <c r="K661" s="474"/>
      <c r="L661" s="474"/>
      <c r="M661" s="474"/>
      <c r="N661" s="474"/>
      <c r="O661" s="474"/>
      <c r="P661" s="474"/>
      <c r="Q661" s="474"/>
    </row>
    <row r="662" spans="7:17">
      <c r="G662" s="474"/>
      <c r="H662" s="474"/>
      <c r="I662" s="474"/>
      <c r="J662" s="474"/>
      <c r="K662" s="474"/>
      <c r="L662" s="474"/>
      <c r="M662" s="474"/>
      <c r="N662" s="474"/>
      <c r="O662" s="474"/>
      <c r="P662" s="474"/>
      <c r="Q662" s="474"/>
    </row>
    <row r="663" spans="7:17">
      <c r="G663" s="474"/>
      <c r="H663" s="474"/>
      <c r="I663" s="474"/>
      <c r="J663" s="474"/>
      <c r="K663" s="474"/>
      <c r="L663" s="474"/>
      <c r="M663" s="474"/>
      <c r="N663" s="474"/>
      <c r="O663" s="474"/>
      <c r="P663" s="474"/>
      <c r="Q663" s="474"/>
    </row>
    <row r="664" spans="7:17">
      <c r="G664" s="474"/>
      <c r="H664" s="474"/>
      <c r="I664" s="474"/>
      <c r="J664" s="474"/>
      <c r="K664" s="474"/>
      <c r="L664" s="474"/>
      <c r="M664" s="474"/>
      <c r="N664" s="474"/>
      <c r="O664" s="474"/>
      <c r="P664" s="474"/>
      <c r="Q664" s="474"/>
    </row>
    <row r="665" spans="7:17">
      <c r="G665" s="474"/>
      <c r="H665" s="474"/>
      <c r="I665" s="474"/>
      <c r="J665" s="474"/>
      <c r="K665" s="474"/>
      <c r="L665" s="474"/>
      <c r="M665" s="474"/>
      <c r="N665" s="474"/>
      <c r="O665" s="474"/>
      <c r="P665" s="474"/>
      <c r="Q665" s="474"/>
    </row>
    <row r="666" spans="7:17">
      <c r="G666" s="474"/>
      <c r="H666" s="474"/>
      <c r="I666" s="474"/>
      <c r="J666" s="474"/>
      <c r="K666" s="474"/>
      <c r="L666" s="474"/>
      <c r="M666" s="474"/>
      <c r="N666" s="474"/>
      <c r="O666" s="474"/>
      <c r="P666" s="474"/>
      <c r="Q666" s="474"/>
    </row>
    <row r="667" spans="7:17">
      <c r="G667" s="474"/>
      <c r="H667" s="474"/>
      <c r="I667" s="474"/>
      <c r="J667" s="474"/>
      <c r="K667" s="474"/>
      <c r="L667" s="474"/>
      <c r="M667" s="474"/>
      <c r="N667" s="474"/>
      <c r="O667" s="474"/>
      <c r="P667" s="474"/>
      <c r="Q667" s="474"/>
    </row>
    <row r="668" spans="7:17">
      <c r="G668" s="474"/>
      <c r="H668" s="474"/>
      <c r="I668" s="474"/>
      <c r="J668" s="474"/>
      <c r="K668" s="474"/>
      <c r="L668" s="474"/>
      <c r="M668" s="474"/>
      <c r="N668" s="474"/>
      <c r="O668" s="474"/>
      <c r="P668" s="474"/>
      <c r="Q668" s="474"/>
    </row>
    <row r="669" spans="7:17">
      <c r="G669" s="474"/>
      <c r="H669" s="474"/>
      <c r="I669" s="474"/>
      <c r="J669" s="474"/>
      <c r="K669" s="474"/>
      <c r="L669" s="474"/>
      <c r="M669" s="474"/>
      <c r="N669" s="474"/>
      <c r="O669" s="474"/>
      <c r="P669" s="474"/>
      <c r="Q669" s="474"/>
    </row>
    <row r="670" spans="7:17">
      <c r="G670" s="474"/>
      <c r="H670" s="474"/>
      <c r="I670" s="474"/>
      <c r="J670" s="474"/>
      <c r="K670" s="474"/>
      <c r="L670" s="474"/>
      <c r="M670" s="474"/>
      <c r="N670" s="474"/>
      <c r="O670" s="474"/>
      <c r="P670" s="474"/>
      <c r="Q670" s="474"/>
    </row>
    <row r="671" spans="7:17">
      <c r="G671" s="474"/>
      <c r="H671" s="474"/>
      <c r="I671" s="474"/>
      <c r="J671" s="474"/>
      <c r="K671" s="474"/>
      <c r="L671" s="474"/>
      <c r="M671" s="474"/>
      <c r="N671" s="474"/>
      <c r="O671" s="474"/>
      <c r="P671" s="474"/>
      <c r="Q671" s="474"/>
    </row>
    <row r="672" spans="7:17">
      <c r="G672" s="474"/>
      <c r="H672" s="474"/>
      <c r="I672" s="474"/>
      <c r="J672" s="474"/>
      <c r="K672" s="474"/>
      <c r="L672" s="474"/>
      <c r="M672" s="474"/>
      <c r="N672" s="474"/>
      <c r="O672" s="474"/>
      <c r="P672" s="474"/>
      <c r="Q672" s="474"/>
    </row>
    <row r="673" spans="7:17">
      <c r="G673" s="474"/>
      <c r="H673" s="474"/>
      <c r="I673" s="474"/>
      <c r="J673" s="474"/>
      <c r="K673" s="474"/>
      <c r="L673" s="474"/>
      <c r="M673" s="474"/>
      <c r="N673" s="474"/>
      <c r="O673" s="474"/>
      <c r="P673" s="474"/>
      <c r="Q673" s="474"/>
    </row>
    <row r="674" spans="7:17">
      <c r="G674" s="474"/>
      <c r="H674" s="474"/>
      <c r="I674" s="474"/>
      <c r="J674" s="474"/>
      <c r="K674" s="474"/>
      <c r="L674" s="474"/>
      <c r="M674" s="474"/>
      <c r="N674" s="474"/>
      <c r="O674" s="474"/>
      <c r="P674" s="474"/>
      <c r="Q674" s="474"/>
    </row>
    <row r="675" spans="7:17">
      <c r="G675" s="474"/>
      <c r="H675" s="474"/>
      <c r="I675" s="474"/>
      <c r="J675" s="474"/>
      <c r="K675" s="474"/>
      <c r="L675" s="474"/>
      <c r="M675" s="474"/>
      <c r="N675" s="474"/>
      <c r="O675" s="474"/>
      <c r="P675" s="474"/>
      <c r="Q675" s="474"/>
    </row>
    <row r="676" spans="7:17">
      <c r="G676" s="474"/>
      <c r="H676" s="474"/>
      <c r="I676" s="474"/>
      <c r="J676" s="474"/>
      <c r="K676" s="474"/>
      <c r="L676" s="474"/>
      <c r="M676" s="474"/>
      <c r="N676" s="474"/>
      <c r="O676" s="474"/>
      <c r="P676" s="474"/>
      <c r="Q676" s="474"/>
    </row>
    <row r="677" spans="7:17">
      <c r="G677" s="474"/>
      <c r="H677" s="474"/>
      <c r="I677" s="474"/>
      <c r="J677" s="474"/>
      <c r="K677" s="474"/>
      <c r="L677" s="474"/>
      <c r="M677" s="474"/>
      <c r="N677" s="474"/>
      <c r="O677" s="474"/>
      <c r="P677" s="474"/>
      <c r="Q677" s="474"/>
    </row>
    <row r="678" spans="7:17">
      <c r="G678" s="474"/>
      <c r="H678" s="474"/>
      <c r="I678" s="474"/>
      <c r="J678" s="474"/>
      <c r="K678" s="474"/>
      <c r="L678" s="474"/>
      <c r="M678" s="474"/>
      <c r="N678" s="474"/>
      <c r="O678" s="474"/>
      <c r="P678" s="474"/>
      <c r="Q678" s="474"/>
    </row>
    <row r="679" spans="7:17">
      <c r="G679" s="474"/>
      <c r="H679" s="474"/>
      <c r="I679" s="474"/>
      <c r="J679" s="474"/>
      <c r="K679" s="474"/>
      <c r="L679" s="474"/>
      <c r="M679" s="474"/>
      <c r="N679" s="474"/>
      <c r="O679" s="474"/>
      <c r="P679" s="474"/>
      <c r="Q679" s="474"/>
    </row>
    <row r="680" spans="7:17">
      <c r="G680" s="474"/>
      <c r="H680" s="474"/>
      <c r="I680" s="474"/>
      <c r="J680" s="474"/>
      <c r="K680" s="474"/>
      <c r="L680" s="474"/>
      <c r="M680" s="474"/>
      <c r="N680" s="474"/>
      <c r="O680" s="474"/>
      <c r="P680" s="474"/>
      <c r="Q680" s="474"/>
    </row>
    <row r="681" spans="7:17">
      <c r="G681" s="474"/>
      <c r="H681" s="474"/>
      <c r="I681" s="474"/>
      <c r="J681" s="474"/>
      <c r="K681" s="474"/>
      <c r="L681" s="474"/>
      <c r="M681" s="474"/>
      <c r="N681" s="474"/>
      <c r="O681" s="474"/>
      <c r="P681" s="474"/>
      <c r="Q681" s="474"/>
    </row>
    <row r="682" spans="7:17">
      <c r="G682" s="474"/>
      <c r="H682" s="474"/>
      <c r="I682" s="474"/>
      <c r="J682" s="474"/>
      <c r="K682" s="474"/>
      <c r="L682" s="474"/>
      <c r="M682" s="474"/>
      <c r="N682" s="474"/>
      <c r="O682" s="474"/>
      <c r="P682" s="474"/>
      <c r="Q682" s="474"/>
    </row>
    <row r="683" spans="7:17">
      <c r="G683" s="474"/>
      <c r="H683" s="474"/>
      <c r="I683" s="474"/>
      <c r="J683" s="474"/>
      <c r="K683" s="474"/>
      <c r="L683" s="474"/>
      <c r="M683" s="474"/>
      <c r="N683" s="474"/>
      <c r="O683" s="474"/>
      <c r="P683" s="474"/>
      <c r="Q683" s="474"/>
    </row>
    <row r="684" spans="7:17">
      <c r="G684" s="474"/>
      <c r="H684" s="474"/>
      <c r="I684" s="474"/>
      <c r="J684" s="474"/>
      <c r="K684" s="474"/>
      <c r="L684" s="474"/>
      <c r="M684" s="474"/>
      <c r="N684" s="474"/>
      <c r="O684" s="474"/>
      <c r="P684" s="474"/>
      <c r="Q684" s="474"/>
    </row>
    <row r="685" spans="7:17">
      <c r="G685" s="474"/>
      <c r="H685" s="474"/>
      <c r="I685" s="474"/>
      <c r="J685" s="474"/>
      <c r="K685" s="474"/>
      <c r="L685" s="474"/>
      <c r="M685" s="474"/>
      <c r="N685" s="474"/>
      <c r="O685" s="474"/>
      <c r="P685" s="474"/>
      <c r="Q685" s="474"/>
    </row>
    <row r="686" spans="7:17">
      <c r="G686" s="474"/>
      <c r="H686" s="474"/>
      <c r="I686" s="474"/>
      <c r="J686" s="474"/>
      <c r="K686" s="474"/>
      <c r="L686" s="474"/>
      <c r="M686" s="474"/>
      <c r="N686" s="474"/>
      <c r="O686" s="474"/>
      <c r="P686" s="474"/>
      <c r="Q686" s="474"/>
    </row>
    <row r="687" spans="7:17">
      <c r="G687" s="474"/>
      <c r="H687" s="474"/>
      <c r="I687" s="474"/>
      <c r="J687" s="474"/>
      <c r="K687" s="474"/>
      <c r="L687" s="474"/>
      <c r="M687" s="474"/>
      <c r="N687" s="474"/>
      <c r="O687" s="474"/>
      <c r="P687" s="474"/>
      <c r="Q687" s="474"/>
    </row>
    <row r="688" spans="7:17">
      <c r="G688" s="474"/>
      <c r="H688" s="474"/>
      <c r="I688" s="474"/>
      <c r="J688" s="474"/>
      <c r="K688" s="474"/>
      <c r="L688" s="474"/>
      <c r="M688" s="474"/>
      <c r="N688" s="474"/>
      <c r="O688" s="474"/>
      <c r="P688" s="474"/>
      <c r="Q688" s="474"/>
    </row>
    <row r="689" spans="7:17">
      <c r="G689" s="474"/>
      <c r="H689" s="474"/>
      <c r="I689" s="474"/>
      <c r="J689" s="474"/>
      <c r="K689" s="474"/>
      <c r="L689" s="474"/>
      <c r="M689" s="474"/>
      <c r="N689" s="474"/>
      <c r="O689" s="474"/>
      <c r="P689" s="474"/>
      <c r="Q689" s="474"/>
    </row>
    <row r="690" spans="7:17">
      <c r="G690" s="474"/>
      <c r="H690" s="474"/>
      <c r="I690" s="474"/>
      <c r="J690" s="474"/>
      <c r="K690" s="474"/>
      <c r="L690" s="474"/>
      <c r="M690" s="474"/>
      <c r="N690" s="474"/>
      <c r="O690" s="474"/>
      <c r="P690" s="474"/>
      <c r="Q690" s="474"/>
    </row>
    <row r="691" spans="7:17">
      <c r="G691" s="474"/>
      <c r="H691" s="474"/>
      <c r="I691" s="474"/>
      <c r="J691" s="474"/>
      <c r="K691" s="474"/>
      <c r="L691" s="474"/>
      <c r="M691" s="474"/>
      <c r="N691" s="474"/>
      <c r="O691" s="474"/>
      <c r="P691" s="474"/>
      <c r="Q691" s="474"/>
    </row>
    <row r="692" spans="7:17">
      <c r="G692" s="474"/>
      <c r="H692" s="474"/>
      <c r="I692" s="474"/>
      <c r="J692" s="474"/>
      <c r="K692" s="474"/>
      <c r="L692" s="474"/>
      <c r="M692" s="474"/>
      <c r="N692" s="474"/>
      <c r="O692" s="474"/>
      <c r="P692" s="474"/>
      <c r="Q692" s="474"/>
    </row>
    <row r="693" spans="7:17">
      <c r="G693" s="474"/>
      <c r="H693" s="474"/>
      <c r="I693" s="474"/>
      <c r="J693" s="474"/>
      <c r="K693" s="474"/>
      <c r="L693" s="474"/>
      <c r="M693" s="474"/>
      <c r="N693" s="474"/>
      <c r="O693" s="474"/>
      <c r="P693" s="474"/>
      <c r="Q693" s="474"/>
    </row>
    <row r="694" spans="7:17">
      <c r="G694" s="474"/>
      <c r="H694" s="474"/>
      <c r="I694" s="474"/>
      <c r="J694" s="474"/>
      <c r="K694" s="474"/>
      <c r="L694" s="474"/>
      <c r="M694" s="474"/>
      <c r="N694" s="474"/>
      <c r="O694" s="474"/>
      <c r="P694" s="474"/>
      <c r="Q694" s="474"/>
    </row>
    <row r="695" spans="7:17">
      <c r="G695" s="474"/>
      <c r="H695" s="474"/>
      <c r="I695" s="474"/>
      <c r="J695" s="474"/>
      <c r="K695" s="474"/>
      <c r="L695" s="474"/>
      <c r="M695" s="474"/>
      <c r="N695" s="474"/>
      <c r="O695" s="474"/>
      <c r="P695" s="474"/>
      <c r="Q695" s="474"/>
    </row>
    <row r="696" spans="7:17">
      <c r="G696" s="474"/>
      <c r="H696" s="474"/>
      <c r="I696" s="474"/>
      <c r="J696" s="474"/>
      <c r="K696" s="474"/>
      <c r="L696" s="474"/>
      <c r="M696" s="474"/>
      <c r="N696" s="474"/>
      <c r="O696" s="474"/>
      <c r="P696" s="474"/>
      <c r="Q696" s="474"/>
    </row>
    <row r="697" spans="7:17">
      <c r="G697" s="474"/>
      <c r="H697" s="474"/>
      <c r="I697" s="474"/>
      <c r="J697" s="474"/>
      <c r="K697" s="474"/>
      <c r="L697" s="474"/>
      <c r="M697" s="474"/>
      <c r="N697" s="474"/>
      <c r="O697" s="474"/>
      <c r="P697" s="474"/>
      <c r="Q697" s="474"/>
    </row>
    <row r="698" spans="7:17">
      <c r="G698" s="474"/>
      <c r="H698" s="474"/>
      <c r="I698" s="474"/>
      <c r="J698" s="474"/>
      <c r="K698" s="474"/>
      <c r="L698" s="474"/>
      <c r="M698" s="474"/>
      <c r="N698" s="474"/>
      <c r="O698" s="474"/>
      <c r="P698" s="474"/>
      <c r="Q698" s="474"/>
    </row>
    <row r="699" spans="7:17">
      <c r="G699" s="474"/>
      <c r="H699" s="474"/>
      <c r="I699" s="474"/>
      <c r="J699" s="474"/>
      <c r="K699" s="474"/>
      <c r="L699" s="474"/>
      <c r="M699" s="474"/>
      <c r="N699" s="474"/>
      <c r="O699" s="474"/>
      <c r="P699" s="474"/>
      <c r="Q699" s="474"/>
    </row>
    <row r="700" spans="7:17">
      <c r="G700" s="474"/>
      <c r="H700" s="474"/>
      <c r="I700" s="474"/>
      <c r="J700" s="474"/>
      <c r="K700" s="474"/>
      <c r="L700" s="474"/>
      <c r="M700" s="474"/>
      <c r="N700" s="474"/>
      <c r="O700" s="474"/>
      <c r="P700" s="474"/>
      <c r="Q700" s="474"/>
    </row>
    <row r="701" spans="7:17">
      <c r="G701" s="474"/>
      <c r="H701" s="474"/>
      <c r="I701" s="474"/>
      <c r="J701" s="474"/>
      <c r="K701" s="474"/>
      <c r="L701" s="474"/>
      <c r="M701" s="474"/>
      <c r="N701" s="474"/>
      <c r="O701" s="474"/>
      <c r="P701" s="474"/>
      <c r="Q701" s="474"/>
    </row>
    <row r="702" spans="7:17">
      <c r="G702" s="474"/>
      <c r="H702" s="474"/>
      <c r="I702" s="474"/>
      <c r="J702" s="474"/>
      <c r="K702" s="474"/>
      <c r="L702" s="474"/>
      <c r="M702" s="474"/>
      <c r="N702" s="474"/>
      <c r="O702" s="474"/>
      <c r="P702" s="474"/>
      <c r="Q702" s="474"/>
    </row>
    <row r="703" spans="7:17">
      <c r="G703" s="474"/>
      <c r="H703" s="474"/>
      <c r="I703" s="474"/>
      <c r="J703" s="474"/>
      <c r="K703" s="474"/>
      <c r="L703" s="474"/>
      <c r="M703" s="474"/>
      <c r="N703" s="474"/>
      <c r="O703" s="474"/>
      <c r="P703" s="474"/>
      <c r="Q703" s="474"/>
    </row>
    <row r="704" spans="7:17">
      <c r="G704" s="474"/>
      <c r="H704" s="474"/>
      <c r="I704" s="474"/>
      <c r="J704" s="474"/>
      <c r="K704" s="474"/>
      <c r="L704" s="474"/>
      <c r="M704" s="474"/>
      <c r="N704" s="474"/>
      <c r="O704" s="474"/>
      <c r="P704" s="474"/>
      <c r="Q704" s="474"/>
    </row>
    <row r="705" spans="7:17">
      <c r="G705" s="474"/>
      <c r="H705" s="474"/>
      <c r="I705" s="474"/>
      <c r="J705" s="474"/>
      <c r="K705" s="474"/>
      <c r="L705" s="474"/>
      <c r="M705" s="474"/>
      <c r="N705" s="474"/>
      <c r="O705" s="474"/>
      <c r="P705" s="474"/>
      <c r="Q705" s="474"/>
    </row>
    <row r="706" spans="7:17">
      <c r="G706" s="474"/>
      <c r="H706" s="474"/>
      <c r="I706" s="474"/>
      <c r="J706" s="474"/>
      <c r="K706" s="474"/>
      <c r="L706" s="474"/>
      <c r="M706" s="474"/>
      <c r="N706" s="474"/>
      <c r="O706" s="474"/>
      <c r="P706" s="474"/>
      <c r="Q706" s="474"/>
    </row>
    <row r="707" spans="7:17">
      <c r="G707" s="474"/>
      <c r="H707" s="474"/>
      <c r="I707" s="474"/>
      <c r="J707" s="474"/>
      <c r="K707" s="474"/>
      <c r="L707" s="474"/>
      <c r="M707" s="474"/>
      <c r="N707" s="474"/>
      <c r="O707" s="474"/>
      <c r="P707" s="474"/>
      <c r="Q707" s="474"/>
    </row>
    <row r="708" spans="7:17">
      <c r="G708" s="474"/>
      <c r="H708" s="474"/>
      <c r="I708" s="474"/>
      <c r="J708" s="474"/>
      <c r="K708" s="474"/>
      <c r="L708" s="474"/>
      <c r="M708" s="474"/>
      <c r="N708" s="474"/>
      <c r="O708" s="474"/>
      <c r="P708" s="474"/>
      <c r="Q708" s="474"/>
    </row>
    <row r="709" spans="7:17">
      <c r="G709" s="474"/>
      <c r="H709" s="474"/>
      <c r="I709" s="474"/>
      <c r="J709" s="474"/>
      <c r="K709" s="474"/>
      <c r="L709" s="474"/>
      <c r="M709" s="474"/>
      <c r="N709" s="474"/>
      <c r="O709" s="474"/>
      <c r="P709" s="474"/>
      <c r="Q709" s="474"/>
    </row>
    <row r="710" spans="7:17">
      <c r="G710" s="474"/>
      <c r="H710" s="474"/>
      <c r="I710" s="474"/>
      <c r="J710" s="474"/>
      <c r="K710" s="474"/>
      <c r="L710" s="474"/>
      <c r="M710" s="474"/>
      <c r="N710" s="474"/>
      <c r="O710" s="474"/>
      <c r="P710" s="474"/>
      <c r="Q710" s="474"/>
    </row>
    <row r="711" spans="7:17">
      <c r="G711" s="474"/>
      <c r="H711" s="474"/>
      <c r="I711" s="474"/>
      <c r="J711" s="474"/>
      <c r="K711" s="474"/>
      <c r="L711" s="474"/>
      <c r="M711" s="474"/>
      <c r="N711" s="474"/>
      <c r="O711" s="474"/>
      <c r="P711" s="474"/>
      <c r="Q711" s="474"/>
    </row>
    <row r="712" spans="7:17">
      <c r="G712" s="474"/>
      <c r="H712" s="474"/>
      <c r="I712" s="474"/>
      <c r="J712" s="474"/>
      <c r="K712" s="474"/>
      <c r="L712" s="474"/>
      <c r="M712" s="474"/>
      <c r="N712" s="474"/>
      <c r="O712" s="474"/>
      <c r="P712" s="474"/>
      <c r="Q712" s="474"/>
    </row>
    <row r="713" spans="7:17">
      <c r="G713" s="474"/>
      <c r="H713" s="474"/>
      <c r="I713" s="474"/>
      <c r="J713" s="474"/>
      <c r="K713" s="474"/>
      <c r="L713" s="474"/>
      <c r="M713" s="474"/>
      <c r="N713" s="474"/>
      <c r="O713" s="474"/>
      <c r="P713" s="474"/>
      <c r="Q713" s="474"/>
    </row>
    <row r="714" spans="7:17">
      <c r="G714" s="474"/>
      <c r="H714" s="474"/>
      <c r="I714" s="474"/>
      <c r="J714" s="474"/>
      <c r="K714" s="474"/>
      <c r="L714" s="474"/>
      <c r="M714" s="474"/>
      <c r="N714" s="474"/>
      <c r="O714" s="474"/>
      <c r="P714" s="474"/>
      <c r="Q714" s="474"/>
    </row>
    <row r="715" spans="7:17">
      <c r="G715" s="474"/>
      <c r="H715" s="474"/>
      <c r="I715" s="474"/>
      <c r="J715" s="474"/>
      <c r="K715" s="474"/>
      <c r="L715" s="474"/>
      <c r="M715" s="474"/>
      <c r="N715" s="474"/>
      <c r="O715" s="474"/>
      <c r="P715" s="474"/>
      <c r="Q715" s="474"/>
    </row>
    <row r="716" spans="7:17">
      <c r="G716" s="474"/>
      <c r="H716" s="474"/>
      <c r="I716" s="474"/>
      <c r="J716" s="474"/>
      <c r="K716" s="474"/>
      <c r="L716" s="474"/>
      <c r="M716" s="474"/>
      <c r="N716" s="474"/>
      <c r="O716" s="474"/>
      <c r="P716" s="474"/>
      <c r="Q716" s="474"/>
    </row>
    <row r="717" spans="7:17">
      <c r="G717" s="474"/>
      <c r="H717" s="474"/>
      <c r="I717" s="474"/>
      <c r="J717" s="474"/>
      <c r="K717" s="474"/>
      <c r="L717" s="474"/>
      <c r="M717" s="474"/>
      <c r="N717" s="474"/>
      <c r="O717" s="474"/>
      <c r="P717" s="474"/>
      <c r="Q717" s="474"/>
    </row>
    <row r="718" spans="7:17">
      <c r="G718" s="474"/>
      <c r="H718" s="474"/>
      <c r="I718" s="474"/>
      <c r="J718" s="474"/>
      <c r="K718" s="474"/>
      <c r="L718" s="474"/>
      <c r="M718" s="474"/>
      <c r="N718" s="474"/>
      <c r="O718" s="474"/>
      <c r="P718" s="474"/>
      <c r="Q718" s="474"/>
    </row>
    <row r="719" spans="7:17">
      <c r="G719" s="474"/>
      <c r="H719" s="474"/>
      <c r="I719" s="474"/>
      <c r="J719" s="474"/>
      <c r="K719" s="474"/>
      <c r="L719" s="474"/>
      <c r="M719" s="474"/>
      <c r="N719" s="474"/>
      <c r="O719" s="474"/>
      <c r="P719" s="474"/>
      <c r="Q719" s="474"/>
    </row>
    <row r="720" spans="7:17">
      <c r="G720" s="474"/>
      <c r="H720" s="474"/>
      <c r="I720" s="474"/>
      <c r="J720" s="474"/>
      <c r="K720" s="474"/>
      <c r="L720" s="474"/>
      <c r="M720" s="474"/>
      <c r="N720" s="474"/>
      <c r="O720" s="474"/>
      <c r="P720" s="474"/>
      <c r="Q720" s="474"/>
    </row>
    <row r="721" spans="7:17">
      <c r="G721" s="474"/>
      <c r="H721" s="474"/>
      <c r="I721" s="474"/>
      <c r="J721" s="474"/>
      <c r="K721" s="474"/>
      <c r="L721" s="474"/>
      <c r="M721" s="474"/>
      <c r="N721" s="474"/>
      <c r="O721" s="474"/>
      <c r="P721" s="474"/>
      <c r="Q721" s="474"/>
    </row>
    <row r="722" spans="7:17">
      <c r="G722" s="474"/>
      <c r="H722" s="474"/>
      <c r="I722" s="474"/>
      <c r="J722" s="474"/>
      <c r="K722" s="474"/>
      <c r="L722" s="474"/>
      <c r="M722" s="474"/>
      <c r="N722" s="474"/>
      <c r="O722" s="474"/>
      <c r="P722" s="474"/>
      <c r="Q722" s="474"/>
    </row>
    <row r="723" spans="7:17">
      <c r="G723" s="474"/>
      <c r="H723" s="474"/>
      <c r="I723" s="474"/>
      <c r="J723" s="474"/>
      <c r="K723" s="474"/>
      <c r="L723" s="474"/>
      <c r="M723" s="474"/>
      <c r="N723" s="474"/>
      <c r="O723" s="474"/>
      <c r="P723" s="474"/>
      <c r="Q723" s="474"/>
    </row>
    <row r="724" spans="7:17">
      <c r="G724" s="474"/>
      <c r="H724" s="474"/>
      <c r="I724" s="474"/>
      <c r="J724" s="474"/>
      <c r="K724" s="474"/>
      <c r="L724" s="474"/>
      <c r="M724" s="474"/>
      <c r="N724" s="474"/>
      <c r="O724" s="474"/>
      <c r="P724" s="474"/>
      <c r="Q724" s="474"/>
    </row>
    <row r="725" spans="7:17">
      <c r="G725" s="474"/>
      <c r="H725" s="474"/>
      <c r="I725" s="474"/>
      <c r="J725" s="474"/>
      <c r="K725" s="474"/>
      <c r="L725" s="474"/>
      <c r="M725" s="474"/>
      <c r="N725" s="474"/>
      <c r="O725" s="474"/>
      <c r="P725" s="474"/>
      <c r="Q725" s="474"/>
    </row>
    <row r="726" spans="7:17">
      <c r="G726" s="474"/>
      <c r="H726" s="474"/>
      <c r="I726" s="474"/>
      <c r="J726" s="474"/>
      <c r="K726" s="474"/>
      <c r="L726" s="474"/>
      <c r="M726" s="474"/>
      <c r="N726" s="474"/>
      <c r="O726" s="474"/>
      <c r="P726" s="474"/>
      <c r="Q726" s="474"/>
    </row>
    <row r="727" spans="7:17">
      <c r="G727" s="474"/>
      <c r="H727" s="474"/>
      <c r="I727" s="474"/>
      <c r="J727" s="474"/>
      <c r="K727" s="474"/>
      <c r="L727" s="474"/>
      <c r="M727" s="474"/>
      <c r="N727" s="474"/>
      <c r="O727" s="474"/>
      <c r="P727" s="474"/>
      <c r="Q727" s="474"/>
    </row>
    <row r="728" spans="7:17">
      <c r="G728" s="474"/>
      <c r="H728" s="474"/>
      <c r="I728" s="474"/>
      <c r="J728" s="474"/>
      <c r="K728" s="474"/>
      <c r="L728" s="474"/>
      <c r="M728" s="474"/>
      <c r="N728" s="474"/>
      <c r="O728" s="474"/>
      <c r="P728" s="474"/>
      <c r="Q728" s="474"/>
    </row>
    <row r="729" spans="7:17">
      <c r="G729" s="474"/>
      <c r="H729" s="474"/>
      <c r="I729" s="474"/>
      <c r="J729" s="474"/>
      <c r="K729" s="474"/>
      <c r="L729" s="474"/>
      <c r="M729" s="474"/>
      <c r="N729" s="474"/>
      <c r="O729" s="474"/>
      <c r="P729" s="474"/>
      <c r="Q729" s="474"/>
    </row>
    <row r="730" spans="7:17">
      <c r="G730" s="474"/>
      <c r="H730" s="474"/>
      <c r="I730" s="474"/>
      <c r="J730" s="474"/>
      <c r="K730" s="474"/>
      <c r="L730" s="474"/>
      <c r="M730" s="474"/>
      <c r="N730" s="474"/>
      <c r="O730" s="474"/>
      <c r="P730" s="474"/>
      <c r="Q730" s="474"/>
    </row>
    <row r="731" spans="7:17">
      <c r="G731" s="474"/>
      <c r="H731" s="474"/>
      <c r="I731" s="474"/>
      <c r="J731" s="474"/>
      <c r="K731" s="474"/>
      <c r="L731" s="474"/>
      <c r="M731" s="474"/>
      <c r="N731" s="474"/>
      <c r="O731" s="474"/>
      <c r="P731" s="474"/>
      <c r="Q731" s="474"/>
    </row>
    <row r="732" spans="7:17">
      <c r="G732" s="474"/>
      <c r="H732" s="474"/>
      <c r="I732" s="474"/>
      <c r="J732" s="474"/>
      <c r="K732" s="474"/>
      <c r="L732" s="474"/>
      <c r="M732" s="474"/>
      <c r="N732" s="474"/>
      <c r="O732" s="474"/>
      <c r="P732" s="474"/>
      <c r="Q732" s="474"/>
    </row>
    <row r="733" spans="7:17">
      <c r="G733" s="474"/>
      <c r="H733" s="474"/>
      <c r="I733" s="474"/>
      <c r="J733" s="474"/>
      <c r="K733" s="474"/>
      <c r="L733" s="474"/>
      <c r="M733" s="474"/>
      <c r="N733" s="474"/>
      <c r="O733" s="474"/>
      <c r="P733" s="474"/>
      <c r="Q733" s="474"/>
    </row>
    <row r="734" spans="7:17">
      <c r="G734" s="474"/>
      <c r="H734" s="474"/>
      <c r="I734" s="474"/>
      <c r="J734" s="474"/>
      <c r="K734" s="474"/>
      <c r="L734" s="474"/>
      <c r="M734" s="474"/>
      <c r="N734" s="474"/>
      <c r="O734" s="474"/>
      <c r="P734" s="474"/>
      <c r="Q734" s="474"/>
    </row>
    <row r="735" spans="7:17">
      <c r="G735" s="474"/>
      <c r="H735" s="474"/>
      <c r="I735" s="474"/>
      <c r="J735" s="474"/>
      <c r="K735" s="474"/>
      <c r="L735" s="474"/>
      <c r="M735" s="474"/>
      <c r="N735" s="474"/>
      <c r="O735" s="474"/>
      <c r="P735" s="474"/>
      <c r="Q735" s="474"/>
    </row>
    <row r="736" spans="7:17">
      <c r="G736" s="474"/>
      <c r="H736" s="474"/>
      <c r="I736" s="474"/>
      <c r="J736" s="474"/>
      <c r="K736" s="474"/>
      <c r="L736" s="474"/>
      <c r="M736" s="474"/>
      <c r="N736" s="474"/>
      <c r="O736" s="474"/>
      <c r="P736" s="474"/>
      <c r="Q736" s="474"/>
    </row>
    <row r="737" spans="7:17">
      <c r="G737" s="474"/>
      <c r="H737" s="474"/>
      <c r="I737" s="474"/>
      <c r="J737" s="474"/>
      <c r="K737" s="474"/>
      <c r="L737" s="474"/>
      <c r="M737" s="474"/>
      <c r="N737" s="474"/>
      <c r="O737" s="474"/>
      <c r="P737" s="474"/>
      <c r="Q737" s="474"/>
    </row>
    <row r="738" spans="7:17">
      <c r="G738" s="474"/>
      <c r="H738" s="474"/>
      <c r="I738" s="474"/>
      <c r="J738" s="474"/>
      <c r="K738" s="474"/>
      <c r="L738" s="474"/>
      <c r="M738" s="474"/>
      <c r="N738" s="474"/>
      <c r="O738" s="474"/>
      <c r="P738" s="474"/>
      <c r="Q738" s="474"/>
    </row>
    <row r="739" spans="7:17">
      <c r="G739" s="474"/>
      <c r="H739" s="474"/>
      <c r="I739" s="474"/>
      <c r="J739" s="474"/>
      <c r="K739" s="474"/>
      <c r="L739" s="474"/>
      <c r="M739" s="474"/>
      <c r="N739" s="474"/>
      <c r="O739" s="474"/>
      <c r="P739" s="474"/>
      <c r="Q739" s="474"/>
    </row>
    <row r="740" spans="7:17">
      <c r="G740" s="474"/>
      <c r="H740" s="474"/>
      <c r="I740" s="474"/>
      <c r="J740" s="474"/>
      <c r="K740" s="474"/>
      <c r="L740" s="474"/>
      <c r="M740" s="474"/>
      <c r="N740" s="474"/>
      <c r="O740" s="474"/>
      <c r="P740" s="474"/>
      <c r="Q740" s="474"/>
    </row>
    <row r="741" spans="7:17">
      <c r="G741" s="474"/>
      <c r="H741" s="474"/>
      <c r="I741" s="474"/>
      <c r="J741" s="474"/>
      <c r="K741" s="474"/>
      <c r="L741" s="474"/>
      <c r="M741" s="474"/>
      <c r="N741" s="474"/>
      <c r="O741" s="474"/>
      <c r="P741" s="474"/>
      <c r="Q741" s="474"/>
    </row>
    <row r="742" spans="7:17">
      <c r="G742" s="474"/>
      <c r="H742" s="474"/>
      <c r="I742" s="474"/>
      <c r="J742" s="474"/>
      <c r="K742" s="474"/>
      <c r="L742" s="474"/>
      <c r="M742" s="474"/>
      <c r="N742" s="474"/>
      <c r="O742" s="474"/>
      <c r="P742" s="474"/>
      <c r="Q742" s="474"/>
    </row>
    <row r="743" spans="7:17">
      <c r="G743" s="474"/>
      <c r="H743" s="474"/>
      <c r="I743" s="474"/>
      <c r="J743" s="474"/>
      <c r="K743" s="474"/>
      <c r="L743" s="474"/>
      <c r="M743" s="474"/>
      <c r="N743" s="474"/>
      <c r="O743" s="474"/>
      <c r="P743" s="474"/>
      <c r="Q743" s="474"/>
    </row>
    <row r="744" spans="7:17">
      <c r="G744" s="474"/>
      <c r="H744" s="474"/>
      <c r="I744" s="474"/>
      <c r="J744" s="474"/>
      <c r="K744" s="474"/>
      <c r="L744" s="474"/>
      <c r="M744" s="474"/>
      <c r="N744" s="474"/>
      <c r="O744" s="474"/>
      <c r="P744" s="474"/>
      <c r="Q744" s="474"/>
    </row>
    <row r="745" spans="7:17">
      <c r="G745" s="474"/>
      <c r="H745" s="474"/>
      <c r="I745" s="474"/>
      <c r="J745" s="474"/>
      <c r="K745" s="474"/>
      <c r="L745" s="474"/>
      <c r="M745" s="474"/>
      <c r="N745" s="474"/>
      <c r="O745" s="474"/>
      <c r="P745" s="474"/>
      <c r="Q745" s="474"/>
    </row>
    <row r="746" spans="7:17">
      <c r="G746" s="474"/>
      <c r="H746" s="474"/>
      <c r="I746" s="474"/>
      <c r="J746" s="474"/>
      <c r="K746" s="474"/>
      <c r="L746" s="474"/>
      <c r="M746" s="474"/>
      <c r="N746" s="474"/>
      <c r="O746" s="474"/>
      <c r="P746" s="474"/>
      <c r="Q746" s="474"/>
    </row>
    <row r="747" spans="7:17">
      <c r="G747" s="474"/>
      <c r="H747" s="474"/>
      <c r="I747" s="474"/>
      <c r="J747" s="474"/>
      <c r="K747" s="474"/>
      <c r="L747" s="474"/>
      <c r="M747" s="474"/>
      <c r="N747" s="474"/>
      <c r="O747" s="474"/>
      <c r="P747" s="474"/>
      <c r="Q747" s="474"/>
    </row>
    <row r="748" spans="7:17">
      <c r="G748" s="474"/>
      <c r="H748" s="474"/>
      <c r="I748" s="474"/>
      <c r="J748" s="474"/>
      <c r="K748" s="474"/>
      <c r="L748" s="474"/>
      <c r="M748" s="474"/>
      <c r="N748" s="474"/>
      <c r="O748" s="474"/>
      <c r="P748" s="474"/>
      <c r="Q748" s="474"/>
    </row>
    <row r="749" spans="7:17">
      <c r="G749" s="474"/>
      <c r="H749" s="474"/>
      <c r="I749" s="474"/>
      <c r="J749" s="474"/>
      <c r="K749" s="474"/>
      <c r="L749" s="474"/>
      <c r="M749" s="474"/>
      <c r="N749" s="474"/>
      <c r="O749" s="474"/>
      <c r="P749" s="474"/>
      <c r="Q749" s="474"/>
    </row>
    <row r="750" spans="7:17">
      <c r="G750" s="474"/>
      <c r="H750" s="474"/>
      <c r="I750" s="474"/>
      <c r="J750" s="474"/>
      <c r="K750" s="474"/>
      <c r="L750" s="474"/>
      <c r="M750" s="474"/>
      <c r="N750" s="474"/>
      <c r="O750" s="474"/>
      <c r="P750" s="474"/>
      <c r="Q750" s="474"/>
    </row>
    <row r="751" spans="7:17">
      <c r="G751" s="474"/>
      <c r="H751" s="474"/>
      <c r="I751" s="474"/>
      <c r="J751" s="474"/>
      <c r="K751" s="474"/>
      <c r="L751" s="474"/>
      <c r="M751" s="474"/>
      <c r="N751" s="474"/>
      <c r="O751" s="474"/>
      <c r="P751" s="474"/>
      <c r="Q751" s="474"/>
    </row>
    <row r="752" spans="7:17">
      <c r="G752" s="474"/>
      <c r="H752" s="474"/>
      <c r="I752" s="474"/>
      <c r="J752" s="474"/>
      <c r="K752" s="474"/>
      <c r="L752" s="474"/>
      <c r="M752" s="474"/>
      <c r="N752" s="474"/>
      <c r="O752" s="474"/>
      <c r="P752" s="474"/>
      <c r="Q752" s="474"/>
    </row>
    <row r="753" spans="7:17">
      <c r="G753" s="474"/>
      <c r="H753" s="474"/>
      <c r="I753" s="474"/>
      <c r="J753" s="474"/>
      <c r="K753" s="474"/>
      <c r="L753" s="474"/>
      <c r="M753" s="474"/>
      <c r="N753" s="474"/>
      <c r="O753" s="474"/>
      <c r="P753" s="474"/>
      <c r="Q753" s="474"/>
    </row>
    <row r="754" spans="7:17">
      <c r="G754" s="474"/>
      <c r="H754" s="474"/>
      <c r="I754" s="474"/>
      <c r="J754" s="474"/>
      <c r="K754" s="474"/>
      <c r="L754" s="474"/>
      <c r="M754" s="474"/>
      <c r="N754" s="474"/>
      <c r="O754" s="474"/>
      <c r="P754" s="474"/>
      <c r="Q754" s="474"/>
    </row>
    <row r="755" spans="7:17">
      <c r="G755" s="474"/>
      <c r="H755" s="474"/>
      <c r="I755" s="474"/>
      <c r="J755" s="474"/>
      <c r="K755" s="474"/>
      <c r="L755" s="474"/>
      <c r="M755" s="474"/>
      <c r="N755" s="474"/>
      <c r="O755" s="474"/>
      <c r="P755" s="474"/>
      <c r="Q755" s="474"/>
    </row>
    <row r="756" spans="7:17">
      <c r="G756" s="474"/>
      <c r="H756" s="474"/>
      <c r="I756" s="474"/>
      <c r="J756" s="474"/>
      <c r="K756" s="474"/>
      <c r="L756" s="474"/>
      <c r="M756" s="474"/>
      <c r="N756" s="474"/>
      <c r="O756" s="474"/>
      <c r="P756" s="474"/>
      <c r="Q756" s="474"/>
    </row>
    <row r="757" spans="7:17">
      <c r="G757" s="474"/>
      <c r="H757" s="474"/>
      <c r="I757" s="474"/>
      <c r="J757" s="474"/>
      <c r="K757" s="474"/>
      <c r="L757" s="474"/>
      <c r="M757" s="474"/>
      <c r="N757" s="474"/>
      <c r="O757" s="474"/>
      <c r="P757" s="474"/>
      <c r="Q757" s="474"/>
    </row>
    <row r="758" spans="7:17">
      <c r="G758" s="474"/>
      <c r="H758" s="474"/>
      <c r="I758" s="474"/>
      <c r="J758" s="474"/>
      <c r="K758" s="474"/>
      <c r="L758" s="474"/>
      <c r="M758" s="474"/>
      <c r="N758" s="474"/>
      <c r="O758" s="474"/>
      <c r="P758" s="474"/>
      <c r="Q758" s="474"/>
    </row>
    <row r="759" spans="7:17">
      <c r="G759" s="474"/>
      <c r="H759" s="474"/>
      <c r="I759" s="474"/>
      <c r="J759" s="474"/>
      <c r="K759" s="474"/>
      <c r="L759" s="474"/>
      <c r="M759" s="474"/>
      <c r="N759" s="474"/>
      <c r="O759" s="474"/>
      <c r="P759" s="474"/>
      <c r="Q759" s="474"/>
    </row>
    <row r="760" spans="7:17">
      <c r="G760" s="474"/>
      <c r="H760" s="474"/>
      <c r="I760" s="474"/>
      <c r="J760" s="474"/>
      <c r="K760" s="474"/>
      <c r="L760" s="474"/>
      <c r="M760" s="474"/>
      <c r="N760" s="474"/>
      <c r="O760" s="474"/>
      <c r="P760" s="474"/>
      <c r="Q760" s="474"/>
    </row>
    <row r="761" spans="7:17">
      <c r="G761" s="474"/>
      <c r="H761" s="474"/>
      <c r="I761" s="474"/>
      <c r="J761" s="474"/>
      <c r="K761" s="474"/>
      <c r="L761" s="474"/>
      <c r="M761" s="474"/>
      <c r="N761" s="474"/>
      <c r="O761" s="474"/>
      <c r="P761" s="474"/>
      <c r="Q761" s="474"/>
    </row>
    <row r="762" spans="7:17">
      <c r="G762" s="474"/>
      <c r="H762" s="474"/>
      <c r="I762" s="474"/>
      <c r="J762" s="474"/>
      <c r="K762" s="474"/>
      <c r="L762" s="474"/>
      <c r="M762" s="474"/>
      <c r="N762" s="474"/>
      <c r="O762" s="474"/>
      <c r="P762" s="474"/>
      <c r="Q762" s="474"/>
    </row>
    <row r="763" spans="7:17">
      <c r="G763" s="474"/>
      <c r="H763" s="474"/>
      <c r="I763" s="474"/>
      <c r="J763" s="474"/>
      <c r="K763" s="474"/>
      <c r="L763" s="474"/>
      <c r="M763" s="474"/>
      <c r="N763" s="474"/>
      <c r="O763" s="474"/>
      <c r="P763" s="474"/>
      <c r="Q763" s="474"/>
    </row>
    <row r="764" spans="7:17">
      <c r="G764" s="474"/>
      <c r="H764" s="474"/>
      <c r="I764" s="474"/>
      <c r="J764" s="474"/>
      <c r="K764" s="474"/>
      <c r="L764" s="474"/>
      <c r="M764" s="474"/>
      <c r="N764" s="474"/>
      <c r="O764" s="474"/>
      <c r="P764" s="474"/>
      <c r="Q764" s="474"/>
    </row>
    <row r="765" spans="7:17">
      <c r="G765" s="474"/>
      <c r="H765" s="474"/>
      <c r="I765" s="474"/>
      <c r="J765" s="474"/>
      <c r="K765" s="474"/>
      <c r="L765" s="474"/>
      <c r="M765" s="474"/>
      <c r="N765" s="474"/>
      <c r="O765" s="474"/>
      <c r="P765" s="474"/>
      <c r="Q765" s="474"/>
    </row>
    <row r="766" spans="7:17">
      <c r="G766" s="474"/>
      <c r="H766" s="474"/>
      <c r="I766" s="474"/>
      <c r="J766" s="474"/>
      <c r="K766" s="474"/>
      <c r="L766" s="474"/>
      <c r="M766" s="474"/>
      <c r="N766" s="474"/>
      <c r="O766" s="474"/>
      <c r="P766" s="474"/>
      <c r="Q766" s="474"/>
    </row>
    <row r="767" spans="7:17">
      <c r="G767" s="474"/>
      <c r="H767" s="474"/>
      <c r="I767" s="474"/>
      <c r="J767" s="474"/>
      <c r="K767" s="474"/>
      <c r="L767" s="474"/>
      <c r="M767" s="474"/>
      <c r="N767" s="474"/>
      <c r="O767" s="474"/>
      <c r="P767" s="474"/>
      <c r="Q767" s="474"/>
    </row>
    <row r="768" spans="7:17">
      <c r="G768" s="474"/>
      <c r="H768" s="474"/>
      <c r="I768" s="474"/>
      <c r="J768" s="474"/>
      <c r="K768" s="474"/>
      <c r="L768" s="474"/>
      <c r="M768" s="474"/>
      <c r="N768" s="474"/>
      <c r="O768" s="474"/>
      <c r="P768" s="474"/>
      <c r="Q768" s="474"/>
    </row>
    <row r="769" spans="7:17">
      <c r="G769" s="474"/>
      <c r="H769" s="474"/>
      <c r="I769" s="474"/>
      <c r="J769" s="474"/>
      <c r="K769" s="474"/>
      <c r="L769" s="474"/>
      <c r="M769" s="474"/>
      <c r="N769" s="474"/>
      <c r="O769" s="474"/>
      <c r="P769" s="474"/>
      <c r="Q769" s="474"/>
    </row>
    <row r="770" spans="7:17">
      <c r="G770" s="474"/>
      <c r="H770" s="474"/>
      <c r="I770" s="474"/>
      <c r="J770" s="474"/>
      <c r="K770" s="474"/>
      <c r="L770" s="474"/>
      <c r="M770" s="474"/>
      <c r="N770" s="474"/>
      <c r="O770" s="474"/>
      <c r="P770" s="474"/>
      <c r="Q770" s="474"/>
    </row>
    <row r="771" spans="7:17">
      <c r="G771" s="474"/>
      <c r="H771" s="474"/>
      <c r="I771" s="474"/>
      <c r="J771" s="474"/>
      <c r="K771" s="474"/>
      <c r="L771" s="474"/>
      <c r="M771" s="474"/>
      <c r="N771" s="474"/>
      <c r="O771" s="474"/>
      <c r="P771" s="474"/>
      <c r="Q771" s="474"/>
    </row>
    <row r="772" spans="7:17">
      <c r="G772" s="474"/>
      <c r="H772" s="474"/>
      <c r="I772" s="474"/>
      <c r="J772" s="474"/>
      <c r="K772" s="474"/>
      <c r="L772" s="474"/>
      <c r="M772" s="474"/>
      <c r="N772" s="474"/>
      <c r="O772" s="474"/>
      <c r="P772" s="474"/>
      <c r="Q772" s="474"/>
    </row>
    <row r="773" spans="7:17">
      <c r="G773" s="474"/>
      <c r="H773" s="474"/>
      <c r="I773" s="474"/>
      <c r="J773" s="474"/>
      <c r="K773" s="474"/>
      <c r="L773" s="474"/>
      <c r="M773" s="474"/>
      <c r="N773" s="474"/>
      <c r="O773" s="474"/>
      <c r="P773" s="474"/>
      <c r="Q773" s="474"/>
    </row>
    <row r="774" spans="7:17">
      <c r="G774" s="474"/>
      <c r="H774" s="474"/>
      <c r="I774" s="474"/>
      <c r="J774" s="474"/>
      <c r="K774" s="474"/>
      <c r="L774" s="474"/>
      <c r="M774" s="474"/>
      <c r="N774" s="474"/>
      <c r="O774" s="474"/>
      <c r="P774" s="474"/>
      <c r="Q774" s="474"/>
    </row>
    <row r="775" spans="7:17">
      <c r="G775" s="474"/>
      <c r="H775" s="474"/>
      <c r="I775" s="474"/>
      <c r="J775" s="474"/>
      <c r="K775" s="474"/>
      <c r="L775" s="474"/>
      <c r="M775" s="474"/>
      <c r="N775" s="474"/>
      <c r="O775" s="474"/>
      <c r="P775" s="474"/>
      <c r="Q775" s="474"/>
    </row>
    <row r="776" spans="7:17">
      <c r="G776" s="474"/>
      <c r="H776" s="474"/>
      <c r="I776" s="474"/>
      <c r="J776" s="474"/>
      <c r="K776" s="474"/>
      <c r="L776" s="474"/>
      <c r="M776" s="474"/>
      <c r="N776" s="474"/>
      <c r="O776" s="474"/>
      <c r="P776" s="474"/>
      <c r="Q776" s="474"/>
    </row>
    <row r="777" spans="7:17">
      <c r="G777" s="474"/>
      <c r="H777" s="474"/>
      <c r="I777" s="474"/>
      <c r="J777" s="474"/>
      <c r="K777" s="474"/>
      <c r="L777" s="474"/>
      <c r="M777" s="474"/>
      <c r="N777" s="474"/>
      <c r="O777" s="474"/>
      <c r="P777" s="474"/>
      <c r="Q777" s="474"/>
    </row>
    <row r="778" spans="7:17">
      <c r="G778" s="474"/>
      <c r="H778" s="474"/>
      <c r="I778" s="474"/>
      <c r="J778" s="474"/>
      <c r="K778" s="474"/>
      <c r="L778" s="474"/>
      <c r="M778" s="474"/>
      <c r="N778" s="474"/>
      <c r="O778" s="474"/>
      <c r="P778" s="474"/>
      <c r="Q778" s="474"/>
    </row>
    <row r="779" spans="7:17">
      <c r="G779" s="474"/>
      <c r="H779" s="474"/>
      <c r="I779" s="474"/>
      <c r="J779" s="474"/>
      <c r="K779" s="474"/>
      <c r="L779" s="474"/>
      <c r="M779" s="474"/>
      <c r="N779" s="474"/>
      <c r="O779" s="474"/>
      <c r="P779" s="474"/>
      <c r="Q779" s="474"/>
    </row>
    <row r="780" spans="7:17">
      <c r="G780" s="474"/>
      <c r="H780" s="474"/>
      <c r="I780" s="474"/>
      <c r="J780" s="474"/>
      <c r="K780" s="474"/>
      <c r="L780" s="474"/>
      <c r="M780" s="474"/>
      <c r="N780" s="474"/>
      <c r="O780" s="474"/>
      <c r="P780" s="474"/>
      <c r="Q780" s="474"/>
    </row>
    <row r="781" spans="7:17">
      <c r="G781" s="474"/>
      <c r="H781" s="474"/>
      <c r="I781" s="474"/>
      <c r="J781" s="474"/>
      <c r="K781" s="474"/>
      <c r="L781" s="474"/>
      <c r="M781" s="474"/>
      <c r="N781" s="474"/>
      <c r="O781" s="474"/>
      <c r="P781" s="474"/>
      <c r="Q781" s="474"/>
    </row>
    <row r="782" spans="7:17">
      <c r="G782" s="474"/>
      <c r="H782" s="474"/>
      <c r="I782" s="474"/>
      <c r="J782" s="474"/>
      <c r="K782" s="474"/>
      <c r="L782" s="474"/>
      <c r="M782" s="474"/>
      <c r="N782" s="474"/>
      <c r="O782" s="474"/>
      <c r="P782" s="474"/>
      <c r="Q782" s="474"/>
    </row>
    <row r="783" spans="7:17">
      <c r="G783" s="474"/>
      <c r="H783" s="474"/>
      <c r="I783" s="474"/>
      <c r="J783" s="474"/>
      <c r="K783" s="474"/>
      <c r="L783" s="474"/>
      <c r="M783" s="474"/>
      <c r="N783" s="474"/>
      <c r="O783" s="474"/>
      <c r="P783" s="474"/>
      <c r="Q783" s="474"/>
    </row>
    <row r="784" spans="7:17">
      <c r="G784" s="474"/>
      <c r="H784" s="474"/>
      <c r="I784" s="474"/>
      <c r="J784" s="474"/>
      <c r="K784" s="474"/>
      <c r="L784" s="474"/>
      <c r="M784" s="474"/>
      <c r="N784" s="474"/>
      <c r="O784" s="474"/>
      <c r="P784" s="474"/>
      <c r="Q784" s="474"/>
    </row>
    <row r="785" spans="7:17">
      <c r="G785" s="474"/>
      <c r="H785" s="474"/>
      <c r="I785" s="474"/>
      <c r="J785" s="474"/>
      <c r="K785" s="474"/>
      <c r="L785" s="474"/>
      <c r="M785" s="474"/>
      <c r="N785" s="474"/>
      <c r="O785" s="474"/>
      <c r="P785" s="474"/>
      <c r="Q785" s="474"/>
    </row>
    <row r="786" spans="7:17">
      <c r="G786" s="474"/>
      <c r="H786" s="474"/>
      <c r="I786" s="474"/>
      <c r="J786" s="474"/>
      <c r="K786" s="474"/>
      <c r="L786" s="474"/>
      <c r="M786" s="474"/>
      <c r="N786" s="474"/>
      <c r="O786" s="474"/>
      <c r="P786" s="474"/>
      <c r="Q786" s="474"/>
    </row>
    <row r="787" spans="7:17">
      <c r="G787" s="474"/>
      <c r="H787" s="474"/>
      <c r="I787" s="474"/>
      <c r="J787" s="474"/>
      <c r="K787" s="474"/>
      <c r="L787" s="474"/>
      <c r="M787" s="474"/>
      <c r="N787" s="474"/>
      <c r="O787" s="474"/>
      <c r="P787" s="474"/>
      <c r="Q787" s="474"/>
    </row>
    <row r="788" spans="7:17">
      <c r="G788" s="474"/>
      <c r="H788" s="474"/>
      <c r="I788" s="474"/>
      <c r="J788" s="474"/>
      <c r="K788" s="474"/>
      <c r="L788" s="474"/>
      <c r="M788" s="474"/>
      <c r="N788" s="474"/>
      <c r="O788" s="474"/>
      <c r="P788" s="474"/>
      <c r="Q788" s="474"/>
    </row>
    <row r="789" spans="7:17">
      <c r="G789" s="474"/>
      <c r="H789" s="474"/>
      <c r="I789" s="474"/>
      <c r="J789" s="474"/>
      <c r="K789" s="474"/>
      <c r="L789" s="474"/>
      <c r="M789" s="474"/>
      <c r="N789" s="474"/>
      <c r="O789" s="474"/>
      <c r="P789" s="474"/>
      <c r="Q789" s="474"/>
    </row>
    <row r="790" spans="7:17">
      <c r="G790" s="474"/>
      <c r="H790" s="474"/>
      <c r="I790" s="474"/>
      <c r="J790" s="474"/>
      <c r="K790" s="474"/>
      <c r="L790" s="474"/>
      <c r="M790" s="474"/>
      <c r="N790" s="474"/>
      <c r="O790" s="474"/>
      <c r="P790" s="474"/>
      <c r="Q790" s="474"/>
    </row>
    <row r="791" spans="7:17">
      <c r="G791" s="474"/>
      <c r="H791" s="474"/>
      <c r="I791" s="474"/>
      <c r="J791" s="474"/>
      <c r="K791" s="474"/>
      <c r="L791" s="474"/>
      <c r="M791" s="474"/>
      <c r="N791" s="474"/>
      <c r="O791" s="474"/>
      <c r="P791" s="474"/>
      <c r="Q791" s="474"/>
    </row>
    <row r="792" spans="7:17">
      <c r="G792" s="474"/>
      <c r="H792" s="474"/>
      <c r="I792" s="474"/>
      <c r="J792" s="474"/>
      <c r="K792" s="474"/>
      <c r="L792" s="474"/>
      <c r="M792" s="474"/>
      <c r="N792" s="474"/>
      <c r="O792" s="474"/>
      <c r="P792" s="474"/>
      <c r="Q792" s="474"/>
    </row>
    <row r="793" spans="7:17">
      <c r="G793" s="474"/>
      <c r="H793" s="474"/>
      <c r="I793" s="474"/>
      <c r="J793" s="474"/>
      <c r="K793" s="474"/>
      <c r="L793" s="474"/>
      <c r="M793" s="474"/>
      <c r="N793" s="474"/>
      <c r="O793" s="474"/>
      <c r="P793" s="474"/>
      <c r="Q793" s="474"/>
    </row>
    <row r="794" spans="7:17">
      <c r="G794" s="474"/>
      <c r="H794" s="474"/>
      <c r="I794" s="474"/>
      <c r="J794" s="474"/>
      <c r="K794" s="474"/>
      <c r="L794" s="474"/>
      <c r="M794" s="474"/>
      <c r="N794" s="474"/>
      <c r="O794" s="474"/>
      <c r="P794" s="474"/>
      <c r="Q794" s="474"/>
    </row>
    <row r="795" spans="7:17">
      <c r="G795" s="474"/>
      <c r="H795" s="474"/>
      <c r="I795" s="474"/>
      <c r="J795" s="474"/>
      <c r="K795" s="474"/>
      <c r="L795" s="474"/>
      <c r="M795" s="474"/>
      <c r="N795" s="474"/>
      <c r="O795" s="474"/>
      <c r="P795" s="474"/>
      <c r="Q795" s="474"/>
    </row>
    <row r="796" spans="7:17">
      <c r="G796" s="474"/>
      <c r="H796" s="474"/>
      <c r="I796" s="474"/>
      <c r="J796" s="474"/>
      <c r="K796" s="474"/>
      <c r="L796" s="474"/>
      <c r="M796" s="474"/>
      <c r="N796" s="474"/>
      <c r="O796" s="474"/>
      <c r="P796" s="474"/>
      <c r="Q796" s="474"/>
    </row>
    <row r="797" spans="7:17">
      <c r="G797" s="474"/>
      <c r="H797" s="474"/>
      <c r="I797" s="474"/>
      <c r="J797" s="474"/>
      <c r="K797" s="474"/>
      <c r="L797" s="474"/>
      <c r="M797" s="474"/>
      <c r="N797" s="474"/>
      <c r="O797" s="474"/>
      <c r="P797" s="474"/>
      <c r="Q797" s="474"/>
    </row>
    <row r="798" spans="7:17">
      <c r="G798" s="474"/>
      <c r="H798" s="474"/>
      <c r="I798" s="474"/>
      <c r="J798" s="474"/>
      <c r="K798" s="474"/>
      <c r="L798" s="474"/>
      <c r="M798" s="474"/>
      <c r="N798" s="474"/>
      <c r="O798" s="474"/>
      <c r="P798" s="474"/>
      <c r="Q798" s="474"/>
    </row>
    <row r="799" spans="7:17">
      <c r="G799" s="474"/>
      <c r="H799" s="474"/>
      <c r="I799" s="474"/>
      <c r="J799" s="474"/>
      <c r="K799" s="474"/>
      <c r="L799" s="474"/>
      <c r="M799" s="474"/>
      <c r="N799" s="474"/>
      <c r="O799" s="474"/>
      <c r="P799" s="474"/>
      <c r="Q799" s="474"/>
    </row>
    <row r="800" spans="7:17">
      <c r="G800" s="474"/>
      <c r="H800" s="474"/>
      <c r="I800" s="474"/>
      <c r="J800" s="474"/>
      <c r="K800" s="474"/>
      <c r="L800" s="474"/>
      <c r="M800" s="474"/>
      <c r="N800" s="474"/>
      <c r="O800" s="474"/>
      <c r="P800" s="474"/>
      <c r="Q800" s="474"/>
    </row>
    <row r="801" spans="7:17">
      <c r="G801" s="474"/>
      <c r="H801" s="474"/>
      <c r="I801" s="474"/>
      <c r="J801" s="474"/>
      <c r="K801" s="474"/>
      <c r="L801" s="474"/>
      <c r="M801" s="474"/>
      <c r="N801" s="474"/>
      <c r="O801" s="474"/>
      <c r="P801" s="474"/>
      <c r="Q801" s="474"/>
    </row>
    <row r="802" spans="7:17">
      <c r="G802" s="474"/>
      <c r="H802" s="474"/>
      <c r="I802" s="474"/>
      <c r="J802" s="474"/>
      <c r="K802" s="474"/>
      <c r="L802" s="474"/>
      <c r="M802" s="474"/>
      <c r="N802" s="474"/>
      <c r="O802" s="474"/>
      <c r="P802" s="474"/>
      <c r="Q802" s="474"/>
    </row>
    <row r="803" spans="7:17">
      <c r="G803" s="474"/>
      <c r="H803" s="474"/>
      <c r="I803" s="474"/>
      <c r="J803" s="474"/>
      <c r="K803" s="474"/>
      <c r="L803" s="474"/>
      <c r="M803" s="474"/>
      <c r="N803" s="474"/>
      <c r="O803" s="474"/>
      <c r="P803" s="474"/>
      <c r="Q803" s="474"/>
    </row>
    <row r="804" spans="7:17">
      <c r="G804" s="474"/>
      <c r="H804" s="474"/>
      <c r="I804" s="474"/>
      <c r="J804" s="474"/>
      <c r="K804" s="474"/>
      <c r="L804" s="474"/>
      <c r="M804" s="474"/>
      <c r="N804" s="474"/>
      <c r="O804" s="474"/>
      <c r="P804" s="474"/>
      <c r="Q804" s="474"/>
    </row>
    <row r="805" spans="7:17">
      <c r="G805" s="474"/>
      <c r="H805" s="474"/>
      <c r="I805" s="474"/>
      <c r="J805" s="474"/>
      <c r="K805" s="474"/>
      <c r="L805" s="474"/>
      <c r="M805" s="474"/>
      <c r="N805" s="474"/>
      <c r="O805" s="474"/>
      <c r="P805" s="474"/>
      <c r="Q805" s="474"/>
    </row>
    <row r="806" spans="7:17">
      <c r="G806" s="474"/>
      <c r="H806" s="474"/>
      <c r="I806" s="474"/>
      <c r="J806" s="474"/>
      <c r="K806" s="474"/>
      <c r="L806" s="474"/>
      <c r="M806" s="474"/>
      <c r="N806" s="474"/>
      <c r="O806" s="474"/>
      <c r="P806" s="474"/>
      <c r="Q806" s="474"/>
    </row>
    <row r="807" spans="7:17">
      <c r="G807" s="474"/>
      <c r="H807" s="474"/>
      <c r="I807" s="474"/>
      <c r="J807" s="474"/>
      <c r="K807" s="474"/>
      <c r="L807" s="474"/>
      <c r="M807" s="474"/>
      <c r="N807" s="474"/>
      <c r="O807" s="474"/>
      <c r="P807" s="474"/>
      <c r="Q807" s="474"/>
    </row>
    <row r="808" spans="7:17">
      <c r="G808" s="474"/>
      <c r="H808" s="474"/>
      <c r="I808" s="474"/>
      <c r="J808" s="474"/>
      <c r="K808" s="474"/>
      <c r="L808" s="474"/>
      <c r="M808" s="474"/>
      <c r="N808" s="474"/>
      <c r="O808" s="474"/>
      <c r="P808" s="474"/>
      <c r="Q808" s="474"/>
    </row>
    <row r="809" spans="7:17">
      <c r="G809" s="474"/>
      <c r="H809" s="474"/>
      <c r="I809" s="474"/>
      <c r="J809" s="474"/>
      <c r="K809" s="474"/>
      <c r="L809" s="474"/>
      <c r="M809" s="474"/>
      <c r="N809" s="474"/>
      <c r="O809" s="474"/>
      <c r="P809" s="474"/>
      <c r="Q809" s="474"/>
    </row>
    <row r="810" spans="7:17">
      <c r="G810" s="474"/>
      <c r="H810" s="474"/>
      <c r="I810" s="474"/>
      <c r="J810" s="474"/>
      <c r="K810" s="474"/>
      <c r="L810" s="474"/>
      <c r="M810" s="474"/>
      <c r="N810" s="474"/>
      <c r="O810" s="474"/>
      <c r="P810" s="474"/>
      <c r="Q810" s="474"/>
    </row>
    <row r="811" spans="7:17">
      <c r="G811" s="474"/>
      <c r="H811" s="474"/>
      <c r="I811" s="474"/>
      <c r="J811" s="474"/>
      <c r="K811" s="474"/>
      <c r="L811" s="474"/>
      <c r="M811" s="474"/>
      <c r="N811" s="474"/>
      <c r="O811" s="474"/>
      <c r="P811" s="474"/>
      <c r="Q811" s="474"/>
    </row>
    <row r="812" spans="7:17">
      <c r="G812" s="474"/>
      <c r="H812" s="474"/>
      <c r="I812" s="474"/>
      <c r="J812" s="474"/>
      <c r="K812" s="474"/>
      <c r="L812" s="474"/>
      <c r="M812" s="474"/>
      <c r="N812" s="474"/>
      <c r="O812" s="474"/>
      <c r="P812" s="474"/>
      <c r="Q812" s="474"/>
    </row>
    <row r="813" spans="7:17">
      <c r="G813" s="474"/>
      <c r="H813" s="474"/>
      <c r="I813" s="474"/>
      <c r="J813" s="474"/>
      <c r="K813" s="474"/>
      <c r="L813" s="474"/>
      <c r="M813" s="474"/>
      <c r="N813" s="474"/>
      <c r="O813" s="474"/>
      <c r="P813" s="474"/>
      <c r="Q813" s="474"/>
    </row>
    <row r="814" spans="7:17">
      <c r="G814" s="474"/>
      <c r="H814" s="474"/>
      <c r="I814" s="474"/>
      <c r="J814" s="474"/>
      <c r="K814" s="474"/>
      <c r="L814" s="474"/>
      <c r="M814" s="474"/>
      <c r="N814" s="474"/>
      <c r="O814" s="474"/>
      <c r="P814" s="474"/>
      <c r="Q814" s="474"/>
    </row>
    <row r="815" spans="7:17">
      <c r="G815" s="474"/>
      <c r="H815" s="474"/>
      <c r="I815" s="474"/>
      <c r="J815" s="474"/>
      <c r="K815" s="474"/>
      <c r="L815" s="474"/>
      <c r="M815" s="474"/>
      <c r="N815" s="474"/>
      <c r="O815" s="474"/>
      <c r="P815" s="474"/>
      <c r="Q815" s="474"/>
    </row>
    <row r="816" spans="7:17">
      <c r="G816" s="474"/>
      <c r="H816" s="474"/>
      <c r="I816" s="474"/>
      <c r="J816" s="474"/>
      <c r="K816" s="474"/>
      <c r="L816" s="474"/>
      <c r="M816" s="474"/>
      <c r="N816" s="474"/>
      <c r="O816" s="474"/>
      <c r="P816" s="474"/>
      <c r="Q816" s="474"/>
    </row>
    <row r="817" spans="7:17">
      <c r="G817" s="474"/>
      <c r="H817" s="474"/>
      <c r="I817" s="474"/>
      <c r="J817" s="474"/>
      <c r="K817" s="474"/>
      <c r="L817" s="474"/>
      <c r="M817" s="474"/>
      <c r="N817" s="474"/>
      <c r="O817" s="474"/>
      <c r="P817" s="474"/>
      <c r="Q817" s="474"/>
    </row>
    <row r="818" spans="7:17">
      <c r="G818" s="474"/>
      <c r="H818" s="474"/>
      <c r="I818" s="474"/>
      <c r="J818" s="474"/>
      <c r="K818" s="474"/>
      <c r="L818" s="474"/>
      <c r="M818" s="474"/>
      <c r="N818" s="474"/>
      <c r="O818" s="474"/>
      <c r="P818" s="474"/>
      <c r="Q818" s="474"/>
    </row>
    <row r="819" spans="7:17">
      <c r="G819" s="474"/>
      <c r="H819" s="474"/>
      <c r="I819" s="474"/>
      <c r="J819" s="474"/>
      <c r="K819" s="474"/>
      <c r="L819" s="474"/>
      <c r="M819" s="474"/>
      <c r="N819" s="474"/>
      <c r="O819" s="474"/>
      <c r="P819" s="474"/>
      <c r="Q819" s="474"/>
    </row>
    <row r="820" spans="7:17">
      <c r="G820" s="474"/>
      <c r="H820" s="474"/>
      <c r="I820" s="474"/>
      <c r="J820" s="474"/>
      <c r="K820" s="474"/>
      <c r="L820" s="474"/>
      <c r="M820" s="474"/>
      <c r="N820" s="474"/>
      <c r="O820" s="474"/>
      <c r="P820" s="474"/>
      <c r="Q820" s="474"/>
    </row>
    <row r="821" spans="7:17">
      <c r="G821" s="474"/>
      <c r="H821" s="474"/>
      <c r="I821" s="474"/>
      <c r="J821" s="474"/>
      <c r="K821" s="474"/>
      <c r="L821" s="474"/>
      <c r="M821" s="474"/>
      <c r="N821" s="474"/>
      <c r="O821" s="474"/>
      <c r="P821" s="474"/>
      <c r="Q821" s="474"/>
    </row>
    <row r="822" spans="7:17">
      <c r="G822" s="474"/>
      <c r="H822" s="474"/>
      <c r="I822" s="474"/>
      <c r="J822" s="474"/>
      <c r="K822" s="474"/>
      <c r="L822" s="474"/>
      <c r="M822" s="474"/>
      <c r="N822" s="474"/>
      <c r="O822" s="474"/>
      <c r="P822" s="474"/>
      <c r="Q822" s="474"/>
    </row>
    <row r="823" spans="7:17">
      <c r="G823" s="474"/>
      <c r="H823" s="474"/>
      <c r="I823" s="474"/>
      <c r="J823" s="474"/>
      <c r="K823" s="474"/>
      <c r="L823" s="474"/>
      <c r="M823" s="474"/>
      <c r="N823" s="474"/>
      <c r="O823" s="474"/>
      <c r="P823" s="474"/>
      <c r="Q823" s="474"/>
    </row>
    <row r="824" spans="7:17">
      <c r="G824" s="474"/>
      <c r="H824" s="474"/>
      <c r="I824" s="474"/>
      <c r="J824" s="474"/>
      <c r="K824" s="474"/>
      <c r="L824" s="474"/>
      <c r="M824" s="474"/>
      <c r="N824" s="474"/>
      <c r="O824" s="474"/>
      <c r="P824" s="474"/>
      <c r="Q824" s="474"/>
    </row>
    <row r="825" spans="7:17">
      <c r="G825" s="474"/>
      <c r="H825" s="474"/>
      <c r="I825" s="474"/>
      <c r="J825" s="474"/>
      <c r="K825" s="474"/>
      <c r="L825" s="474"/>
      <c r="M825" s="474"/>
      <c r="N825" s="474"/>
      <c r="O825" s="474"/>
      <c r="P825" s="474"/>
      <c r="Q825" s="474"/>
    </row>
    <row r="826" spans="7:17">
      <c r="G826" s="474"/>
      <c r="H826" s="474"/>
      <c r="I826" s="474"/>
      <c r="J826" s="474"/>
      <c r="K826" s="474"/>
      <c r="L826" s="474"/>
      <c r="M826" s="474"/>
      <c r="N826" s="474"/>
      <c r="O826" s="474"/>
      <c r="P826" s="474"/>
      <c r="Q826" s="474"/>
    </row>
    <row r="827" spans="7:17">
      <c r="G827" s="474"/>
      <c r="H827" s="474"/>
      <c r="I827" s="474"/>
      <c r="J827" s="474"/>
      <c r="K827" s="474"/>
      <c r="L827" s="474"/>
      <c r="M827" s="474"/>
      <c r="N827" s="474"/>
      <c r="O827" s="474"/>
      <c r="P827" s="474"/>
      <c r="Q827" s="474"/>
    </row>
    <row r="828" spans="7:17">
      <c r="G828" s="474"/>
      <c r="H828" s="474"/>
      <c r="I828" s="474"/>
      <c r="J828" s="474"/>
      <c r="K828" s="474"/>
      <c r="L828" s="474"/>
      <c r="M828" s="474"/>
      <c r="N828" s="474"/>
      <c r="O828" s="474"/>
      <c r="P828" s="474"/>
      <c r="Q828" s="474"/>
    </row>
    <row r="829" spans="7:17">
      <c r="G829" s="474"/>
      <c r="H829" s="474"/>
      <c r="I829" s="474"/>
      <c r="J829" s="474"/>
      <c r="K829" s="474"/>
      <c r="L829" s="474"/>
      <c r="M829" s="474"/>
      <c r="N829" s="474"/>
      <c r="O829" s="474"/>
      <c r="P829" s="474"/>
      <c r="Q829" s="474"/>
    </row>
    <row r="830" spans="7:17">
      <c r="G830" s="474"/>
      <c r="H830" s="474"/>
      <c r="I830" s="474"/>
      <c r="J830" s="474"/>
      <c r="K830" s="474"/>
      <c r="L830" s="474"/>
      <c r="M830" s="474"/>
      <c r="N830" s="474"/>
      <c r="O830" s="474"/>
      <c r="P830" s="474"/>
      <c r="Q830" s="474"/>
    </row>
    <row r="831" spans="7:17">
      <c r="G831" s="474"/>
      <c r="H831" s="474"/>
      <c r="I831" s="474"/>
      <c r="J831" s="474"/>
      <c r="K831" s="474"/>
      <c r="L831" s="474"/>
      <c r="M831" s="474"/>
      <c r="N831" s="474"/>
      <c r="O831" s="474"/>
      <c r="P831" s="474"/>
      <c r="Q831" s="474"/>
    </row>
    <row r="832" spans="7:17">
      <c r="G832" s="474"/>
      <c r="H832" s="474"/>
      <c r="I832" s="474"/>
      <c r="J832" s="474"/>
      <c r="K832" s="474"/>
      <c r="L832" s="474"/>
      <c r="M832" s="474"/>
      <c r="N832" s="474"/>
      <c r="O832" s="474"/>
      <c r="P832" s="474"/>
      <c r="Q832" s="474"/>
    </row>
    <row r="833" spans="7:17">
      <c r="G833" s="474"/>
      <c r="H833" s="474"/>
      <c r="I833" s="474"/>
      <c r="J833" s="474"/>
      <c r="K833" s="474"/>
      <c r="L833" s="474"/>
      <c r="M833" s="474"/>
      <c r="N833" s="474"/>
      <c r="O833" s="474"/>
      <c r="P833" s="474"/>
      <c r="Q833" s="474"/>
    </row>
    <row r="834" spans="7:17">
      <c r="G834" s="474"/>
      <c r="H834" s="474"/>
      <c r="I834" s="474"/>
      <c r="J834" s="474"/>
      <c r="K834" s="474"/>
      <c r="L834" s="474"/>
      <c r="M834" s="474"/>
      <c r="N834" s="474"/>
      <c r="O834" s="474"/>
      <c r="P834" s="474"/>
      <c r="Q834" s="474"/>
    </row>
    <row r="835" spans="7:17">
      <c r="G835" s="474"/>
      <c r="H835" s="474"/>
      <c r="I835" s="474"/>
      <c r="J835" s="474"/>
      <c r="K835" s="474"/>
      <c r="L835" s="474"/>
      <c r="M835" s="474"/>
      <c r="N835" s="474"/>
      <c r="O835" s="474"/>
      <c r="P835" s="474"/>
      <c r="Q835" s="474"/>
    </row>
    <row r="836" spans="7:17">
      <c r="G836" s="474"/>
      <c r="H836" s="474"/>
      <c r="I836" s="474"/>
      <c r="J836" s="474"/>
      <c r="K836" s="474"/>
      <c r="L836" s="474"/>
      <c r="M836" s="474"/>
      <c r="N836" s="474"/>
      <c r="O836" s="474"/>
      <c r="P836" s="474"/>
      <c r="Q836" s="474"/>
    </row>
    <row r="837" spans="7:17">
      <c r="G837" s="474"/>
      <c r="H837" s="474"/>
      <c r="I837" s="474"/>
      <c r="J837" s="474"/>
      <c r="K837" s="474"/>
      <c r="L837" s="474"/>
      <c r="M837" s="474"/>
      <c r="N837" s="474"/>
      <c r="O837" s="474"/>
      <c r="P837" s="474"/>
      <c r="Q837" s="474"/>
    </row>
    <row r="838" spans="7:17">
      <c r="G838" s="474"/>
      <c r="H838" s="474"/>
      <c r="I838" s="474"/>
      <c r="J838" s="474"/>
      <c r="K838" s="474"/>
      <c r="L838" s="474"/>
      <c r="M838" s="474"/>
      <c r="N838" s="474"/>
      <c r="O838" s="474"/>
      <c r="P838" s="474"/>
      <c r="Q838" s="474"/>
    </row>
    <row r="839" spans="7:17">
      <c r="G839" s="474"/>
      <c r="H839" s="474"/>
      <c r="I839" s="474"/>
      <c r="J839" s="474"/>
      <c r="K839" s="474"/>
      <c r="L839" s="474"/>
      <c r="M839" s="474"/>
      <c r="N839" s="474"/>
      <c r="O839" s="474"/>
      <c r="P839" s="474"/>
      <c r="Q839" s="474"/>
    </row>
    <row r="840" spans="7:17">
      <c r="G840" s="474"/>
      <c r="H840" s="474"/>
      <c r="I840" s="474"/>
      <c r="J840" s="474"/>
      <c r="K840" s="474"/>
      <c r="L840" s="474"/>
      <c r="M840" s="474"/>
      <c r="N840" s="474"/>
      <c r="O840" s="474"/>
      <c r="P840" s="474"/>
      <c r="Q840" s="474"/>
    </row>
    <row r="841" spans="7:17">
      <c r="G841" s="474"/>
      <c r="H841" s="474"/>
      <c r="I841" s="474"/>
      <c r="J841" s="474"/>
      <c r="K841" s="474"/>
      <c r="L841" s="474"/>
      <c r="M841" s="474"/>
      <c r="N841" s="474"/>
      <c r="O841" s="474"/>
      <c r="P841" s="474"/>
      <c r="Q841" s="474"/>
    </row>
    <row r="842" spans="7:17">
      <c r="G842" s="474"/>
      <c r="H842" s="474"/>
      <c r="I842" s="474"/>
      <c r="J842" s="474"/>
      <c r="K842" s="474"/>
      <c r="L842" s="474"/>
      <c r="M842" s="474"/>
      <c r="N842" s="474"/>
      <c r="O842" s="474"/>
      <c r="P842" s="474"/>
      <c r="Q842" s="474"/>
    </row>
    <row r="843" spans="7:17">
      <c r="G843" s="474"/>
      <c r="H843" s="474"/>
      <c r="I843" s="474"/>
      <c r="J843" s="474"/>
      <c r="K843" s="474"/>
      <c r="L843" s="474"/>
      <c r="M843" s="474"/>
      <c r="N843" s="474"/>
      <c r="O843" s="474"/>
      <c r="P843" s="474"/>
      <c r="Q843" s="474"/>
    </row>
    <row r="844" spans="7:17">
      <c r="G844" s="474"/>
      <c r="H844" s="474"/>
      <c r="I844" s="474"/>
      <c r="J844" s="474"/>
      <c r="K844" s="474"/>
      <c r="L844" s="474"/>
      <c r="M844" s="474"/>
      <c r="N844" s="474"/>
      <c r="O844" s="474"/>
      <c r="P844" s="474"/>
      <c r="Q844" s="474"/>
    </row>
    <row r="845" spans="7:17">
      <c r="G845" s="474"/>
      <c r="H845" s="474"/>
      <c r="I845" s="474"/>
      <c r="J845" s="474"/>
      <c r="K845" s="474"/>
      <c r="L845" s="474"/>
      <c r="M845" s="474"/>
      <c r="N845" s="474"/>
      <c r="O845" s="474"/>
      <c r="P845" s="474"/>
      <c r="Q845" s="474"/>
    </row>
    <row r="846" spans="7:17">
      <c r="G846" s="474"/>
      <c r="H846" s="474"/>
      <c r="I846" s="474"/>
      <c r="J846" s="474"/>
      <c r="K846" s="474"/>
      <c r="L846" s="474"/>
      <c r="M846" s="474"/>
      <c r="N846" s="474"/>
      <c r="O846" s="474"/>
      <c r="P846" s="474"/>
      <c r="Q846" s="474"/>
    </row>
    <row r="847" spans="7:17">
      <c r="G847" s="474"/>
      <c r="H847" s="474"/>
      <c r="I847" s="474"/>
      <c r="J847" s="474"/>
      <c r="K847" s="474"/>
      <c r="L847" s="474"/>
      <c r="M847" s="474"/>
      <c r="N847" s="474"/>
      <c r="O847" s="474"/>
      <c r="P847" s="474"/>
      <c r="Q847" s="474"/>
    </row>
    <row r="848" spans="7:17">
      <c r="G848" s="474"/>
      <c r="H848" s="474"/>
      <c r="I848" s="474"/>
      <c r="J848" s="474"/>
      <c r="K848" s="474"/>
      <c r="L848" s="474"/>
      <c r="M848" s="474"/>
      <c r="N848" s="474"/>
      <c r="O848" s="474"/>
      <c r="P848" s="474"/>
      <c r="Q848" s="474"/>
    </row>
    <row r="849" spans="7:17">
      <c r="G849" s="474"/>
      <c r="H849" s="474"/>
      <c r="I849" s="474"/>
      <c r="J849" s="474"/>
      <c r="K849" s="474"/>
      <c r="L849" s="474"/>
      <c r="M849" s="474"/>
      <c r="N849" s="474"/>
      <c r="O849" s="474"/>
      <c r="P849" s="474"/>
      <c r="Q849" s="474"/>
    </row>
    <row r="850" spans="7:17">
      <c r="G850" s="474"/>
      <c r="H850" s="474"/>
      <c r="I850" s="474"/>
      <c r="J850" s="474"/>
      <c r="K850" s="474"/>
      <c r="L850" s="474"/>
      <c r="M850" s="474"/>
      <c r="N850" s="474"/>
      <c r="O850" s="474"/>
      <c r="P850" s="474"/>
      <c r="Q850" s="474"/>
    </row>
    <row r="851" spans="7:17">
      <c r="G851" s="474"/>
      <c r="H851" s="474"/>
      <c r="I851" s="474"/>
      <c r="J851" s="474"/>
      <c r="K851" s="474"/>
      <c r="L851" s="474"/>
      <c r="M851" s="474"/>
      <c r="N851" s="474"/>
      <c r="O851" s="474"/>
      <c r="P851" s="474"/>
      <c r="Q851" s="474"/>
    </row>
    <row r="852" spans="7:17">
      <c r="G852" s="474"/>
      <c r="H852" s="474"/>
      <c r="I852" s="474"/>
      <c r="J852" s="474"/>
      <c r="K852" s="474"/>
      <c r="L852" s="474"/>
      <c r="M852" s="474"/>
      <c r="N852" s="474"/>
      <c r="O852" s="474"/>
      <c r="P852" s="474"/>
      <c r="Q852" s="474"/>
    </row>
    <row r="853" spans="7:17">
      <c r="G853" s="474"/>
      <c r="H853" s="474"/>
      <c r="I853" s="474"/>
      <c r="J853" s="474"/>
      <c r="K853" s="474"/>
      <c r="L853" s="474"/>
      <c r="M853" s="474"/>
      <c r="N853" s="474"/>
      <c r="O853" s="474"/>
      <c r="P853" s="474"/>
      <c r="Q853" s="474"/>
    </row>
    <row r="854" spans="7:17">
      <c r="G854" s="474"/>
      <c r="H854" s="474"/>
      <c r="I854" s="474"/>
      <c r="J854" s="474"/>
      <c r="K854" s="474"/>
      <c r="L854" s="474"/>
      <c r="M854" s="474"/>
      <c r="N854" s="474"/>
      <c r="O854" s="474"/>
      <c r="P854" s="474"/>
      <c r="Q854" s="474"/>
    </row>
    <row r="855" spans="7:17">
      <c r="G855" s="474"/>
      <c r="H855" s="474"/>
      <c r="I855" s="474"/>
      <c r="J855" s="474"/>
      <c r="K855" s="474"/>
      <c r="L855" s="474"/>
      <c r="M855" s="474"/>
      <c r="N855" s="474"/>
      <c r="O855" s="474"/>
      <c r="P855" s="474"/>
      <c r="Q855" s="474"/>
    </row>
    <row r="856" spans="7:17">
      <c r="G856" s="474"/>
      <c r="H856" s="474"/>
      <c r="I856" s="474"/>
      <c r="J856" s="474"/>
      <c r="K856" s="474"/>
      <c r="L856" s="474"/>
      <c r="M856" s="474"/>
      <c r="N856" s="474"/>
      <c r="O856" s="474"/>
      <c r="P856" s="474"/>
      <c r="Q856" s="474"/>
    </row>
    <row r="857" spans="7:17">
      <c r="G857" s="474"/>
      <c r="H857" s="474"/>
      <c r="I857" s="474"/>
      <c r="J857" s="474"/>
      <c r="K857" s="474"/>
      <c r="L857" s="474"/>
      <c r="M857" s="474"/>
      <c r="N857" s="474"/>
      <c r="O857" s="474"/>
      <c r="P857" s="474"/>
      <c r="Q857" s="474"/>
    </row>
    <row r="858" spans="7:17">
      <c r="G858" s="474"/>
      <c r="H858" s="474"/>
      <c r="I858" s="474"/>
      <c r="J858" s="474"/>
      <c r="K858" s="474"/>
      <c r="L858" s="474"/>
      <c r="M858" s="474"/>
      <c r="N858" s="474"/>
      <c r="O858" s="474"/>
      <c r="P858" s="474"/>
      <c r="Q858" s="474"/>
    </row>
    <row r="859" spans="7:17">
      <c r="G859" s="474"/>
      <c r="H859" s="474"/>
      <c r="I859" s="474"/>
      <c r="J859" s="474"/>
      <c r="K859" s="474"/>
      <c r="L859" s="474"/>
      <c r="M859" s="474"/>
      <c r="N859" s="474"/>
      <c r="O859" s="474"/>
      <c r="P859" s="474"/>
      <c r="Q859" s="474"/>
    </row>
    <row r="860" spans="7:17">
      <c r="G860" s="474"/>
      <c r="H860" s="474"/>
      <c r="I860" s="474"/>
      <c r="J860" s="474"/>
      <c r="K860" s="474"/>
      <c r="L860" s="474"/>
      <c r="M860" s="474"/>
      <c r="N860" s="474"/>
      <c r="O860" s="474"/>
      <c r="P860" s="474"/>
      <c r="Q860" s="474"/>
    </row>
    <row r="861" spans="7:17">
      <c r="G861" s="474"/>
      <c r="H861" s="474"/>
      <c r="I861" s="474"/>
      <c r="J861" s="474"/>
      <c r="K861" s="474"/>
      <c r="L861" s="474"/>
      <c r="M861" s="474"/>
      <c r="N861" s="474"/>
      <c r="O861" s="474"/>
      <c r="P861" s="474"/>
      <c r="Q861" s="474"/>
    </row>
    <row r="862" spans="7:17">
      <c r="G862" s="474"/>
      <c r="H862" s="474"/>
      <c r="I862" s="474"/>
      <c r="J862" s="474"/>
      <c r="K862" s="474"/>
      <c r="L862" s="474"/>
      <c r="M862" s="474"/>
      <c r="N862" s="474"/>
      <c r="O862" s="474"/>
      <c r="P862" s="474"/>
      <c r="Q862" s="474"/>
    </row>
    <row r="863" spans="7:17">
      <c r="G863" s="474"/>
      <c r="H863" s="474"/>
      <c r="I863" s="474"/>
      <c r="J863" s="474"/>
      <c r="K863" s="474"/>
      <c r="L863" s="474"/>
      <c r="M863" s="474"/>
      <c r="N863" s="474"/>
      <c r="O863" s="474"/>
      <c r="P863" s="474"/>
      <c r="Q863" s="474"/>
    </row>
    <row r="864" spans="7:17">
      <c r="G864" s="474"/>
      <c r="H864" s="474"/>
      <c r="I864" s="474"/>
      <c r="J864" s="474"/>
      <c r="K864" s="474"/>
      <c r="L864" s="474"/>
      <c r="M864" s="474"/>
      <c r="N864" s="474"/>
      <c r="O864" s="474"/>
      <c r="P864" s="474"/>
      <c r="Q864" s="474"/>
    </row>
    <row r="865" spans="7:17">
      <c r="G865" s="474"/>
      <c r="H865" s="474"/>
      <c r="I865" s="474"/>
      <c r="J865" s="474"/>
      <c r="K865" s="474"/>
      <c r="L865" s="474"/>
      <c r="M865" s="474"/>
      <c r="N865" s="474"/>
      <c r="O865" s="474"/>
      <c r="P865" s="474"/>
      <c r="Q865" s="474"/>
    </row>
    <row r="866" spans="7:17">
      <c r="G866" s="474"/>
      <c r="H866" s="474"/>
      <c r="I866" s="474"/>
      <c r="J866" s="474"/>
      <c r="K866" s="474"/>
      <c r="L866" s="474"/>
      <c r="M866" s="474"/>
      <c r="N866" s="474"/>
      <c r="O866" s="474"/>
      <c r="P866" s="474"/>
      <c r="Q866" s="474"/>
    </row>
    <row r="867" spans="7:17">
      <c r="G867" s="474"/>
      <c r="H867" s="474"/>
      <c r="I867" s="474"/>
      <c r="J867" s="474"/>
      <c r="K867" s="474"/>
      <c r="L867" s="474"/>
      <c r="M867" s="474"/>
      <c r="N867" s="474"/>
      <c r="O867" s="474"/>
      <c r="P867" s="474"/>
      <c r="Q867" s="474"/>
    </row>
    <row r="868" spans="7:17">
      <c r="G868" s="474"/>
      <c r="H868" s="474"/>
      <c r="I868" s="474"/>
      <c r="J868" s="474"/>
      <c r="K868" s="474"/>
      <c r="L868" s="474"/>
      <c r="M868" s="474"/>
      <c r="N868" s="474"/>
      <c r="O868" s="474"/>
      <c r="P868" s="474"/>
      <c r="Q868" s="474"/>
    </row>
    <row r="869" spans="7:17">
      <c r="G869" s="474"/>
      <c r="H869" s="474"/>
      <c r="I869" s="474"/>
      <c r="J869" s="474"/>
      <c r="K869" s="474"/>
      <c r="L869" s="474"/>
      <c r="M869" s="474"/>
      <c r="N869" s="474"/>
      <c r="O869" s="474"/>
      <c r="P869" s="474"/>
      <c r="Q869" s="474"/>
    </row>
    <row r="870" spans="7:17">
      <c r="G870" s="474"/>
      <c r="H870" s="474"/>
      <c r="I870" s="474"/>
      <c r="J870" s="474"/>
      <c r="K870" s="474"/>
      <c r="L870" s="474"/>
      <c r="M870" s="474"/>
      <c r="N870" s="474"/>
      <c r="O870" s="474"/>
      <c r="P870" s="474"/>
      <c r="Q870" s="474"/>
    </row>
    <row r="871" spans="7:17">
      <c r="G871" s="474"/>
      <c r="H871" s="474"/>
      <c r="I871" s="474"/>
      <c r="J871" s="474"/>
      <c r="K871" s="474"/>
      <c r="L871" s="474"/>
      <c r="M871" s="474"/>
      <c r="N871" s="474"/>
      <c r="O871" s="474"/>
      <c r="P871" s="474"/>
      <c r="Q871" s="474"/>
    </row>
    <row r="872" spans="7:17">
      <c r="G872" s="474"/>
      <c r="H872" s="474"/>
      <c r="I872" s="474"/>
      <c r="J872" s="474"/>
      <c r="K872" s="474"/>
      <c r="L872" s="474"/>
      <c r="M872" s="474"/>
      <c r="N872" s="474"/>
      <c r="O872" s="474"/>
      <c r="P872" s="474"/>
      <c r="Q872" s="474"/>
    </row>
    <row r="873" spans="7:17">
      <c r="G873" s="474"/>
      <c r="H873" s="474"/>
      <c r="I873" s="474"/>
      <c r="J873" s="474"/>
      <c r="K873" s="474"/>
      <c r="L873" s="474"/>
      <c r="M873" s="474"/>
      <c r="N873" s="474"/>
      <c r="O873" s="474"/>
      <c r="P873" s="474"/>
      <c r="Q873" s="474"/>
    </row>
    <row r="874" spans="7:17">
      <c r="G874" s="474"/>
      <c r="H874" s="474"/>
      <c r="I874" s="474"/>
      <c r="J874" s="474"/>
      <c r="K874" s="474"/>
      <c r="L874" s="474"/>
      <c r="M874" s="474"/>
      <c r="N874" s="474"/>
      <c r="O874" s="474"/>
      <c r="P874" s="474"/>
      <c r="Q874" s="474"/>
    </row>
    <row r="875" spans="7:17">
      <c r="G875" s="474"/>
      <c r="H875" s="474"/>
      <c r="I875" s="474"/>
      <c r="J875" s="474"/>
      <c r="K875" s="474"/>
      <c r="L875" s="474"/>
      <c r="M875" s="474"/>
      <c r="N875" s="474"/>
      <c r="O875" s="474"/>
      <c r="P875" s="474"/>
      <c r="Q875" s="474"/>
    </row>
    <row r="876" spans="7:17">
      <c r="G876" s="474"/>
      <c r="H876" s="474"/>
      <c r="I876" s="474"/>
      <c r="J876" s="474"/>
      <c r="K876" s="474"/>
      <c r="L876" s="474"/>
      <c r="M876" s="474"/>
      <c r="N876" s="474"/>
      <c r="O876" s="474"/>
      <c r="P876" s="474"/>
      <c r="Q876" s="474"/>
    </row>
    <row r="877" spans="7:17">
      <c r="G877" s="474"/>
      <c r="H877" s="474"/>
      <c r="I877" s="474"/>
      <c r="J877" s="474"/>
      <c r="K877" s="474"/>
      <c r="L877" s="474"/>
      <c r="M877" s="474"/>
      <c r="N877" s="474"/>
      <c r="O877" s="474"/>
      <c r="P877" s="474"/>
      <c r="Q877" s="474"/>
    </row>
    <row r="878" spans="7:17">
      <c r="G878" s="474"/>
      <c r="H878" s="474"/>
      <c r="I878" s="474"/>
      <c r="J878" s="474"/>
      <c r="K878" s="474"/>
      <c r="L878" s="474"/>
      <c r="M878" s="474"/>
      <c r="N878" s="474"/>
      <c r="O878" s="474"/>
      <c r="P878" s="474"/>
      <c r="Q878" s="474"/>
    </row>
    <row r="879" spans="7:17">
      <c r="G879" s="474"/>
      <c r="H879" s="474"/>
      <c r="I879" s="474"/>
      <c r="J879" s="474"/>
      <c r="K879" s="474"/>
      <c r="L879" s="474"/>
      <c r="M879" s="474"/>
      <c r="N879" s="474"/>
      <c r="O879" s="474"/>
      <c r="P879" s="474"/>
      <c r="Q879" s="474"/>
    </row>
    <row r="880" spans="7:17">
      <c r="G880" s="474"/>
      <c r="H880" s="474"/>
      <c r="I880" s="474"/>
      <c r="J880" s="474"/>
      <c r="K880" s="474"/>
      <c r="L880" s="474"/>
      <c r="M880" s="474"/>
      <c r="N880" s="474"/>
      <c r="O880" s="474"/>
      <c r="P880" s="474"/>
      <c r="Q880" s="474"/>
    </row>
    <row r="881" spans="7:17">
      <c r="G881" s="474"/>
      <c r="H881" s="474"/>
      <c r="I881" s="474"/>
      <c r="J881" s="474"/>
      <c r="K881" s="474"/>
      <c r="L881" s="474"/>
      <c r="M881" s="474"/>
      <c r="N881" s="474"/>
      <c r="O881" s="474"/>
      <c r="P881" s="474"/>
      <c r="Q881" s="474"/>
    </row>
    <row r="882" spans="7:17">
      <c r="G882" s="474"/>
      <c r="H882" s="474"/>
      <c r="I882" s="474"/>
      <c r="J882" s="474"/>
      <c r="K882" s="474"/>
      <c r="L882" s="474"/>
      <c r="M882" s="474"/>
      <c r="N882" s="474"/>
      <c r="O882" s="474"/>
      <c r="P882" s="474"/>
      <c r="Q882" s="474"/>
    </row>
    <row r="883" spans="7:17">
      <c r="G883" s="474"/>
      <c r="H883" s="474"/>
      <c r="I883" s="474"/>
      <c r="J883" s="474"/>
      <c r="K883" s="474"/>
      <c r="L883" s="474"/>
      <c r="M883" s="474"/>
      <c r="N883" s="474"/>
      <c r="O883" s="474"/>
      <c r="P883" s="474"/>
      <c r="Q883" s="474"/>
    </row>
    <row r="884" spans="7:17">
      <c r="G884" s="474"/>
      <c r="H884" s="474"/>
      <c r="I884" s="474"/>
      <c r="J884" s="474"/>
      <c r="K884" s="474"/>
      <c r="L884" s="474"/>
      <c r="M884" s="474"/>
      <c r="N884" s="474"/>
      <c r="O884" s="474"/>
      <c r="P884" s="474"/>
      <c r="Q884" s="474"/>
    </row>
    <row r="885" spans="7:17">
      <c r="G885" s="474"/>
      <c r="H885" s="474"/>
      <c r="I885" s="474"/>
      <c r="J885" s="474"/>
      <c r="K885" s="474"/>
      <c r="L885" s="474"/>
      <c r="M885" s="474"/>
      <c r="N885" s="474"/>
      <c r="O885" s="474"/>
      <c r="P885" s="474"/>
      <c r="Q885" s="474"/>
    </row>
    <row r="886" spans="7:17">
      <c r="G886" s="474"/>
      <c r="H886" s="474"/>
      <c r="I886" s="474"/>
      <c r="J886" s="474"/>
      <c r="K886" s="474"/>
      <c r="L886" s="474"/>
      <c r="M886" s="474"/>
      <c r="N886" s="474"/>
      <c r="O886" s="474"/>
      <c r="P886" s="474"/>
      <c r="Q886" s="474"/>
    </row>
    <row r="887" spans="7:17">
      <c r="G887" s="474"/>
      <c r="H887" s="474"/>
      <c r="I887" s="474"/>
      <c r="J887" s="474"/>
      <c r="K887" s="474"/>
      <c r="L887" s="474"/>
      <c r="M887" s="474"/>
      <c r="N887" s="474"/>
      <c r="O887" s="474"/>
      <c r="P887" s="474"/>
      <c r="Q887" s="474"/>
    </row>
    <row r="888" spans="7:17">
      <c r="G888" s="474"/>
      <c r="H888" s="474"/>
      <c r="I888" s="474"/>
      <c r="J888" s="474"/>
      <c r="K888" s="474"/>
      <c r="L888" s="474"/>
      <c r="M888" s="474"/>
      <c r="N888" s="474"/>
      <c r="O888" s="474"/>
      <c r="P888" s="474"/>
      <c r="Q888" s="474"/>
    </row>
    <row r="889" spans="7:17">
      <c r="G889" s="474"/>
      <c r="H889" s="474"/>
      <c r="I889" s="474"/>
      <c r="J889" s="474"/>
      <c r="K889" s="474"/>
      <c r="L889" s="474"/>
      <c r="M889" s="474"/>
      <c r="N889" s="474"/>
      <c r="O889" s="474"/>
      <c r="P889" s="474"/>
      <c r="Q889" s="474"/>
    </row>
    <row r="890" spans="7:17">
      <c r="G890" s="474"/>
      <c r="H890" s="474"/>
      <c r="I890" s="474"/>
      <c r="J890" s="474"/>
      <c r="K890" s="474"/>
      <c r="L890" s="474"/>
      <c r="M890" s="474"/>
      <c r="N890" s="474"/>
      <c r="O890" s="474"/>
      <c r="P890" s="474"/>
      <c r="Q890" s="474"/>
    </row>
    <row r="891" spans="7:17">
      <c r="G891" s="474"/>
      <c r="H891" s="474"/>
      <c r="I891" s="474"/>
      <c r="J891" s="474"/>
      <c r="K891" s="474"/>
      <c r="L891" s="474"/>
      <c r="M891" s="474"/>
      <c r="N891" s="474"/>
      <c r="O891" s="474"/>
      <c r="P891" s="474"/>
      <c r="Q891" s="474"/>
    </row>
    <row r="892" spans="7:17">
      <c r="G892" s="474"/>
      <c r="H892" s="474"/>
      <c r="I892" s="474"/>
      <c r="J892" s="474"/>
      <c r="K892" s="474"/>
      <c r="L892" s="474"/>
      <c r="M892" s="474"/>
      <c r="N892" s="474"/>
      <c r="O892" s="474"/>
      <c r="P892" s="474"/>
      <c r="Q892" s="474"/>
    </row>
    <row r="893" spans="7:17">
      <c r="G893" s="474"/>
      <c r="H893" s="474"/>
      <c r="I893" s="474"/>
      <c r="J893" s="474"/>
      <c r="K893" s="474"/>
      <c r="L893" s="474"/>
      <c r="M893" s="474"/>
      <c r="N893" s="474"/>
      <c r="O893" s="474"/>
      <c r="P893" s="474"/>
      <c r="Q893" s="474"/>
    </row>
    <row r="894" spans="7:17">
      <c r="G894" s="474"/>
      <c r="H894" s="474"/>
      <c r="I894" s="474"/>
      <c r="J894" s="474"/>
      <c r="K894" s="474"/>
      <c r="L894" s="474"/>
      <c r="M894" s="474"/>
      <c r="N894" s="474"/>
      <c r="O894" s="474"/>
      <c r="P894" s="474"/>
      <c r="Q894" s="474"/>
    </row>
    <row r="895" spans="7:17">
      <c r="G895" s="474"/>
      <c r="H895" s="474"/>
      <c r="I895" s="474"/>
      <c r="J895" s="474"/>
      <c r="K895" s="474"/>
      <c r="L895" s="474"/>
      <c r="M895" s="474"/>
      <c r="N895" s="474"/>
      <c r="O895" s="474"/>
      <c r="P895" s="474"/>
      <c r="Q895" s="474"/>
    </row>
    <row r="896" spans="7:17">
      <c r="G896" s="474"/>
      <c r="H896" s="474"/>
      <c r="I896" s="474"/>
      <c r="J896" s="474"/>
      <c r="K896" s="474"/>
      <c r="L896" s="474"/>
      <c r="M896" s="474"/>
      <c r="N896" s="474"/>
      <c r="O896" s="474"/>
      <c r="P896" s="474"/>
      <c r="Q896" s="474"/>
    </row>
    <row r="897" spans="7:17">
      <c r="G897" s="474"/>
      <c r="H897" s="474"/>
      <c r="I897" s="474"/>
      <c r="J897" s="474"/>
      <c r="K897" s="474"/>
      <c r="L897" s="474"/>
      <c r="M897" s="474"/>
      <c r="N897" s="474"/>
      <c r="O897" s="474"/>
      <c r="P897" s="474"/>
      <c r="Q897" s="474"/>
    </row>
    <row r="898" spans="7:17">
      <c r="G898" s="474"/>
      <c r="H898" s="474"/>
      <c r="I898" s="474"/>
      <c r="J898" s="474"/>
      <c r="K898" s="474"/>
      <c r="L898" s="474"/>
      <c r="M898" s="474"/>
      <c r="N898" s="474"/>
      <c r="O898" s="474"/>
      <c r="P898" s="474"/>
      <c r="Q898" s="474"/>
    </row>
    <row r="899" spans="7:17">
      <c r="G899" s="474"/>
      <c r="H899" s="474"/>
      <c r="I899" s="474"/>
      <c r="J899" s="474"/>
      <c r="K899" s="474"/>
      <c r="L899" s="474"/>
      <c r="M899" s="474"/>
      <c r="N899" s="474"/>
      <c r="O899" s="474"/>
      <c r="P899" s="474"/>
      <c r="Q899" s="474"/>
    </row>
    <row r="900" spans="7:17">
      <c r="G900" s="474"/>
      <c r="H900" s="474"/>
      <c r="I900" s="474"/>
      <c r="J900" s="474"/>
      <c r="K900" s="474"/>
      <c r="L900" s="474"/>
      <c r="M900" s="474"/>
      <c r="N900" s="474"/>
      <c r="O900" s="474"/>
      <c r="P900" s="474"/>
      <c r="Q900" s="474"/>
    </row>
    <row r="901" spans="7:17">
      <c r="G901" s="474"/>
      <c r="H901" s="474"/>
      <c r="I901" s="474"/>
      <c r="J901" s="474"/>
      <c r="K901" s="474"/>
      <c r="L901" s="474"/>
      <c r="M901" s="474"/>
      <c r="N901" s="474"/>
      <c r="O901" s="474"/>
      <c r="P901" s="474"/>
      <c r="Q901" s="474"/>
    </row>
    <row r="902" spans="7:17">
      <c r="G902" s="474"/>
      <c r="H902" s="474"/>
      <c r="I902" s="474"/>
      <c r="J902" s="474"/>
      <c r="K902" s="474"/>
      <c r="L902" s="474"/>
      <c r="M902" s="474"/>
      <c r="N902" s="474"/>
      <c r="O902" s="474"/>
      <c r="P902" s="474"/>
      <c r="Q902" s="474"/>
    </row>
    <row r="903" spans="7:17">
      <c r="G903" s="474"/>
      <c r="H903" s="474"/>
      <c r="I903" s="474"/>
      <c r="J903" s="474"/>
      <c r="K903" s="474"/>
      <c r="L903" s="474"/>
      <c r="M903" s="474"/>
      <c r="N903" s="474"/>
      <c r="O903" s="474"/>
      <c r="P903" s="474"/>
      <c r="Q903" s="474"/>
    </row>
    <row r="904" spans="7:17">
      <c r="G904" s="474"/>
      <c r="H904" s="474"/>
      <c r="I904" s="474"/>
      <c r="J904" s="474"/>
      <c r="K904" s="474"/>
      <c r="L904" s="474"/>
      <c r="M904" s="474"/>
      <c r="N904" s="474"/>
      <c r="O904" s="474"/>
      <c r="P904" s="474"/>
      <c r="Q904" s="474"/>
    </row>
    <row r="905" spans="7:17">
      <c r="G905" s="474"/>
      <c r="H905" s="474"/>
      <c r="I905" s="474"/>
      <c r="J905" s="474"/>
      <c r="K905" s="474"/>
      <c r="L905" s="474"/>
      <c r="M905" s="474"/>
      <c r="N905" s="474"/>
      <c r="O905" s="474"/>
      <c r="P905" s="474"/>
      <c r="Q905" s="474"/>
    </row>
    <row r="906" spans="7:17">
      <c r="G906" s="474"/>
      <c r="H906" s="474"/>
      <c r="I906" s="474"/>
      <c r="J906" s="474"/>
      <c r="K906" s="474"/>
      <c r="L906" s="474"/>
      <c r="M906" s="474"/>
      <c r="N906" s="474"/>
      <c r="O906" s="474"/>
      <c r="P906" s="474"/>
      <c r="Q906" s="474"/>
    </row>
    <row r="907" spans="7:17">
      <c r="G907" s="474"/>
      <c r="H907" s="474"/>
      <c r="I907" s="474"/>
      <c r="J907" s="474"/>
      <c r="K907" s="474"/>
      <c r="L907" s="474"/>
      <c r="M907" s="474"/>
      <c r="N907" s="474"/>
      <c r="O907" s="474"/>
      <c r="P907" s="474"/>
      <c r="Q907" s="474"/>
    </row>
    <row r="908" spans="7:17">
      <c r="G908" s="474"/>
      <c r="H908" s="474"/>
      <c r="I908" s="474"/>
      <c r="J908" s="474"/>
      <c r="K908" s="474"/>
      <c r="L908" s="474"/>
      <c r="M908" s="474"/>
      <c r="N908" s="474"/>
      <c r="O908" s="474"/>
      <c r="P908" s="474"/>
      <c r="Q908" s="474"/>
    </row>
    <row r="909" spans="7:17">
      <c r="G909" s="474"/>
      <c r="H909" s="474"/>
      <c r="I909" s="474"/>
      <c r="J909" s="474"/>
      <c r="K909" s="474"/>
      <c r="L909" s="474"/>
      <c r="M909" s="474"/>
      <c r="N909" s="474"/>
      <c r="O909" s="474"/>
      <c r="P909" s="474"/>
      <c r="Q909" s="474"/>
    </row>
    <row r="910" spans="7:17">
      <c r="G910" s="474"/>
      <c r="H910" s="474"/>
      <c r="I910" s="474"/>
      <c r="J910" s="474"/>
      <c r="K910" s="474"/>
      <c r="L910" s="474"/>
      <c r="M910" s="474"/>
      <c r="N910" s="474"/>
      <c r="O910" s="474"/>
      <c r="P910" s="474"/>
      <c r="Q910" s="474"/>
    </row>
    <row r="911" spans="7:17">
      <c r="G911" s="474"/>
      <c r="H911" s="474"/>
      <c r="I911" s="474"/>
      <c r="J911" s="474"/>
      <c r="K911" s="474"/>
      <c r="L911" s="474"/>
      <c r="M911" s="474"/>
      <c r="N911" s="474"/>
      <c r="O911" s="474"/>
      <c r="P911" s="474"/>
      <c r="Q911" s="474"/>
    </row>
    <row r="912" spans="7:17">
      <c r="G912" s="474"/>
      <c r="H912" s="474"/>
      <c r="I912" s="474"/>
      <c r="J912" s="474"/>
      <c r="K912" s="474"/>
      <c r="L912" s="474"/>
      <c r="M912" s="474"/>
      <c r="N912" s="474"/>
      <c r="O912" s="474"/>
      <c r="P912" s="474"/>
      <c r="Q912" s="474"/>
    </row>
    <row r="913" spans="7:17">
      <c r="G913" s="474"/>
      <c r="H913" s="474"/>
      <c r="I913" s="474"/>
      <c r="J913" s="474"/>
      <c r="K913" s="474"/>
      <c r="L913" s="474"/>
      <c r="M913" s="474"/>
      <c r="N913" s="474"/>
      <c r="O913" s="474"/>
      <c r="P913" s="474"/>
      <c r="Q913" s="474"/>
    </row>
    <row r="914" spans="7:17">
      <c r="G914" s="474"/>
      <c r="H914" s="474"/>
      <c r="I914" s="474"/>
      <c r="J914" s="474"/>
      <c r="K914" s="474"/>
      <c r="L914" s="474"/>
      <c r="M914" s="474"/>
      <c r="N914" s="474"/>
      <c r="O914" s="474"/>
      <c r="P914" s="474"/>
      <c r="Q914" s="474"/>
    </row>
    <row r="915" spans="7:17">
      <c r="G915" s="474"/>
      <c r="H915" s="474"/>
      <c r="I915" s="474"/>
      <c r="J915" s="474"/>
      <c r="K915" s="474"/>
      <c r="L915" s="474"/>
      <c r="M915" s="474"/>
      <c r="N915" s="474"/>
      <c r="O915" s="474"/>
      <c r="P915" s="474"/>
      <c r="Q915" s="474"/>
    </row>
    <row r="916" spans="7:17">
      <c r="G916" s="474"/>
      <c r="H916" s="474"/>
      <c r="I916" s="474"/>
      <c r="J916" s="474"/>
      <c r="K916" s="474"/>
      <c r="L916" s="474"/>
      <c r="M916" s="474"/>
      <c r="N916" s="474"/>
      <c r="O916" s="474"/>
      <c r="P916" s="474"/>
      <c r="Q916" s="474"/>
    </row>
    <row r="917" spans="7:17">
      <c r="G917" s="474"/>
      <c r="H917" s="474"/>
      <c r="I917" s="474"/>
      <c r="J917" s="474"/>
      <c r="K917" s="474"/>
      <c r="L917" s="474"/>
      <c r="M917" s="474"/>
      <c r="N917" s="474"/>
      <c r="O917" s="474"/>
      <c r="P917" s="474"/>
      <c r="Q917" s="474"/>
    </row>
    <row r="918" spans="7:17">
      <c r="G918" s="474"/>
      <c r="H918" s="474"/>
      <c r="I918" s="474"/>
      <c r="J918" s="474"/>
      <c r="K918" s="474"/>
      <c r="L918" s="474"/>
      <c r="M918" s="474"/>
      <c r="N918" s="474"/>
      <c r="O918" s="474"/>
      <c r="P918" s="474"/>
      <c r="Q918" s="474"/>
    </row>
    <row r="919" spans="7:17">
      <c r="G919" s="474"/>
      <c r="H919" s="474"/>
      <c r="I919" s="474"/>
      <c r="J919" s="474"/>
      <c r="K919" s="474"/>
      <c r="L919" s="474"/>
      <c r="M919" s="474"/>
      <c r="N919" s="474"/>
      <c r="O919" s="474"/>
      <c r="P919" s="474"/>
      <c r="Q919" s="474"/>
    </row>
    <row r="920" spans="7:17">
      <c r="G920" s="474"/>
      <c r="H920" s="474"/>
      <c r="I920" s="474"/>
      <c r="J920" s="474"/>
      <c r="K920" s="474"/>
      <c r="L920" s="474"/>
      <c r="M920" s="474"/>
      <c r="N920" s="474"/>
      <c r="O920" s="474"/>
      <c r="P920" s="474"/>
      <c r="Q920" s="474"/>
    </row>
    <row r="921" spans="7:17">
      <c r="G921" s="474"/>
      <c r="H921" s="474"/>
      <c r="I921" s="474"/>
      <c r="J921" s="474"/>
      <c r="K921" s="474"/>
      <c r="L921" s="474"/>
      <c r="M921" s="474"/>
      <c r="N921" s="474"/>
      <c r="O921" s="474"/>
      <c r="P921" s="474"/>
      <c r="Q921" s="474"/>
    </row>
    <row r="922" spans="7:17">
      <c r="G922" s="474"/>
      <c r="H922" s="474"/>
      <c r="I922" s="474"/>
      <c r="J922" s="474"/>
      <c r="K922" s="474"/>
      <c r="L922" s="474"/>
      <c r="M922" s="474"/>
      <c r="N922" s="474"/>
      <c r="O922" s="474"/>
      <c r="P922" s="474"/>
      <c r="Q922" s="474"/>
    </row>
    <row r="923" spans="7:17">
      <c r="G923" s="474"/>
      <c r="H923" s="474"/>
      <c r="I923" s="474"/>
      <c r="J923" s="474"/>
      <c r="K923" s="474"/>
      <c r="L923" s="474"/>
      <c r="M923" s="474"/>
      <c r="N923" s="474"/>
      <c r="O923" s="474"/>
      <c r="P923" s="474"/>
      <c r="Q923" s="474"/>
    </row>
    <row r="924" spans="7:17">
      <c r="G924" s="474"/>
      <c r="H924" s="474"/>
      <c r="I924" s="474"/>
      <c r="J924" s="474"/>
      <c r="K924" s="474"/>
      <c r="L924" s="474"/>
      <c r="M924" s="474"/>
      <c r="N924" s="474"/>
      <c r="O924" s="474"/>
      <c r="P924" s="474"/>
      <c r="Q924" s="474"/>
    </row>
    <row r="925" spans="7:17">
      <c r="G925" s="474"/>
      <c r="H925" s="474"/>
      <c r="I925" s="474"/>
      <c r="J925" s="474"/>
      <c r="K925" s="474"/>
      <c r="L925" s="474"/>
      <c r="M925" s="474"/>
      <c r="N925" s="474"/>
      <c r="O925" s="474"/>
      <c r="P925" s="474"/>
      <c r="Q925" s="474"/>
    </row>
    <row r="926" spans="7:17">
      <c r="G926" s="474"/>
      <c r="H926" s="474"/>
      <c r="I926" s="474"/>
      <c r="J926" s="474"/>
      <c r="K926" s="474"/>
      <c r="L926" s="474"/>
      <c r="M926" s="474"/>
      <c r="N926" s="474"/>
      <c r="O926" s="474"/>
      <c r="P926" s="474"/>
      <c r="Q926" s="474"/>
    </row>
    <row r="927" spans="7:17">
      <c r="G927" s="474"/>
      <c r="H927" s="474"/>
      <c r="I927" s="474"/>
      <c r="J927" s="474"/>
      <c r="K927" s="474"/>
      <c r="L927" s="474"/>
      <c r="M927" s="474"/>
      <c r="N927" s="474"/>
      <c r="O927" s="474"/>
      <c r="P927" s="474"/>
      <c r="Q927" s="474"/>
    </row>
    <row r="928" spans="7:17">
      <c r="G928" s="474"/>
      <c r="H928" s="474"/>
      <c r="I928" s="474"/>
      <c r="J928" s="474"/>
      <c r="K928" s="474"/>
      <c r="L928" s="474"/>
      <c r="M928" s="474"/>
      <c r="N928" s="474"/>
      <c r="O928" s="474"/>
      <c r="P928" s="474"/>
      <c r="Q928" s="474"/>
    </row>
    <row r="929" spans="7:17">
      <c r="G929" s="474"/>
      <c r="H929" s="474"/>
      <c r="I929" s="474"/>
      <c r="J929" s="474"/>
      <c r="K929" s="474"/>
      <c r="L929" s="474"/>
      <c r="M929" s="474"/>
      <c r="N929" s="474"/>
      <c r="O929" s="474"/>
      <c r="P929" s="474"/>
      <c r="Q929" s="474"/>
    </row>
    <row r="930" spans="7:17">
      <c r="G930" s="474"/>
      <c r="H930" s="474"/>
      <c r="I930" s="474"/>
      <c r="J930" s="474"/>
      <c r="K930" s="474"/>
      <c r="L930" s="474"/>
      <c r="M930" s="474"/>
      <c r="N930" s="474"/>
      <c r="O930" s="474"/>
      <c r="P930" s="474"/>
      <c r="Q930" s="474"/>
    </row>
    <row r="931" spans="7:17">
      <c r="G931" s="474"/>
      <c r="H931" s="474"/>
      <c r="I931" s="474"/>
      <c r="J931" s="474"/>
      <c r="K931" s="474"/>
      <c r="L931" s="474"/>
      <c r="M931" s="474"/>
      <c r="N931" s="474"/>
      <c r="O931" s="474"/>
      <c r="P931" s="474"/>
      <c r="Q931" s="474"/>
    </row>
    <row r="932" spans="7:17">
      <c r="G932" s="474"/>
      <c r="H932" s="474"/>
      <c r="I932" s="474"/>
      <c r="J932" s="474"/>
      <c r="K932" s="474"/>
      <c r="L932" s="474"/>
      <c r="M932" s="474"/>
      <c r="N932" s="474"/>
      <c r="O932" s="474"/>
      <c r="P932" s="474"/>
      <c r="Q932" s="474"/>
    </row>
    <row r="933" spans="7:17">
      <c r="G933" s="474"/>
      <c r="H933" s="474"/>
      <c r="I933" s="474"/>
      <c r="J933" s="474"/>
      <c r="K933" s="474"/>
      <c r="L933" s="474"/>
      <c r="M933" s="474"/>
      <c r="N933" s="474"/>
      <c r="O933" s="474"/>
      <c r="P933" s="474"/>
      <c r="Q933" s="474"/>
    </row>
    <row r="934" spans="7:17">
      <c r="G934" s="474"/>
      <c r="H934" s="474"/>
      <c r="I934" s="474"/>
      <c r="J934" s="474"/>
      <c r="K934" s="474"/>
      <c r="L934" s="474"/>
      <c r="M934" s="474"/>
      <c r="N934" s="474"/>
      <c r="O934" s="474"/>
      <c r="P934" s="474"/>
      <c r="Q934" s="474"/>
    </row>
    <row r="935" spans="7:17">
      <c r="G935" s="474"/>
      <c r="H935" s="474"/>
      <c r="I935" s="474"/>
      <c r="J935" s="474"/>
      <c r="K935" s="474"/>
      <c r="L935" s="474"/>
      <c r="M935" s="474"/>
      <c r="N935" s="474"/>
      <c r="O935" s="474"/>
      <c r="P935" s="474"/>
      <c r="Q935" s="474"/>
    </row>
    <row r="936" spans="7:17">
      <c r="G936" s="474"/>
      <c r="H936" s="474"/>
      <c r="I936" s="474"/>
      <c r="J936" s="474"/>
      <c r="K936" s="474"/>
      <c r="L936" s="474"/>
      <c r="M936" s="474"/>
      <c r="N936" s="474"/>
      <c r="O936" s="474"/>
      <c r="P936" s="474"/>
      <c r="Q936" s="474"/>
    </row>
    <row r="937" spans="7:17">
      <c r="G937" s="474"/>
      <c r="H937" s="474"/>
      <c r="I937" s="474"/>
      <c r="J937" s="474"/>
      <c r="K937" s="474"/>
      <c r="L937" s="474"/>
      <c r="M937" s="474"/>
      <c r="N937" s="474"/>
      <c r="O937" s="474"/>
      <c r="P937" s="474"/>
      <c r="Q937" s="474"/>
    </row>
    <row r="938" spans="7:17">
      <c r="G938" s="474"/>
      <c r="H938" s="474"/>
      <c r="I938" s="474"/>
      <c r="J938" s="474"/>
      <c r="K938" s="474"/>
      <c r="L938" s="474"/>
      <c r="M938" s="474"/>
      <c r="N938" s="474"/>
      <c r="O938" s="474"/>
      <c r="P938" s="474"/>
      <c r="Q938" s="474"/>
    </row>
    <row r="939" spans="7:17">
      <c r="G939" s="474"/>
      <c r="H939" s="474"/>
      <c r="I939" s="474"/>
      <c r="J939" s="474"/>
      <c r="K939" s="474"/>
      <c r="L939" s="474"/>
      <c r="M939" s="474"/>
      <c r="N939" s="474"/>
      <c r="O939" s="474"/>
      <c r="P939" s="474"/>
      <c r="Q939" s="474"/>
    </row>
    <row r="940" spans="7:17">
      <c r="G940" s="474"/>
      <c r="H940" s="474"/>
      <c r="I940" s="474"/>
      <c r="J940" s="474"/>
      <c r="K940" s="474"/>
      <c r="L940" s="474"/>
      <c r="M940" s="474"/>
      <c r="N940" s="474"/>
      <c r="O940" s="474"/>
      <c r="P940" s="474"/>
      <c r="Q940" s="474"/>
    </row>
    <row r="941" spans="7:17">
      <c r="G941" s="474"/>
      <c r="H941" s="474"/>
      <c r="I941" s="474"/>
      <c r="J941" s="474"/>
      <c r="K941" s="474"/>
      <c r="L941" s="474"/>
      <c r="M941" s="474"/>
      <c r="N941" s="474"/>
      <c r="O941" s="474"/>
      <c r="P941" s="474"/>
      <c r="Q941" s="474"/>
    </row>
    <row r="942" spans="7:17">
      <c r="G942" s="474"/>
      <c r="H942" s="474"/>
      <c r="I942" s="474"/>
      <c r="J942" s="474"/>
      <c r="K942" s="474"/>
      <c r="L942" s="474"/>
      <c r="M942" s="474"/>
      <c r="N942" s="474"/>
      <c r="O942" s="474"/>
      <c r="P942" s="474"/>
      <c r="Q942" s="474"/>
    </row>
    <row r="943" spans="7:17">
      <c r="G943" s="474"/>
      <c r="H943" s="474"/>
      <c r="I943" s="474"/>
      <c r="J943" s="474"/>
      <c r="K943" s="474"/>
      <c r="L943" s="474"/>
      <c r="M943" s="474"/>
      <c r="N943" s="474"/>
      <c r="O943" s="474"/>
      <c r="P943" s="474"/>
      <c r="Q943" s="474"/>
    </row>
    <row r="944" spans="7:17">
      <c r="G944" s="474"/>
      <c r="H944" s="474"/>
      <c r="I944" s="474"/>
      <c r="J944" s="474"/>
      <c r="K944" s="474"/>
      <c r="L944" s="474"/>
      <c r="M944" s="474"/>
      <c r="N944" s="474"/>
      <c r="O944" s="474"/>
      <c r="P944" s="474"/>
      <c r="Q944" s="474"/>
    </row>
    <row r="945" spans="7:17">
      <c r="G945" s="474"/>
      <c r="H945" s="474"/>
      <c r="I945" s="474"/>
      <c r="J945" s="474"/>
      <c r="K945" s="474"/>
      <c r="L945" s="474"/>
      <c r="M945" s="474"/>
      <c r="N945" s="474"/>
      <c r="O945" s="474"/>
      <c r="P945" s="474"/>
      <c r="Q945" s="474"/>
    </row>
    <row r="946" spans="7:17">
      <c r="G946" s="474"/>
      <c r="H946" s="474"/>
      <c r="I946" s="474"/>
      <c r="J946" s="474"/>
      <c r="K946" s="474"/>
      <c r="L946" s="474"/>
      <c r="M946" s="474"/>
      <c r="N946" s="474"/>
      <c r="O946" s="474"/>
      <c r="P946" s="474"/>
      <c r="Q946" s="474"/>
    </row>
    <row r="947" spans="7:17">
      <c r="G947" s="474"/>
      <c r="H947" s="474"/>
      <c r="I947" s="474"/>
      <c r="J947" s="474"/>
      <c r="K947" s="474"/>
      <c r="L947" s="474"/>
      <c r="M947" s="474"/>
      <c r="N947" s="474"/>
      <c r="O947" s="474"/>
      <c r="P947" s="474"/>
      <c r="Q947" s="474"/>
    </row>
    <row r="948" spans="7:17">
      <c r="G948" s="474"/>
      <c r="H948" s="474"/>
      <c r="I948" s="474"/>
      <c r="J948" s="474"/>
      <c r="K948" s="474"/>
      <c r="L948" s="474"/>
      <c r="M948" s="474"/>
      <c r="N948" s="474"/>
      <c r="O948" s="474"/>
      <c r="P948" s="474"/>
      <c r="Q948" s="474"/>
    </row>
    <row r="949" spans="7:17">
      <c r="G949" s="474"/>
      <c r="H949" s="474"/>
      <c r="I949" s="474"/>
      <c r="J949" s="474"/>
      <c r="K949" s="474"/>
      <c r="L949" s="474"/>
      <c r="M949" s="474"/>
      <c r="N949" s="474"/>
      <c r="O949" s="474"/>
      <c r="P949" s="474"/>
      <c r="Q949" s="474"/>
    </row>
    <row r="950" spans="7:17">
      <c r="G950" s="474"/>
      <c r="H950" s="474"/>
      <c r="I950" s="474"/>
      <c r="J950" s="474"/>
      <c r="K950" s="474"/>
      <c r="L950" s="474"/>
      <c r="M950" s="474"/>
      <c r="N950" s="474"/>
      <c r="O950" s="474"/>
      <c r="P950" s="474"/>
      <c r="Q950" s="474"/>
    </row>
    <row r="951" spans="7:17">
      <c r="G951" s="474"/>
      <c r="H951" s="474"/>
      <c r="I951" s="474"/>
      <c r="J951" s="474"/>
      <c r="K951" s="474"/>
      <c r="L951" s="474"/>
      <c r="M951" s="474"/>
      <c r="N951" s="474"/>
      <c r="O951" s="474"/>
      <c r="P951" s="474"/>
      <c r="Q951" s="474"/>
    </row>
    <row r="952" spans="7:17">
      <c r="G952" s="474"/>
      <c r="H952" s="474"/>
      <c r="I952" s="474"/>
      <c r="J952" s="474"/>
      <c r="K952" s="474"/>
      <c r="L952" s="474"/>
      <c r="M952" s="474"/>
      <c r="N952" s="474"/>
      <c r="O952" s="474"/>
      <c r="P952" s="474"/>
      <c r="Q952" s="474"/>
    </row>
    <row r="953" spans="7:17">
      <c r="G953" s="474"/>
      <c r="H953" s="474"/>
      <c r="I953" s="474"/>
      <c r="J953" s="474"/>
      <c r="K953" s="474"/>
      <c r="L953" s="474"/>
      <c r="M953" s="474"/>
      <c r="N953" s="474"/>
      <c r="O953" s="474"/>
      <c r="P953" s="474"/>
      <c r="Q953" s="474"/>
    </row>
    <row r="954" spans="7:17">
      <c r="G954" s="474"/>
      <c r="H954" s="474"/>
      <c r="I954" s="474"/>
      <c r="J954" s="474"/>
      <c r="K954" s="474"/>
      <c r="L954" s="474"/>
      <c r="M954" s="474"/>
      <c r="N954" s="474"/>
      <c r="O954" s="474"/>
      <c r="P954" s="474"/>
      <c r="Q954" s="474"/>
    </row>
    <row r="955" spans="7:17">
      <c r="G955" s="474"/>
      <c r="H955" s="474"/>
      <c r="I955" s="474"/>
      <c r="J955" s="474"/>
      <c r="K955" s="474"/>
      <c r="L955" s="474"/>
      <c r="M955" s="474"/>
      <c r="N955" s="474"/>
      <c r="O955" s="474"/>
      <c r="P955" s="474"/>
      <c r="Q955" s="474"/>
    </row>
    <row r="956" spans="7:17">
      <c r="G956" s="474"/>
      <c r="H956" s="474"/>
      <c r="I956" s="474"/>
      <c r="J956" s="474"/>
      <c r="K956" s="474"/>
      <c r="L956" s="474"/>
      <c r="M956" s="474"/>
      <c r="N956" s="474"/>
      <c r="O956" s="474"/>
      <c r="P956" s="474"/>
      <c r="Q956" s="474"/>
    </row>
    <row r="957" spans="7:17">
      <c r="G957" s="474"/>
      <c r="H957" s="474"/>
      <c r="I957" s="474"/>
      <c r="J957" s="474"/>
      <c r="K957" s="474"/>
      <c r="L957" s="474"/>
      <c r="M957" s="474"/>
      <c r="N957" s="474"/>
      <c r="O957" s="474"/>
      <c r="P957" s="474"/>
      <c r="Q957" s="474"/>
    </row>
    <row r="958" spans="7:17">
      <c r="G958" s="474"/>
      <c r="H958" s="474"/>
      <c r="I958" s="474"/>
      <c r="J958" s="474"/>
      <c r="K958" s="474"/>
      <c r="L958" s="474"/>
      <c r="M958" s="474"/>
      <c r="N958" s="474"/>
      <c r="O958" s="474"/>
      <c r="P958" s="474"/>
      <c r="Q958" s="474"/>
    </row>
    <row r="959" spans="7:17">
      <c r="G959" s="474"/>
      <c r="H959" s="474"/>
      <c r="I959" s="474"/>
      <c r="J959" s="474"/>
      <c r="K959" s="474"/>
      <c r="L959" s="474"/>
      <c r="M959" s="474"/>
      <c r="N959" s="474"/>
      <c r="O959" s="474"/>
      <c r="P959" s="474"/>
      <c r="Q959" s="474"/>
    </row>
    <row r="960" spans="7:17">
      <c r="G960" s="474"/>
      <c r="H960" s="474"/>
      <c r="I960" s="474"/>
      <c r="J960" s="474"/>
      <c r="K960" s="474"/>
      <c r="L960" s="474"/>
      <c r="M960" s="474"/>
      <c r="N960" s="474"/>
      <c r="O960" s="474"/>
      <c r="P960" s="474"/>
      <c r="Q960" s="474"/>
    </row>
    <row r="961" spans="7:17">
      <c r="G961" s="474"/>
      <c r="H961" s="474"/>
      <c r="I961" s="474"/>
      <c r="J961" s="474"/>
      <c r="K961" s="474"/>
      <c r="L961" s="474"/>
      <c r="M961" s="474"/>
      <c r="N961" s="474"/>
      <c r="O961" s="474"/>
      <c r="P961" s="474"/>
      <c r="Q961" s="474"/>
    </row>
    <row r="962" spans="7:17">
      <c r="G962" s="474"/>
      <c r="H962" s="474"/>
      <c r="I962" s="474"/>
      <c r="J962" s="474"/>
      <c r="K962" s="474"/>
      <c r="L962" s="474"/>
      <c r="M962" s="474"/>
      <c r="N962" s="474"/>
      <c r="O962" s="474"/>
      <c r="P962" s="474"/>
      <c r="Q962" s="474"/>
    </row>
    <row r="963" spans="7:17">
      <c r="G963" s="474"/>
      <c r="H963" s="474"/>
      <c r="I963" s="474"/>
      <c r="J963" s="474"/>
      <c r="K963" s="474"/>
      <c r="L963" s="474"/>
      <c r="M963" s="474"/>
      <c r="N963" s="474"/>
      <c r="O963" s="474"/>
      <c r="P963" s="474"/>
      <c r="Q963" s="474"/>
    </row>
    <row r="964" spans="7:17">
      <c r="G964" s="474"/>
      <c r="H964" s="474"/>
      <c r="I964" s="474"/>
      <c r="J964" s="474"/>
      <c r="K964" s="474"/>
      <c r="L964" s="474"/>
      <c r="M964" s="474"/>
      <c r="N964" s="474"/>
      <c r="O964" s="474"/>
      <c r="P964" s="474"/>
      <c r="Q964" s="474"/>
    </row>
    <row r="965" spans="7:17">
      <c r="G965" s="474"/>
      <c r="H965" s="474"/>
      <c r="I965" s="474"/>
      <c r="J965" s="474"/>
      <c r="K965" s="474"/>
      <c r="L965" s="474"/>
      <c r="M965" s="474"/>
      <c r="N965" s="474"/>
      <c r="O965" s="474"/>
      <c r="P965" s="474"/>
      <c r="Q965" s="474"/>
    </row>
    <row r="966" spans="7:17">
      <c r="G966" s="474"/>
      <c r="H966" s="474"/>
      <c r="I966" s="474"/>
      <c r="J966" s="474"/>
      <c r="K966" s="474"/>
      <c r="L966" s="474"/>
      <c r="M966" s="474"/>
      <c r="N966" s="474"/>
      <c r="O966" s="474"/>
      <c r="P966" s="474"/>
      <c r="Q966" s="474"/>
    </row>
    <row r="967" spans="7:17">
      <c r="G967" s="474"/>
      <c r="H967" s="474"/>
      <c r="I967" s="474"/>
      <c r="J967" s="474"/>
      <c r="K967" s="474"/>
      <c r="L967" s="474"/>
      <c r="M967" s="474"/>
      <c r="N967" s="474"/>
      <c r="O967" s="474"/>
      <c r="P967" s="474"/>
      <c r="Q967" s="474"/>
    </row>
    <row r="968" spans="7:17">
      <c r="G968" s="474"/>
      <c r="H968" s="474"/>
      <c r="I968" s="474"/>
      <c r="J968" s="474"/>
      <c r="K968" s="474"/>
      <c r="L968" s="474"/>
      <c r="M968" s="474"/>
      <c r="N968" s="474"/>
      <c r="O968" s="474"/>
      <c r="P968" s="474"/>
      <c r="Q968" s="474"/>
    </row>
    <row r="969" spans="7:17">
      <c r="G969" s="474"/>
      <c r="H969" s="474"/>
      <c r="I969" s="474"/>
      <c r="J969" s="474"/>
      <c r="K969" s="474"/>
      <c r="L969" s="474"/>
      <c r="M969" s="474"/>
      <c r="N969" s="474"/>
      <c r="O969" s="474"/>
      <c r="P969" s="474"/>
      <c r="Q969" s="474"/>
    </row>
    <row r="970" spans="7:17">
      <c r="G970" s="474"/>
      <c r="H970" s="474"/>
      <c r="I970" s="474"/>
      <c r="J970" s="474"/>
      <c r="K970" s="474"/>
      <c r="L970" s="474"/>
      <c r="M970" s="474"/>
      <c r="N970" s="474"/>
      <c r="O970" s="474"/>
      <c r="P970" s="474"/>
      <c r="Q970" s="474"/>
    </row>
    <row r="971" spans="7:17">
      <c r="G971" s="474"/>
      <c r="H971" s="474"/>
      <c r="I971" s="474"/>
      <c r="J971" s="474"/>
      <c r="K971" s="474"/>
      <c r="L971" s="474"/>
      <c r="M971" s="474"/>
      <c r="N971" s="474"/>
      <c r="O971" s="474"/>
      <c r="P971" s="474"/>
      <c r="Q971" s="474"/>
    </row>
    <row r="972" spans="7:17">
      <c r="G972" s="474"/>
      <c r="H972" s="474"/>
      <c r="I972" s="474"/>
      <c r="J972" s="474"/>
      <c r="K972" s="474"/>
      <c r="L972" s="474"/>
      <c r="M972" s="474"/>
      <c r="N972" s="474"/>
      <c r="O972" s="474"/>
      <c r="P972" s="474"/>
      <c r="Q972" s="474"/>
    </row>
    <row r="973" spans="7:17">
      <c r="G973" s="474"/>
      <c r="H973" s="474"/>
      <c r="I973" s="474"/>
      <c r="J973" s="474"/>
      <c r="K973" s="474"/>
      <c r="L973" s="474"/>
      <c r="M973" s="474"/>
      <c r="N973" s="474"/>
      <c r="O973" s="474"/>
      <c r="P973" s="474"/>
      <c r="Q973" s="474"/>
    </row>
    <row r="974" spans="7:17">
      <c r="G974" s="474"/>
      <c r="H974" s="474"/>
      <c r="I974" s="474"/>
      <c r="J974" s="474"/>
      <c r="K974" s="474"/>
      <c r="L974" s="474"/>
      <c r="M974" s="474"/>
      <c r="N974" s="474"/>
      <c r="O974" s="474"/>
      <c r="P974" s="474"/>
      <c r="Q974" s="474"/>
    </row>
    <row r="975" spans="7:17">
      <c r="G975" s="474"/>
      <c r="H975" s="474"/>
      <c r="I975" s="474"/>
      <c r="J975" s="474"/>
      <c r="K975" s="474"/>
      <c r="L975" s="474"/>
      <c r="M975" s="474"/>
      <c r="N975" s="474"/>
      <c r="O975" s="474"/>
      <c r="P975" s="474"/>
      <c r="Q975" s="474"/>
    </row>
    <row r="976" spans="7:17">
      <c r="G976" s="474"/>
      <c r="H976" s="474"/>
      <c r="I976" s="474"/>
      <c r="J976" s="474"/>
      <c r="K976" s="474"/>
      <c r="L976" s="474"/>
      <c r="M976" s="474"/>
      <c r="N976" s="474"/>
      <c r="O976" s="474"/>
      <c r="P976" s="474"/>
      <c r="Q976" s="474"/>
    </row>
    <row r="977" spans="7:17">
      <c r="G977" s="474"/>
      <c r="H977" s="474"/>
      <c r="I977" s="474"/>
      <c r="J977" s="474"/>
      <c r="K977" s="474"/>
      <c r="L977" s="474"/>
      <c r="M977" s="474"/>
      <c r="N977" s="474"/>
      <c r="O977" s="474"/>
      <c r="P977" s="474"/>
      <c r="Q977" s="474"/>
    </row>
    <row r="978" spans="7:17">
      <c r="G978" s="474"/>
      <c r="H978" s="474"/>
      <c r="I978" s="474"/>
      <c r="J978" s="474"/>
      <c r="K978" s="474"/>
      <c r="L978" s="474"/>
      <c r="M978" s="474"/>
      <c r="N978" s="474"/>
      <c r="O978" s="474"/>
      <c r="P978" s="474"/>
      <c r="Q978" s="474"/>
    </row>
    <row r="979" spans="7:17">
      <c r="G979" s="474"/>
      <c r="H979" s="474"/>
      <c r="I979" s="474"/>
      <c r="J979" s="474"/>
      <c r="K979" s="474"/>
      <c r="L979" s="474"/>
      <c r="M979" s="474"/>
      <c r="N979" s="474"/>
      <c r="O979" s="474"/>
      <c r="P979" s="474"/>
      <c r="Q979" s="474"/>
    </row>
    <row r="980" spans="7:17">
      <c r="G980" s="474"/>
      <c r="H980" s="474"/>
      <c r="I980" s="474"/>
      <c r="J980" s="474"/>
      <c r="K980" s="474"/>
      <c r="L980" s="474"/>
      <c r="M980" s="474"/>
      <c r="N980" s="474"/>
      <c r="O980" s="474"/>
      <c r="P980" s="474"/>
      <c r="Q980" s="474"/>
    </row>
    <row r="981" spans="7:17">
      <c r="G981" s="474"/>
      <c r="H981" s="474"/>
      <c r="I981" s="474"/>
      <c r="J981" s="474"/>
      <c r="K981" s="474"/>
      <c r="L981" s="474"/>
      <c r="M981" s="474"/>
      <c r="N981" s="474"/>
      <c r="O981" s="474"/>
      <c r="P981" s="474"/>
      <c r="Q981" s="474"/>
    </row>
    <row r="982" spans="7:17">
      <c r="G982" s="474"/>
      <c r="H982" s="474"/>
      <c r="I982" s="474"/>
      <c r="J982" s="474"/>
      <c r="K982" s="474"/>
      <c r="L982" s="474"/>
      <c r="M982" s="474"/>
      <c r="N982" s="474"/>
      <c r="O982" s="474"/>
      <c r="P982" s="474"/>
      <c r="Q982" s="474"/>
    </row>
    <row r="983" spans="7:17">
      <c r="G983" s="474"/>
      <c r="H983" s="474"/>
      <c r="I983" s="474"/>
      <c r="J983" s="474"/>
      <c r="K983" s="474"/>
      <c r="L983" s="474"/>
      <c r="M983" s="474"/>
      <c r="N983" s="474"/>
      <c r="O983" s="474"/>
      <c r="P983" s="474"/>
      <c r="Q983" s="474"/>
    </row>
    <row r="984" spans="7:17">
      <c r="G984" s="474"/>
      <c r="H984" s="474"/>
      <c r="I984" s="474"/>
      <c r="J984" s="474"/>
      <c r="K984" s="474"/>
      <c r="L984" s="474"/>
      <c r="M984" s="474"/>
      <c r="N984" s="474"/>
      <c r="O984" s="474"/>
      <c r="P984" s="474"/>
      <c r="Q984" s="474"/>
    </row>
    <row r="985" spans="7:17">
      <c r="G985" s="474"/>
      <c r="H985" s="474"/>
      <c r="I985" s="474"/>
      <c r="J985" s="474"/>
      <c r="K985" s="474"/>
      <c r="L985" s="474"/>
      <c r="M985" s="474"/>
      <c r="N985" s="474"/>
      <c r="O985" s="474"/>
      <c r="P985" s="474"/>
      <c r="Q985" s="474"/>
    </row>
    <row r="986" spans="7:17">
      <c r="G986" s="474"/>
      <c r="H986" s="474"/>
      <c r="I986" s="474"/>
      <c r="J986" s="474"/>
      <c r="K986" s="474"/>
      <c r="L986" s="474"/>
      <c r="M986" s="474"/>
      <c r="N986" s="474"/>
      <c r="O986" s="474"/>
      <c r="P986" s="474"/>
      <c r="Q986" s="474"/>
    </row>
    <row r="987" spans="7:17">
      <c r="G987" s="474"/>
      <c r="H987" s="474"/>
      <c r="I987" s="474"/>
      <c r="J987" s="474"/>
      <c r="K987" s="474"/>
      <c r="L987" s="474"/>
      <c r="M987" s="474"/>
      <c r="N987" s="474"/>
      <c r="O987" s="474"/>
      <c r="P987" s="474"/>
      <c r="Q987" s="474"/>
    </row>
    <row r="988" spans="7:17">
      <c r="G988" s="474"/>
      <c r="H988" s="474"/>
      <c r="I988" s="474"/>
      <c r="J988" s="474"/>
      <c r="K988" s="474"/>
      <c r="L988" s="474"/>
      <c r="M988" s="474"/>
      <c r="N988" s="474"/>
      <c r="O988" s="474"/>
      <c r="P988" s="474"/>
      <c r="Q988" s="474"/>
    </row>
    <row r="989" spans="7:17">
      <c r="G989" s="474"/>
      <c r="H989" s="474"/>
      <c r="I989" s="474"/>
      <c r="J989" s="474"/>
      <c r="K989" s="474"/>
      <c r="L989" s="474"/>
      <c r="M989" s="474"/>
      <c r="N989" s="474"/>
      <c r="O989" s="474"/>
      <c r="P989" s="474"/>
      <c r="Q989" s="474"/>
    </row>
    <row r="990" spans="7:17">
      <c r="G990" s="474"/>
      <c r="H990" s="474"/>
      <c r="I990" s="474"/>
      <c r="J990" s="474"/>
      <c r="K990" s="474"/>
      <c r="L990" s="474"/>
      <c r="M990" s="474"/>
      <c r="N990" s="474"/>
      <c r="O990" s="474"/>
      <c r="P990" s="474"/>
      <c r="Q990" s="474"/>
    </row>
    <row r="991" spans="7:17">
      <c r="G991" s="474"/>
      <c r="H991" s="474"/>
      <c r="I991" s="474"/>
      <c r="J991" s="474"/>
      <c r="K991" s="474"/>
      <c r="L991" s="474"/>
      <c r="M991" s="474"/>
      <c r="N991" s="474"/>
      <c r="O991" s="474"/>
      <c r="P991" s="474"/>
      <c r="Q991" s="474"/>
    </row>
    <row r="992" spans="7:17">
      <c r="G992" s="474"/>
      <c r="H992" s="474"/>
      <c r="I992" s="474"/>
      <c r="J992" s="474"/>
      <c r="K992" s="474"/>
      <c r="L992" s="474"/>
      <c r="M992" s="474"/>
      <c r="N992" s="474"/>
      <c r="O992" s="474"/>
      <c r="P992" s="474"/>
      <c r="Q992" s="474"/>
    </row>
    <row r="993" spans="7:17">
      <c r="G993" s="474"/>
      <c r="H993" s="474"/>
      <c r="I993" s="474"/>
      <c r="J993" s="474"/>
      <c r="K993" s="474"/>
      <c r="L993" s="474"/>
      <c r="M993" s="474"/>
      <c r="N993" s="474"/>
      <c r="O993" s="474"/>
      <c r="P993" s="474"/>
      <c r="Q993" s="474"/>
    </row>
    <row r="994" spans="7:17">
      <c r="G994" s="474"/>
      <c r="H994" s="474"/>
      <c r="I994" s="474"/>
      <c r="J994" s="474"/>
      <c r="K994" s="474"/>
      <c r="L994" s="474"/>
      <c r="M994" s="474"/>
      <c r="N994" s="474"/>
      <c r="O994" s="474"/>
      <c r="P994" s="474"/>
      <c r="Q994" s="474"/>
    </row>
    <row r="995" spans="7:17">
      <c r="G995" s="474"/>
      <c r="H995" s="474"/>
      <c r="I995" s="474"/>
      <c r="J995" s="474"/>
      <c r="K995" s="474"/>
      <c r="L995" s="474"/>
      <c r="M995" s="474"/>
      <c r="N995" s="474"/>
      <c r="O995" s="474"/>
      <c r="P995" s="474"/>
      <c r="Q995" s="474"/>
    </row>
    <row r="996" spans="7:17">
      <c r="G996" s="474"/>
      <c r="H996" s="474"/>
      <c r="I996" s="474"/>
      <c r="J996" s="474"/>
      <c r="K996" s="474"/>
      <c r="L996" s="474"/>
      <c r="M996" s="474"/>
      <c r="N996" s="474"/>
      <c r="O996" s="474"/>
      <c r="P996" s="474"/>
      <c r="Q996" s="474"/>
    </row>
    <row r="997" spans="7:17">
      <c r="G997" s="474"/>
      <c r="H997" s="474"/>
      <c r="I997" s="474"/>
      <c r="J997" s="474"/>
      <c r="K997" s="474"/>
      <c r="L997" s="474"/>
      <c r="M997" s="474"/>
      <c r="N997" s="474"/>
      <c r="O997" s="474"/>
      <c r="P997" s="474"/>
      <c r="Q997" s="474"/>
    </row>
    <row r="998" spans="7:17">
      <c r="G998" s="474"/>
      <c r="H998" s="474"/>
      <c r="I998" s="474"/>
      <c r="J998" s="474"/>
      <c r="K998" s="474"/>
      <c r="L998" s="474"/>
      <c r="M998" s="474"/>
      <c r="N998" s="474"/>
      <c r="O998" s="474"/>
      <c r="P998" s="474"/>
      <c r="Q998" s="474"/>
    </row>
    <row r="999" spans="7:17">
      <c r="G999" s="474"/>
      <c r="H999" s="474"/>
      <c r="I999" s="474"/>
      <c r="J999" s="474"/>
      <c r="K999" s="474"/>
      <c r="L999" s="474"/>
      <c r="M999" s="474"/>
      <c r="N999" s="474"/>
      <c r="O999" s="474"/>
      <c r="P999" s="474"/>
      <c r="Q999" s="474"/>
    </row>
    <row r="1000" spans="7:17">
      <c r="G1000" s="474"/>
      <c r="H1000" s="474"/>
      <c r="I1000" s="474"/>
      <c r="J1000" s="474"/>
      <c r="K1000" s="474"/>
      <c r="L1000" s="474"/>
      <c r="M1000" s="474"/>
      <c r="N1000" s="474"/>
      <c r="O1000" s="474"/>
      <c r="P1000" s="474"/>
      <c r="Q1000" s="474"/>
    </row>
    <row r="1001" spans="7:17">
      <c r="G1001" s="474"/>
      <c r="H1001" s="474"/>
      <c r="I1001" s="474"/>
      <c r="J1001" s="474"/>
      <c r="K1001" s="474"/>
      <c r="L1001" s="474"/>
      <c r="M1001" s="474"/>
      <c r="N1001" s="474"/>
      <c r="O1001" s="474"/>
      <c r="P1001" s="474"/>
      <c r="Q1001" s="474"/>
    </row>
    <row r="1002" spans="7:17">
      <c r="G1002" s="474"/>
      <c r="H1002" s="474"/>
      <c r="I1002" s="474"/>
      <c r="J1002" s="474"/>
      <c r="K1002" s="474"/>
      <c r="L1002" s="474"/>
      <c r="M1002" s="474"/>
      <c r="N1002" s="474"/>
      <c r="O1002" s="474"/>
      <c r="P1002" s="474"/>
      <c r="Q1002" s="474"/>
    </row>
    <row r="1003" spans="7:17">
      <c r="G1003" s="474"/>
      <c r="H1003" s="474"/>
      <c r="I1003" s="474"/>
      <c r="J1003" s="474"/>
      <c r="K1003" s="474"/>
      <c r="L1003" s="474"/>
      <c r="M1003" s="474"/>
      <c r="N1003" s="474"/>
      <c r="O1003" s="474"/>
      <c r="P1003" s="474"/>
      <c r="Q1003" s="474"/>
    </row>
    <row r="1004" spans="7:17">
      <c r="G1004" s="474"/>
      <c r="H1004" s="474"/>
      <c r="I1004" s="474"/>
      <c r="J1004" s="474"/>
      <c r="K1004" s="474"/>
      <c r="L1004" s="474"/>
      <c r="M1004" s="474"/>
      <c r="N1004" s="474"/>
      <c r="O1004" s="474"/>
      <c r="P1004" s="474"/>
      <c r="Q1004" s="474"/>
    </row>
    <row r="1005" spans="7:17">
      <c r="G1005" s="474"/>
      <c r="H1005" s="474"/>
      <c r="I1005" s="474"/>
      <c r="J1005" s="474"/>
      <c r="K1005" s="474"/>
      <c r="L1005" s="474"/>
      <c r="M1005" s="474"/>
      <c r="N1005" s="474"/>
      <c r="O1005" s="474"/>
      <c r="P1005" s="474"/>
      <c r="Q1005" s="474"/>
    </row>
    <row r="1006" spans="7:17">
      <c r="G1006" s="474"/>
      <c r="H1006" s="474"/>
      <c r="I1006" s="474"/>
      <c r="J1006" s="474"/>
      <c r="K1006" s="474"/>
      <c r="L1006" s="474"/>
      <c r="M1006" s="474"/>
      <c r="N1006" s="474"/>
      <c r="O1006" s="474"/>
      <c r="P1006" s="474"/>
      <c r="Q1006" s="474"/>
    </row>
    <row r="1007" spans="7:17">
      <c r="G1007" s="474"/>
      <c r="H1007" s="474"/>
      <c r="I1007" s="474"/>
      <c r="J1007" s="474"/>
      <c r="K1007" s="474"/>
      <c r="L1007" s="474"/>
      <c r="M1007" s="474"/>
      <c r="N1007" s="474"/>
      <c r="O1007" s="474"/>
      <c r="P1007" s="474"/>
      <c r="Q1007" s="474"/>
    </row>
    <row r="1008" spans="7:17">
      <c r="G1008" s="474"/>
      <c r="H1008" s="474"/>
      <c r="I1008" s="474"/>
      <c r="J1008" s="474"/>
      <c r="K1008" s="474"/>
      <c r="L1008" s="474"/>
      <c r="M1008" s="474"/>
      <c r="N1008" s="474"/>
      <c r="O1008" s="474"/>
      <c r="P1008" s="474"/>
      <c r="Q1008" s="474"/>
    </row>
    <row r="1009" spans="7:17">
      <c r="G1009" s="474"/>
      <c r="H1009" s="474"/>
      <c r="I1009" s="474"/>
      <c r="J1009" s="474"/>
      <c r="K1009" s="474"/>
      <c r="L1009" s="474"/>
      <c r="M1009" s="474"/>
      <c r="N1009" s="474"/>
      <c r="O1009" s="474"/>
      <c r="P1009" s="474"/>
      <c r="Q1009" s="474"/>
    </row>
    <row r="1010" spans="7:17">
      <c r="G1010" s="474"/>
      <c r="H1010" s="474"/>
      <c r="I1010" s="474"/>
      <c r="J1010" s="474"/>
      <c r="K1010" s="474"/>
      <c r="L1010" s="474"/>
      <c r="M1010" s="474"/>
      <c r="N1010" s="474"/>
      <c r="O1010" s="474"/>
      <c r="P1010" s="474"/>
      <c r="Q1010" s="474"/>
    </row>
    <row r="1011" spans="7:17">
      <c r="G1011" s="474"/>
      <c r="H1011" s="474"/>
      <c r="I1011" s="474"/>
      <c r="J1011" s="474"/>
      <c r="K1011" s="474"/>
      <c r="L1011" s="474"/>
      <c r="M1011" s="474"/>
      <c r="N1011" s="474"/>
      <c r="O1011" s="474"/>
      <c r="P1011" s="474"/>
      <c r="Q1011" s="474"/>
    </row>
    <row r="1012" spans="7:17">
      <c r="G1012" s="474"/>
      <c r="H1012" s="474"/>
      <c r="I1012" s="474"/>
      <c r="J1012" s="474"/>
      <c r="K1012" s="474"/>
      <c r="L1012" s="474"/>
      <c r="M1012" s="474"/>
      <c r="N1012" s="474"/>
      <c r="O1012" s="474"/>
      <c r="P1012" s="474"/>
      <c r="Q1012" s="474"/>
    </row>
    <row r="1013" spans="7:17">
      <c r="G1013" s="474"/>
      <c r="H1013" s="474"/>
      <c r="I1013" s="474"/>
      <c r="J1013" s="474"/>
      <c r="K1013" s="474"/>
      <c r="L1013" s="474"/>
      <c r="M1013" s="474"/>
      <c r="N1013" s="474"/>
      <c r="O1013" s="474"/>
      <c r="P1013" s="474"/>
      <c r="Q1013" s="474"/>
    </row>
    <row r="1014" spans="7:17">
      <c r="G1014" s="474"/>
      <c r="H1014" s="474"/>
      <c r="I1014" s="474"/>
      <c r="J1014" s="474"/>
      <c r="K1014" s="474"/>
      <c r="L1014" s="474"/>
      <c r="M1014" s="474"/>
      <c r="N1014" s="474"/>
      <c r="O1014" s="474"/>
      <c r="P1014" s="474"/>
      <c r="Q1014" s="474"/>
    </row>
    <row r="1015" spans="7:17">
      <c r="G1015" s="474"/>
      <c r="H1015" s="474"/>
      <c r="I1015" s="474"/>
      <c r="J1015" s="474"/>
      <c r="K1015" s="474"/>
      <c r="L1015" s="474"/>
      <c r="M1015" s="474"/>
      <c r="N1015" s="474"/>
      <c r="O1015" s="474"/>
      <c r="P1015" s="474"/>
      <c r="Q1015" s="474"/>
    </row>
    <row r="1016" spans="7:17">
      <c r="G1016" s="474"/>
      <c r="H1016" s="474"/>
      <c r="I1016" s="474"/>
      <c r="J1016" s="474"/>
      <c r="K1016" s="474"/>
      <c r="L1016" s="474"/>
      <c r="M1016" s="474"/>
      <c r="N1016" s="474"/>
      <c r="O1016" s="474"/>
      <c r="P1016" s="474"/>
      <c r="Q1016" s="474"/>
    </row>
    <row r="1017" spans="7:17">
      <c r="G1017" s="474"/>
      <c r="H1017" s="474"/>
      <c r="I1017" s="474"/>
      <c r="J1017" s="474"/>
      <c r="K1017" s="474"/>
      <c r="L1017" s="474"/>
      <c r="M1017" s="474"/>
      <c r="N1017" s="474"/>
      <c r="O1017" s="474"/>
      <c r="P1017" s="474"/>
      <c r="Q1017" s="474"/>
    </row>
    <row r="1018" spans="7:17">
      <c r="G1018" s="474"/>
      <c r="H1018" s="474"/>
      <c r="I1018" s="474"/>
      <c r="J1018" s="474"/>
      <c r="K1018" s="474"/>
      <c r="L1018" s="474"/>
      <c r="M1018" s="474"/>
      <c r="N1018" s="474"/>
      <c r="O1018" s="474"/>
      <c r="P1018" s="474"/>
      <c r="Q1018" s="474"/>
    </row>
    <row r="1019" spans="7:17">
      <c r="G1019" s="474"/>
      <c r="H1019" s="474"/>
      <c r="I1019" s="474"/>
      <c r="J1019" s="474"/>
      <c r="K1019" s="474"/>
      <c r="L1019" s="474"/>
      <c r="M1019" s="474"/>
      <c r="N1019" s="474"/>
      <c r="O1019" s="474"/>
      <c r="P1019" s="474"/>
      <c r="Q1019" s="474"/>
    </row>
    <row r="1020" spans="7:17">
      <c r="G1020" s="474"/>
      <c r="H1020" s="474"/>
      <c r="I1020" s="474"/>
      <c r="J1020" s="474"/>
      <c r="K1020" s="474"/>
      <c r="L1020" s="474"/>
      <c r="M1020" s="474"/>
      <c r="N1020" s="474"/>
      <c r="O1020" s="474"/>
      <c r="P1020" s="474"/>
      <c r="Q1020" s="474"/>
    </row>
    <row r="1021" spans="7:17">
      <c r="G1021" s="474"/>
      <c r="H1021" s="474"/>
      <c r="I1021" s="474"/>
      <c r="J1021" s="474"/>
      <c r="K1021" s="474"/>
      <c r="L1021" s="474"/>
      <c r="M1021" s="474"/>
      <c r="N1021" s="474"/>
      <c r="O1021" s="474"/>
      <c r="P1021" s="474"/>
      <c r="Q1021" s="474"/>
    </row>
    <row r="1022" spans="7:17">
      <c r="G1022" s="474"/>
      <c r="H1022" s="474"/>
      <c r="I1022" s="474"/>
      <c r="J1022" s="474"/>
      <c r="K1022" s="474"/>
      <c r="L1022" s="474"/>
      <c r="M1022" s="474"/>
      <c r="N1022" s="474"/>
      <c r="O1022" s="474"/>
      <c r="P1022" s="474"/>
      <c r="Q1022" s="474"/>
    </row>
    <row r="1023" spans="7:17">
      <c r="G1023" s="474"/>
      <c r="H1023" s="474"/>
      <c r="I1023" s="474"/>
      <c r="J1023" s="474"/>
      <c r="K1023" s="474"/>
      <c r="L1023" s="474"/>
      <c r="M1023" s="474"/>
      <c r="N1023" s="474"/>
      <c r="O1023" s="474"/>
      <c r="P1023" s="474"/>
      <c r="Q1023" s="474"/>
    </row>
    <row r="1024" spans="7:17">
      <c r="G1024" s="474"/>
      <c r="H1024" s="474"/>
      <c r="I1024" s="474"/>
      <c r="J1024" s="474"/>
      <c r="K1024" s="474"/>
      <c r="L1024" s="474"/>
      <c r="M1024" s="474"/>
      <c r="N1024" s="474"/>
      <c r="O1024" s="474"/>
      <c r="P1024" s="474"/>
      <c r="Q1024" s="474"/>
    </row>
    <row r="1025" spans="7:17">
      <c r="G1025" s="474"/>
      <c r="H1025" s="474"/>
      <c r="I1025" s="474"/>
      <c r="J1025" s="474"/>
      <c r="K1025" s="474"/>
      <c r="L1025" s="474"/>
      <c r="M1025" s="474"/>
      <c r="N1025" s="474"/>
      <c r="O1025" s="474"/>
      <c r="P1025" s="474"/>
      <c r="Q1025" s="474"/>
    </row>
    <row r="1026" spans="7:17">
      <c r="G1026" s="474"/>
      <c r="H1026" s="474"/>
      <c r="I1026" s="474"/>
      <c r="J1026" s="474"/>
      <c r="K1026" s="474"/>
      <c r="L1026" s="474"/>
      <c r="M1026" s="474"/>
      <c r="N1026" s="474"/>
      <c r="O1026" s="474"/>
      <c r="P1026" s="474"/>
      <c r="Q1026" s="474"/>
    </row>
    <row r="1027" spans="7:17">
      <c r="G1027" s="474"/>
      <c r="H1027" s="474"/>
      <c r="I1027" s="474"/>
      <c r="J1027" s="474"/>
      <c r="K1027" s="474"/>
      <c r="L1027" s="474"/>
      <c r="M1027" s="474"/>
      <c r="N1027" s="474"/>
      <c r="O1027" s="474"/>
      <c r="P1027" s="474"/>
      <c r="Q1027" s="474"/>
    </row>
    <row r="1028" spans="7:17">
      <c r="G1028" s="474"/>
      <c r="H1028" s="474"/>
      <c r="I1028" s="474"/>
      <c r="J1028" s="474"/>
      <c r="K1028" s="474"/>
      <c r="L1028" s="474"/>
      <c r="M1028" s="474"/>
      <c r="N1028" s="474"/>
      <c r="O1028" s="474"/>
      <c r="P1028" s="474"/>
      <c r="Q1028" s="474"/>
    </row>
    <row r="1029" spans="7:17">
      <c r="G1029" s="474"/>
      <c r="H1029" s="474"/>
      <c r="I1029" s="474"/>
      <c r="J1029" s="474"/>
      <c r="K1029" s="474"/>
      <c r="L1029" s="474"/>
      <c r="M1029" s="474"/>
      <c r="N1029" s="474"/>
      <c r="O1029" s="474"/>
      <c r="P1029" s="474"/>
      <c r="Q1029" s="474"/>
    </row>
    <row r="1030" spans="7:17">
      <c r="G1030" s="474"/>
      <c r="H1030" s="474"/>
      <c r="I1030" s="474"/>
      <c r="J1030" s="474"/>
      <c r="K1030" s="474"/>
      <c r="L1030" s="474"/>
      <c r="M1030" s="474"/>
      <c r="N1030" s="474"/>
      <c r="O1030" s="474"/>
      <c r="P1030" s="474"/>
      <c r="Q1030" s="474"/>
    </row>
    <row r="1031" spans="7:17">
      <c r="G1031" s="474"/>
      <c r="H1031" s="474"/>
      <c r="I1031" s="474"/>
      <c r="J1031" s="474"/>
      <c r="K1031" s="474"/>
      <c r="L1031" s="474"/>
      <c r="M1031" s="474"/>
      <c r="N1031" s="474"/>
      <c r="O1031" s="474"/>
      <c r="P1031" s="474"/>
      <c r="Q1031" s="474"/>
    </row>
  </sheetData>
  <mergeCells count="8">
    <mergeCell ref="X129:Z129"/>
    <mergeCell ref="D206:Y206"/>
    <mergeCell ref="A1:R1"/>
    <mergeCell ref="F7:P7"/>
    <mergeCell ref="A54:R54"/>
    <mergeCell ref="X109:Z109"/>
    <mergeCell ref="X110:Z110"/>
    <mergeCell ref="V150:V165"/>
  </mergeCells>
  <printOptions horizontalCentered="1"/>
  <pageMargins left="0.7" right="0.7" top="0.75" bottom="0.75" header="0.3" footer="0.3"/>
  <pageSetup scale="60" fitToHeight="3" orientation="landscape" r:id="rId1"/>
  <headerFooter scaleWithDoc="0">
    <oddHeader>&amp;RExh. EMA-13</oddHeader>
    <oddFooter>&amp;RPage &amp;P of &amp;N</oddFooter>
  </headerFooter>
  <rowBreaks count="1" manualBreakCount="1">
    <brk id="84" max="25"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C000"/>
  </sheetPr>
  <dimension ref="A1:AB85"/>
  <sheetViews>
    <sheetView view="pageBreakPreview" topLeftCell="A52" zoomScale="130" zoomScaleNormal="100" zoomScaleSheetLayoutView="130" workbookViewId="0">
      <selection activeCell="AI18" sqref="AI18"/>
    </sheetView>
  </sheetViews>
  <sheetFormatPr defaultColWidth="10.7109375" defaultRowHeight="12.75"/>
  <cols>
    <col min="1" max="1" width="4.7109375" style="304" customWidth="1"/>
    <col min="2" max="3" width="1.7109375" style="303" customWidth="1"/>
    <col min="4" max="4" width="23.5703125" style="303" customWidth="1"/>
    <col min="5" max="5" width="0.28515625" style="623" hidden="1" customWidth="1"/>
    <col min="6" max="6" width="8.42578125" style="624" hidden="1" customWidth="1"/>
    <col min="7" max="7" width="8.42578125" style="324" hidden="1" customWidth="1"/>
    <col min="8" max="10" width="8.42578125" style="303" hidden="1" customWidth="1"/>
    <col min="11" max="11" width="8.42578125" style="624" hidden="1" customWidth="1"/>
    <col min="12" max="12" width="8.42578125" style="303" hidden="1" customWidth="1"/>
    <col min="13" max="13" width="8.42578125" style="303" bestFit="1" customWidth="1"/>
    <col min="14" max="14" width="8.42578125" style="623" bestFit="1" customWidth="1"/>
    <col min="15" max="15" width="9.28515625" style="624" bestFit="1" customWidth="1"/>
    <col min="16" max="19" width="9.28515625" style="303" bestFit="1" customWidth="1"/>
    <col min="20" max="21" width="10.7109375" style="303"/>
    <col min="22" max="22" width="10.7109375" style="383"/>
    <col min="23" max="16384" width="10.7109375" style="303"/>
  </cols>
  <sheetData>
    <row r="1" spans="1:22">
      <c r="A1" s="479" t="s">
        <v>150</v>
      </c>
      <c r="D1" s="304"/>
    </row>
    <row r="2" spans="1:22">
      <c r="A2" s="479" t="s">
        <v>662</v>
      </c>
      <c r="D2" s="304"/>
    </row>
    <row r="3" spans="1:22">
      <c r="A3" s="479" t="s">
        <v>754</v>
      </c>
      <c r="D3" s="304"/>
      <c r="H3" s="624"/>
    </row>
    <row r="4" spans="1:22">
      <c r="A4" s="479" t="s">
        <v>151</v>
      </c>
      <c r="D4" s="304"/>
      <c r="K4" s="625"/>
      <c r="U4" s="626"/>
      <c r="V4" s="626"/>
    </row>
    <row r="5" spans="1:22" s="306" customFormat="1">
      <c r="A5" s="305"/>
      <c r="D5" s="305"/>
      <c r="E5" s="623"/>
      <c r="F5" s="625"/>
      <c r="G5" s="312"/>
      <c r="K5" s="625"/>
      <c r="O5" s="625"/>
      <c r="U5" s="626"/>
      <c r="V5" s="626"/>
    </row>
    <row r="6" spans="1:22" s="306" customFormat="1" ht="12" customHeight="1">
      <c r="A6" s="307"/>
      <c r="B6" s="308"/>
      <c r="C6" s="309"/>
      <c r="D6" s="309"/>
      <c r="E6" s="623"/>
      <c r="F6" s="627"/>
      <c r="G6" s="312"/>
      <c r="K6" s="627"/>
      <c r="O6" s="627"/>
      <c r="U6" s="628"/>
      <c r="V6" s="628"/>
    </row>
    <row r="7" spans="1:22" s="306" customFormat="1">
      <c r="A7" s="310" t="s">
        <v>7</v>
      </c>
      <c r="B7" s="311"/>
      <c r="C7" s="312"/>
      <c r="D7" s="312"/>
      <c r="E7" s="623"/>
      <c r="F7" s="625"/>
      <c r="G7" s="312"/>
      <c r="K7" s="625"/>
      <c r="O7" s="625"/>
      <c r="T7" s="524"/>
      <c r="U7" s="524"/>
      <c r="V7" s="629"/>
    </row>
    <row r="8" spans="1:22" s="306" customFormat="1">
      <c r="A8" s="313" t="s">
        <v>19</v>
      </c>
      <c r="B8" s="314"/>
      <c r="C8" s="315"/>
      <c r="D8" s="315" t="s">
        <v>20</v>
      </c>
      <c r="E8" s="623"/>
      <c r="F8" s="629" t="s">
        <v>755</v>
      </c>
      <c r="G8" s="629" t="s">
        <v>756</v>
      </c>
      <c r="H8" s="629" t="s">
        <v>757</v>
      </c>
      <c r="I8" s="629" t="s">
        <v>758</v>
      </c>
      <c r="J8" s="629" t="s">
        <v>759</v>
      </c>
      <c r="K8" s="629" t="s">
        <v>760</v>
      </c>
      <c r="L8" s="629" t="s">
        <v>761</v>
      </c>
      <c r="M8" s="629" t="s">
        <v>762</v>
      </c>
      <c r="N8" s="629" t="s">
        <v>763</v>
      </c>
      <c r="O8" s="629" t="s">
        <v>764</v>
      </c>
      <c r="P8" s="629" t="s">
        <v>765</v>
      </c>
      <c r="Q8" s="629" t="s">
        <v>766</v>
      </c>
      <c r="R8" s="629" t="s">
        <v>767</v>
      </c>
      <c r="S8" s="629" t="s">
        <v>768</v>
      </c>
      <c r="T8" s="629" t="s">
        <v>769</v>
      </c>
      <c r="U8" s="629" t="s">
        <v>770</v>
      </c>
      <c r="V8" s="629" t="s">
        <v>771</v>
      </c>
    </row>
    <row r="9" spans="1:22" s="355" customFormat="1">
      <c r="B9" s="358" t="s">
        <v>523</v>
      </c>
      <c r="E9" s="623"/>
      <c r="F9" s="220"/>
      <c r="G9" s="487"/>
      <c r="K9" s="387"/>
      <c r="O9" s="220"/>
      <c r="V9" s="630"/>
    </row>
    <row r="10" spans="1:22" s="355" customFormat="1">
      <c r="B10" s="358" t="s">
        <v>524</v>
      </c>
      <c r="E10" s="623"/>
      <c r="F10" s="220"/>
      <c r="G10" s="487"/>
      <c r="K10" s="387"/>
      <c r="O10" s="220"/>
      <c r="V10" s="630"/>
    </row>
    <row r="11" spans="1:22" s="355" customFormat="1">
      <c r="B11" s="358"/>
      <c r="E11" s="623"/>
      <c r="F11" s="220"/>
      <c r="G11" s="487"/>
      <c r="K11" s="387"/>
      <c r="O11" s="220"/>
      <c r="V11" s="630"/>
    </row>
    <row r="12" spans="1:22">
      <c r="B12" s="303" t="s">
        <v>152</v>
      </c>
    </row>
    <row r="13" spans="1:22" s="317" customFormat="1">
      <c r="A13" s="316">
        <v>1</v>
      </c>
      <c r="B13" s="317" t="s">
        <v>153</v>
      </c>
      <c r="E13" s="623"/>
      <c r="F13" s="631">
        <v>242529</v>
      </c>
      <c r="G13" s="631">
        <v>258201</v>
      </c>
      <c r="H13" s="631">
        <v>273318</v>
      </c>
      <c r="I13" s="631">
        <v>283356</v>
      </c>
      <c r="J13" s="631">
        <v>285399</v>
      </c>
      <c r="K13" s="631">
        <v>289216</v>
      </c>
      <c r="L13" s="631">
        <v>321929</v>
      </c>
      <c r="M13" s="631">
        <v>326335</v>
      </c>
      <c r="N13" s="631">
        <v>365425</v>
      </c>
      <c r="O13" s="631">
        <v>402618</v>
      </c>
      <c r="P13" s="631">
        <v>415739.9703632</v>
      </c>
      <c r="Q13" s="631">
        <v>451837</v>
      </c>
      <c r="R13" s="631">
        <v>460195</v>
      </c>
      <c r="S13" s="631">
        <v>468006</v>
      </c>
      <c r="T13" s="631">
        <v>488372</v>
      </c>
      <c r="U13" s="631">
        <v>497229</v>
      </c>
      <c r="V13" s="632">
        <v>492413</v>
      </c>
    </row>
    <row r="14" spans="1:22" s="318" customFormat="1">
      <c r="A14" s="316">
        <v>2</v>
      </c>
      <c r="B14" s="318" t="s">
        <v>154</v>
      </c>
      <c r="E14" s="623"/>
      <c r="F14" s="633">
        <v>546</v>
      </c>
      <c r="G14" s="633">
        <v>528</v>
      </c>
      <c r="H14" s="633">
        <v>791</v>
      </c>
      <c r="I14" s="633">
        <v>752</v>
      </c>
      <c r="J14" s="633">
        <v>752</v>
      </c>
      <c r="K14" s="633">
        <v>713</v>
      </c>
      <c r="L14" s="633">
        <v>733</v>
      </c>
      <c r="M14" s="633">
        <v>739</v>
      </c>
      <c r="N14" s="633">
        <v>820</v>
      </c>
      <c r="O14" s="633">
        <v>871.54909999999995</v>
      </c>
      <c r="P14" s="633">
        <v>790</v>
      </c>
      <c r="Q14" s="633">
        <v>820</v>
      </c>
      <c r="R14" s="633">
        <v>-113</v>
      </c>
      <c r="S14" s="633">
        <v>884</v>
      </c>
      <c r="T14" s="633">
        <v>922</v>
      </c>
      <c r="U14" s="633">
        <v>928</v>
      </c>
      <c r="V14" s="634">
        <v>946</v>
      </c>
    </row>
    <row r="15" spans="1:22" s="318" customFormat="1">
      <c r="A15" s="316">
        <v>3</v>
      </c>
      <c r="B15" s="318" t="s">
        <v>155</v>
      </c>
      <c r="E15" s="623"/>
      <c r="F15" s="635">
        <v>137117</v>
      </c>
      <c r="G15" s="635">
        <v>91388</v>
      </c>
      <c r="H15" s="635">
        <v>29918</v>
      </c>
      <c r="I15" s="635">
        <v>35252</v>
      </c>
      <c r="J15" s="635">
        <v>40460</v>
      </c>
      <c r="K15" s="635">
        <v>44718</v>
      </c>
      <c r="L15" s="635">
        <v>35380</v>
      </c>
      <c r="M15" s="635">
        <v>34954</v>
      </c>
      <c r="N15" s="635">
        <v>46848</v>
      </c>
      <c r="O15" s="635">
        <v>31491</v>
      </c>
      <c r="P15" s="635">
        <v>133479</v>
      </c>
      <c r="Q15" s="635">
        <v>52604</v>
      </c>
      <c r="R15" s="635">
        <v>54549</v>
      </c>
      <c r="S15" s="635">
        <v>75349</v>
      </c>
      <c r="T15" s="635">
        <v>60998</v>
      </c>
      <c r="U15" s="635">
        <v>49505</v>
      </c>
      <c r="V15" s="636">
        <v>57854</v>
      </c>
    </row>
    <row r="16" spans="1:22" s="318" customFormat="1">
      <c r="A16" s="316">
        <v>4</v>
      </c>
      <c r="B16" s="318" t="s">
        <v>156</v>
      </c>
      <c r="E16" s="623"/>
      <c r="F16" s="637">
        <v>380192</v>
      </c>
      <c r="G16" s="637">
        <v>350117</v>
      </c>
      <c r="H16" s="637">
        <v>304027</v>
      </c>
      <c r="I16" s="637">
        <v>319360</v>
      </c>
      <c r="J16" s="637">
        <v>326611</v>
      </c>
      <c r="K16" s="637">
        <v>334647</v>
      </c>
      <c r="L16" s="637">
        <v>358042</v>
      </c>
      <c r="M16" s="637">
        <v>362028</v>
      </c>
      <c r="N16" s="637">
        <v>413093</v>
      </c>
      <c r="O16" s="637">
        <v>434980.5491</v>
      </c>
      <c r="P16" s="637">
        <v>550008.97036319994</v>
      </c>
      <c r="Q16" s="637">
        <v>505261</v>
      </c>
      <c r="R16" s="637">
        <v>514631</v>
      </c>
      <c r="S16" s="637">
        <f>SUM(S13:S15)</f>
        <v>544239</v>
      </c>
      <c r="T16" s="637">
        <f>SUM(T13:T15)</f>
        <v>550292</v>
      </c>
      <c r="U16" s="637">
        <f>SUM(U13:U15)</f>
        <v>547662</v>
      </c>
      <c r="V16" s="638">
        <f>SUM(V13:V15)</f>
        <v>551213</v>
      </c>
    </row>
    <row r="17" spans="1:28" s="318" customFormat="1">
      <c r="A17" s="316">
        <v>5</v>
      </c>
      <c r="B17" s="318" t="s">
        <v>157</v>
      </c>
      <c r="E17" s="623"/>
      <c r="F17" s="635">
        <v>13062</v>
      </c>
      <c r="G17" s="635">
        <v>14305</v>
      </c>
      <c r="H17" s="635">
        <v>34274</v>
      </c>
      <c r="I17" s="635">
        <v>57244</v>
      </c>
      <c r="J17" s="635">
        <v>8587</v>
      </c>
      <c r="K17" s="635">
        <v>10259</v>
      </c>
      <c r="L17" s="635">
        <v>10178</v>
      </c>
      <c r="M17" s="635">
        <v>10170</v>
      </c>
      <c r="N17" s="635">
        <v>10927</v>
      </c>
      <c r="O17" s="635">
        <v>9395</v>
      </c>
      <c r="P17" s="635">
        <v>11786</v>
      </c>
      <c r="Q17" s="635">
        <v>13666</v>
      </c>
      <c r="R17" s="635">
        <v>13089</v>
      </c>
      <c r="S17" s="635">
        <v>13408</v>
      </c>
      <c r="T17" s="635">
        <v>17163</v>
      </c>
      <c r="U17" s="635">
        <v>16920</v>
      </c>
      <c r="V17" s="636">
        <v>17310</v>
      </c>
    </row>
    <row r="18" spans="1:28" s="318" customFormat="1">
      <c r="A18" s="316">
        <v>6</v>
      </c>
      <c r="B18" s="318" t="s">
        <v>158</v>
      </c>
      <c r="E18" s="623"/>
      <c r="F18" s="637">
        <v>393254</v>
      </c>
      <c r="G18" s="637">
        <v>364422</v>
      </c>
      <c r="H18" s="637">
        <v>338301</v>
      </c>
      <c r="I18" s="637">
        <v>376604</v>
      </c>
      <c r="J18" s="637">
        <v>335198</v>
      </c>
      <c r="K18" s="637">
        <v>344906</v>
      </c>
      <c r="L18" s="637">
        <v>368220</v>
      </c>
      <c r="M18" s="637">
        <v>372198</v>
      </c>
      <c r="N18" s="637">
        <v>424020</v>
      </c>
      <c r="O18" s="637">
        <v>444375.5491</v>
      </c>
      <c r="P18" s="637">
        <v>561794.97036319994</v>
      </c>
      <c r="Q18" s="637">
        <v>518927</v>
      </c>
      <c r="R18" s="637">
        <v>527720</v>
      </c>
      <c r="S18" s="637">
        <f>SUM(S16:S17)</f>
        <v>557647</v>
      </c>
      <c r="T18" s="637">
        <f>SUM(T16:T17)</f>
        <v>567455</v>
      </c>
      <c r="U18" s="637">
        <f>SUM(U16:U17)</f>
        <v>564582</v>
      </c>
      <c r="V18" s="638">
        <f>SUM(V16:V17)</f>
        <v>568523</v>
      </c>
    </row>
    <row r="19" spans="1:28" s="318" customFormat="1">
      <c r="A19" s="316"/>
      <c r="E19" s="623"/>
      <c r="F19" s="638"/>
      <c r="G19" s="638"/>
      <c r="H19" s="638"/>
      <c r="I19" s="638"/>
      <c r="J19" s="638"/>
      <c r="K19" s="638"/>
      <c r="L19" s="638"/>
      <c r="M19" s="637"/>
      <c r="N19" s="637"/>
      <c r="O19" s="637"/>
      <c r="P19" s="637"/>
      <c r="Q19" s="637"/>
      <c r="R19" s="637"/>
      <c r="S19" s="637"/>
      <c r="T19" s="637"/>
      <c r="U19" s="637"/>
      <c r="V19" s="638"/>
    </row>
    <row r="20" spans="1:28" s="318" customFormat="1">
      <c r="A20" s="316"/>
      <c r="B20" s="318" t="s">
        <v>159</v>
      </c>
      <c r="E20" s="623"/>
      <c r="F20" s="638"/>
      <c r="G20" s="638"/>
      <c r="H20" s="638"/>
      <c r="I20" s="638"/>
      <c r="J20" s="638"/>
      <c r="K20" s="638"/>
      <c r="L20" s="638"/>
      <c r="M20" s="637"/>
      <c r="N20" s="637"/>
      <c r="O20" s="637"/>
      <c r="P20" s="637"/>
      <c r="Q20" s="637"/>
      <c r="R20" s="637"/>
      <c r="S20" s="637"/>
      <c r="T20" s="637"/>
      <c r="U20" s="637"/>
      <c r="V20" s="638"/>
    </row>
    <row r="21" spans="1:28" s="318" customFormat="1">
      <c r="A21" s="316"/>
      <c r="B21" s="318" t="s">
        <v>160</v>
      </c>
      <c r="E21" s="623"/>
      <c r="F21" s="638"/>
      <c r="G21" s="638"/>
      <c r="H21" s="638"/>
      <c r="I21" s="638"/>
      <c r="J21" s="638"/>
      <c r="K21" s="638"/>
      <c r="L21" s="638"/>
      <c r="M21" s="637"/>
      <c r="N21" s="637"/>
      <c r="O21" s="637"/>
      <c r="P21" s="637"/>
      <c r="Q21" s="637"/>
      <c r="R21" s="637"/>
      <c r="S21" s="637"/>
      <c r="T21" s="637"/>
      <c r="U21" s="637"/>
      <c r="V21" s="638"/>
    </row>
    <row r="22" spans="1:28" s="318" customFormat="1">
      <c r="A22" s="316">
        <v>7</v>
      </c>
      <c r="C22" s="318" t="s">
        <v>161</v>
      </c>
      <c r="E22" s="623"/>
      <c r="F22" s="633">
        <v>78721</v>
      </c>
      <c r="G22" s="633">
        <v>47157</v>
      </c>
      <c r="H22" s="633">
        <v>101475</v>
      </c>
      <c r="I22" s="633">
        <v>132098</v>
      </c>
      <c r="J22" s="633">
        <v>101545</v>
      </c>
      <c r="K22" s="633">
        <v>105374</v>
      </c>
      <c r="L22" s="633">
        <v>104260</v>
      </c>
      <c r="M22" s="633">
        <v>102890</v>
      </c>
      <c r="N22" s="633">
        <v>117123</v>
      </c>
      <c r="O22" s="633">
        <v>87599</v>
      </c>
      <c r="P22" s="633">
        <v>147107</v>
      </c>
      <c r="Q22" s="633">
        <v>145634</v>
      </c>
      <c r="R22" s="633">
        <v>131795</v>
      </c>
      <c r="S22" s="633">
        <v>143904</v>
      </c>
      <c r="T22" s="634">
        <v>120307</v>
      </c>
      <c r="U22" s="634">
        <v>140485</v>
      </c>
      <c r="V22" s="634">
        <v>136385</v>
      </c>
    </row>
    <row r="23" spans="1:28" s="318" customFormat="1">
      <c r="A23" s="316">
        <v>8</v>
      </c>
      <c r="C23" s="318" t="s">
        <v>162</v>
      </c>
      <c r="E23" s="623"/>
      <c r="F23" s="633">
        <v>181189</v>
      </c>
      <c r="G23" s="633">
        <v>132159</v>
      </c>
      <c r="H23" s="633">
        <v>50769</v>
      </c>
      <c r="I23" s="633">
        <v>46591</v>
      </c>
      <c r="J23" s="633">
        <v>51042</v>
      </c>
      <c r="K23" s="633">
        <v>55046</v>
      </c>
      <c r="L23" s="633">
        <v>79146</v>
      </c>
      <c r="M23" s="633">
        <v>65640</v>
      </c>
      <c r="N23" s="633">
        <v>72508</v>
      </c>
      <c r="O23" s="639">
        <f>104869-4432</f>
        <v>100437</v>
      </c>
      <c r="P23" s="633">
        <v>142197</v>
      </c>
      <c r="Q23" s="633">
        <v>91142</v>
      </c>
      <c r="R23" s="633">
        <v>101283</v>
      </c>
      <c r="S23" s="633">
        <v>109034</v>
      </c>
      <c r="T23" s="633">
        <v>116643</v>
      </c>
      <c r="U23" s="633">
        <v>85107</v>
      </c>
      <c r="V23" s="634">
        <v>78794</v>
      </c>
    </row>
    <row r="24" spans="1:28" s="318" customFormat="1">
      <c r="A24" s="316">
        <v>9</v>
      </c>
      <c r="C24" s="318" t="s">
        <v>509</v>
      </c>
      <c r="E24" s="623"/>
      <c r="F24" s="633">
        <v>-3114</v>
      </c>
      <c r="G24" s="633">
        <v>9152</v>
      </c>
      <c r="H24" s="633">
        <v>13808</v>
      </c>
      <c r="I24" s="633">
        <v>14915</v>
      </c>
      <c r="J24" s="633">
        <v>22879</v>
      </c>
      <c r="K24" s="633">
        <v>13812</v>
      </c>
      <c r="L24" s="633">
        <v>25745</v>
      </c>
      <c r="M24" s="633">
        <v>21795</v>
      </c>
      <c r="N24" s="633">
        <v>22000</v>
      </c>
      <c r="O24" s="633">
        <v>22266</v>
      </c>
      <c r="P24" s="633">
        <v>22129</v>
      </c>
      <c r="Q24" s="633">
        <v>25158</v>
      </c>
      <c r="R24" s="633">
        <v>25872</v>
      </c>
      <c r="S24" s="633">
        <v>23284</v>
      </c>
      <c r="T24" s="633">
        <v>23715</v>
      </c>
      <c r="U24" s="634">
        <v>24947</v>
      </c>
      <c r="V24" s="634">
        <v>26677</v>
      </c>
    </row>
    <row r="25" spans="1:28" s="318" customFormat="1">
      <c r="A25" s="316">
        <v>10</v>
      </c>
      <c r="C25" s="321" t="s">
        <v>505</v>
      </c>
      <c r="D25" s="321"/>
      <c r="E25" s="623"/>
      <c r="Q25" s="318">
        <v>403</v>
      </c>
      <c r="R25" s="318">
        <v>-7936</v>
      </c>
      <c r="S25" s="318">
        <v>8629</v>
      </c>
      <c r="T25" s="318">
        <v>8101</v>
      </c>
      <c r="U25" s="318">
        <v>5974</v>
      </c>
      <c r="V25" s="321">
        <v>4705</v>
      </c>
    </row>
    <row r="26" spans="1:28" s="318" customFormat="1">
      <c r="A26" s="316">
        <v>11</v>
      </c>
      <c r="C26" s="318" t="s">
        <v>163</v>
      </c>
      <c r="E26" s="623"/>
      <c r="F26" s="635">
        <v>9346</v>
      </c>
      <c r="G26" s="635">
        <v>5139</v>
      </c>
      <c r="H26" s="635">
        <v>7164</v>
      </c>
      <c r="I26" s="635">
        <v>6722</v>
      </c>
      <c r="J26" s="635">
        <v>7283</v>
      </c>
      <c r="K26" s="635">
        <v>9900</v>
      </c>
      <c r="L26" s="635">
        <v>9115</v>
      </c>
      <c r="M26" s="635">
        <v>8319</v>
      </c>
      <c r="N26" s="635">
        <v>8146</v>
      </c>
      <c r="O26" s="635">
        <v>9014</v>
      </c>
      <c r="P26" s="635">
        <v>9955</v>
      </c>
      <c r="Q26" s="635">
        <v>10846</v>
      </c>
      <c r="R26" s="635">
        <v>11456</v>
      </c>
      <c r="S26" s="635">
        <v>12913</v>
      </c>
      <c r="T26" s="635">
        <v>12828</v>
      </c>
      <c r="U26" s="635">
        <v>14133</v>
      </c>
      <c r="V26" s="636">
        <v>14654</v>
      </c>
    </row>
    <row r="27" spans="1:28" s="318" customFormat="1">
      <c r="A27" s="316">
        <v>12</v>
      </c>
      <c r="B27" s="318" t="s">
        <v>164</v>
      </c>
      <c r="E27" s="623"/>
      <c r="F27" s="637">
        <v>266142</v>
      </c>
      <c r="G27" s="637">
        <v>193607</v>
      </c>
      <c r="H27" s="637">
        <v>173216</v>
      </c>
      <c r="I27" s="637">
        <v>200326</v>
      </c>
      <c r="J27" s="637">
        <v>182749</v>
      </c>
      <c r="K27" s="637">
        <v>184132</v>
      </c>
      <c r="L27" s="637">
        <v>218266</v>
      </c>
      <c r="M27" s="637">
        <v>198644</v>
      </c>
      <c r="N27" s="637">
        <v>219777</v>
      </c>
      <c r="O27" s="637">
        <v>223748</v>
      </c>
      <c r="P27" s="637">
        <v>321388</v>
      </c>
      <c r="Q27" s="637">
        <v>273183</v>
      </c>
      <c r="R27" s="637">
        <v>262470</v>
      </c>
      <c r="S27" s="637">
        <f>SUM(S22:S26)</f>
        <v>297764</v>
      </c>
      <c r="T27" s="637">
        <f>SUM(T22:T26)</f>
        <v>281594</v>
      </c>
      <c r="U27" s="637">
        <f>SUM(U22:U26)</f>
        <v>270646</v>
      </c>
      <c r="V27" s="638">
        <f>SUM(V22:V26)</f>
        <v>261215</v>
      </c>
    </row>
    <row r="28" spans="1:28" s="318" customFormat="1">
      <c r="A28" s="316"/>
      <c r="E28" s="623"/>
      <c r="F28" s="637"/>
      <c r="G28" s="637"/>
      <c r="H28" s="637"/>
      <c r="I28" s="637"/>
      <c r="J28" s="637"/>
      <c r="K28" s="637"/>
      <c r="L28" s="637"/>
      <c r="M28" s="637"/>
      <c r="N28" s="637"/>
      <c r="O28" s="637"/>
      <c r="P28" s="637"/>
      <c r="Q28" s="637"/>
      <c r="R28" s="637"/>
      <c r="S28" s="637"/>
      <c r="T28" s="637"/>
      <c r="U28" s="637"/>
      <c r="V28" s="638"/>
    </row>
    <row r="29" spans="1:28" s="318" customFormat="1">
      <c r="A29" s="316"/>
      <c r="B29" s="318" t="s">
        <v>165</v>
      </c>
      <c r="E29" s="623"/>
      <c r="F29" s="637"/>
      <c r="G29" s="637"/>
      <c r="H29" s="637"/>
      <c r="I29" s="637"/>
      <c r="J29" s="637"/>
      <c r="K29" s="637"/>
      <c r="L29" s="637"/>
      <c r="M29" s="637"/>
      <c r="N29" s="637"/>
      <c r="O29" s="637"/>
      <c r="P29" s="637"/>
      <c r="Q29" s="637"/>
      <c r="R29" s="637"/>
      <c r="S29" s="637"/>
      <c r="T29" s="637"/>
      <c r="U29" s="637"/>
      <c r="V29" s="638"/>
    </row>
    <row r="30" spans="1:28" s="318" customFormat="1">
      <c r="A30" s="316">
        <v>13</v>
      </c>
      <c r="C30" s="318" t="s">
        <v>161</v>
      </c>
      <c r="E30" s="623"/>
      <c r="F30" s="633">
        <v>9418</v>
      </c>
      <c r="G30" s="633">
        <v>10560</v>
      </c>
      <c r="H30" s="633">
        <v>9631</v>
      </c>
      <c r="I30" s="633">
        <v>10171</v>
      </c>
      <c r="J30" s="633">
        <v>12016</v>
      </c>
      <c r="K30" s="633">
        <v>14263</v>
      </c>
      <c r="L30" s="633">
        <v>15485</v>
      </c>
      <c r="M30" s="633">
        <v>14563</v>
      </c>
      <c r="N30" s="633">
        <v>17329</v>
      </c>
      <c r="O30" s="633">
        <v>17267</v>
      </c>
      <c r="P30" s="633">
        <v>18354</v>
      </c>
      <c r="Q30" s="633">
        <v>19081</v>
      </c>
      <c r="R30" s="633">
        <v>21152</v>
      </c>
      <c r="S30" s="633">
        <v>20878</v>
      </c>
      <c r="T30" s="633">
        <v>21299</v>
      </c>
      <c r="U30" s="633">
        <v>24056</v>
      </c>
      <c r="V30" s="634">
        <v>21415</v>
      </c>
    </row>
    <row r="31" spans="1:28" s="318" customFormat="1">
      <c r="A31" s="316">
        <v>14</v>
      </c>
      <c r="C31" s="318" t="s">
        <v>508</v>
      </c>
      <c r="E31" s="623"/>
      <c r="F31" s="633">
        <v>9056</v>
      </c>
      <c r="G31" s="633">
        <v>9178</v>
      </c>
      <c r="H31" s="633">
        <v>9427</v>
      </c>
      <c r="I31" s="633">
        <v>9752</v>
      </c>
      <c r="J31" s="633">
        <v>10067</v>
      </c>
      <c r="K31" s="633">
        <v>10399</v>
      </c>
      <c r="L31" s="633">
        <v>10776</v>
      </c>
      <c r="M31" s="633">
        <v>11333</v>
      </c>
      <c r="N31" s="633">
        <v>15611</v>
      </c>
      <c r="O31" s="633">
        <v>16809</v>
      </c>
      <c r="P31" s="633">
        <v>17985</v>
      </c>
      <c r="Q31" s="633">
        <v>19240</v>
      </c>
      <c r="R31" s="633">
        <v>20749</v>
      </c>
      <c r="S31" s="633">
        <v>22303</v>
      </c>
      <c r="T31" s="633">
        <v>23794</v>
      </c>
      <c r="U31" s="634">
        <v>25379</v>
      </c>
      <c r="V31" s="634">
        <v>27819</v>
      </c>
    </row>
    <row r="32" spans="1:28" s="318" customFormat="1" ht="12.75" customHeight="1">
      <c r="A32" s="316">
        <v>15</v>
      </c>
      <c r="C32" s="318" t="s">
        <v>772</v>
      </c>
      <c r="E32" s="623"/>
      <c r="F32" s="635">
        <v>11693</v>
      </c>
      <c r="G32" s="635">
        <v>15462</v>
      </c>
      <c r="H32" s="635">
        <v>16996</v>
      </c>
      <c r="I32" s="635">
        <v>17286</v>
      </c>
      <c r="J32" s="635">
        <v>17401</v>
      </c>
      <c r="K32" s="635">
        <v>14988</v>
      </c>
      <c r="L32" s="635">
        <v>16307</v>
      </c>
      <c r="M32" s="635">
        <v>16156</v>
      </c>
      <c r="N32" s="635">
        <v>17416</v>
      </c>
      <c r="O32" s="640">
        <f>18207+9</f>
        <v>18216</v>
      </c>
      <c r="P32" s="640">
        <f>19990+39</f>
        <v>20029</v>
      </c>
      <c r="Q32" s="640">
        <f>22393+66</f>
        <v>22459</v>
      </c>
      <c r="R32" s="640">
        <f>22595+104</f>
        <v>22699</v>
      </c>
      <c r="S32" s="640">
        <f>23288+521</f>
        <v>23809</v>
      </c>
      <c r="T32" s="640">
        <f>25575+246</f>
        <v>25821</v>
      </c>
      <c r="U32" s="640">
        <f>26806+642</f>
        <v>27448</v>
      </c>
      <c r="V32" s="636">
        <v>27287</v>
      </c>
      <c r="W32" s="867" t="s">
        <v>773</v>
      </c>
      <c r="X32" s="867"/>
      <c r="Y32" s="867"/>
      <c r="Z32" s="867"/>
      <c r="AA32" s="867"/>
      <c r="AB32" s="867"/>
    </row>
    <row r="33" spans="1:22" s="318" customFormat="1">
      <c r="A33" s="316">
        <v>16</v>
      </c>
      <c r="B33" s="318" t="s">
        <v>166</v>
      </c>
      <c r="E33" s="623"/>
      <c r="F33" s="637">
        <v>30167</v>
      </c>
      <c r="G33" s="637">
        <v>35200</v>
      </c>
      <c r="H33" s="637">
        <v>36054</v>
      </c>
      <c r="I33" s="637">
        <v>37209</v>
      </c>
      <c r="J33" s="637">
        <v>39484</v>
      </c>
      <c r="K33" s="637">
        <v>39650</v>
      </c>
      <c r="L33" s="637">
        <v>42568</v>
      </c>
      <c r="M33" s="637">
        <v>42052</v>
      </c>
      <c r="N33" s="637">
        <v>50356</v>
      </c>
      <c r="O33" s="637">
        <v>52283</v>
      </c>
      <c r="P33" s="637">
        <v>56329</v>
      </c>
      <c r="Q33" s="637">
        <v>60714.453812</v>
      </c>
      <c r="R33" s="637">
        <v>64495.925350000005</v>
      </c>
      <c r="S33" s="637">
        <f>SUM(S30:S32)</f>
        <v>66990</v>
      </c>
      <c r="T33" s="637">
        <f>SUM(T30:T32)</f>
        <v>70914</v>
      </c>
      <c r="U33" s="637">
        <f>SUM(U30:U32)</f>
        <v>76883</v>
      </c>
      <c r="V33" s="638">
        <f>SUM(V30:V32)</f>
        <v>76521</v>
      </c>
    </row>
    <row r="34" spans="1:22" s="318" customFormat="1">
      <c r="E34" s="623"/>
      <c r="F34" s="637"/>
      <c r="G34" s="637"/>
      <c r="H34" s="637"/>
      <c r="I34" s="637"/>
      <c r="J34" s="637"/>
      <c r="K34" s="637"/>
      <c r="L34" s="637"/>
      <c r="M34" s="637"/>
      <c r="N34" s="637"/>
      <c r="O34" s="637"/>
      <c r="P34" s="637"/>
      <c r="Q34" s="637"/>
      <c r="R34" s="637"/>
      <c r="S34" s="637"/>
      <c r="T34" s="637"/>
      <c r="U34" s="637"/>
      <c r="V34" s="638"/>
    </row>
    <row r="35" spans="1:22" s="318" customFormat="1">
      <c r="A35" s="316">
        <v>17</v>
      </c>
      <c r="B35" s="318" t="s">
        <v>167</v>
      </c>
      <c r="E35" s="623"/>
      <c r="F35" s="633">
        <v>5768</v>
      </c>
      <c r="G35" s="633">
        <v>6196</v>
      </c>
      <c r="H35" s="633">
        <v>7113</v>
      </c>
      <c r="I35" s="633">
        <v>7129</v>
      </c>
      <c r="J35" s="633">
        <v>7352</v>
      </c>
      <c r="K35" s="633">
        <v>7156</v>
      </c>
      <c r="L35" s="633">
        <v>7097</v>
      </c>
      <c r="M35" s="633">
        <v>7514</v>
      </c>
      <c r="N35" s="633">
        <v>7919</v>
      </c>
      <c r="O35" s="633">
        <v>9646</v>
      </c>
      <c r="P35" s="633">
        <v>9261</v>
      </c>
      <c r="Q35" s="633">
        <v>10274.701588</v>
      </c>
      <c r="R35" s="633">
        <v>10335.791302</v>
      </c>
      <c r="S35" s="633">
        <v>11334</v>
      </c>
      <c r="T35" s="633">
        <v>11166</v>
      </c>
      <c r="U35" s="633">
        <v>12363</v>
      </c>
      <c r="V35" s="634">
        <v>13021</v>
      </c>
    </row>
    <row r="36" spans="1:22" s="318" customFormat="1">
      <c r="A36" s="316">
        <v>18</v>
      </c>
      <c r="B36" s="318" t="s">
        <v>168</v>
      </c>
      <c r="E36" s="623"/>
      <c r="F36" s="633">
        <v>5704</v>
      </c>
      <c r="G36" s="633">
        <v>5381</v>
      </c>
      <c r="H36" s="633">
        <v>6261</v>
      </c>
      <c r="I36" s="633">
        <v>6620</v>
      </c>
      <c r="J36" s="633">
        <v>266</v>
      </c>
      <c r="K36" s="633">
        <v>7127</v>
      </c>
      <c r="L36" s="633">
        <v>1159</v>
      </c>
      <c r="M36" s="633">
        <v>7472</v>
      </c>
      <c r="N36" s="633">
        <v>12847</v>
      </c>
      <c r="O36" s="633">
        <v>19736</v>
      </c>
      <c r="P36" s="633">
        <v>20832</v>
      </c>
      <c r="Q36" s="633">
        <v>21292</v>
      </c>
      <c r="R36" s="633">
        <v>18487</v>
      </c>
      <c r="S36" s="633">
        <v>1516</v>
      </c>
      <c r="T36" s="633">
        <v>1383</v>
      </c>
      <c r="U36" s="633">
        <v>1454</v>
      </c>
      <c r="V36" s="634">
        <v>1406</v>
      </c>
    </row>
    <row r="37" spans="1:22" s="318" customFormat="1">
      <c r="A37" s="316">
        <v>19</v>
      </c>
      <c r="B37" s="318" t="s">
        <v>169</v>
      </c>
      <c r="E37" s="623"/>
      <c r="F37" s="633">
        <v>1071</v>
      </c>
      <c r="G37" s="633">
        <v>734</v>
      </c>
      <c r="H37" s="633">
        <v>628</v>
      </c>
      <c r="I37" s="633">
        <v>734</v>
      </c>
      <c r="J37" s="633">
        <v>686</v>
      </c>
      <c r="K37" s="633">
        <v>430</v>
      </c>
      <c r="L37" s="633">
        <v>657</v>
      </c>
      <c r="M37" s="633">
        <v>682</v>
      </c>
      <c r="N37" s="633">
        <v>571</v>
      </c>
      <c r="O37" s="633">
        <v>660</v>
      </c>
      <c r="P37" s="633">
        <v>176</v>
      </c>
      <c r="Q37" s="633">
        <v>4</v>
      </c>
      <c r="R37" s="633">
        <v>5</v>
      </c>
      <c r="S37" s="633">
        <v>5</v>
      </c>
      <c r="T37" s="633">
        <v>0</v>
      </c>
      <c r="U37" s="633">
        <v>0</v>
      </c>
      <c r="V37" s="634">
        <v>0</v>
      </c>
    </row>
    <row r="38" spans="1:22" s="318" customFormat="1">
      <c r="A38" s="316"/>
      <c r="E38" s="623"/>
      <c r="F38" s="637"/>
      <c r="G38" s="637"/>
      <c r="H38" s="637"/>
      <c r="I38" s="637"/>
      <c r="J38" s="637"/>
      <c r="K38" s="637"/>
      <c r="L38" s="637"/>
      <c r="M38" s="637"/>
      <c r="N38" s="637"/>
      <c r="O38" s="637"/>
      <c r="P38" s="637"/>
      <c r="Q38" s="637"/>
      <c r="R38" s="637"/>
      <c r="S38" s="637"/>
      <c r="T38" s="637"/>
      <c r="U38" s="637"/>
      <c r="V38" s="638"/>
    </row>
    <row r="39" spans="1:22" s="318" customFormat="1">
      <c r="B39" s="318" t="s">
        <v>170</v>
      </c>
      <c r="E39" s="623"/>
      <c r="F39" s="637"/>
      <c r="G39" s="637"/>
      <c r="H39" s="637"/>
      <c r="I39" s="637"/>
      <c r="J39" s="637"/>
      <c r="K39" s="637"/>
      <c r="L39" s="637"/>
      <c r="M39" s="637"/>
      <c r="N39" s="637"/>
      <c r="O39" s="637"/>
      <c r="P39" s="637"/>
      <c r="Q39" s="637"/>
      <c r="R39" s="637"/>
      <c r="S39" s="637"/>
      <c r="T39" s="637"/>
      <c r="U39" s="637"/>
      <c r="V39" s="638"/>
    </row>
    <row r="40" spans="1:22" s="318" customFormat="1">
      <c r="A40" s="316">
        <v>20</v>
      </c>
      <c r="C40" s="318" t="s">
        <v>161</v>
      </c>
      <c r="E40" s="623"/>
      <c r="F40" s="633">
        <v>30350</v>
      </c>
      <c r="G40" s="633">
        <v>25102</v>
      </c>
      <c r="H40" s="633">
        <v>30304</v>
      </c>
      <c r="I40" s="633">
        <v>30153</v>
      </c>
      <c r="J40" s="633">
        <v>31927</v>
      </c>
      <c r="K40" s="633">
        <v>33143</v>
      </c>
      <c r="L40" s="633">
        <v>33148</v>
      </c>
      <c r="M40" s="633">
        <v>35844</v>
      </c>
      <c r="N40" s="633">
        <v>35982</v>
      </c>
      <c r="O40" s="633">
        <v>38461</v>
      </c>
      <c r="P40" s="633">
        <v>44662</v>
      </c>
      <c r="Q40" s="633">
        <v>44779.252</v>
      </c>
      <c r="R40" s="633">
        <v>49333.396000000001</v>
      </c>
      <c r="S40" s="633">
        <v>43310</v>
      </c>
      <c r="T40" s="633">
        <v>46210</v>
      </c>
      <c r="U40" s="634">
        <v>49942</v>
      </c>
      <c r="V40" s="634">
        <v>48989</v>
      </c>
    </row>
    <row r="41" spans="1:22" s="318" customFormat="1">
      <c r="A41" s="316">
        <v>21</v>
      </c>
      <c r="C41" s="318" t="s">
        <v>508</v>
      </c>
      <c r="E41" s="623"/>
      <c r="F41" s="633">
        <v>3998</v>
      </c>
      <c r="G41" s="633">
        <v>4414</v>
      </c>
      <c r="H41" s="633">
        <v>6606</v>
      </c>
      <c r="I41" s="633">
        <v>6659</v>
      </c>
      <c r="J41" s="633">
        <v>6072</v>
      </c>
      <c r="K41" s="633">
        <v>6537</v>
      </c>
      <c r="L41" s="633">
        <v>6459</v>
      </c>
      <c r="M41" s="633">
        <v>6739</v>
      </c>
      <c r="N41" s="633">
        <v>7187</v>
      </c>
      <c r="O41" s="633">
        <v>7688</v>
      </c>
      <c r="P41" s="633">
        <v>9277</v>
      </c>
      <c r="Q41" s="633">
        <v>10906</v>
      </c>
      <c r="R41" s="633">
        <v>12517</v>
      </c>
      <c r="S41" s="633">
        <v>14721</v>
      </c>
      <c r="T41" s="633">
        <v>16947</v>
      </c>
      <c r="U41" s="634">
        <v>21503</v>
      </c>
      <c r="V41" s="634">
        <v>23877</v>
      </c>
    </row>
    <row r="42" spans="1:22" s="318" customFormat="1">
      <c r="A42" s="345">
        <v>22</v>
      </c>
      <c r="C42" s="318" t="s">
        <v>163</v>
      </c>
      <c r="E42" s="623"/>
      <c r="F42" s="635">
        <v>5</v>
      </c>
      <c r="G42" s="635">
        <v>2</v>
      </c>
      <c r="H42" s="635">
        <v>1</v>
      </c>
      <c r="I42" s="635">
        <v>2</v>
      </c>
      <c r="J42" s="635">
        <v>3</v>
      </c>
      <c r="K42" s="635">
        <v>-4</v>
      </c>
      <c r="L42" s="635">
        <v>0</v>
      </c>
      <c r="M42" s="635">
        <v>-9</v>
      </c>
      <c r="N42" s="635">
        <v>-3</v>
      </c>
      <c r="O42" s="635">
        <v>-3</v>
      </c>
      <c r="P42" s="635">
        <v>2</v>
      </c>
      <c r="Q42" s="635">
        <v>0</v>
      </c>
      <c r="R42" s="635">
        <v>-4</v>
      </c>
      <c r="S42" s="635">
        <v>0</v>
      </c>
      <c r="T42" s="635">
        <v>0</v>
      </c>
      <c r="U42" s="636">
        <v>0</v>
      </c>
      <c r="V42" s="636">
        <v>0</v>
      </c>
    </row>
    <row r="43" spans="1:22" s="318" customFormat="1">
      <c r="A43" s="316">
        <v>23</v>
      </c>
      <c r="B43" s="318" t="s">
        <v>171</v>
      </c>
      <c r="E43" s="623"/>
      <c r="F43" s="641">
        <v>34353</v>
      </c>
      <c r="G43" s="641">
        <v>29518</v>
      </c>
      <c r="H43" s="641">
        <v>36911</v>
      </c>
      <c r="I43" s="641">
        <v>36814</v>
      </c>
      <c r="J43" s="641">
        <v>38002</v>
      </c>
      <c r="K43" s="641">
        <v>39676</v>
      </c>
      <c r="L43" s="641">
        <v>39607</v>
      </c>
      <c r="M43" s="641">
        <v>42574</v>
      </c>
      <c r="N43" s="641">
        <v>43166</v>
      </c>
      <c r="O43" s="641">
        <v>46146</v>
      </c>
      <c r="P43" s="641">
        <v>53941</v>
      </c>
      <c r="Q43" s="641">
        <v>55685.252</v>
      </c>
      <c r="R43" s="641">
        <v>61846.396000000001</v>
      </c>
      <c r="S43" s="641">
        <f>SUM(S40:S42)</f>
        <v>58031</v>
      </c>
      <c r="T43" s="641">
        <f>SUM(T40:T42)</f>
        <v>63157</v>
      </c>
      <c r="U43" s="641">
        <f>SUM(U40:U42)</f>
        <v>71445</v>
      </c>
      <c r="V43" s="642">
        <f>SUM(V40:V42)</f>
        <v>72866</v>
      </c>
    </row>
    <row r="44" spans="1:22" s="318" customFormat="1" ht="18" customHeight="1">
      <c r="A44" s="316">
        <v>24</v>
      </c>
      <c r="B44" s="318" t="s">
        <v>172</v>
      </c>
      <c r="E44" s="623"/>
      <c r="F44" s="641">
        <v>343205</v>
      </c>
      <c r="G44" s="641">
        <v>270636</v>
      </c>
      <c r="H44" s="641">
        <v>260183</v>
      </c>
      <c r="I44" s="641">
        <v>288832</v>
      </c>
      <c r="J44" s="641">
        <v>268539</v>
      </c>
      <c r="K44" s="641">
        <v>278171</v>
      </c>
      <c r="L44" s="641">
        <v>309354</v>
      </c>
      <c r="M44" s="641">
        <v>298938</v>
      </c>
      <c r="N44" s="641">
        <v>334636</v>
      </c>
      <c r="O44" s="641">
        <v>352219</v>
      </c>
      <c r="P44" s="641">
        <v>461927</v>
      </c>
      <c r="Q44" s="641">
        <v>421153.40740000003</v>
      </c>
      <c r="R44" s="641">
        <v>417640.11265200004</v>
      </c>
      <c r="S44" s="641">
        <f>S27+S33+S35+S36+S37+S43</f>
        <v>435640</v>
      </c>
      <c r="T44" s="641">
        <f>T27+T33+T35+T36+T37+T43</f>
        <v>428214</v>
      </c>
      <c r="U44" s="641">
        <f>U27+U33+U35+U36+U37+U43</f>
        <v>432791</v>
      </c>
      <c r="V44" s="642">
        <f>V27+V33+V35+V36+V37+V43</f>
        <v>425029</v>
      </c>
    </row>
    <row r="45" spans="1:22" s="318" customFormat="1">
      <c r="E45" s="623"/>
      <c r="F45" s="637"/>
      <c r="G45" s="637"/>
      <c r="H45" s="637"/>
      <c r="I45" s="637"/>
      <c r="J45" s="637"/>
      <c r="K45" s="637"/>
      <c r="L45" s="637"/>
      <c r="M45" s="637"/>
      <c r="N45" s="637"/>
      <c r="O45" s="637"/>
      <c r="P45" s="637"/>
      <c r="Q45" s="637"/>
      <c r="R45" s="637"/>
      <c r="S45" s="637"/>
      <c r="T45" s="637"/>
      <c r="U45" s="637"/>
      <c r="V45" s="638"/>
    </row>
    <row r="46" spans="1:22" s="318" customFormat="1">
      <c r="A46" s="316">
        <v>25</v>
      </c>
      <c r="B46" s="318" t="s">
        <v>173</v>
      </c>
      <c r="E46" s="623"/>
      <c r="F46" s="631">
        <v>50049</v>
      </c>
      <c r="G46" s="631">
        <v>93786</v>
      </c>
      <c r="H46" s="631">
        <v>78118</v>
      </c>
      <c r="I46" s="631">
        <v>87772</v>
      </c>
      <c r="J46" s="631">
        <v>66659</v>
      </c>
      <c r="K46" s="631">
        <v>66735</v>
      </c>
      <c r="L46" s="631">
        <v>58866</v>
      </c>
      <c r="M46" s="631">
        <v>73260</v>
      </c>
      <c r="N46" s="631">
        <v>89384</v>
      </c>
      <c r="O46" s="631">
        <v>92156.549100000004</v>
      </c>
      <c r="P46" s="631">
        <v>99867.970363199944</v>
      </c>
      <c r="Q46" s="631">
        <v>97773.592599999974</v>
      </c>
      <c r="R46" s="631">
        <v>110079.88734799996</v>
      </c>
      <c r="S46" s="631">
        <f>S18-S44</f>
        <v>122007</v>
      </c>
      <c r="T46" s="631">
        <f>T18-T44</f>
        <v>139241</v>
      </c>
      <c r="U46" s="631">
        <f>U18-U44</f>
        <v>131791</v>
      </c>
      <c r="V46" s="632">
        <f>V18-V44</f>
        <v>143494</v>
      </c>
    </row>
    <row r="47" spans="1:22" s="318" customFormat="1">
      <c r="A47" s="316"/>
      <c r="E47" s="623"/>
      <c r="F47" s="634"/>
      <c r="G47" s="634"/>
      <c r="H47" s="634"/>
      <c r="I47" s="634"/>
      <c r="J47" s="634"/>
      <c r="K47" s="634"/>
      <c r="L47" s="634"/>
      <c r="M47" s="634"/>
      <c r="N47" s="634"/>
      <c r="O47" s="634"/>
      <c r="P47" s="634"/>
      <c r="Q47" s="634"/>
      <c r="R47" s="634"/>
      <c r="S47" s="634"/>
      <c r="T47" s="634"/>
      <c r="U47" s="634"/>
      <c r="V47" s="634"/>
    </row>
    <row r="48" spans="1:22" s="318" customFormat="1">
      <c r="A48" s="320"/>
      <c r="B48" s="318" t="s">
        <v>174</v>
      </c>
      <c r="E48" s="623"/>
      <c r="F48" s="634"/>
      <c r="G48" s="634"/>
      <c r="H48" s="634"/>
      <c r="I48" s="634"/>
      <c r="J48" s="634"/>
      <c r="K48" s="634"/>
      <c r="L48" s="634"/>
      <c r="M48" s="634"/>
      <c r="N48" s="634"/>
      <c r="O48" s="634"/>
      <c r="P48" s="634"/>
      <c r="Q48" s="634"/>
      <c r="R48" s="634"/>
      <c r="S48" s="634"/>
      <c r="T48" s="634"/>
      <c r="U48" s="634"/>
      <c r="V48" s="634"/>
    </row>
    <row r="49" spans="1:22" s="318" customFormat="1">
      <c r="A49" s="345">
        <v>26</v>
      </c>
      <c r="B49" s="318" t="s">
        <v>541</v>
      </c>
      <c r="D49" s="359"/>
      <c r="E49" s="623"/>
      <c r="F49" s="634">
        <v>13500</v>
      </c>
      <c r="G49" s="634">
        <v>7802.6454399910144</v>
      </c>
      <c r="H49" s="634">
        <v>12532.4934614427</v>
      </c>
      <c r="I49" s="634">
        <v>18199.38094551977</v>
      </c>
      <c r="J49" s="634">
        <v>10602.745932108257</v>
      </c>
      <c r="K49" s="634">
        <v>6760.4768703774607</v>
      </c>
      <c r="L49" s="634">
        <v>3583.5198936206907</v>
      </c>
      <c r="M49" s="634">
        <v>5069.5165750000015</v>
      </c>
      <c r="N49" s="634">
        <v>-6217.1202000000012</v>
      </c>
      <c r="O49" s="634">
        <v>-1846</v>
      </c>
      <c r="P49" s="634">
        <v>9263</v>
      </c>
      <c r="Q49" s="634">
        <v>6568.9074099999998</v>
      </c>
      <c r="R49" s="634">
        <v>11499.260571799998</v>
      </c>
      <c r="S49" s="634">
        <v>19267</v>
      </c>
      <c r="T49" s="634">
        <v>-7683</v>
      </c>
      <c r="U49" s="634">
        <v>4968</v>
      </c>
      <c r="V49" s="634">
        <v>-29081</v>
      </c>
    </row>
    <row r="50" spans="1:22" s="321" customFormat="1">
      <c r="A50" s="316">
        <v>27</v>
      </c>
      <c r="B50" s="321" t="s">
        <v>221</v>
      </c>
      <c r="E50" s="623"/>
      <c r="F50" s="634"/>
      <c r="G50" s="634"/>
      <c r="H50" s="634"/>
      <c r="I50" s="634"/>
      <c r="J50" s="634"/>
      <c r="K50" s="634"/>
      <c r="L50" s="634"/>
      <c r="M50" s="634"/>
      <c r="N50" s="634"/>
      <c r="O50" s="634"/>
      <c r="P50" s="634"/>
      <c r="Q50" s="634">
        <v>206.8288</v>
      </c>
      <c r="R50" s="634">
        <v>70.410550000000001</v>
      </c>
      <c r="S50" s="634">
        <v>1</v>
      </c>
      <c r="T50" s="634">
        <v>-136</v>
      </c>
      <c r="U50" s="634">
        <v>1</v>
      </c>
      <c r="V50" s="634">
        <v>21</v>
      </c>
    </row>
    <row r="51" spans="1:22" s="318" customFormat="1">
      <c r="A51" s="316">
        <v>28</v>
      </c>
      <c r="B51" s="318" t="s">
        <v>175</v>
      </c>
      <c r="E51" s="623"/>
      <c r="F51" s="634">
        <v>3549</v>
      </c>
      <c r="G51" s="634">
        <v>16107</v>
      </c>
      <c r="H51" s="634">
        <v>3470</v>
      </c>
      <c r="I51" s="634">
        <v>1284</v>
      </c>
      <c r="J51" s="634">
        <v>608</v>
      </c>
      <c r="K51" s="634">
        <v>3867</v>
      </c>
      <c r="L51" s="634">
        <v>3975</v>
      </c>
      <c r="M51" s="634">
        <v>6497</v>
      </c>
      <c r="N51" s="634">
        <v>26634</v>
      </c>
      <c r="O51" s="634">
        <v>23983</v>
      </c>
      <c r="P51" s="634">
        <v>13823</v>
      </c>
      <c r="Q51" s="634">
        <v>16402</v>
      </c>
      <c r="R51" s="634">
        <v>15684</v>
      </c>
      <c r="S51" s="634">
        <v>10613</v>
      </c>
      <c r="T51" s="634">
        <v>46085</v>
      </c>
      <c r="U51" s="634">
        <v>29492</v>
      </c>
      <c r="V51" s="634">
        <v>67191</v>
      </c>
    </row>
    <row r="52" spans="1:22" s="318" customFormat="1">
      <c r="A52" s="320">
        <v>29</v>
      </c>
      <c r="B52" s="318" t="s">
        <v>210</v>
      </c>
      <c r="E52" s="623"/>
      <c r="F52" s="634"/>
      <c r="G52" s="634"/>
      <c r="H52" s="634"/>
      <c r="I52" s="634"/>
      <c r="J52" s="634"/>
      <c r="K52" s="634"/>
      <c r="L52" s="634"/>
      <c r="M52" s="634"/>
      <c r="N52" s="634"/>
      <c r="O52" s="634">
        <v>-58</v>
      </c>
      <c r="P52" s="634">
        <v>-83</v>
      </c>
      <c r="Q52" s="634">
        <v>-99</v>
      </c>
      <c r="R52" s="634">
        <v>-128</v>
      </c>
      <c r="S52" s="634">
        <v>-130</v>
      </c>
      <c r="T52" s="634">
        <v>-128</v>
      </c>
      <c r="U52" s="634">
        <v>-129</v>
      </c>
      <c r="V52" s="634">
        <v>-326</v>
      </c>
    </row>
    <row r="53" spans="1:22">
      <c r="B53" s="643" t="s">
        <v>658</v>
      </c>
      <c r="F53" s="634">
        <v>5683</v>
      </c>
      <c r="G53" s="634">
        <v>5369</v>
      </c>
      <c r="H53" s="634"/>
      <c r="I53" s="634"/>
      <c r="J53" s="634"/>
      <c r="K53" s="634"/>
      <c r="L53" s="634"/>
      <c r="M53" s="634"/>
      <c r="N53" s="634"/>
      <c r="O53" s="634"/>
      <c r="P53" s="634"/>
      <c r="Q53" s="634"/>
      <c r="R53" s="634"/>
      <c r="S53" s="634"/>
      <c r="T53" s="634"/>
      <c r="U53" s="634"/>
      <c r="V53" s="634"/>
    </row>
    <row r="54" spans="1:22" s="317" customFormat="1" ht="13.5" thickBot="1">
      <c r="A54" s="319">
        <v>30</v>
      </c>
      <c r="B54" s="317" t="s">
        <v>176</v>
      </c>
      <c r="E54" s="623"/>
      <c r="F54" s="644">
        <v>27317</v>
      </c>
      <c r="G54" s="644">
        <v>64507.354560008986</v>
      </c>
      <c r="H54" s="644">
        <v>62115.506538557296</v>
      </c>
      <c r="I54" s="644">
        <v>68288.619054480223</v>
      </c>
      <c r="J54" s="644">
        <v>55448.254067891743</v>
      </c>
      <c r="K54" s="644">
        <v>56107.523129622539</v>
      </c>
      <c r="L54" s="644">
        <v>51307.480106379313</v>
      </c>
      <c r="M54" s="644">
        <v>61693.483424999999</v>
      </c>
      <c r="N54" s="644">
        <v>68967.120200000005</v>
      </c>
      <c r="O54" s="644">
        <v>70077.549100000004</v>
      </c>
      <c r="P54" s="644">
        <v>76864.970363199944</v>
      </c>
      <c r="Q54" s="644">
        <v>74694.856389999972</v>
      </c>
      <c r="R54" s="644">
        <v>82954.216226199962</v>
      </c>
      <c r="S54" s="644">
        <f>S46-S49-S50-S51-S52</f>
        <v>92256</v>
      </c>
      <c r="T54" s="644">
        <f>T46-T49-T50-T51-T52</f>
        <v>101103</v>
      </c>
      <c r="U54" s="644">
        <f>U46-U49-U50-U51-U52</f>
        <v>97459</v>
      </c>
      <c r="V54" s="645">
        <f>V46-V49-V50-V51-V52</f>
        <v>105689</v>
      </c>
    </row>
    <row r="55" spans="1:22" ht="13.5" thickTop="1">
      <c r="A55" s="319"/>
      <c r="D55" s="278" t="s">
        <v>774</v>
      </c>
      <c r="F55" s="634"/>
      <c r="G55" s="634"/>
      <c r="H55" s="634"/>
      <c r="I55" s="634"/>
      <c r="J55" s="634"/>
      <c r="K55" s="634"/>
      <c r="L55" s="634"/>
      <c r="M55" s="634"/>
      <c r="N55" s="634"/>
      <c r="O55" s="634"/>
      <c r="P55" s="634"/>
      <c r="Q55" s="634"/>
      <c r="R55" s="634"/>
      <c r="S55" s="634"/>
      <c r="T55" s="634"/>
      <c r="U55" s="634"/>
      <c r="V55" s="634"/>
    </row>
    <row r="56" spans="1:22">
      <c r="A56" s="319"/>
      <c r="B56" s="303" t="s">
        <v>177</v>
      </c>
      <c r="F56" s="634"/>
      <c r="G56" s="634"/>
      <c r="H56" s="634"/>
      <c r="I56" s="634"/>
      <c r="J56" s="634"/>
      <c r="K56" s="634"/>
      <c r="L56" s="634"/>
      <c r="M56" s="634"/>
      <c r="N56" s="634"/>
      <c r="O56" s="634"/>
      <c r="P56" s="634"/>
      <c r="Q56" s="634"/>
      <c r="R56" s="634"/>
      <c r="S56" s="634"/>
      <c r="T56" s="634"/>
      <c r="U56" s="634"/>
      <c r="V56" s="634"/>
    </row>
    <row r="57" spans="1:22">
      <c r="B57" s="303" t="s">
        <v>178</v>
      </c>
      <c r="F57" s="634"/>
      <c r="G57" s="634"/>
      <c r="H57" s="634"/>
      <c r="I57" s="634"/>
      <c r="J57" s="634"/>
      <c r="K57" s="634"/>
      <c r="L57" s="634"/>
      <c r="M57" s="634"/>
      <c r="N57" s="634"/>
      <c r="O57" s="634"/>
      <c r="P57" s="634"/>
      <c r="Q57" s="634"/>
      <c r="R57" s="634"/>
      <c r="S57" s="634"/>
      <c r="T57" s="634"/>
      <c r="U57" s="634"/>
      <c r="V57" s="634"/>
    </row>
    <row r="58" spans="1:22" s="317" customFormat="1">
      <c r="A58" s="349">
        <v>31</v>
      </c>
      <c r="C58" s="317" t="s">
        <v>179</v>
      </c>
      <c r="E58" s="623"/>
      <c r="F58" s="631">
        <v>15127</v>
      </c>
      <c r="G58" s="631">
        <v>16340</v>
      </c>
      <c r="H58" s="631">
        <v>20910</v>
      </c>
      <c r="I58" s="631">
        <v>21299</v>
      </c>
      <c r="J58" s="631">
        <v>21374</v>
      </c>
      <c r="K58" s="631">
        <v>22459</v>
      </c>
      <c r="L58" s="631">
        <v>23458</v>
      </c>
      <c r="M58" s="631">
        <v>20632</v>
      </c>
      <c r="N58" s="631">
        <v>23321</v>
      </c>
      <c r="O58" s="631">
        <v>57116</v>
      </c>
      <c r="P58" s="631">
        <v>81955</v>
      </c>
      <c r="Q58" s="631">
        <v>84081</v>
      </c>
      <c r="R58" s="631">
        <v>85247</v>
      </c>
      <c r="S58" s="631">
        <v>91466</v>
      </c>
      <c r="T58" s="631">
        <v>102620</v>
      </c>
      <c r="U58" s="632">
        <v>144970</v>
      </c>
      <c r="V58" s="632">
        <v>156057</v>
      </c>
    </row>
    <row r="59" spans="1:22" s="318" customFormat="1">
      <c r="A59" s="319">
        <v>32</v>
      </c>
      <c r="C59" s="318" t="s">
        <v>180</v>
      </c>
      <c r="E59" s="623"/>
      <c r="F59" s="634">
        <v>369323</v>
      </c>
      <c r="G59" s="634">
        <v>382522</v>
      </c>
      <c r="H59" s="634">
        <v>598523</v>
      </c>
      <c r="I59" s="634">
        <v>609668</v>
      </c>
      <c r="J59" s="634">
        <v>651608</v>
      </c>
      <c r="K59" s="634">
        <v>669043</v>
      </c>
      <c r="L59" s="634">
        <v>703455</v>
      </c>
      <c r="M59" s="634">
        <v>712962</v>
      </c>
      <c r="N59" s="634">
        <v>724416</v>
      </c>
      <c r="O59" s="634">
        <v>751055</v>
      </c>
      <c r="P59" s="634">
        <v>767632</v>
      </c>
      <c r="Q59" s="634">
        <v>706894</v>
      </c>
      <c r="R59" s="634">
        <v>717448</v>
      </c>
      <c r="S59" s="634">
        <v>738315</v>
      </c>
      <c r="T59" s="634">
        <v>746101</v>
      </c>
      <c r="U59" s="634">
        <v>779441</v>
      </c>
      <c r="V59" s="634">
        <v>832833</v>
      </c>
    </row>
    <row r="60" spans="1:22" s="318" customFormat="1">
      <c r="A60" s="319">
        <v>33</v>
      </c>
      <c r="C60" s="318" t="s">
        <v>181</v>
      </c>
      <c r="E60" s="623"/>
      <c r="F60" s="634">
        <v>181627</v>
      </c>
      <c r="G60" s="634">
        <v>191517</v>
      </c>
      <c r="H60" s="634">
        <v>186550</v>
      </c>
      <c r="I60" s="634">
        <v>196937</v>
      </c>
      <c r="J60" s="634">
        <v>213539</v>
      </c>
      <c r="K60" s="634">
        <v>224696</v>
      </c>
      <c r="L60" s="634">
        <v>244435</v>
      </c>
      <c r="M60" s="634">
        <v>259532</v>
      </c>
      <c r="N60" s="634">
        <v>289302</v>
      </c>
      <c r="O60" s="634">
        <v>301090</v>
      </c>
      <c r="P60" s="634">
        <v>312505</v>
      </c>
      <c r="Q60" s="634">
        <v>328012</v>
      </c>
      <c r="R60" s="634">
        <v>342382</v>
      </c>
      <c r="S60" s="634">
        <v>359941</v>
      </c>
      <c r="T60" s="634">
        <v>371971</v>
      </c>
      <c r="U60" s="634">
        <v>401700</v>
      </c>
      <c r="V60" s="634">
        <v>430613</v>
      </c>
    </row>
    <row r="61" spans="1:22" s="318" customFormat="1">
      <c r="A61" s="319">
        <v>34</v>
      </c>
      <c r="C61" s="318" t="s">
        <v>165</v>
      </c>
      <c r="E61" s="623"/>
      <c r="F61" s="634">
        <v>398104</v>
      </c>
      <c r="G61" s="634">
        <v>416427</v>
      </c>
      <c r="H61" s="634">
        <v>429742</v>
      </c>
      <c r="I61" s="634">
        <v>443424</v>
      </c>
      <c r="J61" s="634">
        <v>459516</v>
      </c>
      <c r="K61" s="634">
        <v>480638</v>
      </c>
      <c r="L61" s="634">
        <v>502571</v>
      </c>
      <c r="M61" s="634">
        <v>528809</v>
      </c>
      <c r="N61" s="634">
        <v>561016</v>
      </c>
      <c r="O61" s="634">
        <v>598884</v>
      </c>
      <c r="P61" s="634">
        <v>638445</v>
      </c>
      <c r="Q61" s="634">
        <v>696082</v>
      </c>
      <c r="R61" s="634">
        <v>743732</v>
      </c>
      <c r="S61" s="634">
        <v>796640</v>
      </c>
      <c r="T61" s="634">
        <v>842795</v>
      </c>
      <c r="U61" s="634">
        <v>895055</v>
      </c>
      <c r="V61" s="634">
        <v>970455</v>
      </c>
    </row>
    <row r="62" spans="1:22" s="318" customFormat="1">
      <c r="A62" s="319">
        <v>35</v>
      </c>
      <c r="C62" s="318" t="s">
        <v>182</v>
      </c>
      <c r="E62" s="623"/>
      <c r="F62" s="634">
        <v>58402</v>
      </c>
      <c r="G62" s="634">
        <v>59846</v>
      </c>
      <c r="H62" s="634">
        <v>59771</v>
      </c>
      <c r="I62" s="634">
        <v>60444</v>
      </c>
      <c r="J62" s="634">
        <v>63155</v>
      </c>
      <c r="K62" s="634">
        <v>65299</v>
      </c>
      <c r="L62" s="634">
        <v>80110</v>
      </c>
      <c r="M62" s="634">
        <v>81368</v>
      </c>
      <c r="N62" s="634">
        <v>91205</v>
      </c>
      <c r="O62" s="634">
        <v>98727</v>
      </c>
      <c r="P62" s="634">
        <v>120996</v>
      </c>
      <c r="Q62" s="634">
        <v>140218</v>
      </c>
      <c r="R62" s="634">
        <v>155104</v>
      </c>
      <c r="S62" s="634">
        <v>179134</v>
      </c>
      <c r="T62" s="634">
        <v>196867</v>
      </c>
      <c r="U62" s="634">
        <v>212726</v>
      </c>
      <c r="V62" s="634">
        <v>233266</v>
      </c>
    </row>
    <row r="63" spans="1:22" s="318" customFormat="1">
      <c r="A63" s="319">
        <v>36</v>
      </c>
      <c r="B63" s="318" t="s">
        <v>183</v>
      </c>
      <c r="E63" s="623"/>
      <c r="F63" s="646">
        <v>1022583</v>
      </c>
      <c r="G63" s="646">
        <v>1066652</v>
      </c>
      <c r="H63" s="646">
        <v>1295496</v>
      </c>
      <c r="I63" s="646">
        <v>1331772</v>
      </c>
      <c r="J63" s="646">
        <v>1409192</v>
      </c>
      <c r="K63" s="646">
        <v>1462135</v>
      </c>
      <c r="L63" s="646">
        <v>1554029</v>
      </c>
      <c r="M63" s="646">
        <v>1603303</v>
      </c>
      <c r="N63" s="646">
        <v>1689260</v>
      </c>
      <c r="O63" s="646">
        <v>1806872</v>
      </c>
      <c r="P63" s="646">
        <v>1921533</v>
      </c>
      <c r="Q63" s="646">
        <v>1955287</v>
      </c>
      <c r="R63" s="646">
        <v>2043913</v>
      </c>
      <c r="S63" s="646">
        <f>SUM(S58:S62)</f>
        <v>2165496</v>
      </c>
      <c r="T63" s="646">
        <f>SUM(T58:T62)</f>
        <v>2260354</v>
      </c>
      <c r="U63" s="646">
        <f>SUM(U58:U62)</f>
        <v>2433892</v>
      </c>
      <c r="V63" s="646">
        <f>SUM(V58:V62)</f>
        <v>2623224</v>
      </c>
    </row>
    <row r="64" spans="1:22" s="318" customFormat="1" ht="18" customHeight="1">
      <c r="A64" s="319"/>
      <c r="B64" s="318" t="s">
        <v>514</v>
      </c>
      <c r="E64" s="623"/>
      <c r="F64" s="647"/>
      <c r="G64" s="647"/>
      <c r="H64" s="647"/>
      <c r="I64" s="647"/>
      <c r="J64" s="647"/>
      <c r="K64" s="647"/>
      <c r="L64" s="647"/>
      <c r="M64" s="647"/>
      <c r="N64" s="647"/>
      <c r="O64" s="647"/>
      <c r="P64" s="647"/>
      <c r="Q64" s="647"/>
      <c r="R64" s="647"/>
      <c r="S64" s="647"/>
      <c r="T64" s="647"/>
      <c r="U64" s="647"/>
      <c r="V64" s="647"/>
    </row>
    <row r="65" spans="1:22" s="318" customFormat="1">
      <c r="A65" s="319">
        <v>37</v>
      </c>
      <c r="C65" s="317" t="s">
        <v>179</v>
      </c>
      <c r="E65" s="623"/>
      <c r="F65" s="648"/>
      <c r="G65" s="648"/>
      <c r="H65" s="648"/>
      <c r="I65" s="648"/>
      <c r="J65" s="648"/>
      <c r="K65" s="648"/>
      <c r="L65" s="648"/>
      <c r="M65" s="649"/>
      <c r="N65" s="649"/>
      <c r="O65" s="649"/>
      <c r="P65" s="649"/>
      <c r="Q65" s="650">
        <v>3744</v>
      </c>
      <c r="R65" s="650">
        <v>4369</v>
      </c>
      <c r="S65" s="650">
        <v>17667</v>
      </c>
      <c r="T65" s="650">
        <v>20242</v>
      </c>
      <c r="U65" s="650">
        <v>24943</v>
      </c>
      <c r="V65" s="650">
        <v>30914</v>
      </c>
    </row>
    <row r="66" spans="1:22" s="318" customFormat="1">
      <c r="A66" s="319">
        <v>38</v>
      </c>
      <c r="C66" s="318" t="s">
        <v>180</v>
      </c>
      <c r="E66" s="623"/>
      <c r="F66" s="648"/>
      <c r="G66" s="648"/>
      <c r="H66" s="648"/>
      <c r="I66" s="648"/>
      <c r="J66" s="648"/>
      <c r="K66" s="648"/>
      <c r="L66" s="648"/>
      <c r="M66" s="649"/>
      <c r="N66" s="649"/>
      <c r="O66" s="649"/>
      <c r="P66" s="649"/>
      <c r="Q66" s="650">
        <v>286300</v>
      </c>
      <c r="R66" s="650">
        <v>300170</v>
      </c>
      <c r="S66" s="650">
        <v>314599</v>
      </c>
      <c r="T66" s="650">
        <v>325531</v>
      </c>
      <c r="U66" s="650">
        <v>342899</v>
      </c>
      <c r="V66" s="650">
        <v>351625</v>
      </c>
    </row>
    <row r="67" spans="1:22" s="318" customFormat="1">
      <c r="A67" s="319">
        <v>39</v>
      </c>
      <c r="C67" s="318" t="s">
        <v>181</v>
      </c>
      <c r="E67" s="623"/>
      <c r="F67" s="648"/>
      <c r="G67" s="648"/>
      <c r="H67" s="648"/>
      <c r="I67" s="648"/>
      <c r="J67" s="648"/>
      <c r="K67" s="648"/>
      <c r="L67" s="648"/>
      <c r="M67" s="649"/>
      <c r="N67" s="649"/>
      <c r="O67" s="649"/>
      <c r="P67" s="649"/>
      <c r="Q67" s="650">
        <v>111144</v>
      </c>
      <c r="R67" s="650">
        <v>116316</v>
      </c>
      <c r="S67" s="650">
        <v>122308</v>
      </c>
      <c r="T67" s="650">
        <v>123869</v>
      </c>
      <c r="U67" s="650">
        <v>129936</v>
      </c>
      <c r="V67" s="650">
        <v>135624</v>
      </c>
    </row>
    <row r="68" spans="1:22" s="318" customFormat="1">
      <c r="A68" s="319">
        <v>40</v>
      </c>
      <c r="C68" s="318" t="s">
        <v>165</v>
      </c>
      <c r="E68" s="623"/>
      <c r="F68" s="648"/>
      <c r="G68" s="648"/>
      <c r="H68" s="648"/>
      <c r="I68" s="648"/>
      <c r="J68" s="648"/>
      <c r="K68" s="648"/>
      <c r="L68" s="648"/>
      <c r="M68" s="649"/>
      <c r="N68" s="649"/>
      <c r="O68" s="649"/>
      <c r="P68" s="649"/>
      <c r="Q68" s="650">
        <v>209101</v>
      </c>
      <c r="R68" s="650">
        <v>221408</v>
      </c>
      <c r="S68" s="650">
        <v>236201</v>
      </c>
      <c r="T68" s="650">
        <v>252722</v>
      </c>
      <c r="U68" s="650">
        <v>273578</v>
      </c>
      <c r="V68" s="650">
        <v>295383</v>
      </c>
    </row>
    <row r="69" spans="1:22" s="318" customFormat="1">
      <c r="A69" s="319">
        <v>41</v>
      </c>
      <c r="C69" s="318" t="s">
        <v>182</v>
      </c>
      <c r="E69" s="623"/>
      <c r="F69" s="648"/>
      <c r="G69" s="648"/>
      <c r="H69" s="648"/>
      <c r="I69" s="648"/>
      <c r="J69" s="648"/>
      <c r="K69" s="648"/>
      <c r="L69" s="648"/>
      <c r="M69" s="649"/>
      <c r="N69" s="649"/>
      <c r="O69" s="649"/>
      <c r="P69" s="649"/>
      <c r="Q69" s="651">
        <v>56694</v>
      </c>
      <c r="R69" s="651">
        <v>61871</v>
      </c>
      <c r="S69" s="651">
        <v>58357</v>
      </c>
      <c r="T69" s="651">
        <v>65720</v>
      </c>
      <c r="U69" s="651">
        <v>73050</v>
      </c>
      <c r="V69" s="651">
        <v>80093</v>
      </c>
    </row>
    <row r="70" spans="1:22" s="318" customFormat="1">
      <c r="A70" s="319">
        <v>42</v>
      </c>
      <c r="B70" s="318" t="s">
        <v>225</v>
      </c>
      <c r="E70" s="623"/>
      <c r="F70" s="634">
        <v>348345</v>
      </c>
      <c r="G70" s="634">
        <v>359654</v>
      </c>
      <c r="H70" s="634">
        <v>418593</v>
      </c>
      <c r="I70" s="634">
        <v>450096</v>
      </c>
      <c r="J70" s="634">
        <v>475935</v>
      </c>
      <c r="K70" s="634">
        <v>503194</v>
      </c>
      <c r="L70" s="634">
        <v>536682</v>
      </c>
      <c r="M70" s="634">
        <v>567320</v>
      </c>
      <c r="N70" s="634">
        <v>600292</v>
      </c>
      <c r="O70" s="634">
        <v>632110</v>
      </c>
      <c r="P70" s="634">
        <v>676635</v>
      </c>
      <c r="Q70" s="634">
        <v>666983</v>
      </c>
      <c r="R70" s="634">
        <v>704134</v>
      </c>
      <c r="S70" s="634">
        <f>SUM(S65:S69)</f>
        <v>749132</v>
      </c>
      <c r="T70" s="634">
        <f>SUM(T65:T69)</f>
        <v>788084</v>
      </c>
      <c r="U70" s="634">
        <f>SUM(U65:U69)</f>
        <v>844406</v>
      </c>
      <c r="V70" s="634">
        <f>SUM(V65:V69)</f>
        <v>893639</v>
      </c>
    </row>
    <row r="71" spans="1:22" s="318" customFormat="1">
      <c r="A71" s="319">
        <v>43</v>
      </c>
      <c r="B71" s="318" t="s">
        <v>226</v>
      </c>
      <c r="E71" s="623"/>
      <c r="F71" s="646">
        <v>674238</v>
      </c>
      <c r="G71" s="646">
        <v>706998</v>
      </c>
      <c r="H71" s="646">
        <v>876903</v>
      </c>
      <c r="I71" s="646">
        <v>881676</v>
      </c>
      <c r="J71" s="646">
        <v>933257</v>
      </c>
      <c r="K71" s="646">
        <v>958941</v>
      </c>
      <c r="L71" s="646">
        <v>1017347</v>
      </c>
      <c r="M71" s="646">
        <v>1035983</v>
      </c>
      <c r="N71" s="646">
        <v>1088968</v>
      </c>
      <c r="O71" s="646">
        <v>1174762</v>
      </c>
      <c r="P71" s="646">
        <v>1244898</v>
      </c>
      <c r="Q71" s="646">
        <v>1288304</v>
      </c>
      <c r="R71" s="646">
        <v>1339779</v>
      </c>
      <c r="S71" s="646">
        <f>S63-S70</f>
        <v>1416364</v>
      </c>
      <c r="T71" s="646">
        <f>T63-T70</f>
        <v>1472270</v>
      </c>
      <c r="U71" s="646">
        <f>U63-U70</f>
        <v>1589486</v>
      </c>
      <c r="V71" s="646">
        <f>V63-V70</f>
        <v>1729585</v>
      </c>
    </row>
    <row r="72" spans="1:22" s="318" customFormat="1" ht="6.75" customHeight="1">
      <c r="A72" s="319"/>
      <c r="E72" s="623"/>
      <c r="F72" s="634"/>
      <c r="G72" s="634"/>
      <c r="H72" s="634"/>
      <c r="I72" s="634"/>
      <c r="J72" s="634"/>
      <c r="K72" s="634"/>
      <c r="L72" s="634"/>
      <c r="M72" s="634"/>
      <c r="N72" s="634"/>
      <c r="O72" s="634"/>
      <c r="P72" s="634"/>
      <c r="Q72" s="634"/>
      <c r="R72" s="634"/>
      <c r="S72" s="634"/>
      <c r="T72" s="634"/>
      <c r="U72" s="634"/>
      <c r="V72" s="634"/>
    </row>
    <row r="73" spans="1:22" s="318" customFormat="1">
      <c r="A73" s="320">
        <v>44</v>
      </c>
      <c r="B73" s="318" t="s">
        <v>184</v>
      </c>
      <c r="E73" s="623"/>
      <c r="F73" s="634">
        <v>-104246</v>
      </c>
      <c r="G73" s="634">
        <v>-108113</v>
      </c>
      <c r="H73" s="634">
        <v>-113807</v>
      </c>
      <c r="I73" s="634">
        <v>-138127</v>
      </c>
      <c r="J73" s="634">
        <v>-154531</v>
      </c>
      <c r="K73" s="634">
        <v>-138256</v>
      </c>
      <c r="L73" s="634">
        <v>-142383</v>
      </c>
      <c r="M73" s="634">
        <v>-143546</v>
      </c>
      <c r="N73" s="634">
        <v>-151677</v>
      </c>
      <c r="O73" s="634">
        <v>-169421</v>
      </c>
      <c r="P73" s="634">
        <v>-190931</v>
      </c>
      <c r="Q73" s="634">
        <v>-201163</v>
      </c>
      <c r="R73" s="634">
        <v>-208209</v>
      </c>
      <c r="S73" s="634">
        <v>-221354</v>
      </c>
      <c r="T73" s="634">
        <v>-257766</v>
      </c>
      <c r="U73" s="634">
        <v>-317860</v>
      </c>
      <c r="V73" s="634">
        <v>-353900</v>
      </c>
    </row>
    <row r="74" spans="1:22" s="318" customFormat="1">
      <c r="A74" s="320">
        <v>45</v>
      </c>
      <c r="C74" s="318" t="s">
        <v>515</v>
      </c>
      <c r="E74" s="623"/>
      <c r="F74" s="646">
        <v>569992</v>
      </c>
      <c r="G74" s="646">
        <v>598885</v>
      </c>
      <c r="H74" s="646">
        <v>763096</v>
      </c>
      <c r="I74" s="646">
        <v>743549</v>
      </c>
      <c r="J74" s="646">
        <v>778726</v>
      </c>
      <c r="K74" s="646">
        <v>820685</v>
      </c>
      <c r="L74" s="646">
        <v>874964</v>
      </c>
      <c r="M74" s="646">
        <v>892437</v>
      </c>
      <c r="N74" s="646">
        <v>937291</v>
      </c>
      <c r="O74" s="646">
        <v>1005341</v>
      </c>
      <c r="P74" s="646">
        <v>1053967</v>
      </c>
      <c r="Q74" s="646">
        <v>1087141</v>
      </c>
      <c r="R74" s="646">
        <v>1131570</v>
      </c>
      <c r="S74" s="646">
        <f>S71+S73</f>
        <v>1195010</v>
      </c>
      <c r="T74" s="646">
        <f>T71+T73</f>
        <v>1214504</v>
      </c>
      <c r="U74" s="646">
        <f>U71+U73</f>
        <v>1271626</v>
      </c>
      <c r="V74" s="646">
        <f>V71+V73</f>
        <v>1375685</v>
      </c>
    </row>
    <row r="75" spans="1:22" s="318" customFormat="1">
      <c r="A75" s="319">
        <v>46</v>
      </c>
      <c r="B75" s="318" t="s">
        <v>227</v>
      </c>
      <c r="E75" s="623"/>
      <c r="F75" s="634">
        <v>-1500</v>
      </c>
      <c r="G75" s="634">
        <v>-1370</v>
      </c>
      <c r="H75" s="634">
        <v>-1238</v>
      </c>
      <c r="I75" s="634">
        <v>-1106</v>
      </c>
      <c r="J75" s="634">
        <v>-715</v>
      </c>
      <c r="K75" s="634">
        <v>-843</v>
      </c>
      <c r="L75" s="634">
        <v>-453</v>
      </c>
      <c r="M75" s="634">
        <v>-582</v>
      </c>
      <c r="N75" s="634">
        <v>-451</v>
      </c>
      <c r="O75" s="634">
        <v>-322</v>
      </c>
      <c r="P75" s="634">
        <v>-127</v>
      </c>
      <c r="Q75" s="634">
        <v>32534</v>
      </c>
      <c r="R75" s="634">
        <v>16438</v>
      </c>
      <c r="S75" s="634">
        <v>14761</v>
      </c>
      <c r="T75" s="634">
        <v>10846</v>
      </c>
      <c r="U75" s="634">
        <v>7458</v>
      </c>
      <c r="V75" s="634">
        <v>4567</v>
      </c>
    </row>
    <row r="76" spans="1:22" s="318" customFormat="1">
      <c r="A76" s="319">
        <v>47</v>
      </c>
      <c r="B76" s="318" t="s">
        <v>212</v>
      </c>
      <c r="E76" s="623"/>
      <c r="F76" s="634"/>
      <c r="G76" s="634"/>
      <c r="H76" s="634"/>
      <c r="I76" s="634"/>
      <c r="J76" s="634"/>
      <c r="K76" s="634"/>
      <c r="L76" s="634"/>
      <c r="M76" s="634"/>
      <c r="N76" s="634"/>
      <c r="O76" s="634"/>
      <c r="P76" s="634">
        <v>18188</v>
      </c>
      <c r="Q76" s="634">
        <v>18188</v>
      </c>
      <c r="R76" s="634">
        <v>10967</v>
      </c>
      <c r="S76" s="634">
        <v>16281</v>
      </c>
      <c r="T76" s="634">
        <v>47807</v>
      </c>
      <c r="U76" s="634">
        <v>59722</v>
      </c>
      <c r="V76" s="634">
        <v>62474</v>
      </c>
    </row>
    <row r="77" spans="1:22" s="318" customFormat="1">
      <c r="A77" s="320"/>
      <c r="E77" s="623"/>
      <c r="F77" s="647"/>
      <c r="G77" s="647"/>
      <c r="H77" s="647"/>
      <c r="I77" s="647"/>
      <c r="J77" s="647"/>
      <c r="K77" s="647"/>
      <c r="L77" s="647"/>
      <c r="M77" s="647"/>
      <c r="N77" s="647"/>
      <c r="O77" s="647"/>
      <c r="P77" s="647"/>
      <c r="Q77" s="647"/>
      <c r="R77" s="647"/>
      <c r="S77" s="647"/>
      <c r="T77" s="647"/>
      <c r="U77" s="647"/>
      <c r="V77" s="647"/>
    </row>
    <row r="78" spans="1:22" s="317" customFormat="1" ht="13.5" thickBot="1">
      <c r="A78" s="316">
        <v>48</v>
      </c>
      <c r="B78" s="317" t="s">
        <v>185</v>
      </c>
      <c r="E78" s="623"/>
      <c r="F78" s="652">
        <v>568492</v>
      </c>
      <c r="G78" s="652">
        <v>597515</v>
      </c>
      <c r="H78" s="652">
        <v>761858</v>
      </c>
      <c r="I78" s="652">
        <v>742443</v>
      </c>
      <c r="J78" s="652">
        <v>778011</v>
      </c>
      <c r="K78" s="652">
        <v>819842</v>
      </c>
      <c r="L78" s="652">
        <v>874511</v>
      </c>
      <c r="M78" s="652">
        <v>891855</v>
      </c>
      <c r="N78" s="652">
        <v>936840</v>
      </c>
      <c r="O78" s="652">
        <v>1005019</v>
      </c>
      <c r="P78" s="652">
        <v>1072028</v>
      </c>
      <c r="Q78" s="652">
        <v>1137863</v>
      </c>
      <c r="R78" s="652">
        <v>1158975</v>
      </c>
      <c r="S78" s="652">
        <f>SUM(S74:S76)</f>
        <v>1226052</v>
      </c>
      <c r="T78" s="652">
        <f>SUM(T74:T76)</f>
        <v>1273157</v>
      </c>
      <c r="U78" s="652">
        <f>SUM(U74:U76)</f>
        <v>1338806</v>
      </c>
      <c r="V78" s="652">
        <f>SUM(V74:V76)</f>
        <v>1442726</v>
      </c>
    </row>
    <row r="79" spans="1:22" ht="18" customHeight="1" thickTop="1">
      <c r="A79" s="316">
        <v>49</v>
      </c>
      <c r="B79" s="303" t="s">
        <v>580</v>
      </c>
      <c r="F79" s="373">
        <f>F54/F78</f>
        <v>4.8051687622693018E-2</v>
      </c>
      <c r="G79" s="373">
        <f t="shared" ref="G79:V79" si="0">G54/G78</f>
        <v>0.10795938940446513</v>
      </c>
      <c r="H79" s="373">
        <f t="shared" si="0"/>
        <v>8.1531606334195206E-2</v>
      </c>
      <c r="I79" s="373">
        <f t="shared" si="0"/>
        <v>9.1978265071500739E-2</v>
      </c>
      <c r="J79" s="373">
        <f t="shared" si="0"/>
        <v>7.1269241781789394E-2</v>
      </c>
      <c r="K79" s="373">
        <f t="shared" si="0"/>
        <v>6.8436995335226222E-2</v>
      </c>
      <c r="L79" s="373">
        <f t="shared" si="0"/>
        <v>5.8669908218855239E-2</v>
      </c>
      <c r="M79" s="373">
        <f t="shared" si="0"/>
        <v>6.9174342718266987E-2</v>
      </c>
      <c r="N79" s="373">
        <f t="shared" si="0"/>
        <v>7.3616754408436874E-2</v>
      </c>
      <c r="O79" s="373">
        <f t="shared" si="0"/>
        <v>6.9727586344138767E-2</v>
      </c>
      <c r="P79" s="373">
        <f t="shared" si="0"/>
        <v>7.1700524951960151E-2</v>
      </c>
      <c r="Q79" s="373">
        <f t="shared" si="0"/>
        <v>6.5644859170216424E-2</v>
      </c>
      <c r="R79" s="373">
        <f t="shared" si="0"/>
        <v>7.1575500960935276E-2</v>
      </c>
      <c r="S79" s="373">
        <f t="shared" si="0"/>
        <v>7.5246400642060854E-2</v>
      </c>
      <c r="T79" s="373">
        <f t="shared" si="0"/>
        <v>7.9411258784266192E-2</v>
      </c>
      <c r="U79" s="373">
        <f t="shared" si="0"/>
        <v>7.2795461030201541E-2</v>
      </c>
      <c r="V79" s="373">
        <f t="shared" si="0"/>
        <v>7.3256460339662557E-2</v>
      </c>
    </row>
    <row r="80" spans="1:22">
      <c r="G80" s="513">
        <f>G78-F78</f>
        <v>29023</v>
      </c>
      <c r="H80" s="513">
        <f t="shared" ref="H80:U80" si="1">H78-G78</f>
        <v>164343</v>
      </c>
      <c r="I80" s="513">
        <f t="shared" si="1"/>
        <v>-19415</v>
      </c>
      <c r="J80" s="513">
        <f t="shared" si="1"/>
        <v>35568</v>
      </c>
      <c r="K80" s="513">
        <f t="shared" si="1"/>
        <v>41831</v>
      </c>
      <c r="L80" s="513">
        <f t="shared" si="1"/>
        <v>54669</v>
      </c>
      <c r="M80" s="513">
        <f t="shared" si="1"/>
        <v>17344</v>
      </c>
      <c r="N80" s="513">
        <f t="shared" si="1"/>
        <v>44985</v>
      </c>
      <c r="O80" s="513">
        <f t="shared" si="1"/>
        <v>68179</v>
      </c>
      <c r="P80" s="513">
        <f t="shared" si="1"/>
        <v>67009</v>
      </c>
      <c r="Q80" s="513">
        <f t="shared" si="1"/>
        <v>65835</v>
      </c>
      <c r="R80" s="513">
        <f t="shared" si="1"/>
        <v>21112</v>
      </c>
      <c r="S80" s="513">
        <f t="shared" si="1"/>
        <v>67077</v>
      </c>
      <c r="T80" s="513">
        <f t="shared" si="1"/>
        <v>47105</v>
      </c>
      <c r="U80" s="513">
        <f t="shared" si="1"/>
        <v>65649</v>
      </c>
      <c r="V80" s="326">
        <f>V78-U78</f>
        <v>103920</v>
      </c>
    </row>
    <row r="81" spans="1:23">
      <c r="G81" s="218">
        <f>G80/F78</f>
        <v>5.1052609359498465E-2</v>
      </c>
      <c r="H81" s="218">
        <f t="shared" ref="H81:U81" si="2">H80/G78</f>
        <v>0.27504414115126818</v>
      </c>
      <c r="I81" s="218">
        <f t="shared" si="2"/>
        <v>-2.5483751565252316E-2</v>
      </c>
      <c r="J81" s="218">
        <f t="shared" si="2"/>
        <v>4.7906707989704263E-2</v>
      </c>
      <c r="K81" s="218">
        <f t="shared" si="2"/>
        <v>5.3766591989059281E-2</v>
      </c>
      <c r="L81" s="218">
        <f t="shared" si="2"/>
        <v>6.6682360747558678E-2</v>
      </c>
      <c r="M81" s="218">
        <f t="shared" si="2"/>
        <v>1.9832797986531901E-2</v>
      </c>
      <c r="N81" s="218">
        <f t="shared" si="2"/>
        <v>5.0439813646837209E-2</v>
      </c>
      <c r="O81" s="218">
        <f t="shared" si="2"/>
        <v>7.2775500619102512E-2</v>
      </c>
      <c r="P81" s="218">
        <f t="shared" si="2"/>
        <v>6.6674361380232611E-2</v>
      </c>
      <c r="Q81" s="218">
        <f t="shared" si="2"/>
        <v>6.1411642233225254E-2</v>
      </c>
      <c r="R81" s="218">
        <f t="shared" si="2"/>
        <v>1.855407900599633E-2</v>
      </c>
      <c r="S81" s="218">
        <f t="shared" si="2"/>
        <v>5.7876140555231992E-2</v>
      </c>
      <c r="T81" s="218">
        <f t="shared" si="2"/>
        <v>3.8420067011839629E-2</v>
      </c>
      <c r="U81" s="218">
        <f t="shared" si="2"/>
        <v>5.1563946944485246E-2</v>
      </c>
      <c r="V81" s="373">
        <f>V80/U78</f>
        <v>7.7621402951585219E-2</v>
      </c>
    </row>
    <row r="82" spans="1:23">
      <c r="V82" s="653">
        <f>SUM(G81:V81)/16</f>
        <v>6.1508650750431534E-2</v>
      </c>
      <c r="W82" s="303" t="s">
        <v>775</v>
      </c>
    </row>
    <row r="83" spans="1:23" s="324" customFormat="1">
      <c r="A83" s="327"/>
      <c r="E83" s="623"/>
      <c r="F83" s="624"/>
      <c r="K83" s="624"/>
      <c r="N83" s="654"/>
      <c r="O83" s="624"/>
      <c r="V83" s="655">
        <f>SUM(M81:V81)/10</f>
        <v>5.151697523350679E-2</v>
      </c>
      <c r="W83" s="324" t="s">
        <v>739</v>
      </c>
    </row>
    <row r="84" spans="1:23">
      <c r="D84" s="322"/>
      <c r="V84" s="653">
        <f>SUM(S81:V81)/4</f>
        <v>5.637038936578552E-2</v>
      </c>
      <c r="W84" s="303" t="s">
        <v>648</v>
      </c>
    </row>
    <row r="85" spans="1:23">
      <c r="V85" s="656">
        <f>SUM(R81:V81)/5</f>
        <v>4.8807127293827676E-2</v>
      </c>
      <c r="W85" s="360" t="s">
        <v>744</v>
      </c>
    </row>
  </sheetData>
  <mergeCells count="1">
    <mergeCell ref="W32:AB32"/>
  </mergeCells>
  <pageMargins left="0.7" right="0.51" top="0.23" bottom="0.2" header="0.51" footer="0.5"/>
  <pageSetup scale="55" firstPageNumber="4" fitToWidth="3" orientation="landscape" r:id="rId1"/>
  <headerFooter scaleWithDoc="0" alignWithMargins="0">
    <oddFooter>&amp;C&amp;F / &amp;A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C000"/>
  </sheetPr>
  <dimension ref="A2:V112"/>
  <sheetViews>
    <sheetView workbookViewId="0">
      <selection activeCell="AI18" sqref="AI18"/>
    </sheetView>
  </sheetViews>
  <sheetFormatPr defaultRowHeight="12.75"/>
  <cols>
    <col min="1" max="1" width="4.85546875" style="566" customWidth="1"/>
    <col min="2" max="2" width="4.7109375" style="566" customWidth="1"/>
    <col min="3" max="3" width="32.5703125" style="566" customWidth="1"/>
    <col min="4" max="4" width="10" style="566" customWidth="1"/>
    <col min="5" max="5" width="61.140625" style="566" hidden="1" customWidth="1"/>
    <col min="6" max="11" width="8.42578125" style="566" hidden="1" customWidth="1"/>
    <col min="12" max="13" width="8.42578125" style="566" bestFit="1" customWidth="1"/>
    <col min="14" max="14" width="9.28515625" style="566" bestFit="1" customWidth="1"/>
    <col min="15" max="15" width="11.7109375" style="566" customWidth="1"/>
    <col min="16" max="18" width="9.28515625" style="566" bestFit="1" customWidth="1"/>
    <col min="19" max="19" width="9.140625" style="566" customWidth="1"/>
    <col min="20" max="21" width="9.140625" style="588" customWidth="1"/>
    <col min="22" max="16384" width="9.140625" style="566"/>
  </cols>
  <sheetData>
    <row r="2" spans="1:21">
      <c r="A2" s="657" t="s">
        <v>150</v>
      </c>
      <c r="B2" s="657"/>
      <c r="C2" s="657"/>
      <c r="D2" s="657"/>
      <c r="E2" s="657"/>
      <c r="F2" s="657"/>
      <c r="G2" s="657"/>
      <c r="H2" s="657"/>
      <c r="I2" s="657"/>
      <c r="J2" s="657"/>
      <c r="K2" s="657"/>
      <c r="L2" s="657"/>
      <c r="M2" s="657"/>
      <c r="N2" s="657"/>
      <c r="O2" s="657"/>
      <c r="P2" s="657"/>
      <c r="Q2" s="657"/>
    </row>
    <row r="3" spans="1:21">
      <c r="A3" s="657" t="s">
        <v>662</v>
      </c>
      <c r="B3" s="657"/>
      <c r="C3" s="657"/>
      <c r="D3" s="657"/>
      <c r="E3" s="657"/>
      <c r="F3" s="657"/>
      <c r="G3" s="657"/>
      <c r="H3" s="657"/>
      <c r="I3" s="657"/>
      <c r="J3" s="657"/>
      <c r="K3" s="657"/>
      <c r="L3" s="657"/>
      <c r="M3" s="657"/>
      <c r="N3" s="657"/>
      <c r="O3" s="657"/>
      <c r="P3" s="657"/>
      <c r="Q3" s="657"/>
    </row>
    <row r="4" spans="1:21">
      <c r="A4" s="657" t="s">
        <v>776</v>
      </c>
      <c r="B4" s="657"/>
      <c r="C4" s="657"/>
      <c r="D4" s="657"/>
      <c r="E4" s="657"/>
      <c r="F4" s="657"/>
      <c r="G4" s="657"/>
      <c r="H4" s="657"/>
      <c r="I4" s="657"/>
      <c r="J4" s="657"/>
      <c r="K4" s="657"/>
      <c r="L4" s="657"/>
      <c r="M4" s="657"/>
      <c r="N4" s="657"/>
      <c r="O4" s="657"/>
      <c r="P4" s="657"/>
      <c r="Q4" s="657"/>
      <c r="T4" s="658"/>
      <c r="U4" s="658"/>
    </row>
    <row r="5" spans="1:21">
      <c r="A5" s="657" t="s">
        <v>151</v>
      </c>
      <c r="B5" s="657"/>
      <c r="C5" s="657"/>
      <c r="D5" s="657"/>
      <c r="E5" s="657"/>
      <c r="F5" s="657"/>
      <c r="G5" s="657"/>
      <c r="H5" s="657"/>
      <c r="I5" s="657"/>
      <c r="J5" s="657"/>
      <c r="K5" s="657"/>
      <c r="L5" s="657"/>
      <c r="M5" s="657"/>
      <c r="N5" s="657"/>
      <c r="O5" s="657"/>
      <c r="P5" s="657"/>
      <c r="Q5" s="657"/>
    </row>
    <row r="6" spans="1:21">
      <c r="A6" s="657"/>
      <c r="B6" s="657"/>
      <c r="C6" s="657"/>
      <c r="D6" s="657"/>
      <c r="E6" s="657"/>
      <c r="F6" s="657"/>
      <c r="G6" s="657"/>
      <c r="H6" s="657"/>
      <c r="I6" s="657"/>
      <c r="J6" s="657"/>
      <c r="K6" s="657"/>
      <c r="L6" s="657"/>
      <c r="M6" s="657"/>
      <c r="N6" s="657"/>
      <c r="O6" s="657"/>
      <c r="P6" s="657"/>
      <c r="Q6" s="657"/>
      <c r="S6" s="524"/>
      <c r="T6" s="524"/>
      <c r="U6" s="524"/>
    </row>
    <row r="7" spans="1:21">
      <c r="A7" s="657"/>
      <c r="B7" s="657"/>
      <c r="C7" s="657"/>
      <c r="D7" s="657"/>
      <c r="E7" s="659">
        <v>2000</v>
      </c>
      <c r="F7" s="659">
        <v>2001</v>
      </c>
      <c r="G7" s="659">
        <v>2002</v>
      </c>
      <c r="H7" s="659">
        <v>2003</v>
      </c>
      <c r="I7" s="659">
        <v>2004</v>
      </c>
      <c r="J7" s="659">
        <v>2005</v>
      </c>
      <c r="K7" s="659">
        <v>2006</v>
      </c>
      <c r="L7" s="659">
        <v>2007</v>
      </c>
      <c r="M7" s="659">
        <v>2008</v>
      </c>
      <c r="N7" s="659">
        <v>2009</v>
      </c>
      <c r="O7" s="659">
        <v>2010</v>
      </c>
      <c r="P7" s="659">
        <v>2011</v>
      </c>
      <c r="Q7" s="659">
        <v>2012</v>
      </c>
      <c r="R7" s="659">
        <v>2013</v>
      </c>
      <c r="S7" s="660">
        <v>2014</v>
      </c>
      <c r="T7" s="660">
        <v>2015</v>
      </c>
      <c r="U7" s="660">
        <v>2016</v>
      </c>
    </row>
    <row r="10" spans="1:21">
      <c r="S10" s="588"/>
    </row>
    <row r="11" spans="1:21">
      <c r="A11" s="572" t="s">
        <v>777</v>
      </c>
      <c r="E11" s="661">
        <f>'CBR Hist'!F24</f>
        <v>-3114</v>
      </c>
      <c r="F11" s="661">
        <f>'CBR Hist'!G24</f>
        <v>9152</v>
      </c>
      <c r="G11" s="661">
        <f>'CBR Hist'!H24</f>
        <v>13808</v>
      </c>
      <c r="H11" s="661">
        <f>'CBR Hist'!I24</f>
        <v>14915</v>
      </c>
      <c r="I11" s="661">
        <f>'CBR Hist'!J24</f>
        <v>22879</v>
      </c>
      <c r="J11" s="661">
        <f>'CBR Hist'!K24</f>
        <v>13812</v>
      </c>
      <c r="K11" s="661">
        <f>'CBR Hist'!L24</f>
        <v>25745</v>
      </c>
      <c r="L11" s="661">
        <f>'CBR Hist'!M24</f>
        <v>21795</v>
      </c>
      <c r="M11" s="661">
        <f>'CBR Hist'!N24</f>
        <v>22000</v>
      </c>
      <c r="N11" s="661">
        <f>'CBR Hist'!O24</f>
        <v>22266</v>
      </c>
      <c r="O11" s="661">
        <f>'CBR Hist'!P24</f>
        <v>22129</v>
      </c>
      <c r="P11" s="661">
        <f>'CBR Hist'!Q24</f>
        <v>25158</v>
      </c>
      <c r="Q11" s="661">
        <f>'CBR Hist'!R24+Q19</f>
        <v>25680</v>
      </c>
      <c r="R11" s="661">
        <f>'CBR Hist'!S24</f>
        <v>23284</v>
      </c>
      <c r="S11" s="662">
        <f>'CBR Hist'!T24</f>
        <v>23715</v>
      </c>
      <c r="T11" s="662">
        <f>'CBR Hist'!U24</f>
        <v>24947</v>
      </c>
      <c r="U11" s="662">
        <f>'CBR Hist'!V24</f>
        <v>26677</v>
      </c>
    </row>
    <row r="12" spans="1:21">
      <c r="A12" s="572" t="s">
        <v>778</v>
      </c>
      <c r="P12" s="661">
        <f>'CBR Hist'!Q25</f>
        <v>403</v>
      </c>
      <c r="Q12" s="661">
        <f>'CBR Hist'!R25-Q19</f>
        <v>-7744</v>
      </c>
      <c r="R12" s="661">
        <f>'CBR Hist'!S25</f>
        <v>8629</v>
      </c>
      <c r="S12" s="662">
        <f>'CBR Hist'!T25</f>
        <v>8101</v>
      </c>
      <c r="T12" s="662">
        <f>'CBR Hist'!U25</f>
        <v>5974</v>
      </c>
      <c r="U12" s="662">
        <f>'CBR Hist'!V25</f>
        <v>4705</v>
      </c>
    </row>
    <row r="13" spans="1:21">
      <c r="A13" s="572"/>
      <c r="S13" s="588"/>
    </row>
    <row r="14" spans="1:21">
      <c r="A14" s="572"/>
      <c r="B14" s="572"/>
      <c r="E14" s="663"/>
      <c r="F14" s="663"/>
      <c r="G14" s="663"/>
      <c r="H14" s="663"/>
      <c r="I14" s="663"/>
      <c r="J14" s="663"/>
      <c r="K14" s="663"/>
      <c r="L14" s="663"/>
      <c r="M14" s="663"/>
      <c r="N14" s="663"/>
      <c r="O14" s="663"/>
      <c r="P14" s="663"/>
      <c r="Q14" s="663"/>
      <c r="S14" s="588"/>
    </row>
    <row r="15" spans="1:21">
      <c r="A15" s="572"/>
      <c r="B15" s="572"/>
      <c r="E15" s="663"/>
      <c r="F15" s="663"/>
      <c r="G15" s="663"/>
      <c r="H15" s="663"/>
      <c r="I15" s="663"/>
      <c r="J15" s="663"/>
      <c r="K15" s="663"/>
      <c r="L15" s="663"/>
      <c r="M15" s="663"/>
      <c r="N15" s="663"/>
      <c r="O15" s="663"/>
      <c r="P15" s="663"/>
      <c r="Q15" s="663"/>
      <c r="S15" s="588"/>
    </row>
    <row r="16" spans="1:21">
      <c r="A16" s="572" t="s">
        <v>779</v>
      </c>
      <c r="E16" s="664">
        <f>10346-213</f>
        <v>10133</v>
      </c>
      <c r="F16" s="664">
        <f>10784-205</f>
        <v>10579</v>
      </c>
      <c r="G16" s="664">
        <f>12359+3035-228</f>
        <v>15166</v>
      </c>
      <c r="H16" s="664">
        <f>14152+1470-219</f>
        <v>15403</v>
      </c>
      <c r="I16" s="664">
        <f>15379+1705-113-221</f>
        <v>16750</v>
      </c>
      <c r="J16" s="664">
        <f>17205-154-219</f>
        <v>16832</v>
      </c>
      <c r="K16" s="664">
        <f>18582-216</f>
        <v>18366</v>
      </c>
      <c r="L16" s="664">
        <f>18487-225</f>
        <v>18262</v>
      </c>
      <c r="M16" s="664">
        <f>17022-195</f>
        <v>16827</v>
      </c>
      <c r="N16" s="664">
        <f>17556-193</f>
        <v>17363</v>
      </c>
      <c r="O16" s="664">
        <f>18188-191</f>
        <v>17997</v>
      </c>
      <c r="P16" s="664">
        <f>18013-191</f>
        <v>17822</v>
      </c>
      <c r="Q16" s="664">
        <f>18237</f>
        <v>18237</v>
      </c>
      <c r="R16" s="664">
        <v>16250</v>
      </c>
      <c r="S16" s="665">
        <v>16426</v>
      </c>
      <c r="T16" s="665">
        <v>17083</v>
      </c>
      <c r="U16" s="665">
        <v>18302</v>
      </c>
    </row>
    <row r="17" spans="1:21">
      <c r="A17" s="572" t="s">
        <v>780</v>
      </c>
      <c r="E17" s="664">
        <f>4492</f>
        <v>4492</v>
      </c>
      <c r="F17" s="664">
        <f>4393</f>
        <v>4393</v>
      </c>
      <c r="G17" s="664">
        <f>4780</f>
        <v>4780</v>
      </c>
      <c r="H17" s="664">
        <f>4891</f>
        <v>4891</v>
      </c>
      <c r="I17" s="664">
        <f>5220</f>
        <v>5220</v>
      </c>
      <c r="J17" s="664">
        <v>5531</v>
      </c>
      <c r="K17" s="664">
        <f>5957</f>
        <v>5957</v>
      </c>
      <c r="L17" s="664">
        <f>6352+1</f>
        <v>6353</v>
      </c>
      <c r="M17" s="664">
        <v>5969</v>
      </c>
      <c r="N17" s="664">
        <v>6116</v>
      </c>
      <c r="O17" s="664">
        <v>6354</v>
      </c>
      <c r="P17" s="664">
        <v>6681</v>
      </c>
      <c r="Q17" s="664">
        <v>6976</v>
      </c>
      <c r="R17" s="664">
        <v>6529</v>
      </c>
      <c r="S17" s="665">
        <v>6725</v>
      </c>
      <c r="T17" s="665">
        <v>7246</v>
      </c>
      <c r="U17" s="665">
        <v>7755</v>
      </c>
    </row>
    <row r="18" spans="1:21">
      <c r="A18" s="572" t="s">
        <v>781</v>
      </c>
      <c r="E18" s="664">
        <f>9+216</f>
        <v>225</v>
      </c>
      <c r="F18" s="664">
        <f>9+221</f>
        <v>230</v>
      </c>
      <c r="G18" s="664">
        <f>1+210</f>
        <v>211</v>
      </c>
      <c r="H18" s="664">
        <f>17+212</f>
        <v>229</v>
      </c>
      <c r="I18" s="664">
        <f>9+212+8+11+102</f>
        <v>342</v>
      </c>
      <c r="J18" s="664">
        <f>10+221+31+4</f>
        <v>266</v>
      </c>
      <c r="K18" s="664">
        <f>32+222</f>
        <v>254</v>
      </c>
      <c r="L18" s="664">
        <f>44+218</f>
        <v>262</v>
      </c>
      <c r="M18" s="664">
        <f>62+218</f>
        <v>280</v>
      </c>
      <c r="N18" s="664">
        <f>63+427</f>
        <v>490</v>
      </c>
      <c r="O18" s="664">
        <f>595+62</f>
        <v>657</v>
      </c>
      <c r="P18" s="664">
        <f>655</f>
        <v>655</v>
      </c>
      <c r="Q18" s="664">
        <v>659</v>
      </c>
      <c r="R18" s="664">
        <v>652</v>
      </c>
      <c r="S18" s="665">
        <v>710</v>
      </c>
      <c r="T18" s="665">
        <v>760</v>
      </c>
      <c r="U18" s="665">
        <v>761</v>
      </c>
    </row>
    <row r="19" spans="1:21">
      <c r="A19" s="572"/>
      <c r="E19" s="666" t="s">
        <v>782</v>
      </c>
      <c r="F19" s="664"/>
      <c r="G19" s="664"/>
      <c r="H19" s="664"/>
      <c r="I19" s="664"/>
      <c r="J19" s="664"/>
      <c r="K19" s="664"/>
      <c r="L19" s="664"/>
      <c r="M19" s="664"/>
      <c r="N19" s="664"/>
      <c r="O19" s="664"/>
      <c r="P19" s="664"/>
      <c r="Q19" s="664">
        <v>-192</v>
      </c>
      <c r="R19" s="664">
        <v>-147</v>
      </c>
      <c r="S19" s="665">
        <v>-146</v>
      </c>
      <c r="T19" s="665">
        <v>-142</v>
      </c>
      <c r="U19" s="665">
        <v>-142</v>
      </c>
    </row>
    <row r="20" spans="1:21">
      <c r="A20" s="572"/>
      <c r="B20" s="572" t="s">
        <v>783</v>
      </c>
      <c r="E20" s="667">
        <f>SUM(E16:E18)</f>
        <v>14850</v>
      </c>
      <c r="F20" s="667">
        <f t="shared" ref="F20:P20" si="0">SUM(F16:F18)</f>
        <v>15202</v>
      </c>
      <c r="G20" s="667">
        <f t="shared" si="0"/>
        <v>20157</v>
      </c>
      <c r="H20" s="667">
        <f t="shared" si="0"/>
        <v>20523</v>
      </c>
      <c r="I20" s="667">
        <f t="shared" si="0"/>
        <v>22312</v>
      </c>
      <c r="J20" s="667">
        <f t="shared" si="0"/>
        <v>22629</v>
      </c>
      <c r="K20" s="667">
        <f t="shared" si="0"/>
        <v>24577</v>
      </c>
      <c r="L20" s="667">
        <f t="shared" si="0"/>
        <v>24877</v>
      </c>
      <c r="M20" s="667">
        <f t="shared" si="0"/>
        <v>23076</v>
      </c>
      <c r="N20" s="667">
        <f t="shared" si="0"/>
        <v>23969</v>
      </c>
      <c r="O20" s="667">
        <f t="shared" si="0"/>
        <v>25008</v>
      </c>
      <c r="P20" s="667">
        <f t="shared" si="0"/>
        <v>25158</v>
      </c>
      <c r="Q20" s="667">
        <f>SUM(Q16:Q19)</f>
        <v>25680</v>
      </c>
      <c r="R20" s="667">
        <f>SUM(R16:R19)</f>
        <v>23284</v>
      </c>
      <c r="S20" s="668">
        <f>SUM(S16:S19)</f>
        <v>23715</v>
      </c>
      <c r="T20" s="668">
        <f>SUM(T16:T19)</f>
        <v>24947</v>
      </c>
      <c r="U20" s="668">
        <f>SUM(U16:U19)</f>
        <v>26676</v>
      </c>
    </row>
    <row r="21" spans="1:21">
      <c r="A21" s="572"/>
      <c r="E21" s="664"/>
      <c r="F21" s="664"/>
      <c r="G21" s="664"/>
      <c r="H21" s="664"/>
      <c r="I21" s="664"/>
      <c r="J21" s="664"/>
      <c r="K21" s="664"/>
      <c r="L21" s="664"/>
      <c r="M21" s="664"/>
      <c r="N21" s="664"/>
      <c r="O21" s="664"/>
      <c r="P21" s="664"/>
      <c r="Q21" s="664"/>
      <c r="S21" s="588"/>
    </row>
    <row r="22" spans="1:21">
      <c r="A22" s="572" t="s">
        <v>784</v>
      </c>
      <c r="D22" s="588"/>
      <c r="E22" s="665">
        <f>2448-2448</f>
        <v>0</v>
      </c>
      <c r="F22" s="665">
        <f>2448-2448</f>
        <v>0</v>
      </c>
      <c r="G22" s="665">
        <f>2481-31</f>
        <v>2450</v>
      </c>
      <c r="H22" s="665">
        <f>2450</f>
        <v>2450</v>
      </c>
      <c r="I22" s="665">
        <f>2450</f>
        <v>2450</v>
      </c>
      <c r="J22" s="665">
        <v>2450</v>
      </c>
      <c r="K22" s="665">
        <v>2450</v>
      </c>
      <c r="L22" s="665">
        <v>2450</v>
      </c>
      <c r="M22" s="665">
        <v>2450</v>
      </c>
      <c r="N22" s="665">
        <v>2450</v>
      </c>
      <c r="O22" s="665">
        <v>2450</v>
      </c>
      <c r="P22" s="665">
        <v>2450</v>
      </c>
      <c r="Q22" s="665">
        <v>2450</v>
      </c>
      <c r="R22" s="669">
        <v>2450</v>
      </c>
      <c r="S22" s="669">
        <v>2450</v>
      </c>
      <c r="T22" s="669">
        <v>2450</v>
      </c>
      <c r="U22" s="669">
        <v>2450</v>
      </c>
    </row>
    <row r="23" spans="1:21">
      <c r="A23" s="572" t="s">
        <v>785</v>
      </c>
      <c r="D23" s="588"/>
      <c r="E23" s="665">
        <f>32</f>
        <v>32</v>
      </c>
      <c r="F23" s="665">
        <f>32</f>
        <v>32</v>
      </c>
      <c r="G23" s="665">
        <f>32</f>
        <v>32</v>
      </c>
      <c r="H23" s="665">
        <f>32</f>
        <v>32</v>
      </c>
      <c r="I23" s="665">
        <f>32</f>
        <v>32</v>
      </c>
      <c r="J23" s="665">
        <f>32</f>
        <v>32</v>
      </c>
      <c r="K23" s="665">
        <f>32</f>
        <v>32</v>
      </c>
      <c r="L23" s="665">
        <f>32</f>
        <v>32</v>
      </c>
      <c r="M23" s="665">
        <f>32</f>
        <v>32</v>
      </c>
      <c r="N23" s="665">
        <f>32</f>
        <v>32</v>
      </c>
      <c r="O23" s="665">
        <f>32</f>
        <v>32</v>
      </c>
      <c r="P23" s="665">
        <f>32</f>
        <v>32</v>
      </c>
      <c r="Q23" s="665">
        <f>32</f>
        <v>32</v>
      </c>
      <c r="R23" s="669">
        <v>32</v>
      </c>
      <c r="S23" s="669">
        <v>32</v>
      </c>
      <c r="T23" s="669">
        <v>32</v>
      </c>
      <c r="U23" s="669">
        <v>32</v>
      </c>
    </row>
    <row r="24" spans="1:21">
      <c r="A24" s="572" t="s">
        <v>786</v>
      </c>
      <c r="D24" s="588"/>
      <c r="E24" s="665">
        <f>-15</f>
        <v>-15</v>
      </c>
      <c r="F24" s="665">
        <v>-3</v>
      </c>
      <c r="G24" s="665">
        <v>-3</v>
      </c>
      <c r="H24" s="665">
        <v>-2</v>
      </c>
      <c r="I24" s="665">
        <v>-4</v>
      </c>
      <c r="J24" s="665"/>
      <c r="K24" s="665"/>
      <c r="L24" s="665"/>
      <c r="M24" s="665"/>
      <c r="N24" s="665"/>
      <c r="O24" s="665"/>
      <c r="P24" s="665"/>
      <c r="Q24" s="665"/>
      <c r="R24" s="588"/>
      <c r="S24" s="588"/>
    </row>
    <row r="25" spans="1:21">
      <c r="A25" s="572" t="s">
        <v>787</v>
      </c>
      <c r="D25" s="670" t="s">
        <v>788</v>
      </c>
      <c r="E25" s="665">
        <f>-16644</f>
        <v>-16644</v>
      </c>
      <c r="F25" s="665">
        <f>-16636+16636</f>
        <v>0</v>
      </c>
      <c r="G25" s="665">
        <v>2</v>
      </c>
      <c r="H25" s="665"/>
      <c r="I25" s="665"/>
      <c r="J25" s="665"/>
      <c r="K25" s="665"/>
      <c r="L25" s="665"/>
      <c r="M25" s="665"/>
      <c r="N25" s="665"/>
      <c r="O25" s="665"/>
      <c r="P25" s="665"/>
      <c r="Q25" s="665"/>
      <c r="R25" s="588"/>
      <c r="S25" s="588"/>
    </row>
    <row r="26" spans="1:21">
      <c r="A26" s="572" t="s">
        <v>789</v>
      </c>
      <c r="D26" s="588"/>
      <c r="E26" s="665">
        <f>-729-444</f>
        <v>-1173</v>
      </c>
      <c r="F26" s="665">
        <f>-2915-1776</f>
        <v>-4691</v>
      </c>
      <c r="G26" s="665">
        <f>-2915+1139</f>
        <v>-1776</v>
      </c>
      <c r="H26" s="665">
        <v>-1776</v>
      </c>
      <c r="I26" s="665">
        <v>-1776</v>
      </c>
      <c r="J26" s="665">
        <v>-1776</v>
      </c>
      <c r="K26" s="665">
        <v>-1332</v>
      </c>
      <c r="L26" s="665"/>
      <c r="M26" s="665"/>
      <c r="N26" s="665"/>
      <c r="O26" s="665"/>
      <c r="P26" s="665"/>
      <c r="Q26" s="665"/>
      <c r="R26" s="588"/>
      <c r="S26" s="588"/>
    </row>
    <row r="27" spans="1:21">
      <c r="A27" s="572" t="s">
        <v>790</v>
      </c>
      <c r="D27" s="588"/>
      <c r="E27" s="588"/>
      <c r="F27" s="665">
        <f>193-1</f>
        <v>192</v>
      </c>
      <c r="G27" s="665">
        <v>191</v>
      </c>
      <c r="H27" s="665">
        <v>191</v>
      </c>
      <c r="I27" s="665"/>
      <c r="J27" s="665"/>
      <c r="K27" s="665"/>
      <c r="L27" s="665"/>
      <c r="M27" s="665"/>
      <c r="N27" s="665"/>
      <c r="O27" s="665"/>
      <c r="P27" s="665"/>
      <c r="Q27" s="665"/>
      <c r="R27" s="588"/>
      <c r="S27" s="588"/>
    </row>
    <row r="28" spans="1:21">
      <c r="A28" s="572" t="s">
        <v>791</v>
      </c>
      <c r="D28" s="670" t="s">
        <v>788</v>
      </c>
      <c r="E28" s="588"/>
      <c r="F28" s="665">
        <v>-1416</v>
      </c>
      <c r="G28" s="665">
        <v>-7512</v>
      </c>
      <c r="H28" s="665">
        <v>-6339</v>
      </c>
      <c r="I28" s="665">
        <f>-7160+7160</f>
        <v>0</v>
      </c>
      <c r="J28" s="665">
        <v>-9388</v>
      </c>
      <c r="K28" s="665">
        <f>-10285+10285</f>
        <v>0</v>
      </c>
      <c r="L28" s="665">
        <v>-5582</v>
      </c>
      <c r="M28" s="665">
        <v>-3576</v>
      </c>
      <c r="N28" s="665">
        <v>-4005</v>
      </c>
      <c r="O28" s="665">
        <v>-6244</v>
      </c>
      <c r="P28" s="665">
        <v>-4794</v>
      </c>
      <c r="Q28" s="665">
        <v>-8505</v>
      </c>
      <c r="R28" s="665">
        <v>0</v>
      </c>
      <c r="S28" s="665">
        <v>0</v>
      </c>
      <c r="T28" s="665">
        <v>0</v>
      </c>
      <c r="U28" s="665">
        <v>0</v>
      </c>
    </row>
    <row r="29" spans="1:21">
      <c r="A29" s="572" t="s">
        <v>792</v>
      </c>
      <c r="D29" s="588"/>
      <c r="E29" s="588"/>
      <c r="F29" s="665"/>
      <c r="G29" s="665">
        <v>431</v>
      </c>
      <c r="H29" s="665"/>
      <c r="I29" s="665"/>
      <c r="J29" s="665"/>
      <c r="K29" s="665">
        <v>153</v>
      </c>
      <c r="L29" s="665">
        <v>153</v>
      </c>
      <c r="M29" s="665">
        <v>153</v>
      </c>
      <c r="N29" s="665">
        <v>153</v>
      </c>
      <c r="O29" s="665">
        <v>153</v>
      </c>
      <c r="P29" s="665">
        <v>153</v>
      </c>
      <c r="Q29" s="665">
        <v>153</v>
      </c>
      <c r="R29" s="665">
        <v>153</v>
      </c>
      <c r="S29" s="665">
        <v>153</v>
      </c>
      <c r="T29" s="665">
        <v>153</v>
      </c>
      <c r="U29" s="665">
        <v>0</v>
      </c>
    </row>
    <row r="30" spans="1:21">
      <c r="A30" s="572" t="s">
        <v>793</v>
      </c>
      <c r="D30" s="588"/>
      <c r="E30" s="665">
        <v>-164</v>
      </c>
      <c r="F30" s="665">
        <v>-164</v>
      </c>
      <c r="G30" s="665">
        <v>-164</v>
      </c>
      <c r="H30" s="665">
        <v>-164</v>
      </c>
      <c r="I30" s="665">
        <v>-135</v>
      </c>
      <c r="J30" s="665">
        <v>-135</v>
      </c>
      <c r="K30" s="665">
        <v>-135</v>
      </c>
      <c r="L30" s="665">
        <v>-135</v>
      </c>
      <c r="M30" s="665">
        <v>-135</v>
      </c>
      <c r="N30" s="665">
        <v>-135</v>
      </c>
      <c r="O30" s="665">
        <v>-134</v>
      </c>
      <c r="P30" s="665">
        <v>-135</v>
      </c>
      <c r="Q30" s="665">
        <v>-135</v>
      </c>
      <c r="R30" s="665">
        <v>-135</v>
      </c>
      <c r="S30" s="665">
        <v>-135</v>
      </c>
      <c r="T30" s="665">
        <v>-135</v>
      </c>
      <c r="U30" s="665">
        <v>-134</v>
      </c>
    </row>
    <row r="31" spans="1:21">
      <c r="A31" s="572" t="s">
        <v>794</v>
      </c>
      <c r="D31" s="588"/>
      <c r="E31" s="588"/>
      <c r="F31" s="665"/>
      <c r="G31" s="665"/>
      <c r="H31" s="665"/>
      <c r="I31" s="665"/>
      <c r="J31" s="665"/>
      <c r="K31" s="665"/>
      <c r="L31" s="665"/>
      <c r="M31" s="665"/>
      <c r="N31" s="665">
        <f>-201+32-32+390-387</f>
        <v>-198</v>
      </c>
      <c r="O31" s="665">
        <f>20+133+553+45</f>
        <v>751</v>
      </c>
      <c r="P31" s="665">
        <f>73+142+608+152</f>
        <v>975</v>
      </c>
      <c r="Q31" s="665">
        <f>73+141+30+574+152</f>
        <v>970</v>
      </c>
      <c r="R31" s="588">
        <f>73+141+21+576+152</f>
        <v>963</v>
      </c>
      <c r="S31" s="588">
        <f>73+140+21+572+152</f>
        <v>958</v>
      </c>
      <c r="T31" s="588">
        <f>73+142+21+580+152</f>
        <v>968</v>
      </c>
      <c r="U31" s="588">
        <f>73+143+21+581+152</f>
        <v>970</v>
      </c>
    </row>
    <row r="32" spans="1:21">
      <c r="A32" s="572" t="s">
        <v>795</v>
      </c>
      <c r="D32" s="588"/>
      <c r="E32" s="588"/>
      <c r="F32" s="665"/>
      <c r="G32" s="665"/>
      <c r="H32" s="665"/>
      <c r="I32" s="665"/>
      <c r="J32" s="665"/>
      <c r="K32" s="665"/>
      <c r="L32" s="665"/>
      <c r="M32" s="665"/>
      <c r="N32" s="665"/>
      <c r="O32" s="665">
        <v>113</v>
      </c>
      <c r="P32" s="665">
        <v>1360</v>
      </c>
      <c r="Q32" s="665">
        <v>1360</v>
      </c>
      <c r="R32" s="665">
        <v>1360</v>
      </c>
      <c r="S32" s="665">
        <v>1360</v>
      </c>
      <c r="T32" s="665">
        <v>1247</v>
      </c>
      <c r="U32" s="665">
        <v>0</v>
      </c>
    </row>
    <row r="33" spans="1:21">
      <c r="A33" s="572" t="s">
        <v>796</v>
      </c>
      <c r="D33" s="658" t="s">
        <v>788</v>
      </c>
      <c r="E33" s="588"/>
      <c r="F33" s="665"/>
      <c r="G33" s="665"/>
      <c r="H33" s="665"/>
      <c r="I33" s="665"/>
      <c r="J33" s="665"/>
      <c r="K33" s="665"/>
      <c r="L33" s="665"/>
      <c r="M33" s="665"/>
      <c r="N33" s="665"/>
      <c r="O33" s="665">
        <f>86-86</f>
        <v>0</v>
      </c>
      <c r="P33" s="665">
        <v>184</v>
      </c>
      <c r="Q33" s="665">
        <v>178</v>
      </c>
      <c r="R33" s="665">
        <v>0</v>
      </c>
      <c r="S33" s="665">
        <v>0</v>
      </c>
      <c r="T33" s="665">
        <v>0</v>
      </c>
      <c r="U33" s="665">
        <v>0</v>
      </c>
    </row>
    <row r="34" spans="1:21">
      <c r="A34" s="572" t="s">
        <v>797</v>
      </c>
      <c r="D34" s="588"/>
      <c r="E34" s="588"/>
      <c r="F34" s="665"/>
      <c r="G34" s="665"/>
      <c r="H34" s="665"/>
      <c r="I34" s="665"/>
      <c r="J34" s="665"/>
      <c r="K34" s="665"/>
      <c r="L34" s="665"/>
      <c r="M34" s="665"/>
      <c r="N34" s="665"/>
      <c r="O34" s="665"/>
      <c r="P34" s="665">
        <v>516</v>
      </c>
      <c r="Q34" s="665">
        <f>-129-4411</f>
        <v>-4540</v>
      </c>
      <c r="R34" s="665">
        <f>974</f>
        <v>974</v>
      </c>
      <c r="S34" s="665">
        <f>974</f>
        <v>974</v>
      </c>
      <c r="T34" s="665">
        <f>974</f>
        <v>974</v>
      </c>
      <c r="U34" s="665">
        <f>1103</f>
        <v>1103</v>
      </c>
    </row>
    <row r="35" spans="1:21">
      <c r="A35" s="572" t="s">
        <v>798</v>
      </c>
      <c r="D35" s="588"/>
      <c r="E35" s="588"/>
      <c r="F35" s="665"/>
      <c r="G35" s="665"/>
      <c r="H35" s="665"/>
      <c r="I35" s="665"/>
      <c r="J35" s="665"/>
      <c r="K35" s="665"/>
      <c r="L35" s="665"/>
      <c r="M35" s="665"/>
      <c r="N35" s="665"/>
      <c r="O35" s="665"/>
      <c r="P35" s="665">
        <v>-338</v>
      </c>
      <c r="Q35" s="665">
        <f>640-889</f>
        <v>-249</v>
      </c>
      <c r="R35" s="665">
        <f>726-206</f>
        <v>520</v>
      </c>
      <c r="S35" s="665">
        <v>67</v>
      </c>
      <c r="T35" s="665">
        <v>0</v>
      </c>
      <c r="U35" s="665">
        <v>0</v>
      </c>
    </row>
    <row r="36" spans="1:21">
      <c r="A36" s="572" t="s">
        <v>799</v>
      </c>
      <c r="D36" s="588"/>
      <c r="E36" s="588"/>
      <c r="F36" s="665"/>
      <c r="G36" s="665"/>
      <c r="H36" s="665"/>
      <c r="I36" s="665"/>
      <c r="J36" s="665"/>
      <c r="K36" s="665"/>
      <c r="L36" s="665"/>
      <c r="M36" s="665"/>
      <c r="N36" s="665"/>
      <c r="O36" s="665"/>
      <c r="P36" s="665"/>
      <c r="Q36" s="665">
        <v>472</v>
      </c>
      <c r="R36" s="665">
        <v>0</v>
      </c>
      <c r="S36" s="665">
        <v>0</v>
      </c>
      <c r="T36" s="665">
        <v>0</v>
      </c>
      <c r="U36" s="665">
        <v>0</v>
      </c>
    </row>
    <row r="37" spans="1:21">
      <c r="A37" s="572" t="s">
        <v>800</v>
      </c>
      <c r="D37" s="588"/>
      <c r="E37" s="588"/>
      <c r="F37" s="588"/>
      <c r="G37" s="588"/>
      <c r="H37" s="588"/>
      <c r="I37" s="588"/>
      <c r="J37" s="588"/>
      <c r="K37" s="588"/>
      <c r="L37" s="588"/>
      <c r="M37" s="588"/>
      <c r="N37" s="588"/>
      <c r="O37" s="588"/>
      <c r="P37" s="588"/>
      <c r="Q37" s="588">
        <v>165</v>
      </c>
      <c r="R37" s="665">
        <v>165</v>
      </c>
      <c r="S37" s="665">
        <v>165</v>
      </c>
      <c r="T37" s="665">
        <v>0</v>
      </c>
      <c r="U37" s="665">
        <v>0</v>
      </c>
    </row>
    <row r="38" spans="1:21">
      <c r="A38" s="572" t="s">
        <v>801</v>
      </c>
      <c r="D38" s="588"/>
      <c r="E38" s="588"/>
      <c r="F38" s="588"/>
      <c r="G38" s="588"/>
      <c r="H38" s="588"/>
      <c r="I38" s="588"/>
      <c r="J38" s="588"/>
      <c r="K38" s="588"/>
      <c r="L38" s="588"/>
      <c r="M38" s="588"/>
      <c r="N38" s="588"/>
      <c r="O38" s="588"/>
      <c r="P38" s="588"/>
      <c r="Q38" s="588"/>
      <c r="R38" s="665">
        <v>2082</v>
      </c>
      <c r="S38" s="665">
        <f>2082</f>
        <v>2082</v>
      </c>
      <c r="T38" s="665">
        <v>0</v>
      </c>
      <c r="U38" s="665">
        <v>0</v>
      </c>
    </row>
    <row r="39" spans="1:21">
      <c r="A39" s="572" t="s">
        <v>802</v>
      </c>
      <c r="D39" s="588"/>
      <c r="E39" s="588"/>
      <c r="F39" s="588"/>
      <c r="G39" s="588"/>
      <c r="H39" s="588"/>
      <c r="I39" s="588"/>
      <c r="J39" s="588"/>
      <c r="K39" s="588"/>
      <c r="L39" s="588"/>
      <c r="M39" s="588"/>
      <c r="N39" s="588"/>
      <c r="O39" s="588"/>
      <c r="P39" s="588"/>
      <c r="Q39" s="588"/>
      <c r="R39" s="665">
        <v>70</v>
      </c>
      <c r="S39" s="665">
        <v>0</v>
      </c>
      <c r="T39" s="665">
        <v>0</v>
      </c>
      <c r="U39" s="665">
        <v>0</v>
      </c>
    </row>
    <row r="40" spans="1:21">
      <c r="A40" s="572" t="s">
        <v>803</v>
      </c>
      <c r="D40" s="588"/>
      <c r="E40" s="588"/>
      <c r="F40" s="588"/>
      <c r="G40" s="588"/>
      <c r="H40" s="588"/>
      <c r="I40" s="588"/>
      <c r="J40" s="588"/>
      <c r="K40" s="588"/>
      <c r="L40" s="588"/>
      <c r="M40" s="588"/>
      <c r="N40" s="588"/>
      <c r="O40" s="588"/>
      <c r="P40" s="588"/>
      <c r="Q40" s="665">
        <v>-4</v>
      </c>
      <c r="R40" s="665">
        <v>-5</v>
      </c>
      <c r="S40" s="665">
        <v>-5</v>
      </c>
      <c r="T40" s="665">
        <v>-5</v>
      </c>
      <c r="U40" s="665">
        <v>-5</v>
      </c>
    </row>
    <row r="41" spans="1:21">
      <c r="A41" s="572" t="s">
        <v>804</v>
      </c>
      <c r="D41" s="588"/>
      <c r="E41" s="588"/>
      <c r="F41" s="588"/>
      <c r="G41" s="588"/>
      <c r="H41" s="588"/>
      <c r="I41" s="588"/>
      <c r="J41" s="588"/>
      <c r="K41" s="588"/>
      <c r="L41" s="588"/>
      <c r="M41" s="588"/>
      <c r="N41" s="588"/>
      <c r="O41" s="588"/>
      <c r="P41" s="588"/>
      <c r="Q41" s="665"/>
      <c r="R41" s="665"/>
      <c r="S41" s="665"/>
      <c r="T41" s="665">
        <v>290</v>
      </c>
      <c r="U41" s="665">
        <v>290</v>
      </c>
    </row>
    <row r="42" spans="1:21">
      <c r="A42" s="572" t="s">
        <v>805</v>
      </c>
      <c r="D42" s="588"/>
      <c r="E42" s="588"/>
      <c r="F42" s="588"/>
      <c r="G42" s="588"/>
      <c r="H42" s="588"/>
      <c r="I42" s="588"/>
      <c r="J42" s="588"/>
      <c r="K42" s="588"/>
      <c r="L42" s="588"/>
      <c r="M42" s="588"/>
      <c r="N42" s="588"/>
      <c r="O42" s="588"/>
      <c r="P42" s="588"/>
      <c r="Q42" s="665">
        <v>-91</v>
      </c>
      <c r="R42" s="665">
        <v>0</v>
      </c>
      <c r="S42" s="665">
        <v>0</v>
      </c>
      <c r="T42" s="665">
        <v>0</v>
      </c>
      <c r="U42" s="665">
        <v>0</v>
      </c>
    </row>
    <row r="43" spans="1:21">
      <c r="B43" s="671" t="s">
        <v>806</v>
      </c>
      <c r="D43" s="588"/>
      <c r="E43" s="672">
        <f>SUM(E22:E42)</f>
        <v>-17964</v>
      </c>
      <c r="F43" s="672">
        <f t="shared" ref="F43:P43" si="1">SUM(F22:F42)</f>
        <v>-6050</v>
      </c>
      <c r="G43" s="672">
        <f t="shared" si="1"/>
        <v>-6349</v>
      </c>
      <c r="H43" s="672">
        <f t="shared" si="1"/>
        <v>-5608</v>
      </c>
      <c r="I43" s="672">
        <f t="shared" si="1"/>
        <v>567</v>
      </c>
      <c r="J43" s="672">
        <f t="shared" si="1"/>
        <v>-8817</v>
      </c>
      <c r="K43" s="672">
        <f t="shared" si="1"/>
        <v>1168</v>
      </c>
      <c r="L43" s="672">
        <f t="shared" si="1"/>
        <v>-3082</v>
      </c>
      <c r="M43" s="672">
        <f t="shared" si="1"/>
        <v>-1076</v>
      </c>
      <c r="N43" s="672">
        <f t="shared" si="1"/>
        <v>-1703</v>
      </c>
      <c r="O43" s="672">
        <f t="shared" si="1"/>
        <v>-2879</v>
      </c>
      <c r="P43" s="672">
        <f t="shared" si="1"/>
        <v>403</v>
      </c>
      <c r="Q43" s="672">
        <f>SUM(Q22:Q42)</f>
        <v>-7744</v>
      </c>
      <c r="R43" s="672">
        <f>SUM(R22:R42)</f>
        <v>8629</v>
      </c>
      <c r="S43" s="672">
        <f>SUM(S22:S42)</f>
        <v>8101</v>
      </c>
      <c r="T43" s="672">
        <f>SUM(T22:T42)</f>
        <v>5974</v>
      </c>
      <c r="U43" s="672">
        <f>SUM(U22:U42)</f>
        <v>4706</v>
      </c>
    </row>
    <row r="44" spans="1:21">
      <c r="D44" s="588"/>
      <c r="E44" s="588"/>
      <c r="F44" s="588"/>
      <c r="G44" s="588"/>
      <c r="H44" s="588"/>
      <c r="I44" s="588"/>
      <c r="J44" s="588"/>
      <c r="K44" s="588"/>
      <c r="L44" s="588"/>
      <c r="M44" s="588"/>
      <c r="N44" s="588"/>
      <c r="O44" s="588"/>
      <c r="P44" s="588"/>
      <c r="Q44" s="588"/>
      <c r="R44" s="588"/>
      <c r="S44" s="588"/>
    </row>
    <row r="45" spans="1:21">
      <c r="B45" s="572" t="s">
        <v>807</v>
      </c>
      <c r="D45" s="588"/>
      <c r="E45" s="673">
        <f t="shared" ref="E45:P45" si="2">E20+E43</f>
        <v>-3114</v>
      </c>
      <c r="F45" s="673">
        <f t="shared" si="2"/>
        <v>9152</v>
      </c>
      <c r="G45" s="673">
        <f t="shared" si="2"/>
        <v>13808</v>
      </c>
      <c r="H45" s="673">
        <f t="shared" si="2"/>
        <v>14915</v>
      </c>
      <c r="I45" s="673">
        <f t="shared" si="2"/>
        <v>22879</v>
      </c>
      <c r="J45" s="673">
        <f t="shared" si="2"/>
        <v>13812</v>
      </c>
      <c r="K45" s="673">
        <f t="shared" si="2"/>
        <v>25745</v>
      </c>
      <c r="L45" s="673">
        <f t="shared" si="2"/>
        <v>21795</v>
      </c>
      <c r="M45" s="673">
        <f t="shared" si="2"/>
        <v>22000</v>
      </c>
      <c r="N45" s="673">
        <f t="shared" si="2"/>
        <v>22266</v>
      </c>
      <c r="O45" s="673">
        <f t="shared" si="2"/>
        <v>22129</v>
      </c>
      <c r="P45" s="673">
        <f t="shared" si="2"/>
        <v>25561</v>
      </c>
      <c r="Q45" s="673">
        <f>Q20+Q43</f>
        <v>17936</v>
      </c>
      <c r="R45" s="673">
        <f>R20+R43</f>
        <v>31913</v>
      </c>
      <c r="S45" s="673">
        <f>S20+S43</f>
        <v>31816</v>
      </c>
      <c r="T45" s="673">
        <f>T20+T43</f>
        <v>30921</v>
      </c>
      <c r="U45" s="673">
        <f>U20+U43</f>
        <v>31382</v>
      </c>
    </row>
    <row r="46" spans="1:21">
      <c r="D46" s="588"/>
      <c r="E46" s="588" t="str">
        <f t="shared" ref="E46:Q46" si="3">IF(E45=E11+E12,"","check")</f>
        <v/>
      </c>
      <c r="F46" s="588" t="str">
        <f t="shared" si="3"/>
        <v/>
      </c>
      <c r="G46" s="588" t="str">
        <f t="shared" si="3"/>
        <v/>
      </c>
      <c r="H46" s="588" t="str">
        <f t="shared" si="3"/>
        <v/>
      </c>
      <c r="I46" s="588" t="str">
        <f t="shared" si="3"/>
        <v/>
      </c>
      <c r="J46" s="588" t="str">
        <f t="shared" si="3"/>
        <v/>
      </c>
      <c r="K46" s="588" t="str">
        <f t="shared" si="3"/>
        <v/>
      </c>
      <c r="L46" s="588" t="str">
        <f t="shared" si="3"/>
        <v/>
      </c>
      <c r="M46" s="588" t="str">
        <f t="shared" si="3"/>
        <v/>
      </c>
      <c r="N46" s="588" t="str">
        <f t="shared" si="3"/>
        <v/>
      </c>
      <c r="O46" s="588" t="str">
        <f t="shared" si="3"/>
        <v/>
      </c>
      <c r="P46" s="588" t="str">
        <f t="shared" si="3"/>
        <v/>
      </c>
      <c r="Q46" s="588" t="str">
        <f t="shared" si="3"/>
        <v/>
      </c>
      <c r="R46" s="588"/>
      <c r="S46" s="588"/>
      <c r="T46" s="673">
        <f>T45-T11-T12</f>
        <v>0</v>
      </c>
      <c r="U46" s="673">
        <f>U45-U11-U12</f>
        <v>0</v>
      </c>
    </row>
    <row r="47" spans="1:21">
      <c r="B47" s="566" t="s">
        <v>808</v>
      </c>
      <c r="D47" s="588"/>
      <c r="E47" s="588"/>
      <c r="F47" s="588"/>
      <c r="G47" s="588"/>
      <c r="H47" s="588"/>
      <c r="I47" s="588"/>
      <c r="J47" s="588"/>
      <c r="K47" s="588"/>
      <c r="L47" s="588"/>
      <c r="M47" s="588"/>
      <c r="N47" s="588"/>
      <c r="O47" s="588"/>
      <c r="P47" s="588"/>
      <c r="Q47" s="588"/>
      <c r="R47" s="588"/>
      <c r="S47" s="588"/>
    </row>
    <row r="48" spans="1:21">
      <c r="D48" s="588"/>
      <c r="E48" s="673">
        <f>E43-E25</f>
        <v>-1320</v>
      </c>
      <c r="F48" s="673">
        <f>F43-F28</f>
        <v>-4634</v>
      </c>
      <c r="G48" s="673">
        <f t="shared" ref="G48:O48" si="4">G43-G28</f>
        <v>1163</v>
      </c>
      <c r="H48" s="673">
        <f t="shared" si="4"/>
        <v>731</v>
      </c>
      <c r="I48" s="673">
        <f t="shared" si="4"/>
        <v>567</v>
      </c>
      <c r="J48" s="673">
        <f t="shared" si="4"/>
        <v>571</v>
      </c>
      <c r="K48" s="673">
        <f>K43-K28</f>
        <v>1168</v>
      </c>
      <c r="L48" s="673">
        <f t="shared" si="4"/>
        <v>2500</v>
      </c>
      <c r="M48" s="673">
        <f t="shared" si="4"/>
        <v>2500</v>
      </c>
      <c r="N48" s="673">
        <f t="shared" si="4"/>
        <v>2302</v>
      </c>
      <c r="O48" s="673">
        <f t="shared" si="4"/>
        <v>3365</v>
      </c>
      <c r="P48" s="673">
        <f>P43-P28-P33</f>
        <v>5013</v>
      </c>
      <c r="Q48" s="673">
        <f>Q43-Q28-Q33</f>
        <v>583</v>
      </c>
      <c r="R48" s="673">
        <f>R43-R28</f>
        <v>8629</v>
      </c>
      <c r="S48" s="673">
        <f>S43-S28</f>
        <v>8101</v>
      </c>
      <c r="T48" s="673">
        <f>T43-T28</f>
        <v>5974</v>
      </c>
      <c r="U48" s="673">
        <f>U43-U28</f>
        <v>4706</v>
      </c>
    </row>
    <row r="49" spans="1:21">
      <c r="D49" s="588"/>
      <c r="E49" s="673"/>
      <c r="F49" s="673"/>
      <c r="G49" s="673"/>
      <c r="H49" s="673"/>
      <c r="I49" s="673"/>
      <c r="J49" s="673"/>
      <c r="K49" s="673"/>
      <c r="L49" s="673"/>
      <c r="M49" s="673"/>
      <c r="N49" s="673"/>
      <c r="O49" s="673"/>
      <c r="P49" s="673"/>
      <c r="Q49" s="673"/>
      <c r="R49" s="588"/>
      <c r="S49" s="588"/>
    </row>
    <row r="50" spans="1:21">
      <c r="D50" s="588"/>
      <c r="E50" s="660">
        <v>2000</v>
      </c>
      <c r="F50" s="660">
        <v>2001</v>
      </c>
      <c r="G50" s="660">
        <v>2002</v>
      </c>
      <c r="H50" s="660">
        <v>2003</v>
      </c>
      <c r="I50" s="660">
        <v>2004</v>
      </c>
      <c r="J50" s="660">
        <v>2005</v>
      </c>
      <c r="K50" s="660">
        <v>2006</v>
      </c>
      <c r="L50" s="660">
        <v>2007</v>
      </c>
      <c r="M50" s="660">
        <v>2008</v>
      </c>
      <c r="N50" s="660">
        <v>2009</v>
      </c>
      <c r="O50" s="660">
        <v>2010</v>
      </c>
      <c r="P50" s="660">
        <v>2011</v>
      </c>
      <c r="Q50" s="660">
        <v>2012</v>
      </c>
      <c r="R50" s="660">
        <v>2013</v>
      </c>
      <c r="S50" s="660">
        <v>2014</v>
      </c>
      <c r="T50" s="660">
        <f>T7</f>
        <v>2015</v>
      </c>
      <c r="U50" s="660">
        <f>U7</f>
        <v>2016</v>
      </c>
    </row>
    <row r="51" spans="1:21">
      <c r="A51" s="212"/>
      <c r="B51" s="474" t="s">
        <v>177</v>
      </c>
      <c r="C51" s="474"/>
      <c r="D51" s="474"/>
      <c r="E51" s="474"/>
      <c r="F51" s="514"/>
      <c r="G51" s="514"/>
      <c r="H51" s="514"/>
      <c r="I51" s="514"/>
      <c r="J51" s="514"/>
      <c r="K51" s="514"/>
      <c r="L51" s="514"/>
      <c r="M51" s="514"/>
      <c r="N51" s="514"/>
      <c r="O51" s="514"/>
      <c r="P51" s="514"/>
      <c r="Q51" s="514"/>
      <c r="R51" s="514"/>
      <c r="S51" s="514"/>
      <c r="T51" s="514"/>
      <c r="U51" s="514"/>
    </row>
    <row r="52" spans="1:21">
      <c r="A52" s="212"/>
      <c r="B52" s="474" t="s">
        <v>178</v>
      </c>
      <c r="C52" s="474"/>
      <c r="D52" s="474"/>
      <c r="E52" s="474"/>
      <c r="F52" s="514"/>
      <c r="G52" s="514"/>
      <c r="H52" s="514"/>
      <c r="I52" s="514"/>
      <c r="J52" s="514"/>
      <c r="K52" s="514"/>
      <c r="L52" s="514"/>
      <c r="M52" s="514"/>
      <c r="N52" s="514"/>
      <c r="O52" s="514"/>
      <c r="P52" s="514"/>
      <c r="Q52" s="514"/>
      <c r="R52" s="514"/>
      <c r="S52" s="514"/>
      <c r="T52" s="514"/>
      <c r="U52" s="514"/>
    </row>
    <row r="53" spans="1:21">
      <c r="A53" s="212">
        <v>31</v>
      </c>
      <c r="B53" s="474"/>
      <c r="C53" s="474" t="s">
        <v>179</v>
      </c>
      <c r="D53" s="474"/>
      <c r="E53" s="632">
        <f>'CBR Hist'!F58</f>
        <v>15127</v>
      </c>
      <c r="F53" s="632">
        <f>'CBR Hist'!G58</f>
        <v>16340</v>
      </c>
      <c r="G53" s="632">
        <f>'CBR Hist'!H58</f>
        <v>20910</v>
      </c>
      <c r="H53" s="632">
        <f>'CBR Hist'!I58</f>
        <v>21299</v>
      </c>
      <c r="I53" s="632">
        <f>'CBR Hist'!J58</f>
        <v>21374</v>
      </c>
      <c r="J53" s="632">
        <f>'CBR Hist'!K58</f>
        <v>22459</v>
      </c>
      <c r="K53" s="632">
        <f>'CBR Hist'!L58</f>
        <v>23458</v>
      </c>
      <c r="L53" s="632">
        <f>'CBR Hist'!M58</f>
        <v>20632</v>
      </c>
      <c r="M53" s="632">
        <f>'CBR Hist'!N58</f>
        <v>23321</v>
      </c>
      <c r="N53" s="632">
        <f>'CBR Hist'!O58</f>
        <v>57116</v>
      </c>
      <c r="O53" s="632">
        <f>'CBR Hist'!P58</f>
        <v>81955</v>
      </c>
      <c r="P53" s="632">
        <f>'CBR Hist'!Q58</f>
        <v>84081</v>
      </c>
      <c r="Q53" s="632">
        <f>'CBR Hist'!R58</f>
        <v>85247</v>
      </c>
      <c r="R53" s="632">
        <f>'CBR Hist'!S58</f>
        <v>91466</v>
      </c>
      <c r="S53" s="632">
        <f>'CBR Hist'!T58</f>
        <v>102620</v>
      </c>
      <c r="T53" s="632">
        <f>'CBR Hist'!U58</f>
        <v>144970</v>
      </c>
      <c r="U53" s="632">
        <f>'CBR Hist'!V58</f>
        <v>156057</v>
      </c>
    </row>
    <row r="54" spans="1:21">
      <c r="A54" s="212">
        <v>32</v>
      </c>
      <c r="B54" s="474"/>
      <c r="C54" s="474" t="s">
        <v>180</v>
      </c>
      <c r="D54" s="474"/>
      <c r="E54" s="528">
        <f>'CBR Hist'!F59</f>
        <v>369323</v>
      </c>
      <c r="F54" s="528">
        <f>'CBR Hist'!G59</f>
        <v>382522</v>
      </c>
      <c r="G54" s="528">
        <f>'CBR Hist'!H59</f>
        <v>598523</v>
      </c>
      <c r="H54" s="528">
        <f>'CBR Hist'!I59</f>
        <v>609668</v>
      </c>
      <c r="I54" s="528">
        <f>'CBR Hist'!J59</f>
        <v>651608</v>
      </c>
      <c r="J54" s="528">
        <f>'CBR Hist'!K59</f>
        <v>669043</v>
      </c>
      <c r="K54" s="528">
        <f>'CBR Hist'!L59</f>
        <v>703455</v>
      </c>
      <c r="L54" s="528">
        <f>'CBR Hist'!M59</f>
        <v>712962</v>
      </c>
      <c r="M54" s="528">
        <f>'CBR Hist'!N59</f>
        <v>724416</v>
      </c>
      <c r="N54" s="528">
        <f>'CBR Hist'!O59</f>
        <v>751055</v>
      </c>
      <c r="O54" s="528">
        <f>'CBR Hist'!P59</f>
        <v>767632</v>
      </c>
      <c r="P54" s="528">
        <f>'CBR Hist'!Q59</f>
        <v>706894</v>
      </c>
      <c r="Q54" s="528">
        <f>'CBR Hist'!R59</f>
        <v>717448</v>
      </c>
      <c r="R54" s="528">
        <f>'CBR Hist'!S59</f>
        <v>738315</v>
      </c>
      <c r="S54" s="528">
        <f>'CBR Hist'!T59</f>
        <v>746101</v>
      </c>
      <c r="T54" s="528">
        <f>'CBR Hist'!U59</f>
        <v>779441</v>
      </c>
      <c r="U54" s="528">
        <f>'CBR Hist'!V59</f>
        <v>832833</v>
      </c>
    </row>
    <row r="55" spans="1:21">
      <c r="A55" s="212">
        <v>33</v>
      </c>
      <c r="B55" s="474"/>
      <c r="C55" s="474" t="s">
        <v>181</v>
      </c>
      <c r="D55" s="474"/>
      <c r="E55" s="528">
        <f>'CBR Hist'!F60</f>
        <v>181627</v>
      </c>
      <c r="F55" s="528">
        <f>'CBR Hist'!G60</f>
        <v>191517</v>
      </c>
      <c r="G55" s="528">
        <f>'CBR Hist'!H60</f>
        <v>186550</v>
      </c>
      <c r="H55" s="528">
        <f>'CBR Hist'!I60</f>
        <v>196937</v>
      </c>
      <c r="I55" s="528">
        <f>'CBR Hist'!J60</f>
        <v>213539</v>
      </c>
      <c r="J55" s="528">
        <f>'CBR Hist'!K60</f>
        <v>224696</v>
      </c>
      <c r="K55" s="528">
        <f>'CBR Hist'!L60</f>
        <v>244435</v>
      </c>
      <c r="L55" s="528">
        <f>'CBR Hist'!M60</f>
        <v>259532</v>
      </c>
      <c r="M55" s="528">
        <f>'CBR Hist'!N60</f>
        <v>289302</v>
      </c>
      <c r="N55" s="528">
        <f>'CBR Hist'!O60</f>
        <v>301090</v>
      </c>
      <c r="O55" s="528">
        <f>'CBR Hist'!P60</f>
        <v>312505</v>
      </c>
      <c r="P55" s="528">
        <f>'CBR Hist'!Q60</f>
        <v>328012</v>
      </c>
      <c r="Q55" s="528">
        <f>'CBR Hist'!R60</f>
        <v>342382</v>
      </c>
      <c r="R55" s="528">
        <f>'CBR Hist'!S60</f>
        <v>359941</v>
      </c>
      <c r="S55" s="528">
        <f>'CBR Hist'!T60</f>
        <v>371971</v>
      </c>
      <c r="T55" s="528">
        <f>'CBR Hist'!U60</f>
        <v>401700</v>
      </c>
      <c r="U55" s="528">
        <f>'CBR Hist'!V60</f>
        <v>430613</v>
      </c>
    </row>
    <row r="56" spans="1:21">
      <c r="A56" s="212">
        <v>34</v>
      </c>
      <c r="B56" s="474"/>
      <c r="C56" s="474" t="s">
        <v>165</v>
      </c>
      <c r="D56" s="474"/>
      <c r="E56" s="528">
        <f>'CBR Hist'!F61</f>
        <v>398104</v>
      </c>
      <c r="F56" s="528">
        <f>'CBR Hist'!G61</f>
        <v>416427</v>
      </c>
      <c r="G56" s="528">
        <f>'CBR Hist'!H61</f>
        <v>429742</v>
      </c>
      <c r="H56" s="528">
        <f>'CBR Hist'!I61</f>
        <v>443424</v>
      </c>
      <c r="I56" s="528">
        <f>'CBR Hist'!J61</f>
        <v>459516</v>
      </c>
      <c r="J56" s="528">
        <f>'CBR Hist'!K61</f>
        <v>480638</v>
      </c>
      <c r="K56" s="528">
        <f>'CBR Hist'!L61</f>
        <v>502571</v>
      </c>
      <c r="L56" s="528">
        <f>'CBR Hist'!M61</f>
        <v>528809</v>
      </c>
      <c r="M56" s="528">
        <f>'CBR Hist'!N61</f>
        <v>561016</v>
      </c>
      <c r="N56" s="528">
        <f>'CBR Hist'!O61</f>
        <v>598884</v>
      </c>
      <c r="O56" s="528">
        <f>'CBR Hist'!P61</f>
        <v>638445</v>
      </c>
      <c r="P56" s="528">
        <f>'CBR Hist'!Q61</f>
        <v>696082</v>
      </c>
      <c r="Q56" s="528">
        <f>'CBR Hist'!R61</f>
        <v>743732</v>
      </c>
      <c r="R56" s="528">
        <f>'CBR Hist'!S61</f>
        <v>796640</v>
      </c>
      <c r="S56" s="528">
        <f>'CBR Hist'!T61</f>
        <v>842795</v>
      </c>
      <c r="T56" s="528">
        <f>'CBR Hist'!U61</f>
        <v>895055</v>
      </c>
      <c r="U56" s="528">
        <f>'CBR Hist'!V61</f>
        <v>970455</v>
      </c>
    </row>
    <row r="57" spans="1:21">
      <c r="A57" s="212">
        <v>35</v>
      </c>
      <c r="B57" s="474"/>
      <c r="C57" s="474" t="s">
        <v>182</v>
      </c>
      <c r="D57" s="474"/>
      <c r="E57" s="528">
        <f>'CBR Hist'!F62</f>
        <v>58402</v>
      </c>
      <c r="F57" s="528">
        <f>'CBR Hist'!G62</f>
        <v>59846</v>
      </c>
      <c r="G57" s="528">
        <f>'CBR Hist'!H62</f>
        <v>59771</v>
      </c>
      <c r="H57" s="528">
        <f>'CBR Hist'!I62</f>
        <v>60444</v>
      </c>
      <c r="I57" s="528">
        <f>'CBR Hist'!J62</f>
        <v>63155</v>
      </c>
      <c r="J57" s="528">
        <f>'CBR Hist'!K62</f>
        <v>65299</v>
      </c>
      <c r="K57" s="528">
        <f>'CBR Hist'!L62</f>
        <v>80110</v>
      </c>
      <c r="L57" s="528">
        <f>'CBR Hist'!M62</f>
        <v>81368</v>
      </c>
      <c r="M57" s="528">
        <f>'CBR Hist'!N62</f>
        <v>91205</v>
      </c>
      <c r="N57" s="528">
        <f>'CBR Hist'!O62</f>
        <v>98727</v>
      </c>
      <c r="O57" s="528">
        <f>'CBR Hist'!P62</f>
        <v>120996</v>
      </c>
      <c r="P57" s="528">
        <f>'CBR Hist'!Q62</f>
        <v>140218</v>
      </c>
      <c r="Q57" s="528">
        <f>'CBR Hist'!R62</f>
        <v>155104</v>
      </c>
      <c r="R57" s="528">
        <f>'CBR Hist'!S62</f>
        <v>179134</v>
      </c>
      <c r="S57" s="528">
        <f>'CBR Hist'!T62</f>
        <v>196867</v>
      </c>
      <c r="T57" s="528">
        <f>'CBR Hist'!U62</f>
        <v>212726</v>
      </c>
      <c r="U57" s="528">
        <f>'CBR Hist'!V62</f>
        <v>233266</v>
      </c>
    </row>
    <row r="58" spans="1:21">
      <c r="A58" s="212">
        <v>36</v>
      </c>
      <c r="B58" s="474" t="s">
        <v>183</v>
      </c>
      <c r="C58" s="474"/>
      <c r="D58" s="474"/>
      <c r="E58" s="529">
        <f>SUM(E53:E57)</f>
        <v>1022583</v>
      </c>
      <c r="F58" s="529">
        <f t="shared" ref="F58:U58" si="5">SUM(F53:F57)</f>
        <v>1066652</v>
      </c>
      <c r="G58" s="529">
        <f t="shared" si="5"/>
        <v>1295496</v>
      </c>
      <c r="H58" s="529">
        <f t="shared" si="5"/>
        <v>1331772</v>
      </c>
      <c r="I58" s="529">
        <f t="shared" si="5"/>
        <v>1409192</v>
      </c>
      <c r="J58" s="529">
        <f t="shared" si="5"/>
        <v>1462135</v>
      </c>
      <c r="K58" s="529">
        <f t="shared" si="5"/>
        <v>1554029</v>
      </c>
      <c r="L58" s="529">
        <f t="shared" si="5"/>
        <v>1603303</v>
      </c>
      <c r="M58" s="529">
        <f t="shared" si="5"/>
        <v>1689260</v>
      </c>
      <c r="N58" s="529">
        <f t="shared" si="5"/>
        <v>1806872</v>
      </c>
      <c r="O58" s="529">
        <f t="shared" si="5"/>
        <v>1921533</v>
      </c>
      <c r="P58" s="529">
        <f t="shared" si="5"/>
        <v>1955287</v>
      </c>
      <c r="Q58" s="529">
        <f t="shared" si="5"/>
        <v>2043913</v>
      </c>
      <c r="R58" s="529">
        <f t="shared" si="5"/>
        <v>2165496</v>
      </c>
      <c r="S58" s="529">
        <f t="shared" si="5"/>
        <v>2260354</v>
      </c>
      <c r="T58" s="529">
        <f t="shared" si="5"/>
        <v>2433892</v>
      </c>
      <c r="U58" s="529">
        <f t="shared" si="5"/>
        <v>2623224</v>
      </c>
    </row>
    <row r="59" spans="1:21">
      <c r="A59" s="212"/>
      <c r="B59" s="474" t="s">
        <v>514</v>
      </c>
      <c r="C59" s="474"/>
      <c r="D59" s="474"/>
      <c r="E59" s="514"/>
      <c r="F59" s="514"/>
      <c r="G59" s="514"/>
      <c r="H59" s="514"/>
      <c r="I59" s="514"/>
      <c r="J59" s="514"/>
      <c r="K59" s="514"/>
      <c r="L59" s="514"/>
      <c r="M59" s="514"/>
      <c r="N59" s="514"/>
      <c r="O59" s="514"/>
      <c r="P59" s="514"/>
      <c r="Q59" s="514"/>
      <c r="R59" s="514"/>
      <c r="S59" s="514"/>
      <c r="T59" s="514"/>
      <c r="U59" s="514"/>
    </row>
    <row r="60" spans="1:21">
      <c r="A60" s="212">
        <v>37</v>
      </c>
      <c r="B60" s="474"/>
      <c r="C60" s="474" t="s">
        <v>179</v>
      </c>
      <c r="D60" s="474"/>
      <c r="E60" s="539" t="s">
        <v>660</v>
      </c>
      <c r="F60" s="539" t="s">
        <v>660</v>
      </c>
      <c r="G60" s="539" t="s">
        <v>660</v>
      </c>
      <c r="H60" s="539" t="s">
        <v>660</v>
      </c>
      <c r="I60" s="539" t="s">
        <v>660</v>
      </c>
      <c r="J60" s="539" t="s">
        <v>660</v>
      </c>
      <c r="K60" s="539" t="s">
        <v>660</v>
      </c>
      <c r="L60" s="539" t="s">
        <v>660</v>
      </c>
      <c r="M60" s="539" t="s">
        <v>660</v>
      </c>
      <c r="N60" s="539" t="s">
        <v>660</v>
      </c>
      <c r="O60" s="539" t="s">
        <v>660</v>
      </c>
      <c r="P60" s="528">
        <f>'CBR Hist'!Q65</f>
        <v>3744</v>
      </c>
      <c r="Q60" s="528">
        <f>'CBR Hist'!R65</f>
        <v>4369</v>
      </c>
      <c r="R60" s="528">
        <f>'CBR Hist'!S65</f>
        <v>17667</v>
      </c>
      <c r="S60" s="528">
        <f>'CBR Hist'!T65</f>
        <v>20242</v>
      </c>
      <c r="T60" s="528">
        <f>'CBR Hist'!U65</f>
        <v>24943</v>
      </c>
      <c r="U60" s="528">
        <f>'CBR Hist'!V65</f>
        <v>30914</v>
      </c>
    </row>
    <row r="61" spans="1:21">
      <c r="A61" s="212">
        <v>38</v>
      </c>
      <c r="B61" s="474"/>
      <c r="C61" s="474" t="s">
        <v>180</v>
      </c>
      <c r="D61" s="474"/>
      <c r="E61" s="539" t="s">
        <v>660</v>
      </c>
      <c r="F61" s="539" t="s">
        <v>660</v>
      </c>
      <c r="G61" s="539" t="s">
        <v>660</v>
      </c>
      <c r="H61" s="539" t="s">
        <v>660</v>
      </c>
      <c r="I61" s="539" t="s">
        <v>660</v>
      </c>
      <c r="J61" s="539" t="s">
        <v>660</v>
      </c>
      <c r="K61" s="539" t="s">
        <v>660</v>
      </c>
      <c r="L61" s="539" t="s">
        <v>660</v>
      </c>
      <c r="M61" s="539" t="s">
        <v>660</v>
      </c>
      <c r="N61" s="539" t="s">
        <v>660</v>
      </c>
      <c r="O61" s="539" t="s">
        <v>660</v>
      </c>
      <c r="P61" s="528">
        <f>'CBR Hist'!Q66</f>
        <v>286300</v>
      </c>
      <c r="Q61" s="528">
        <f>'CBR Hist'!R66</f>
        <v>300170</v>
      </c>
      <c r="R61" s="528">
        <f>'CBR Hist'!S66</f>
        <v>314599</v>
      </c>
      <c r="S61" s="528">
        <f>'CBR Hist'!T66</f>
        <v>325531</v>
      </c>
      <c r="T61" s="528">
        <f>'CBR Hist'!U66</f>
        <v>342899</v>
      </c>
      <c r="U61" s="528">
        <f>'CBR Hist'!V66</f>
        <v>351625</v>
      </c>
    </row>
    <row r="62" spans="1:21">
      <c r="A62" s="212">
        <v>39</v>
      </c>
      <c r="B62" s="474"/>
      <c r="C62" s="474" t="s">
        <v>181</v>
      </c>
      <c r="D62" s="474"/>
      <c r="E62" s="539" t="s">
        <v>660</v>
      </c>
      <c r="F62" s="539" t="s">
        <v>660</v>
      </c>
      <c r="G62" s="539" t="s">
        <v>660</v>
      </c>
      <c r="H62" s="539" t="s">
        <v>660</v>
      </c>
      <c r="I62" s="539" t="s">
        <v>660</v>
      </c>
      <c r="J62" s="539" t="s">
        <v>660</v>
      </c>
      <c r="K62" s="539" t="s">
        <v>660</v>
      </c>
      <c r="L62" s="539" t="s">
        <v>660</v>
      </c>
      <c r="M62" s="539" t="s">
        <v>660</v>
      </c>
      <c r="N62" s="539" t="s">
        <v>660</v>
      </c>
      <c r="O62" s="539" t="s">
        <v>660</v>
      </c>
      <c r="P62" s="528">
        <f>'CBR Hist'!Q67</f>
        <v>111144</v>
      </c>
      <c r="Q62" s="528">
        <f>'CBR Hist'!R67</f>
        <v>116316</v>
      </c>
      <c r="R62" s="528">
        <f>'CBR Hist'!S67</f>
        <v>122308</v>
      </c>
      <c r="S62" s="528">
        <f>'CBR Hist'!T67</f>
        <v>123869</v>
      </c>
      <c r="T62" s="528">
        <f>'CBR Hist'!U67</f>
        <v>129936</v>
      </c>
      <c r="U62" s="528">
        <f>'CBR Hist'!V67</f>
        <v>135624</v>
      </c>
    </row>
    <row r="63" spans="1:21">
      <c r="A63" s="212">
        <v>40</v>
      </c>
      <c r="B63" s="474"/>
      <c r="C63" s="474" t="s">
        <v>165</v>
      </c>
      <c r="D63" s="474"/>
      <c r="E63" s="539" t="s">
        <v>660</v>
      </c>
      <c r="F63" s="539" t="s">
        <v>660</v>
      </c>
      <c r="G63" s="539" t="s">
        <v>660</v>
      </c>
      <c r="H63" s="539" t="s">
        <v>660</v>
      </c>
      <c r="I63" s="539" t="s">
        <v>660</v>
      </c>
      <c r="J63" s="539" t="s">
        <v>660</v>
      </c>
      <c r="K63" s="539" t="s">
        <v>660</v>
      </c>
      <c r="L63" s="539" t="s">
        <v>660</v>
      </c>
      <c r="M63" s="539" t="s">
        <v>660</v>
      </c>
      <c r="N63" s="539" t="s">
        <v>660</v>
      </c>
      <c r="O63" s="539" t="s">
        <v>660</v>
      </c>
      <c r="P63" s="528">
        <f>'CBR Hist'!Q68</f>
        <v>209101</v>
      </c>
      <c r="Q63" s="528">
        <f>'CBR Hist'!R68</f>
        <v>221408</v>
      </c>
      <c r="R63" s="528">
        <f>'CBR Hist'!S68</f>
        <v>236201</v>
      </c>
      <c r="S63" s="528">
        <f>'CBR Hist'!T68</f>
        <v>252722</v>
      </c>
      <c r="T63" s="528">
        <f>'CBR Hist'!U68</f>
        <v>273578</v>
      </c>
      <c r="U63" s="528">
        <f>'CBR Hist'!V68</f>
        <v>295383</v>
      </c>
    </row>
    <row r="64" spans="1:21">
      <c r="A64" s="212">
        <v>41</v>
      </c>
      <c r="B64" s="474"/>
      <c r="C64" s="474" t="s">
        <v>182</v>
      </c>
      <c r="D64" s="474"/>
      <c r="E64" s="539" t="s">
        <v>660</v>
      </c>
      <c r="F64" s="539" t="s">
        <v>660</v>
      </c>
      <c r="G64" s="539" t="s">
        <v>660</v>
      </c>
      <c r="H64" s="539" t="s">
        <v>660</v>
      </c>
      <c r="I64" s="539" t="s">
        <v>660</v>
      </c>
      <c r="J64" s="539" t="s">
        <v>660</v>
      </c>
      <c r="K64" s="539" t="s">
        <v>660</v>
      </c>
      <c r="L64" s="539" t="s">
        <v>660</v>
      </c>
      <c r="M64" s="539" t="s">
        <v>660</v>
      </c>
      <c r="N64" s="539" t="s">
        <v>660</v>
      </c>
      <c r="O64" s="539" t="s">
        <v>660</v>
      </c>
      <c r="P64" s="528">
        <f>'CBR Hist'!Q69</f>
        <v>56694</v>
      </c>
      <c r="Q64" s="528">
        <f>'CBR Hist'!R69</f>
        <v>61871</v>
      </c>
      <c r="R64" s="528">
        <f>'CBR Hist'!S69</f>
        <v>58357</v>
      </c>
      <c r="S64" s="528">
        <f>'CBR Hist'!T69</f>
        <v>65720</v>
      </c>
      <c r="T64" s="528">
        <f>'CBR Hist'!U69</f>
        <v>73050</v>
      </c>
      <c r="U64" s="528">
        <f>'CBR Hist'!V69</f>
        <v>80093</v>
      </c>
    </row>
    <row r="65" spans="1:22">
      <c r="A65" s="212">
        <v>42</v>
      </c>
      <c r="B65" s="474" t="s">
        <v>225</v>
      </c>
      <c r="C65" s="474"/>
      <c r="D65" s="474"/>
      <c r="E65" s="528">
        <f>'CBR Hist'!F70</f>
        <v>348345</v>
      </c>
      <c r="F65" s="528">
        <f>'CBR Hist'!G70</f>
        <v>359654</v>
      </c>
      <c r="G65" s="528">
        <f>'CBR Hist'!H70</f>
        <v>418593</v>
      </c>
      <c r="H65" s="528">
        <f>'CBR Hist'!I70</f>
        <v>450096</v>
      </c>
      <c r="I65" s="528">
        <f>'CBR Hist'!J70</f>
        <v>475935</v>
      </c>
      <c r="J65" s="528">
        <f>'CBR Hist'!K70</f>
        <v>503194</v>
      </c>
      <c r="K65" s="528">
        <f>'CBR Hist'!L70</f>
        <v>536682</v>
      </c>
      <c r="L65" s="528">
        <f>'CBR Hist'!M70</f>
        <v>567320</v>
      </c>
      <c r="M65" s="528">
        <f>'CBR Hist'!N70</f>
        <v>600292</v>
      </c>
      <c r="N65" s="528">
        <f>'CBR Hist'!O70</f>
        <v>632110</v>
      </c>
      <c r="O65" s="528">
        <f>'CBR Hist'!P70</f>
        <v>676635</v>
      </c>
      <c r="P65" s="674">
        <f t="shared" ref="P65:U65" si="6">SUM(P60:P64)</f>
        <v>666983</v>
      </c>
      <c r="Q65" s="674">
        <f t="shared" si="6"/>
        <v>704134</v>
      </c>
      <c r="R65" s="674">
        <f t="shared" si="6"/>
        <v>749132</v>
      </c>
      <c r="S65" s="674">
        <f t="shared" si="6"/>
        <v>788084</v>
      </c>
      <c r="T65" s="674">
        <f t="shared" si="6"/>
        <v>844406</v>
      </c>
      <c r="U65" s="674">
        <f t="shared" si="6"/>
        <v>893639</v>
      </c>
    </row>
    <row r="66" spans="1:22">
      <c r="A66" s="212">
        <v>43</v>
      </c>
      <c r="B66" s="474" t="s">
        <v>226</v>
      </c>
      <c r="C66" s="474"/>
      <c r="D66" s="474"/>
      <c r="E66" s="542">
        <f t="shared" ref="E66:U66" si="7">E58-E65</f>
        <v>674238</v>
      </c>
      <c r="F66" s="542">
        <f t="shared" si="7"/>
        <v>706998</v>
      </c>
      <c r="G66" s="542">
        <f t="shared" si="7"/>
        <v>876903</v>
      </c>
      <c r="H66" s="542">
        <f t="shared" si="7"/>
        <v>881676</v>
      </c>
      <c r="I66" s="542">
        <f t="shared" si="7"/>
        <v>933257</v>
      </c>
      <c r="J66" s="542">
        <f t="shared" si="7"/>
        <v>958941</v>
      </c>
      <c r="K66" s="542">
        <f t="shared" si="7"/>
        <v>1017347</v>
      </c>
      <c r="L66" s="542">
        <f t="shared" si="7"/>
        <v>1035983</v>
      </c>
      <c r="M66" s="542">
        <f t="shared" si="7"/>
        <v>1088968</v>
      </c>
      <c r="N66" s="542">
        <f t="shared" si="7"/>
        <v>1174762</v>
      </c>
      <c r="O66" s="542">
        <f t="shared" si="7"/>
        <v>1244898</v>
      </c>
      <c r="P66" s="542">
        <f t="shared" si="7"/>
        <v>1288304</v>
      </c>
      <c r="Q66" s="542">
        <f t="shared" si="7"/>
        <v>1339779</v>
      </c>
      <c r="R66" s="542">
        <f t="shared" si="7"/>
        <v>1416364</v>
      </c>
      <c r="S66" s="542">
        <f t="shared" si="7"/>
        <v>1472270</v>
      </c>
      <c r="T66" s="542">
        <f t="shared" si="7"/>
        <v>1589486</v>
      </c>
      <c r="U66" s="542">
        <f t="shared" si="7"/>
        <v>1729585</v>
      </c>
    </row>
    <row r="67" spans="1:22">
      <c r="A67" s="212"/>
      <c r="B67" s="474"/>
      <c r="C67" s="474"/>
      <c r="D67" s="474"/>
      <c r="E67" s="528"/>
      <c r="F67" s="528"/>
      <c r="G67" s="528"/>
      <c r="H67" s="528"/>
      <c r="I67" s="528"/>
      <c r="J67" s="528"/>
      <c r="K67" s="528"/>
      <c r="L67" s="528"/>
      <c r="M67" s="528"/>
      <c r="N67" s="528"/>
      <c r="O67" s="528"/>
      <c r="P67" s="528"/>
      <c r="Q67" s="528"/>
      <c r="R67" s="528"/>
      <c r="S67" s="528"/>
      <c r="T67" s="528"/>
      <c r="U67" s="528"/>
    </row>
    <row r="68" spans="1:22">
      <c r="A68" s="212">
        <v>44</v>
      </c>
      <c r="B68" s="474" t="s">
        <v>184</v>
      </c>
      <c r="C68" s="474"/>
      <c r="D68" s="474"/>
      <c r="E68" s="530">
        <f>'CBR Hist'!F73</f>
        <v>-104246</v>
      </c>
      <c r="F68" s="530">
        <f>'CBR Hist'!G73</f>
        <v>-108113</v>
      </c>
      <c r="G68" s="530">
        <f>'CBR Hist'!H73</f>
        <v>-113807</v>
      </c>
      <c r="H68" s="530">
        <f>'CBR Hist'!I73</f>
        <v>-138127</v>
      </c>
      <c r="I68" s="530">
        <f>'CBR Hist'!J73</f>
        <v>-154531</v>
      </c>
      <c r="J68" s="530">
        <f>'CBR Hist'!K73</f>
        <v>-138256</v>
      </c>
      <c r="K68" s="530">
        <f>'CBR Hist'!L73</f>
        <v>-142383</v>
      </c>
      <c r="L68" s="530">
        <f>'CBR Hist'!M73</f>
        <v>-143546</v>
      </c>
      <c r="M68" s="530">
        <f>'CBR Hist'!N73</f>
        <v>-151677</v>
      </c>
      <c r="N68" s="530">
        <f>'CBR Hist'!O73</f>
        <v>-169421</v>
      </c>
      <c r="O68" s="530">
        <f>'CBR Hist'!P73</f>
        <v>-190931</v>
      </c>
      <c r="P68" s="530">
        <f>'CBR Hist'!Q73</f>
        <v>-201163</v>
      </c>
      <c r="Q68" s="530">
        <f>'CBR Hist'!R73</f>
        <v>-208209</v>
      </c>
      <c r="R68" s="530">
        <f>'CBR Hist'!S73</f>
        <v>-221354</v>
      </c>
      <c r="S68" s="530">
        <f>'CBR Hist'!T73</f>
        <v>-257766</v>
      </c>
      <c r="T68" s="530">
        <f>'CBR Hist'!U73</f>
        <v>-317860</v>
      </c>
      <c r="U68" s="530">
        <f>'CBR Hist'!V73</f>
        <v>-353900</v>
      </c>
    </row>
    <row r="69" spans="1:22">
      <c r="A69" s="212">
        <v>45</v>
      </c>
      <c r="B69" s="474"/>
      <c r="C69" s="474" t="s">
        <v>661</v>
      </c>
      <c r="D69" s="474"/>
      <c r="E69" s="529">
        <f>E66+E68</f>
        <v>569992</v>
      </c>
      <c r="F69" s="529">
        <f t="shared" ref="F69:U69" si="8">F66+F68</f>
        <v>598885</v>
      </c>
      <c r="G69" s="529">
        <f t="shared" si="8"/>
        <v>763096</v>
      </c>
      <c r="H69" s="529">
        <f t="shared" si="8"/>
        <v>743549</v>
      </c>
      <c r="I69" s="529">
        <f t="shared" si="8"/>
        <v>778726</v>
      </c>
      <c r="J69" s="529">
        <f t="shared" si="8"/>
        <v>820685</v>
      </c>
      <c r="K69" s="529">
        <f t="shared" si="8"/>
        <v>874964</v>
      </c>
      <c r="L69" s="529">
        <f t="shared" si="8"/>
        <v>892437</v>
      </c>
      <c r="M69" s="529">
        <f t="shared" si="8"/>
        <v>937291</v>
      </c>
      <c r="N69" s="529">
        <f t="shared" si="8"/>
        <v>1005341</v>
      </c>
      <c r="O69" s="529">
        <f t="shared" si="8"/>
        <v>1053967</v>
      </c>
      <c r="P69" s="529">
        <f t="shared" si="8"/>
        <v>1087141</v>
      </c>
      <c r="Q69" s="529">
        <f t="shared" si="8"/>
        <v>1131570</v>
      </c>
      <c r="R69" s="529">
        <f t="shared" si="8"/>
        <v>1195010</v>
      </c>
      <c r="S69" s="529">
        <f t="shared" si="8"/>
        <v>1214504</v>
      </c>
      <c r="T69" s="529">
        <f t="shared" si="8"/>
        <v>1271626</v>
      </c>
      <c r="U69" s="529">
        <f t="shared" si="8"/>
        <v>1375685</v>
      </c>
    </row>
    <row r="70" spans="1:22">
      <c r="A70" s="212">
        <v>46</v>
      </c>
      <c r="B70" s="474" t="s">
        <v>227</v>
      </c>
      <c r="C70" s="474"/>
      <c r="D70" s="474"/>
      <c r="E70" s="528">
        <f>'CBR Hist'!F75</f>
        <v>-1500</v>
      </c>
      <c r="F70" s="528">
        <f>'CBR Hist'!G75</f>
        <v>-1370</v>
      </c>
      <c r="G70" s="528">
        <f>'CBR Hist'!H75</f>
        <v>-1238</v>
      </c>
      <c r="H70" s="528">
        <f>'CBR Hist'!I75</f>
        <v>-1106</v>
      </c>
      <c r="I70" s="528">
        <f>'CBR Hist'!J75</f>
        <v>-715</v>
      </c>
      <c r="J70" s="528">
        <f>'CBR Hist'!K75</f>
        <v>-843</v>
      </c>
      <c r="K70" s="528">
        <f>'CBR Hist'!L75</f>
        <v>-453</v>
      </c>
      <c r="L70" s="528">
        <f>'CBR Hist'!M75</f>
        <v>-582</v>
      </c>
      <c r="M70" s="528">
        <f>'CBR Hist'!N75</f>
        <v>-451</v>
      </c>
      <c r="N70" s="528">
        <f>'CBR Hist'!O75</f>
        <v>-322</v>
      </c>
      <c r="O70" s="528">
        <f>'CBR Hist'!P75</f>
        <v>-127</v>
      </c>
      <c r="P70" s="528">
        <f>'CBR Hist'!Q75</f>
        <v>32534</v>
      </c>
      <c r="Q70" s="528">
        <f>'CBR Hist'!R75</f>
        <v>16438</v>
      </c>
      <c r="R70" s="528">
        <f>'CBR Hist'!S75</f>
        <v>14761</v>
      </c>
      <c r="S70" s="528">
        <f>'CBR Hist'!T75</f>
        <v>10846</v>
      </c>
      <c r="T70" s="528">
        <f>'CBR Hist'!U75</f>
        <v>7458</v>
      </c>
      <c r="U70" s="528">
        <f>'CBR Hist'!V75</f>
        <v>4567</v>
      </c>
    </row>
    <row r="71" spans="1:22">
      <c r="A71" s="212">
        <v>47</v>
      </c>
      <c r="B71" s="474" t="s">
        <v>212</v>
      </c>
      <c r="C71" s="474"/>
      <c r="D71" s="474"/>
      <c r="E71" s="528">
        <f>'CBR Hist'!F76</f>
        <v>0</v>
      </c>
      <c r="F71" s="528">
        <f>'CBR Hist'!G76</f>
        <v>0</v>
      </c>
      <c r="G71" s="528">
        <f>'CBR Hist'!H76</f>
        <v>0</v>
      </c>
      <c r="H71" s="528">
        <f>'CBR Hist'!I76</f>
        <v>0</v>
      </c>
      <c r="I71" s="528">
        <f>'CBR Hist'!J76</f>
        <v>0</v>
      </c>
      <c r="J71" s="528">
        <f>'CBR Hist'!K76</f>
        <v>0</v>
      </c>
      <c r="K71" s="528">
        <f>'CBR Hist'!L76</f>
        <v>0</v>
      </c>
      <c r="L71" s="528">
        <f>'CBR Hist'!M76</f>
        <v>0</v>
      </c>
      <c r="M71" s="528">
        <f>'CBR Hist'!N76</f>
        <v>0</v>
      </c>
      <c r="N71" s="528">
        <f>'CBR Hist'!O76</f>
        <v>0</v>
      </c>
      <c r="O71" s="528">
        <f>'CBR Hist'!P76</f>
        <v>18188</v>
      </c>
      <c r="P71" s="528">
        <f>'CBR Hist'!Q76</f>
        <v>18188</v>
      </c>
      <c r="Q71" s="528">
        <f>'CBR Hist'!R76</f>
        <v>10967</v>
      </c>
      <c r="R71" s="528">
        <f>'CBR Hist'!S76</f>
        <v>16281</v>
      </c>
      <c r="S71" s="528">
        <f>'CBR Hist'!T76</f>
        <v>47807</v>
      </c>
      <c r="T71" s="528">
        <f>'CBR Hist'!U76</f>
        <v>59722</v>
      </c>
      <c r="U71" s="528">
        <f>'CBR Hist'!V76</f>
        <v>62474</v>
      </c>
    </row>
    <row r="72" spans="1:22">
      <c r="A72" s="212"/>
      <c r="B72" s="474"/>
      <c r="C72" s="474"/>
      <c r="D72" s="474"/>
      <c r="E72" s="514"/>
      <c r="F72" s="514"/>
      <c r="G72" s="514"/>
      <c r="H72" s="514"/>
      <c r="I72" s="514"/>
      <c r="J72" s="514"/>
      <c r="K72" s="514"/>
      <c r="L72" s="514"/>
      <c r="M72" s="514"/>
      <c r="N72" s="514"/>
      <c r="O72" s="514"/>
      <c r="P72" s="514"/>
      <c r="Q72" s="514"/>
      <c r="R72" s="514"/>
      <c r="S72" s="514"/>
      <c r="T72" s="514"/>
      <c r="U72" s="514"/>
    </row>
    <row r="73" spans="1:22" ht="13.5" thickBot="1">
      <c r="A73" s="212">
        <v>48</v>
      </c>
      <c r="B73" s="474" t="s">
        <v>185</v>
      </c>
      <c r="C73" s="474"/>
      <c r="D73" s="474"/>
      <c r="E73" s="535">
        <f>SUM(E69:E72)</f>
        <v>568492</v>
      </c>
      <c r="F73" s="535">
        <f t="shared" ref="F73:U73" si="9">SUM(F69:F72)</f>
        <v>597515</v>
      </c>
      <c r="G73" s="535">
        <f t="shared" si="9"/>
        <v>761858</v>
      </c>
      <c r="H73" s="535">
        <f t="shared" si="9"/>
        <v>742443</v>
      </c>
      <c r="I73" s="535">
        <f t="shared" si="9"/>
        <v>778011</v>
      </c>
      <c r="J73" s="535">
        <f t="shared" si="9"/>
        <v>819842</v>
      </c>
      <c r="K73" s="535">
        <f t="shared" si="9"/>
        <v>874511</v>
      </c>
      <c r="L73" s="535">
        <f t="shared" si="9"/>
        <v>891855</v>
      </c>
      <c r="M73" s="535">
        <f t="shared" si="9"/>
        <v>936840</v>
      </c>
      <c r="N73" s="535">
        <f t="shared" si="9"/>
        <v>1005019</v>
      </c>
      <c r="O73" s="535">
        <f t="shared" si="9"/>
        <v>1072028</v>
      </c>
      <c r="P73" s="535">
        <f t="shared" si="9"/>
        <v>1137863</v>
      </c>
      <c r="Q73" s="535">
        <f t="shared" si="9"/>
        <v>1158975</v>
      </c>
      <c r="R73" s="535">
        <f t="shared" si="9"/>
        <v>1226052</v>
      </c>
      <c r="S73" s="535">
        <f t="shared" si="9"/>
        <v>1273157</v>
      </c>
      <c r="T73" s="535">
        <f t="shared" si="9"/>
        <v>1338806</v>
      </c>
      <c r="U73" s="535">
        <f t="shared" si="9"/>
        <v>1442726</v>
      </c>
    </row>
    <row r="74" spans="1:22" ht="13.5" thickTop="1">
      <c r="D74" s="588"/>
      <c r="E74" s="588" t="str">
        <f>IF(E66+E68+E70+E71=E73,"","check total")</f>
        <v/>
      </c>
      <c r="F74" s="588" t="str">
        <f t="shared" ref="F74:Q74" si="10">IF(F66+F68+F70+F71=F73,"","check total")</f>
        <v/>
      </c>
      <c r="G74" s="588" t="str">
        <f t="shared" si="10"/>
        <v/>
      </c>
      <c r="H74" s="588" t="str">
        <f t="shared" si="10"/>
        <v/>
      </c>
      <c r="I74" s="588" t="str">
        <f t="shared" si="10"/>
        <v/>
      </c>
      <c r="J74" s="588" t="str">
        <f t="shared" si="10"/>
        <v/>
      </c>
      <c r="K74" s="588" t="str">
        <f t="shared" si="10"/>
        <v/>
      </c>
      <c r="L74" s="588" t="str">
        <f t="shared" si="10"/>
        <v/>
      </c>
      <c r="M74" s="588" t="str">
        <f t="shared" si="10"/>
        <v/>
      </c>
      <c r="N74" s="588" t="str">
        <f t="shared" si="10"/>
        <v/>
      </c>
      <c r="O74" s="588" t="str">
        <f t="shared" si="10"/>
        <v/>
      </c>
      <c r="P74" s="588" t="str">
        <f t="shared" si="10"/>
        <v/>
      </c>
      <c r="Q74" s="588" t="str">
        <f t="shared" si="10"/>
        <v/>
      </c>
      <c r="R74" s="588"/>
      <c r="S74" s="588"/>
    </row>
    <row r="75" spans="1:22">
      <c r="D75" s="588"/>
      <c r="E75" s="675">
        <f>E50</f>
        <v>2000</v>
      </c>
      <c r="F75" s="675">
        <f t="shared" ref="F75:U75" si="11">F50</f>
        <v>2001</v>
      </c>
      <c r="G75" s="675">
        <f t="shared" si="11"/>
        <v>2002</v>
      </c>
      <c r="H75" s="675">
        <f t="shared" si="11"/>
        <v>2003</v>
      </c>
      <c r="I75" s="675">
        <f t="shared" si="11"/>
        <v>2004</v>
      </c>
      <c r="J75" s="675">
        <f t="shared" si="11"/>
        <v>2005</v>
      </c>
      <c r="K75" s="675">
        <f t="shared" si="11"/>
        <v>2006</v>
      </c>
      <c r="L75" s="675">
        <f t="shared" si="11"/>
        <v>2007</v>
      </c>
      <c r="M75" s="675">
        <f t="shared" si="11"/>
        <v>2008</v>
      </c>
      <c r="N75" s="675">
        <f t="shared" si="11"/>
        <v>2009</v>
      </c>
      <c r="O75" s="675">
        <f t="shared" si="11"/>
        <v>2010</v>
      </c>
      <c r="P75" s="675">
        <f t="shared" si="11"/>
        <v>2011</v>
      </c>
      <c r="Q75" s="675">
        <f t="shared" si="11"/>
        <v>2012</v>
      </c>
      <c r="R75" s="675">
        <f t="shared" si="11"/>
        <v>2013</v>
      </c>
      <c r="S75" s="675">
        <f t="shared" si="11"/>
        <v>2014</v>
      </c>
      <c r="T75" s="675">
        <f t="shared" si="11"/>
        <v>2015</v>
      </c>
      <c r="U75" s="675">
        <f t="shared" si="11"/>
        <v>2016</v>
      </c>
    </row>
    <row r="76" spans="1:22">
      <c r="B76" s="676" t="s">
        <v>809</v>
      </c>
      <c r="D76" s="588"/>
      <c r="E76" s="588"/>
      <c r="F76" s="588"/>
      <c r="G76" s="588"/>
      <c r="H76" s="588"/>
      <c r="I76" s="588"/>
      <c r="J76" s="588"/>
      <c r="K76" s="588"/>
      <c r="L76" s="588"/>
      <c r="M76" s="588"/>
      <c r="N76" s="588"/>
      <c r="O76" s="588"/>
      <c r="P76" s="588"/>
      <c r="Q76" s="588"/>
      <c r="R76" s="588"/>
      <c r="S76" s="588"/>
    </row>
    <row r="77" spans="1:22">
      <c r="A77" s="572" t="s">
        <v>810</v>
      </c>
      <c r="D77" s="677" t="s">
        <v>544</v>
      </c>
      <c r="E77" s="665">
        <v>-1500</v>
      </c>
      <c r="F77" s="665">
        <v>-1370</v>
      </c>
      <c r="G77" s="665">
        <v>-1238</v>
      </c>
      <c r="H77" s="665">
        <v>-1106</v>
      </c>
      <c r="I77" s="665">
        <v>-715</v>
      </c>
      <c r="J77" s="665">
        <v>-843</v>
      </c>
      <c r="K77" s="665">
        <v>-453</v>
      </c>
      <c r="L77" s="665">
        <v>-582</v>
      </c>
      <c r="M77" s="665">
        <v>-451</v>
      </c>
      <c r="N77" s="665">
        <v>-322</v>
      </c>
      <c r="O77" s="665">
        <v>-127</v>
      </c>
      <c r="P77" s="665">
        <v>-66</v>
      </c>
      <c r="Q77" s="665">
        <v>0</v>
      </c>
      <c r="R77" s="665">
        <v>0</v>
      </c>
      <c r="S77" s="665">
        <v>0</v>
      </c>
      <c r="T77" s="665">
        <v>0</v>
      </c>
      <c r="U77" s="665">
        <v>0</v>
      </c>
    </row>
    <row r="78" spans="1:22">
      <c r="A78" s="572" t="s">
        <v>811</v>
      </c>
      <c r="D78" s="677" t="s">
        <v>812</v>
      </c>
      <c r="E78" s="665">
        <v>525</v>
      </c>
      <c r="F78" s="665">
        <v>480</v>
      </c>
      <c r="G78" s="665">
        <v>433</v>
      </c>
      <c r="H78" s="665">
        <v>387</v>
      </c>
      <c r="I78" s="665">
        <v>250</v>
      </c>
      <c r="J78" s="665">
        <v>295</v>
      </c>
      <c r="K78" s="665">
        <v>158</v>
      </c>
      <c r="L78" s="665">
        <v>204</v>
      </c>
      <c r="M78" s="665">
        <v>158</v>
      </c>
      <c r="N78" s="665">
        <v>113</v>
      </c>
      <c r="O78" s="665"/>
      <c r="P78" s="665">
        <v>23</v>
      </c>
      <c r="Q78" s="665">
        <v>0</v>
      </c>
      <c r="R78" s="665">
        <v>0</v>
      </c>
      <c r="S78" s="665">
        <v>0</v>
      </c>
      <c r="T78" s="665">
        <v>0</v>
      </c>
      <c r="U78" s="665">
        <v>0</v>
      </c>
    </row>
    <row r="79" spans="1:22">
      <c r="A79" s="572" t="s">
        <v>813</v>
      </c>
      <c r="D79" s="677" t="s">
        <v>814</v>
      </c>
      <c r="E79" s="665">
        <v>-7073</v>
      </c>
      <c r="F79" s="665">
        <v>-6807</v>
      </c>
      <c r="G79" s="665">
        <v>-7557</v>
      </c>
      <c r="H79" s="665">
        <v>-7254</v>
      </c>
      <c r="I79" s="665">
        <v>-7325</v>
      </c>
      <c r="J79" s="665">
        <v>-7278</v>
      </c>
      <c r="K79" s="665">
        <v>-7175</v>
      </c>
      <c r="L79" s="665">
        <v>-7452</v>
      </c>
      <c r="M79" s="665">
        <v>-7490</v>
      </c>
      <c r="N79" s="665">
        <v>-7390</v>
      </c>
      <c r="O79" s="665">
        <v>-7325</v>
      </c>
      <c r="P79" s="665">
        <v>-7307</v>
      </c>
      <c r="Q79" s="665">
        <v>-7359</v>
      </c>
      <c r="R79" s="665">
        <v>-7318</v>
      </c>
      <c r="S79" s="665">
        <v>-7426</v>
      </c>
      <c r="T79" s="665">
        <v>-7220</v>
      </c>
      <c r="U79" s="665">
        <v>-7197</v>
      </c>
      <c r="V79" s="663"/>
    </row>
    <row r="80" spans="1:22">
      <c r="A80" s="572" t="s">
        <v>813</v>
      </c>
      <c r="D80" s="677" t="s">
        <v>815</v>
      </c>
      <c r="E80" s="665">
        <v>3571</v>
      </c>
      <c r="F80" s="665">
        <v>3642</v>
      </c>
      <c r="G80" s="665">
        <v>4272</v>
      </c>
      <c r="H80" s="665">
        <v>4318</v>
      </c>
      <c r="I80" s="665">
        <v>5023</v>
      </c>
      <c r="J80" s="665">
        <v>4772</v>
      </c>
      <c r="K80" s="665">
        <v>4920</v>
      </c>
      <c r="L80" s="665">
        <v>5110</v>
      </c>
      <c r="M80" s="665">
        <v>5572</v>
      </c>
      <c r="N80" s="665">
        <v>5690</v>
      </c>
      <c r="O80" s="665">
        <v>5832</v>
      </c>
      <c r="P80" s="665">
        <v>6008</v>
      </c>
      <c r="Q80" s="665">
        <v>6242</v>
      </c>
      <c r="R80" s="665">
        <v>6375</v>
      </c>
      <c r="S80" s="665">
        <v>6614</v>
      </c>
      <c r="T80" s="665">
        <v>6572</v>
      </c>
      <c r="U80" s="665">
        <v>6693</v>
      </c>
    </row>
    <row r="81" spans="1:21">
      <c r="A81" s="572" t="s">
        <v>816</v>
      </c>
      <c r="D81" s="677" t="s">
        <v>814</v>
      </c>
      <c r="E81" s="665">
        <v>682</v>
      </c>
      <c r="F81" s="665">
        <v>651</v>
      </c>
      <c r="G81" s="665">
        <v>619</v>
      </c>
      <c r="H81" s="665">
        <v>587</v>
      </c>
      <c r="I81" s="665">
        <v>492</v>
      </c>
      <c r="J81" s="665">
        <v>524</v>
      </c>
      <c r="K81" s="665">
        <v>492</v>
      </c>
      <c r="L81" s="665">
        <v>460</v>
      </c>
      <c r="M81" s="665">
        <v>429</v>
      </c>
      <c r="N81" s="665">
        <v>426</v>
      </c>
      <c r="O81" s="665">
        <v>365</v>
      </c>
      <c r="P81" s="665">
        <v>1111</v>
      </c>
      <c r="Q81" s="665">
        <v>1111</v>
      </c>
      <c r="R81" s="665">
        <v>1111</v>
      </c>
      <c r="S81" s="665">
        <v>1111</v>
      </c>
      <c r="T81" s="665">
        <v>1111</v>
      </c>
      <c r="U81" s="665">
        <v>1111</v>
      </c>
    </row>
    <row r="82" spans="1:21">
      <c r="A82" s="572" t="s">
        <v>816</v>
      </c>
      <c r="D82" s="677" t="s">
        <v>815</v>
      </c>
      <c r="E82" s="665"/>
      <c r="F82" s="665"/>
      <c r="G82" s="665"/>
      <c r="H82" s="665"/>
      <c r="I82" s="665"/>
      <c r="J82" s="665"/>
      <c r="K82" s="665"/>
      <c r="L82" s="665"/>
      <c r="M82" s="665"/>
      <c r="N82" s="665"/>
      <c r="O82" s="665"/>
      <c r="P82" s="665">
        <v>-778</v>
      </c>
      <c r="Q82" s="665">
        <v>-809</v>
      </c>
      <c r="R82" s="665">
        <v>-841</v>
      </c>
      <c r="S82" s="665">
        <v>-873</v>
      </c>
      <c r="T82" s="665">
        <v>-905</v>
      </c>
      <c r="U82" s="665">
        <v>-936</v>
      </c>
    </row>
    <row r="83" spans="1:21">
      <c r="A83" s="572" t="s">
        <v>817</v>
      </c>
      <c r="D83" s="677" t="s">
        <v>814</v>
      </c>
      <c r="E83" s="665">
        <v>-5248</v>
      </c>
      <c r="F83" s="665">
        <v>-5248</v>
      </c>
      <c r="G83" s="665">
        <v>-5248</v>
      </c>
      <c r="H83" s="665">
        <v>-5248</v>
      </c>
      <c r="I83" s="665">
        <v>-5248</v>
      </c>
      <c r="J83" s="665">
        <v>-5248</v>
      </c>
      <c r="K83" s="665">
        <v>-5248</v>
      </c>
      <c r="L83" s="665">
        <v>-5248</v>
      </c>
      <c r="M83" s="665">
        <v>-5248</v>
      </c>
      <c r="N83" s="665">
        <v>-5248</v>
      </c>
      <c r="O83" s="665">
        <v>-5248</v>
      </c>
      <c r="P83" s="665">
        <v>-5248</v>
      </c>
      <c r="Q83" s="665">
        <v>-5248</v>
      </c>
      <c r="R83" s="665">
        <v>-5248</v>
      </c>
      <c r="S83" s="665">
        <v>-5248</v>
      </c>
      <c r="T83" s="665">
        <v>-5248</v>
      </c>
      <c r="U83" s="665">
        <v>-5248</v>
      </c>
    </row>
    <row r="84" spans="1:21">
      <c r="A84" s="572" t="s">
        <v>817</v>
      </c>
      <c r="D84" s="677" t="s">
        <v>815</v>
      </c>
      <c r="E84" s="665">
        <v>2619</v>
      </c>
      <c r="F84" s="665">
        <v>2783</v>
      </c>
      <c r="G84" s="665">
        <v>2947</v>
      </c>
      <c r="H84" s="665">
        <v>3111</v>
      </c>
      <c r="I84" s="665">
        <v>3559</v>
      </c>
      <c r="J84" s="665">
        <v>3424</v>
      </c>
      <c r="K84" s="665">
        <v>3559</v>
      </c>
      <c r="L84" s="665">
        <v>3695</v>
      </c>
      <c r="M84" s="665">
        <v>3830</v>
      </c>
      <c r="N84" s="665">
        <v>3964</v>
      </c>
      <c r="O84" s="665">
        <v>4100</v>
      </c>
      <c r="P84" s="665">
        <v>4235</v>
      </c>
      <c r="Q84" s="665">
        <v>4370</v>
      </c>
      <c r="R84" s="665">
        <v>4505</v>
      </c>
      <c r="S84" s="665">
        <v>4640</v>
      </c>
      <c r="T84" s="665">
        <v>4775</v>
      </c>
      <c r="U84" s="665">
        <v>4910</v>
      </c>
    </row>
    <row r="85" spans="1:21">
      <c r="A85" s="572" t="s">
        <v>817</v>
      </c>
      <c r="D85" s="677" t="s">
        <v>812</v>
      </c>
      <c r="E85" s="665">
        <v>1004</v>
      </c>
      <c r="F85" s="665">
        <v>948</v>
      </c>
      <c r="G85" s="665">
        <v>892</v>
      </c>
      <c r="H85" s="665">
        <v>836</v>
      </c>
      <c r="I85" s="665">
        <v>668</v>
      </c>
      <c r="J85" s="665">
        <v>724</v>
      </c>
      <c r="K85" s="665">
        <v>696</v>
      </c>
      <c r="L85" s="665">
        <v>640</v>
      </c>
      <c r="M85" s="665">
        <v>584</v>
      </c>
      <c r="N85" s="665">
        <v>528</v>
      </c>
      <c r="O85" s="665">
        <v>472</v>
      </c>
      <c r="P85" s="665">
        <v>416</v>
      </c>
      <c r="Q85" s="665">
        <v>360</v>
      </c>
      <c r="R85" s="665">
        <v>303</v>
      </c>
      <c r="S85" s="665">
        <v>247</v>
      </c>
      <c r="T85" s="665">
        <v>191</v>
      </c>
      <c r="U85" s="665">
        <v>136</v>
      </c>
    </row>
    <row r="86" spans="1:21">
      <c r="A86" s="572" t="s">
        <v>818</v>
      </c>
      <c r="D86" s="677" t="s">
        <v>814</v>
      </c>
      <c r="E86" s="665"/>
      <c r="F86" s="665"/>
      <c r="G86" s="665">
        <v>79626</v>
      </c>
      <c r="H86" s="665">
        <v>79626</v>
      </c>
      <c r="I86" s="665">
        <v>79626</v>
      </c>
      <c r="J86" s="665">
        <v>79626</v>
      </c>
      <c r="K86" s="665">
        <v>79626</v>
      </c>
      <c r="L86" s="665">
        <v>79626</v>
      </c>
      <c r="M86" s="665">
        <v>79626</v>
      </c>
      <c r="N86" s="665">
        <v>79626</v>
      </c>
      <c r="O86" s="665">
        <v>79626</v>
      </c>
      <c r="P86" s="665">
        <v>79626</v>
      </c>
      <c r="Q86" s="665">
        <v>79626</v>
      </c>
      <c r="R86" s="665">
        <v>79626</v>
      </c>
      <c r="S86" s="665">
        <v>79626</v>
      </c>
      <c r="T86" s="665">
        <v>79626</v>
      </c>
      <c r="U86" s="665">
        <v>79626</v>
      </c>
    </row>
    <row r="87" spans="1:21">
      <c r="A87" s="572" t="s">
        <v>818</v>
      </c>
      <c r="D87" s="677" t="s">
        <v>815</v>
      </c>
      <c r="E87" s="665"/>
      <c r="F87" s="665"/>
      <c r="G87" s="665">
        <v>-37568</v>
      </c>
      <c r="H87" s="665">
        <v>-40018</v>
      </c>
      <c r="I87" s="665">
        <v>-47368</v>
      </c>
      <c r="J87" s="665">
        <v>-44918</v>
      </c>
      <c r="K87" s="665">
        <v>-52268</v>
      </c>
      <c r="L87" s="665">
        <v>-49818</v>
      </c>
      <c r="M87" s="665">
        <v>-52268</v>
      </c>
      <c r="N87" s="665">
        <v>-55943</v>
      </c>
      <c r="O87" s="665">
        <v>-57168</v>
      </c>
      <c r="P87" s="665">
        <v>-59618</v>
      </c>
      <c r="Q87" s="665">
        <v>-62068</v>
      </c>
      <c r="R87" s="665">
        <v>-64518</v>
      </c>
      <c r="S87" s="665">
        <v>-66968</v>
      </c>
      <c r="T87" s="665">
        <v>-69418</v>
      </c>
      <c r="U87" s="665">
        <v>-71868</v>
      </c>
    </row>
    <row r="88" spans="1:21">
      <c r="A88" s="572" t="s">
        <v>818</v>
      </c>
      <c r="D88" s="677" t="s">
        <v>812</v>
      </c>
      <c r="E88" s="665"/>
      <c r="F88" s="665"/>
      <c r="G88" s="665">
        <v>-7339</v>
      </c>
      <c r="H88" s="665">
        <v>-6898</v>
      </c>
      <c r="I88" s="665">
        <v>-5577</v>
      </c>
      <c r="J88" s="665">
        <v>-6017</v>
      </c>
      <c r="K88" s="665">
        <v>-4917</v>
      </c>
      <c r="L88" s="665">
        <v>-5357</v>
      </c>
      <c r="M88" s="665">
        <v>-4917</v>
      </c>
      <c r="N88" s="665">
        <v>-4256</v>
      </c>
      <c r="O88" s="665">
        <v>-4036</v>
      </c>
      <c r="P88" s="665">
        <v>-3596</v>
      </c>
      <c r="Q88" s="665">
        <v>-3155</v>
      </c>
      <c r="R88" s="665">
        <v>-2715</v>
      </c>
      <c r="S88" s="665">
        <v>-2275</v>
      </c>
      <c r="T88" s="665">
        <v>-1835</v>
      </c>
      <c r="U88" s="665">
        <v>-1394</v>
      </c>
    </row>
    <row r="89" spans="1:21">
      <c r="A89" s="572" t="s">
        <v>819</v>
      </c>
      <c r="D89" s="677" t="s">
        <v>814</v>
      </c>
      <c r="E89" s="665">
        <v>-74560</v>
      </c>
      <c r="F89" s="665">
        <v>-66845</v>
      </c>
      <c r="G89" s="665">
        <v>-14205</v>
      </c>
      <c r="H89" s="665">
        <v>-14205</v>
      </c>
      <c r="I89" s="665">
        <v>-14205</v>
      </c>
      <c r="J89" s="665">
        <v>-14205</v>
      </c>
      <c r="K89" s="665">
        <v>-14205</v>
      </c>
      <c r="L89" s="665"/>
      <c r="M89" s="665"/>
      <c r="N89" s="665"/>
      <c r="O89" s="665"/>
      <c r="P89" s="665"/>
      <c r="Q89" s="665"/>
      <c r="R89" s="588"/>
      <c r="S89" s="588"/>
    </row>
    <row r="90" spans="1:21">
      <c r="A90" s="572" t="s">
        <v>819</v>
      </c>
      <c r="D90" s="677" t="s">
        <v>815</v>
      </c>
      <c r="E90" s="665">
        <v>147</v>
      </c>
      <c r="F90" s="665">
        <v>7011</v>
      </c>
      <c r="G90" s="665">
        <v>3107</v>
      </c>
      <c r="H90" s="665">
        <v>4883</v>
      </c>
      <c r="I90" s="665">
        <v>10210</v>
      </c>
      <c r="J90" s="665">
        <v>8434</v>
      </c>
      <c r="K90" s="665">
        <v>13706</v>
      </c>
      <c r="L90" s="665"/>
      <c r="M90" s="665"/>
      <c r="N90" s="665"/>
      <c r="O90" s="665"/>
      <c r="P90" s="665"/>
      <c r="Q90" s="665"/>
      <c r="R90" s="588"/>
      <c r="S90" s="588"/>
    </row>
    <row r="91" spans="1:21">
      <c r="A91" s="572" t="s">
        <v>819</v>
      </c>
      <c r="D91" s="677" t="s">
        <v>812</v>
      </c>
      <c r="E91" s="665"/>
      <c r="F91" s="665"/>
      <c r="G91" s="665">
        <v>3574</v>
      </c>
      <c r="H91" s="665">
        <v>2952</v>
      </c>
      <c r="I91" s="665">
        <v>1088</v>
      </c>
      <c r="J91" s="665">
        <v>1709</v>
      </c>
      <c r="K91" s="665">
        <v>175</v>
      </c>
      <c r="L91" s="665"/>
      <c r="M91" s="665"/>
      <c r="N91" s="665"/>
      <c r="O91" s="665"/>
      <c r="P91" s="665"/>
      <c r="Q91" s="665"/>
      <c r="R91" s="588"/>
      <c r="S91" s="588"/>
    </row>
    <row r="92" spans="1:21">
      <c r="A92" s="572" t="s">
        <v>820</v>
      </c>
      <c r="D92" s="677" t="s">
        <v>814</v>
      </c>
      <c r="E92" s="665"/>
      <c r="F92" s="665"/>
      <c r="G92" s="665"/>
      <c r="H92" s="665"/>
      <c r="I92" s="665"/>
      <c r="J92" s="665"/>
      <c r="K92" s="665"/>
      <c r="L92" s="665"/>
      <c r="M92" s="665"/>
      <c r="N92" s="665">
        <f>673+247</f>
        <v>920</v>
      </c>
      <c r="O92" s="665">
        <f>1647+1201</f>
        <v>2848</v>
      </c>
      <c r="P92" s="665">
        <f>1432+104+687+436</f>
        <v>2659</v>
      </c>
      <c r="Q92" s="665">
        <f>1554+113+743+472</f>
        <v>2882</v>
      </c>
      <c r="R92" s="665">
        <f>1554+113+743+472</f>
        <v>2882</v>
      </c>
      <c r="S92" s="665">
        <f>1554+113+743+472</f>
        <v>2882</v>
      </c>
      <c r="T92" s="665">
        <f>1554+113+743+472</f>
        <v>2882</v>
      </c>
      <c r="U92" s="665">
        <f>1554+113+743+472</f>
        <v>2882</v>
      </c>
    </row>
    <row r="93" spans="1:21">
      <c r="A93" s="572" t="s">
        <v>820</v>
      </c>
      <c r="D93" s="677" t="s">
        <v>815</v>
      </c>
      <c r="E93" s="665"/>
      <c r="F93" s="665"/>
      <c r="G93" s="665"/>
      <c r="H93" s="665"/>
      <c r="I93" s="665"/>
      <c r="J93" s="665"/>
      <c r="K93" s="665"/>
      <c r="L93" s="665"/>
      <c r="M93" s="665"/>
      <c r="N93" s="665"/>
      <c r="O93" s="665"/>
      <c r="P93" s="665"/>
      <c r="Q93" s="665">
        <f>-273-20-129-82</f>
        <v>-504</v>
      </c>
      <c r="R93" s="665">
        <f>-425-31-202-129</f>
        <v>-787</v>
      </c>
      <c r="S93" s="665">
        <f>-578-42-275-175</f>
        <v>-1070</v>
      </c>
      <c r="T93" s="665">
        <f>-692-50-330-210-47</f>
        <v>-1329</v>
      </c>
      <c r="U93" s="665">
        <f>-882-64-421-267</f>
        <v>-1634</v>
      </c>
    </row>
    <row r="94" spans="1:21">
      <c r="A94" s="572" t="s">
        <v>820</v>
      </c>
      <c r="D94" s="678" t="s">
        <v>812</v>
      </c>
      <c r="E94" s="664"/>
      <c r="F94" s="664"/>
      <c r="G94" s="664"/>
      <c r="H94" s="664"/>
      <c r="I94" s="664"/>
      <c r="J94" s="664"/>
      <c r="K94" s="664"/>
      <c r="L94" s="664"/>
      <c r="M94" s="664"/>
      <c r="N94" s="664">
        <f>-236-78</f>
        <v>-314</v>
      </c>
      <c r="O94" s="664">
        <f>-476-429</f>
        <v>-905</v>
      </c>
      <c r="P94" s="664">
        <f>-501-36-240-153</f>
        <v>-930</v>
      </c>
      <c r="Q94" s="664">
        <f>-448-33-215-136</f>
        <v>-832</v>
      </c>
      <c r="R94" s="664">
        <f>-395-189-121</f>
        <v>-705</v>
      </c>
      <c r="S94" s="665">
        <f>-342-163-104</f>
        <v>-609</v>
      </c>
      <c r="T94" s="665">
        <f>-302-145-92+2</f>
        <v>-537</v>
      </c>
      <c r="U94" s="665">
        <f>-235-113-72</f>
        <v>-420</v>
      </c>
    </row>
    <row r="95" spans="1:21">
      <c r="A95" s="572" t="s">
        <v>821</v>
      </c>
      <c r="D95" s="678" t="s">
        <v>814</v>
      </c>
      <c r="E95" s="664"/>
      <c r="F95" s="664"/>
      <c r="G95" s="664"/>
      <c r="H95" s="664"/>
      <c r="I95" s="664"/>
      <c r="J95" s="664"/>
      <c r="K95" s="664"/>
      <c r="L95" s="664"/>
      <c r="M95" s="664"/>
      <c r="N95" s="664">
        <v>5075</v>
      </c>
      <c r="O95" s="664">
        <v>4398</v>
      </c>
      <c r="P95" s="664">
        <v>3721</v>
      </c>
      <c r="Q95" s="664">
        <v>3045</v>
      </c>
      <c r="R95" s="664">
        <v>2368</v>
      </c>
      <c r="S95" s="665">
        <v>1692</v>
      </c>
      <c r="T95" s="665">
        <v>1015</v>
      </c>
      <c r="U95" s="665">
        <v>338</v>
      </c>
    </row>
    <row r="96" spans="1:21">
      <c r="A96" s="572" t="s">
        <v>821</v>
      </c>
      <c r="D96" s="678" t="s">
        <v>812</v>
      </c>
      <c r="E96" s="664"/>
      <c r="F96" s="664"/>
      <c r="G96" s="664"/>
      <c r="H96" s="664"/>
      <c r="I96" s="664"/>
      <c r="J96" s="664"/>
      <c r="K96" s="664"/>
      <c r="L96" s="664"/>
      <c r="M96" s="664"/>
      <c r="N96" s="664">
        <v>-1776</v>
      </c>
      <c r="O96" s="664">
        <v>-1539</v>
      </c>
      <c r="P96" s="664">
        <v>-1303</v>
      </c>
      <c r="Q96" s="664">
        <v>-1066</v>
      </c>
      <c r="R96" s="664">
        <v>-829</v>
      </c>
      <c r="S96" s="665">
        <v>-592</v>
      </c>
      <c r="T96" s="665">
        <v>-355</v>
      </c>
      <c r="U96" s="665">
        <v>-119</v>
      </c>
    </row>
    <row r="97" spans="1:21">
      <c r="A97" s="572" t="s">
        <v>822</v>
      </c>
      <c r="D97" s="678" t="s">
        <v>814</v>
      </c>
      <c r="E97" s="664"/>
      <c r="F97" s="664"/>
      <c r="G97" s="664"/>
      <c r="H97" s="664"/>
      <c r="I97" s="664"/>
      <c r="J97" s="664"/>
      <c r="K97" s="664"/>
      <c r="L97" s="664"/>
      <c r="M97" s="664"/>
      <c r="N97" s="664"/>
      <c r="O97" s="664">
        <v>279</v>
      </c>
      <c r="P97" s="664">
        <v>6007</v>
      </c>
      <c r="Q97" s="664">
        <v>4647</v>
      </c>
      <c r="R97" s="664">
        <v>3287</v>
      </c>
      <c r="S97" s="665">
        <v>1927</v>
      </c>
      <c r="T97" s="665">
        <v>571</v>
      </c>
      <c r="U97" s="665">
        <v>0</v>
      </c>
    </row>
    <row r="98" spans="1:21">
      <c r="A98" s="572" t="s">
        <v>822</v>
      </c>
      <c r="D98" s="678" t="s">
        <v>812</v>
      </c>
      <c r="E98" s="664"/>
      <c r="F98" s="664"/>
      <c r="G98" s="664"/>
      <c r="H98" s="664"/>
      <c r="I98" s="664"/>
      <c r="J98" s="664"/>
      <c r="K98" s="664"/>
      <c r="L98" s="664"/>
      <c r="M98" s="664"/>
      <c r="N98" s="664"/>
      <c r="O98" s="664">
        <v>-98</v>
      </c>
      <c r="P98" s="664">
        <v>-2102</v>
      </c>
      <c r="Q98" s="664">
        <v>-1626</v>
      </c>
      <c r="R98" s="664">
        <v>-1150</v>
      </c>
      <c r="S98" s="665">
        <v>-674</v>
      </c>
      <c r="T98" s="665">
        <v>-200</v>
      </c>
      <c r="U98" s="665">
        <v>0</v>
      </c>
    </row>
    <row r="99" spans="1:21">
      <c r="A99" s="572" t="s">
        <v>823</v>
      </c>
      <c r="D99" s="678" t="s">
        <v>814</v>
      </c>
      <c r="E99" s="664">
        <v>24</v>
      </c>
      <c r="F99" s="664">
        <v>479</v>
      </c>
      <c r="G99" s="664">
        <v>286</v>
      </c>
      <c r="H99" s="664">
        <v>95</v>
      </c>
      <c r="I99" s="664"/>
      <c r="J99" s="664"/>
      <c r="K99" s="664"/>
      <c r="L99" s="664"/>
      <c r="M99" s="664"/>
      <c r="N99" s="664"/>
      <c r="O99" s="664"/>
      <c r="P99" s="664"/>
      <c r="Q99" s="664"/>
      <c r="R99" s="664"/>
      <c r="S99" s="665"/>
      <c r="T99" s="665"/>
      <c r="U99" s="665"/>
    </row>
    <row r="100" spans="1:21">
      <c r="A100" s="572" t="s">
        <v>824</v>
      </c>
      <c r="D100" s="678" t="s">
        <v>825</v>
      </c>
      <c r="E100" s="664">
        <v>-848</v>
      </c>
      <c r="F100" s="664">
        <v>-487</v>
      </c>
      <c r="G100" s="664">
        <v>-245</v>
      </c>
      <c r="H100" s="664">
        <v>-225</v>
      </c>
      <c r="I100" s="664">
        <v>-223</v>
      </c>
      <c r="J100" s="664">
        <v>-248</v>
      </c>
      <c r="K100" s="664">
        <v>-267</v>
      </c>
      <c r="L100" s="664">
        <v>-258</v>
      </c>
      <c r="M100" s="664">
        <v>-232</v>
      </c>
      <c r="N100" s="664">
        <v>-257</v>
      </c>
      <c r="O100" s="664">
        <v>-279</v>
      </c>
      <c r="P100" s="664">
        <f>-248-22</f>
        <v>-270</v>
      </c>
      <c r="Q100" s="664">
        <v>-236</v>
      </c>
      <c r="R100" s="664">
        <v>-363</v>
      </c>
      <c r="S100" s="665">
        <v>-438</v>
      </c>
      <c r="T100" s="665">
        <v>-487</v>
      </c>
      <c r="U100" s="665">
        <v>-593</v>
      </c>
    </row>
    <row r="101" spans="1:21">
      <c r="A101" s="572" t="s">
        <v>826</v>
      </c>
      <c r="D101" s="678" t="s">
        <v>825</v>
      </c>
      <c r="E101" s="664"/>
      <c r="F101" s="664"/>
      <c r="G101" s="664"/>
      <c r="H101" s="664"/>
      <c r="I101" s="664"/>
      <c r="J101" s="664"/>
      <c r="K101" s="664"/>
      <c r="L101" s="664"/>
      <c r="M101" s="664"/>
      <c r="N101" s="664">
        <v>-3060</v>
      </c>
      <c r="O101" s="664">
        <v>-3419</v>
      </c>
      <c r="P101" s="664">
        <v>-3743</v>
      </c>
      <c r="Q101" s="664">
        <v>-2942</v>
      </c>
      <c r="R101" s="664">
        <v>-1222</v>
      </c>
      <c r="S101" s="665">
        <v>-1720</v>
      </c>
      <c r="T101" s="665">
        <v>-1751</v>
      </c>
      <c r="U101" s="665">
        <v>-1721</v>
      </c>
    </row>
    <row r="102" spans="1:21">
      <c r="A102" s="572"/>
      <c r="S102" s="588"/>
    </row>
    <row r="103" spans="1:21">
      <c r="A103" s="572" t="s">
        <v>104</v>
      </c>
      <c r="E103" s="663">
        <f t="shared" ref="E103:M103" si="12">SUM(E77:E101)</f>
        <v>-80657</v>
      </c>
      <c r="F103" s="663">
        <f t="shared" si="12"/>
        <v>-64763</v>
      </c>
      <c r="G103" s="663">
        <f t="shared" si="12"/>
        <v>22356</v>
      </c>
      <c r="H103" s="663">
        <f t="shared" si="12"/>
        <v>21841</v>
      </c>
      <c r="I103" s="663">
        <f t="shared" si="12"/>
        <v>20255</v>
      </c>
      <c r="J103" s="663">
        <f t="shared" si="12"/>
        <v>20751</v>
      </c>
      <c r="K103" s="663">
        <f t="shared" si="12"/>
        <v>18799</v>
      </c>
      <c r="L103" s="663">
        <f t="shared" si="12"/>
        <v>21020</v>
      </c>
      <c r="M103" s="663">
        <f t="shared" si="12"/>
        <v>19593</v>
      </c>
      <c r="N103" s="663">
        <f t="shared" ref="N103:S103" si="13">SUM(N77:N101)</f>
        <v>17776</v>
      </c>
      <c r="O103" s="663">
        <f t="shared" si="13"/>
        <v>17776</v>
      </c>
      <c r="P103" s="663">
        <f t="shared" si="13"/>
        <v>18845</v>
      </c>
      <c r="Q103" s="663">
        <f t="shared" si="13"/>
        <v>16438</v>
      </c>
      <c r="R103" s="663">
        <f t="shared" si="13"/>
        <v>14761</v>
      </c>
      <c r="S103" s="673">
        <f t="shared" si="13"/>
        <v>10846</v>
      </c>
      <c r="T103" s="673">
        <f>SUM(T77:T101)</f>
        <v>7458</v>
      </c>
      <c r="U103" s="673">
        <f>SUM(U77:U101)</f>
        <v>4566</v>
      </c>
    </row>
    <row r="104" spans="1:21">
      <c r="A104" s="572" t="s">
        <v>827</v>
      </c>
      <c r="E104" s="663">
        <f>E79+E81+E83+E86+E89+E92+E95+E97+E99</f>
        <v>-86175</v>
      </c>
      <c r="F104" s="663">
        <f t="shared" ref="F104:O104" si="14">F79+F81+F83+F86+F89+F92+F95+F97+F99</f>
        <v>-77770</v>
      </c>
      <c r="G104" s="663">
        <f t="shared" si="14"/>
        <v>53521</v>
      </c>
      <c r="H104" s="663">
        <f t="shared" si="14"/>
        <v>53601</v>
      </c>
      <c r="I104" s="663">
        <f t="shared" si="14"/>
        <v>53340</v>
      </c>
      <c r="J104" s="663">
        <f t="shared" si="14"/>
        <v>53419</v>
      </c>
      <c r="K104" s="663">
        <f t="shared" si="14"/>
        <v>53490</v>
      </c>
      <c r="L104" s="663">
        <f t="shared" si="14"/>
        <v>67386</v>
      </c>
      <c r="M104" s="663">
        <f t="shared" si="14"/>
        <v>67317</v>
      </c>
      <c r="N104" s="663">
        <f t="shared" si="14"/>
        <v>73409</v>
      </c>
      <c r="O104" s="663">
        <f t="shared" si="14"/>
        <v>74943</v>
      </c>
      <c r="P104" s="663"/>
      <c r="Q104" s="663"/>
      <c r="R104" s="663"/>
      <c r="S104" s="673"/>
      <c r="T104" s="673"/>
      <c r="U104" s="673"/>
    </row>
    <row r="105" spans="1:21">
      <c r="A105" s="572" t="s">
        <v>451</v>
      </c>
      <c r="E105" s="663">
        <f>E100+E101</f>
        <v>-848</v>
      </c>
      <c r="F105" s="663">
        <f t="shared" ref="F105:O105" si="15">F100+F101</f>
        <v>-487</v>
      </c>
      <c r="G105" s="663">
        <f t="shared" si="15"/>
        <v>-245</v>
      </c>
      <c r="H105" s="663">
        <f t="shared" si="15"/>
        <v>-225</v>
      </c>
      <c r="I105" s="663">
        <f t="shared" si="15"/>
        <v>-223</v>
      </c>
      <c r="J105" s="663">
        <f t="shared" si="15"/>
        <v>-248</v>
      </c>
      <c r="K105" s="663">
        <f t="shared" si="15"/>
        <v>-267</v>
      </c>
      <c r="L105" s="663">
        <f t="shared" si="15"/>
        <v>-258</v>
      </c>
      <c r="M105" s="663">
        <f t="shared" si="15"/>
        <v>-232</v>
      </c>
      <c r="N105" s="663">
        <f t="shared" si="15"/>
        <v>-3317</v>
      </c>
      <c r="O105" s="663">
        <f t="shared" si="15"/>
        <v>-3698</v>
      </c>
      <c r="P105" s="663"/>
      <c r="Q105" s="663"/>
      <c r="R105" s="663"/>
      <c r="S105" s="673"/>
      <c r="T105" s="673"/>
      <c r="U105" s="673"/>
    </row>
    <row r="106" spans="1:21">
      <c r="A106" s="572" t="s">
        <v>815</v>
      </c>
      <c r="E106" s="663">
        <f>E80+E82+E84+E87+E90+E93</f>
        <v>6337</v>
      </c>
      <c r="F106" s="663">
        <f t="shared" ref="F106:O106" si="16">F80+F82+F84+F87+F90+F93</f>
        <v>13436</v>
      </c>
      <c r="G106" s="663">
        <f t="shared" si="16"/>
        <v>-27242</v>
      </c>
      <c r="H106" s="663">
        <f t="shared" si="16"/>
        <v>-27706</v>
      </c>
      <c r="I106" s="663">
        <f t="shared" si="16"/>
        <v>-28576</v>
      </c>
      <c r="J106" s="663">
        <f t="shared" si="16"/>
        <v>-28288</v>
      </c>
      <c r="K106" s="663">
        <f t="shared" si="16"/>
        <v>-30083</v>
      </c>
      <c r="L106" s="663">
        <f t="shared" si="16"/>
        <v>-41013</v>
      </c>
      <c r="M106" s="663">
        <f t="shared" si="16"/>
        <v>-42866</v>
      </c>
      <c r="N106" s="663">
        <f t="shared" si="16"/>
        <v>-46289</v>
      </c>
      <c r="O106" s="663">
        <f t="shared" si="16"/>
        <v>-47236</v>
      </c>
      <c r="P106" s="663"/>
      <c r="Q106" s="663"/>
      <c r="R106" s="663"/>
      <c r="S106" s="673"/>
      <c r="T106" s="673"/>
      <c r="U106" s="673"/>
    </row>
    <row r="107" spans="1:21">
      <c r="A107" s="572" t="s">
        <v>812</v>
      </c>
      <c r="E107" s="663">
        <f>E78+E85+E88+E91+E94+E96+E98</f>
        <v>1529</v>
      </c>
      <c r="F107" s="663">
        <f t="shared" ref="F107:O107" si="17">F78+F85+F88+F91+F94+F96+F98</f>
        <v>1428</v>
      </c>
      <c r="G107" s="663">
        <f t="shared" si="17"/>
        <v>-2440</v>
      </c>
      <c r="H107" s="663">
        <f t="shared" si="17"/>
        <v>-2723</v>
      </c>
      <c r="I107" s="663">
        <f t="shared" si="17"/>
        <v>-3571</v>
      </c>
      <c r="J107" s="663">
        <f t="shared" si="17"/>
        <v>-3289</v>
      </c>
      <c r="K107" s="663">
        <f t="shared" si="17"/>
        <v>-3888</v>
      </c>
      <c r="L107" s="663">
        <f t="shared" si="17"/>
        <v>-4513</v>
      </c>
      <c r="M107" s="663">
        <f t="shared" si="17"/>
        <v>-4175</v>
      </c>
      <c r="N107" s="663">
        <f t="shared" si="17"/>
        <v>-5705</v>
      </c>
      <c r="O107" s="663">
        <f t="shared" si="17"/>
        <v>-6106</v>
      </c>
      <c r="P107" s="663"/>
      <c r="Q107" s="663"/>
      <c r="R107" s="663"/>
      <c r="S107" s="673"/>
      <c r="T107" s="673"/>
      <c r="U107" s="673"/>
    </row>
    <row r="108" spans="1:21">
      <c r="A108" s="572" t="s">
        <v>544</v>
      </c>
      <c r="E108" s="663">
        <f t="shared" ref="E108:O108" si="18">E77</f>
        <v>-1500</v>
      </c>
      <c r="F108" s="663">
        <f t="shared" si="18"/>
        <v>-1370</v>
      </c>
      <c r="G108" s="663">
        <f t="shared" si="18"/>
        <v>-1238</v>
      </c>
      <c r="H108" s="663">
        <f t="shared" si="18"/>
        <v>-1106</v>
      </c>
      <c r="I108" s="663">
        <f t="shared" si="18"/>
        <v>-715</v>
      </c>
      <c r="J108" s="663">
        <f t="shared" si="18"/>
        <v>-843</v>
      </c>
      <c r="K108" s="663">
        <f t="shared" si="18"/>
        <v>-453</v>
      </c>
      <c r="L108" s="663">
        <f t="shared" si="18"/>
        <v>-582</v>
      </c>
      <c r="M108" s="663">
        <f t="shared" si="18"/>
        <v>-451</v>
      </c>
      <c r="N108" s="663">
        <f t="shared" si="18"/>
        <v>-322</v>
      </c>
      <c r="O108" s="663">
        <f t="shared" si="18"/>
        <v>-127</v>
      </c>
      <c r="P108" s="663">
        <f>P70</f>
        <v>32534</v>
      </c>
      <c r="Q108" s="663">
        <f t="shared" ref="Q108" si="19">Q70</f>
        <v>16438</v>
      </c>
      <c r="R108" s="663">
        <f>R70</f>
        <v>14761</v>
      </c>
      <c r="S108" s="673">
        <f>S70</f>
        <v>10846</v>
      </c>
      <c r="T108" s="673">
        <f>T70</f>
        <v>7458</v>
      </c>
      <c r="U108" s="673">
        <f>U70</f>
        <v>4567</v>
      </c>
    </row>
    <row r="109" spans="1:21">
      <c r="S109" s="588"/>
    </row>
    <row r="110" spans="1:21">
      <c r="O110" s="678" t="s">
        <v>828</v>
      </c>
      <c r="P110" s="663">
        <f>P103-P108</f>
        <v>-13689</v>
      </c>
      <c r="S110" s="588"/>
    </row>
    <row r="111" spans="1:21">
      <c r="O111" s="678" t="s">
        <v>829</v>
      </c>
      <c r="P111" s="663">
        <f>-P110</f>
        <v>13689</v>
      </c>
      <c r="S111" s="588"/>
    </row>
    <row r="112" spans="1:21">
      <c r="P112" s="663"/>
      <c r="Q112" s="663"/>
      <c r="R112" s="663"/>
      <c r="S112" s="663"/>
      <c r="T112" s="673"/>
      <c r="U112" s="673"/>
    </row>
  </sheetData>
  <printOptions horizontalCentered="1"/>
  <pageMargins left="0.23" right="0.2" top="0.75" bottom="0.75" header="0.3" footer="0.54"/>
  <pageSetup scale="80" orientation="landscape" r:id="rId1"/>
  <headerFooter>
    <oddFooter>&amp;C&amp;F /&amp;A&amp;RPage &amp;P</oddFooter>
  </headerFooter>
  <rowBreaks count="2" manualBreakCount="2">
    <brk id="49" max="16383" man="1"/>
    <brk id="74"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P72"/>
  <sheetViews>
    <sheetView view="pageBreakPreview" zoomScale="145" zoomScaleNormal="130" zoomScaleSheetLayoutView="145" workbookViewId="0">
      <selection activeCell="B24" sqref="B24"/>
    </sheetView>
  </sheetViews>
  <sheetFormatPr defaultColWidth="9.140625" defaultRowHeight="14.25" customHeight="1"/>
  <cols>
    <col min="1" max="1" width="6.85546875" style="1" customWidth="1"/>
    <col min="2" max="2" width="14.140625" style="1" customWidth="1"/>
    <col min="3" max="3" width="12.85546875" style="1" hidden="1" customWidth="1"/>
    <col min="4" max="4" width="12.85546875" style="1" customWidth="1"/>
    <col min="5" max="5" width="18.85546875" style="12" customWidth="1"/>
    <col min="6" max="6" width="14.140625" style="1" customWidth="1"/>
    <col min="7" max="7" width="14" style="1" customWidth="1"/>
    <col min="8" max="8" width="8.7109375" style="1" hidden="1" customWidth="1"/>
    <col min="9" max="9" width="14.7109375" style="1" hidden="1" customWidth="1"/>
    <col min="10" max="10" width="9.140625" style="1" hidden="1" customWidth="1"/>
    <col min="11" max="11" width="10.42578125" style="1" hidden="1" customWidth="1"/>
    <col min="12" max="13" width="9.5703125" style="1" hidden="1" customWidth="1"/>
    <col min="14" max="14" width="11.42578125" style="1" hidden="1" customWidth="1"/>
    <col min="15" max="15" width="10.42578125" style="1" hidden="1" customWidth="1"/>
    <col min="16" max="16" width="9.140625" style="1" hidden="1" customWidth="1"/>
    <col min="17" max="17" width="17" style="1" hidden="1" customWidth="1"/>
    <col min="18" max="18" width="18" style="1" customWidth="1"/>
    <col min="19" max="19" width="17" style="1" customWidth="1"/>
    <col min="20" max="20" width="15.85546875" style="1" customWidth="1"/>
    <col min="21" max="25" width="9.140625" style="1"/>
    <col min="26" max="26" width="11.42578125" style="1" customWidth="1"/>
    <col min="27" max="16384" width="9.140625" style="1"/>
  </cols>
  <sheetData>
    <row r="1" spans="1:42" ht="19.5" customHeight="1">
      <c r="A1" s="869" t="s">
        <v>90</v>
      </c>
      <c r="B1" s="870"/>
      <c r="C1" s="870"/>
      <c r="D1" s="870"/>
      <c r="E1" s="870"/>
      <c r="F1" s="871"/>
      <c r="G1" s="279"/>
    </row>
    <row r="2" spans="1:42" ht="14.25" customHeight="1">
      <c r="A2" s="872" t="s">
        <v>862</v>
      </c>
      <c r="B2" s="873"/>
      <c r="C2" s="873"/>
      <c r="D2" s="873"/>
      <c r="E2" s="873"/>
      <c r="F2" s="874"/>
      <c r="G2" s="768"/>
    </row>
    <row r="3" spans="1:42" ht="14.25" customHeight="1">
      <c r="A3" s="872" t="s">
        <v>199</v>
      </c>
      <c r="B3" s="873"/>
      <c r="C3" s="873"/>
      <c r="D3" s="873"/>
      <c r="E3" s="873"/>
      <c r="F3" s="874"/>
      <c r="G3" s="768"/>
      <c r="AG3" s="281"/>
    </row>
    <row r="4" spans="1:42" ht="14.25" customHeight="1" thickBot="1">
      <c r="A4" s="875"/>
      <c r="B4" s="876"/>
      <c r="C4" s="876"/>
      <c r="D4" s="876"/>
      <c r="E4" s="876"/>
      <c r="F4" s="877"/>
      <c r="G4" s="772"/>
    </row>
    <row r="5" spans="1:42" ht="14.25" customHeight="1">
      <c r="A5" s="402" t="s">
        <v>838</v>
      </c>
      <c r="B5" s="403"/>
      <c r="C5" s="403"/>
      <c r="D5" s="403"/>
      <c r="E5" s="403"/>
      <c r="F5" s="404"/>
      <c r="G5" s="399"/>
      <c r="L5" s="281" t="s">
        <v>577</v>
      </c>
      <c r="Q5" s="3"/>
      <c r="R5" s="3"/>
      <c r="S5" s="3"/>
      <c r="AJ5" s="281"/>
    </row>
    <row r="6" spans="1:42" ht="6" customHeight="1">
      <c r="A6" s="405"/>
      <c r="B6" s="406"/>
      <c r="C6" s="406"/>
      <c r="D6" s="769"/>
      <c r="E6" s="407"/>
      <c r="F6" s="770"/>
      <c r="G6" s="399"/>
      <c r="L6" s="281"/>
      <c r="Q6" s="3"/>
      <c r="R6" s="3"/>
      <c r="S6" s="3"/>
      <c r="AJ6" s="281"/>
    </row>
    <row r="7" spans="1:42" ht="14.25" customHeight="1">
      <c r="A7" s="405"/>
      <c r="B7" s="408"/>
      <c r="C7" s="769"/>
      <c r="D7" s="769" t="s">
        <v>95</v>
      </c>
      <c r="E7" s="769"/>
      <c r="F7" s="770" t="s">
        <v>96</v>
      </c>
      <c r="G7" s="399"/>
      <c r="L7" s="281"/>
      <c r="Q7" s="3"/>
      <c r="R7" s="3"/>
      <c r="S7" s="3"/>
      <c r="AJ7" s="281"/>
    </row>
    <row r="8" spans="1:42" ht="14.25" customHeight="1">
      <c r="A8" s="405"/>
      <c r="B8" s="409" t="s">
        <v>97</v>
      </c>
      <c r="C8" s="769"/>
      <c r="D8" s="409" t="s">
        <v>99</v>
      </c>
      <c r="E8" s="409" t="s">
        <v>100</v>
      </c>
      <c r="F8" s="410" t="s">
        <v>100</v>
      </c>
      <c r="G8" s="255"/>
      <c r="Q8" s="3"/>
      <c r="R8" s="3"/>
      <c r="S8" s="3"/>
      <c r="AP8" s="281"/>
    </row>
    <row r="9" spans="1:42" ht="14.25" customHeight="1">
      <c r="A9" s="405"/>
      <c r="B9" s="406"/>
      <c r="C9" s="406"/>
      <c r="D9" s="406"/>
      <c r="E9" s="407"/>
      <c r="F9" s="411"/>
      <c r="G9" s="255"/>
    </row>
    <row r="10" spans="1:42" ht="14.25" customHeight="1">
      <c r="A10" s="405"/>
      <c r="B10" s="408" t="s">
        <v>549</v>
      </c>
      <c r="C10" s="412"/>
      <c r="D10" s="413">
        <f>100%-D12</f>
        <v>0.5</v>
      </c>
      <c r="E10" s="475">
        <v>5.62E-2</v>
      </c>
      <c r="F10" s="415">
        <f>ROUND(D10*E10,4)</f>
        <v>2.81E-2</v>
      </c>
      <c r="G10" s="255"/>
      <c r="I10" s="145" t="s">
        <v>196</v>
      </c>
      <c r="J10" s="146"/>
      <c r="K10" s="147" t="s">
        <v>111</v>
      </c>
      <c r="L10" s="148"/>
      <c r="M10" s="768" t="s">
        <v>110</v>
      </c>
    </row>
    <row r="11" spans="1:42" ht="3.75" customHeight="1">
      <c r="A11" s="405"/>
      <c r="B11" s="408"/>
      <c r="C11" s="416"/>
      <c r="D11" s="413"/>
      <c r="E11" s="414"/>
      <c r="F11" s="415"/>
      <c r="G11" s="86"/>
      <c r="I11" s="152" t="s">
        <v>197</v>
      </c>
      <c r="J11" s="772"/>
      <c r="K11" s="768" t="s">
        <v>95</v>
      </c>
      <c r="L11" s="768" t="s">
        <v>110</v>
      </c>
      <c r="M11" s="768" t="s">
        <v>96</v>
      </c>
    </row>
    <row r="12" spans="1:42" ht="14.25" customHeight="1">
      <c r="A12" s="405"/>
      <c r="B12" s="408" t="s">
        <v>9</v>
      </c>
      <c r="C12" s="416"/>
      <c r="D12" s="413">
        <v>0.5</v>
      </c>
      <c r="E12" s="414">
        <v>9.9000000000000005E-2</v>
      </c>
      <c r="F12" s="415">
        <f>ROUND(D12*E12,4)</f>
        <v>4.9500000000000002E-2</v>
      </c>
      <c r="G12" s="257" t="s">
        <v>190</v>
      </c>
      <c r="I12" s="771" t="s">
        <v>97</v>
      </c>
      <c r="J12" s="772"/>
      <c r="K12" s="771" t="s">
        <v>99</v>
      </c>
      <c r="L12" s="771" t="s">
        <v>100</v>
      </c>
      <c r="M12" s="771" t="s">
        <v>100</v>
      </c>
    </row>
    <row r="13" spans="1:42" ht="8.25" customHeight="1">
      <c r="A13" s="405"/>
      <c r="B13" s="408"/>
      <c r="C13" s="416"/>
      <c r="D13" s="417"/>
      <c r="E13" s="418"/>
      <c r="F13" s="415"/>
      <c r="G13" s="258">
        <f>SUM(F10:F11)</f>
        <v>2.81E-2</v>
      </c>
      <c r="I13" s="148"/>
      <c r="J13" s="146"/>
      <c r="K13" s="148"/>
      <c r="L13" s="148"/>
      <c r="M13" s="148"/>
    </row>
    <row r="14" spans="1:42" ht="14.25" customHeight="1" thickBot="1">
      <c r="A14" s="405"/>
      <c r="B14" s="408" t="s">
        <v>104</v>
      </c>
      <c r="C14" s="412"/>
      <c r="D14" s="419">
        <f>SUM(D10:D12)</f>
        <v>1</v>
      </c>
      <c r="E14" s="418"/>
      <c r="F14" s="420">
        <f>SUM(F10:F12)</f>
        <v>7.7600000000000002E-2</v>
      </c>
      <c r="G14" s="86"/>
      <c r="I14" s="1" t="s">
        <v>101</v>
      </c>
      <c r="J14" s="7"/>
      <c r="K14" s="94">
        <v>0.4415</v>
      </c>
      <c r="L14" s="94">
        <v>7.7499999999999999E-2</v>
      </c>
      <c r="M14" s="94">
        <f>ROUND(K14*L14,4)</f>
        <v>3.4200000000000001E-2</v>
      </c>
    </row>
    <row r="15" spans="1:42" ht="14.25" customHeight="1" thickTop="1" thickBot="1">
      <c r="A15" s="421"/>
      <c r="B15" s="422"/>
      <c r="C15" s="423"/>
      <c r="D15" s="424"/>
      <c r="E15" s="425"/>
      <c r="F15" s="426"/>
      <c r="G15" s="255"/>
      <c r="J15" s="62"/>
      <c r="K15" s="94"/>
      <c r="L15" s="94"/>
      <c r="M15" s="94"/>
    </row>
    <row r="16" spans="1:42" ht="14.25" customHeight="1">
      <c r="A16" s="321"/>
      <c r="G16" s="255"/>
      <c r="I16" s="153" t="s">
        <v>102</v>
      </c>
      <c r="J16" s="154"/>
      <c r="K16" s="155">
        <v>3.39E-2</v>
      </c>
      <c r="L16" s="155">
        <v>7.0800000000000002E-2</v>
      </c>
      <c r="M16" s="155">
        <f>ROUND(K16*L16,4)</f>
        <v>2.3999999999999998E-3</v>
      </c>
    </row>
    <row r="17" spans="1:21" ht="14.25" customHeight="1">
      <c r="D17" s="89"/>
      <c r="E17" s="89"/>
      <c r="G17" s="255"/>
      <c r="H17" s="89"/>
      <c r="J17" s="62"/>
      <c r="K17" s="94"/>
      <c r="L17" s="94"/>
      <c r="M17" s="94"/>
      <c r="N17" s="150" t="s">
        <v>190</v>
      </c>
      <c r="O17" s="150" t="s">
        <v>191</v>
      </c>
      <c r="U17" s="125"/>
    </row>
    <row r="18" spans="1:21" ht="14.25" customHeight="1">
      <c r="G18" s="255"/>
      <c r="H18" s="90"/>
      <c r="I18" s="1" t="s">
        <v>103</v>
      </c>
      <c r="J18" s="62"/>
      <c r="K18" s="94" t="e">
        <f>#REF!</f>
        <v>#REF!</v>
      </c>
      <c r="L18" s="94" t="e">
        <f>#REF!</f>
        <v>#REF!</v>
      </c>
      <c r="M18" s="94" t="e">
        <f>ROUND(K18*L18,4)</f>
        <v>#REF!</v>
      </c>
      <c r="N18" s="151" t="e">
        <f>SUM(M14:M18)</f>
        <v>#REF!</v>
      </c>
      <c r="O18" s="151" t="e">
        <f>M14+M18</f>
        <v>#REF!</v>
      </c>
    </row>
    <row r="19" spans="1:21" ht="14.25" customHeight="1">
      <c r="G19" s="3"/>
      <c r="J19" s="62"/>
      <c r="K19" s="94"/>
      <c r="L19" s="94"/>
      <c r="M19" s="94"/>
      <c r="O19" s="91"/>
    </row>
    <row r="20" spans="1:21" ht="14.25" customHeight="1">
      <c r="A20" s="255"/>
      <c r="B20" s="86"/>
      <c r="C20" s="122"/>
      <c r="D20" s="254"/>
      <c r="E20" s="256"/>
      <c r="F20" s="254"/>
      <c r="G20" s="255"/>
      <c r="H20" s="86"/>
      <c r="I20" s="86"/>
      <c r="J20" s="86"/>
      <c r="K20" s="86"/>
      <c r="L20" s="86"/>
      <c r="M20" s="86"/>
      <c r="N20" s="86"/>
      <c r="O20" s="86"/>
      <c r="P20" s="86"/>
    </row>
    <row r="21" spans="1:21" ht="14.25" customHeight="1">
      <c r="A21" s="255"/>
      <c r="B21" s="86"/>
      <c r="C21" s="323"/>
      <c r="D21" s="254"/>
      <c r="E21" s="256"/>
      <c r="F21" s="254"/>
      <c r="G21" s="86"/>
      <c r="H21" s="86"/>
      <c r="I21" s="86"/>
      <c r="J21" s="86"/>
      <c r="K21" s="86"/>
      <c r="L21" s="86"/>
      <c r="M21" s="86"/>
      <c r="N21" s="86"/>
      <c r="O21" s="86"/>
      <c r="P21" s="86"/>
    </row>
    <row r="22" spans="1:21" ht="19.5" customHeight="1">
      <c r="A22" s="255"/>
      <c r="B22" s="86"/>
      <c r="C22" s="323"/>
      <c r="D22" s="254"/>
      <c r="E22" s="256"/>
      <c r="F22" s="254"/>
      <c r="G22" s="86"/>
      <c r="H22" s="86"/>
      <c r="I22" s="86"/>
      <c r="J22" s="86"/>
      <c r="K22" s="86"/>
      <c r="L22" s="86"/>
      <c r="M22" s="86"/>
      <c r="N22" s="86"/>
      <c r="O22" s="86"/>
      <c r="P22" s="86"/>
    </row>
    <row r="23" spans="1:21" ht="14.25" customHeight="1">
      <c r="A23" s="255"/>
      <c r="B23" s="86"/>
      <c r="C23" s="323"/>
      <c r="D23" s="254"/>
      <c r="E23" s="256"/>
      <c r="F23" s="254"/>
      <c r="G23" s="86"/>
      <c r="H23" s="86"/>
      <c r="I23" s="86"/>
      <c r="J23" s="86"/>
      <c r="K23" s="86"/>
      <c r="L23" s="86"/>
      <c r="M23" s="86"/>
      <c r="N23" s="86"/>
      <c r="O23" s="86"/>
      <c r="P23" s="86"/>
    </row>
    <row r="24" spans="1:21" s="3" customFormat="1" ht="14.25" customHeight="1">
      <c r="A24" s="255"/>
      <c r="B24" s="86"/>
      <c r="C24" s="323"/>
      <c r="D24" s="254"/>
      <c r="E24" s="256"/>
      <c r="F24" s="254"/>
      <c r="G24" s="257"/>
      <c r="H24" s="86"/>
      <c r="I24" s="86"/>
      <c r="J24" s="86"/>
      <c r="K24" s="86"/>
      <c r="L24" s="86"/>
      <c r="M24" s="86"/>
      <c r="N24" s="86"/>
      <c r="O24" s="86"/>
      <c r="P24" s="86"/>
    </row>
    <row r="25" spans="1:21" s="3" customFormat="1" ht="14.25" customHeight="1">
      <c r="A25" s="255"/>
      <c r="B25" s="86"/>
      <c r="C25" s="323"/>
      <c r="D25" s="253"/>
      <c r="E25" s="259"/>
      <c r="F25" s="254"/>
      <c r="G25" s="258"/>
      <c r="H25" s="86"/>
      <c r="I25" s="86"/>
      <c r="J25" s="86"/>
      <c r="K25" s="86"/>
      <c r="L25" s="86"/>
      <c r="M25" s="86"/>
      <c r="N25" s="86"/>
      <c r="O25" s="86"/>
      <c r="P25" s="86"/>
    </row>
    <row r="26" spans="1:21" s="3" customFormat="1" ht="14.25" customHeight="1">
      <c r="A26" s="255"/>
      <c r="B26" s="86"/>
      <c r="C26" s="122"/>
      <c r="D26" s="254"/>
      <c r="E26" s="259"/>
      <c r="F26" s="254"/>
      <c r="G26" s="86"/>
      <c r="H26" s="86"/>
      <c r="I26" s="86"/>
      <c r="J26" s="86"/>
      <c r="K26" s="86"/>
      <c r="L26" s="86"/>
      <c r="M26" s="86"/>
      <c r="N26" s="86"/>
      <c r="O26" s="86"/>
      <c r="P26" s="86"/>
    </row>
    <row r="27" spans="1:21" s="3" customFormat="1" ht="14.25" customHeight="1">
      <c r="A27" s="255"/>
      <c r="B27" s="86"/>
      <c r="C27" s="122"/>
      <c r="D27" s="254"/>
      <c r="E27" s="259"/>
      <c r="F27" s="254"/>
      <c r="G27" s="86"/>
      <c r="H27" s="86"/>
      <c r="I27" s="86"/>
      <c r="J27" s="86"/>
      <c r="K27" s="86"/>
      <c r="L27" s="86"/>
      <c r="M27" s="86"/>
      <c r="N27" s="86"/>
      <c r="O27" s="86"/>
      <c r="P27" s="86"/>
    </row>
    <row r="28" spans="1:21" s="3" customFormat="1" ht="14.25" customHeight="1">
      <c r="A28" s="255"/>
      <c r="B28" s="86"/>
      <c r="C28" s="323"/>
      <c r="D28" s="254"/>
      <c r="E28" s="256"/>
      <c r="F28" s="254"/>
      <c r="G28" s="255"/>
      <c r="H28" s="86"/>
      <c r="I28" s="86"/>
      <c r="J28" s="86"/>
      <c r="K28" s="86"/>
      <c r="L28" s="86"/>
      <c r="M28" s="86"/>
      <c r="N28" s="86"/>
      <c r="O28" s="86"/>
      <c r="P28" s="86"/>
    </row>
    <row r="29" spans="1:21" s="3" customFormat="1" ht="14.25" customHeight="1">
      <c r="A29" s="86"/>
      <c r="B29" s="86"/>
      <c r="C29" s="86"/>
      <c r="D29" s="86"/>
      <c r="E29" s="108"/>
      <c r="F29" s="86"/>
      <c r="G29" s="255"/>
      <c r="H29" s="86"/>
      <c r="I29" s="86"/>
      <c r="J29" s="86"/>
      <c r="K29" s="86"/>
      <c r="L29" s="86"/>
      <c r="M29" s="86"/>
      <c r="N29" s="86"/>
      <c r="O29" s="86"/>
      <c r="P29" s="86"/>
    </row>
    <row r="30" spans="1:21" s="3" customFormat="1" ht="14.25" customHeight="1">
      <c r="A30" s="86"/>
      <c r="B30" s="86"/>
      <c r="C30" s="86"/>
      <c r="D30" s="86"/>
      <c r="E30" s="108"/>
      <c r="F30" s="86"/>
      <c r="G30" s="255"/>
      <c r="H30" s="86"/>
      <c r="I30" s="86"/>
      <c r="J30" s="86"/>
      <c r="K30" s="86"/>
      <c r="L30" s="86"/>
      <c r="M30" s="86"/>
      <c r="N30" s="86"/>
      <c r="O30" s="86"/>
      <c r="P30" s="86"/>
    </row>
    <row r="31" spans="1:21" s="3" customFormat="1" ht="14.25" customHeight="1">
      <c r="A31" s="86"/>
      <c r="B31" s="86"/>
      <c r="C31" s="86"/>
      <c r="D31" s="86"/>
      <c r="E31" s="108"/>
      <c r="F31" s="130"/>
      <c r="G31" s="86"/>
      <c r="H31" s="86"/>
      <c r="I31" s="86"/>
      <c r="J31" s="86"/>
      <c r="K31" s="86"/>
      <c r="L31" s="86"/>
      <c r="M31" s="86"/>
      <c r="N31" s="86"/>
      <c r="O31" s="86"/>
      <c r="P31" s="86"/>
    </row>
    <row r="32" spans="1:21" s="3" customFormat="1" ht="14.25" customHeight="1">
      <c r="A32" s="86"/>
      <c r="B32" s="86"/>
      <c r="C32" s="86"/>
      <c r="D32" s="86"/>
      <c r="E32" s="108"/>
      <c r="F32" s="130"/>
      <c r="G32" s="86"/>
      <c r="H32" s="86"/>
      <c r="I32" s="86"/>
      <c r="J32" s="86"/>
      <c r="K32" s="86"/>
      <c r="L32" s="86"/>
      <c r="M32" s="86"/>
      <c r="N32" s="86"/>
      <c r="O32" s="86"/>
      <c r="P32" s="86"/>
    </row>
    <row r="33" spans="1:16" s="3" customFormat="1" ht="14.25" customHeight="1">
      <c r="A33" s="86"/>
      <c r="B33" s="86"/>
      <c r="C33" s="86"/>
      <c r="D33" s="86"/>
      <c r="E33" s="108"/>
      <c r="F33" s="86"/>
      <c r="G33" s="86"/>
      <c r="H33" s="86"/>
      <c r="I33" s="86"/>
      <c r="J33" s="86"/>
      <c r="K33" s="86"/>
      <c r="L33" s="86"/>
      <c r="M33" s="86"/>
      <c r="N33" s="86"/>
      <c r="O33" s="86"/>
      <c r="P33" s="86"/>
    </row>
    <row r="34" spans="1:16" s="3" customFormat="1" ht="14.25" customHeight="1">
      <c r="A34" s="260"/>
      <c r="B34" s="1" t="s">
        <v>830</v>
      </c>
      <c r="C34" s="86"/>
      <c r="D34" s="86"/>
      <c r="E34" s="108"/>
      <c r="F34" s="130"/>
      <c r="G34" s="86"/>
      <c r="H34" s="86"/>
      <c r="I34" s="86"/>
      <c r="J34" s="86"/>
      <c r="K34" s="86"/>
      <c r="L34" s="86"/>
      <c r="M34" s="86"/>
      <c r="N34" s="86"/>
      <c r="O34" s="86"/>
      <c r="P34" s="86"/>
    </row>
    <row r="35" spans="1:16" s="3" customFormat="1" ht="15" customHeight="1">
      <c r="A35" s="260"/>
      <c r="B35" s="86"/>
      <c r="C35" s="86"/>
      <c r="D35" s="86"/>
      <c r="E35" s="108"/>
      <c r="F35" s="130"/>
      <c r="G35" s="86"/>
      <c r="H35" s="86"/>
      <c r="I35" s="86"/>
      <c r="J35" s="86"/>
      <c r="K35" s="86"/>
      <c r="L35" s="86"/>
      <c r="M35" s="86"/>
      <c r="N35" s="86"/>
      <c r="O35" s="86"/>
      <c r="P35" s="86"/>
    </row>
    <row r="36" spans="1:16" ht="14.25" customHeight="1">
      <c r="A36" s="86"/>
      <c r="B36" s="86"/>
      <c r="C36" s="86"/>
      <c r="D36" s="86"/>
      <c r="E36" s="108"/>
      <c r="F36" s="86"/>
      <c r="G36" s="86"/>
      <c r="H36" s="86"/>
      <c r="I36" s="86"/>
      <c r="J36" s="86"/>
      <c r="K36" s="86"/>
      <c r="L36" s="86"/>
      <c r="M36" s="86"/>
      <c r="N36" s="86"/>
      <c r="O36" s="86"/>
      <c r="P36" s="86"/>
    </row>
    <row r="37" spans="1:16" ht="14.25" customHeight="1">
      <c r="A37" s="86"/>
      <c r="B37" s="86"/>
      <c r="C37" s="86"/>
      <c r="D37" s="86"/>
      <c r="E37" s="108"/>
      <c r="F37" s="86"/>
      <c r="G37" s="86"/>
      <c r="H37" s="86"/>
      <c r="I37" s="86"/>
      <c r="J37" s="86"/>
      <c r="K37" s="86"/>
      <c r="L37" s="86"/>
      <c r="M37" s="86"/>
      <c r="N37" s="86"/>
      <c r="O37" s="86"/>
      <c r="P37" s="86"/>
    </row>
    <row r="38" spans="1:16" ht="14.25" customHeight="1">
      <c r="A38" s="86"/>
      <c r="B38" s="108"/>
      <c r="C38" s="86"/>
      <c r="D38" s="86"/>
      <c r="E38" s="108"/>
      <c r="F38" s="143"/>
      <c r="G38" s="86"/>
      <c r="H38" s="86"/>
      <c r="I38" s="86"/>
      <c r="J38" s="86"/>
      <c r="K38" s="86"/>
      <c r="L38" s="86"/>
      <c r="M38" s="86"/>
      <c r="N38" s="86"/>
      <c r="O38" s="86"/>
      <c r="P38" s="86"/>
    </row>
    <row r="39" spans="1:16" ht="14.25" customHeight="1">
      <c r="A39" s="86"/>
      <c r="B39" s="86"/>
      <c r="C39" s="86"/>
      <c r="D39" s="86"/>
      <c r="E39" s="108"/>
      <c r="F39" s="130"/>
      <c r="G39" s="86"/>
      <c r="H39" s="86"/>
      <c r="I39" s="86"/>
      <c r="J39" s="86"/>
      <c r="K39" s="86"/>
      <c r="L39" s="86"/>
      <c r="M39" s="86"/>
      <c r="N39" s="86"/>
      <c r="O39" s="86"/>
      <c r="P39" s="86"/>
    </row>
    <row r="40" spans="1:16" ht="14.25" customHeight="1">
      <c r="A40" s="86"/>
      <c r="B40" s="868"/>
      <c r="C40" s="868"/>
      <c r="D40" s="868"/>
      <c r="E40" s="868"/>
      <c r="F40" s="261"/>
      <c r="G40" s="86"/>
      <c r="H40" s="86"/>
      <c r="I40" s="86"/>
      <c r="J40" s="143"/>
      <c r="K40" s="86"/>
      <c r="L40" s="86"/>
      <c r="M40" s="86"/>
      <c r="N40" s="86"/>
      <c r="O40" s="86"/>
      <c r="P40" s="86"/>
    </row>
    <row r="41" spans="1:16" ht="14.25" customHeight="1">
      <c r="A41" s="86"/>
      <c r="B41" s="86"/>
      <c r="C41" s="86"/>
      <c r="D41" s="86"/>
      <c r="E41" s="108"/>
      <c r="F41" s="86"/>
      <c r="G41" s="86"/>
      <c r="H41" s="86"/>
      <c r="I41" s="86"/>
      <c r="J41" s="122"/>
      <c r="K41" s="86"/>
      <c r="L41" s="86"/>
      <c r="M41" s="86"/>
      <c r="N41" s="86"/>
      <c r="O41" s="86"/>
      <c r="P41" s="86"/>
    </row>
    <row r="42" spans="1:16" ht="29.25" customHeight="1">
      <c r="A42" s="86"/>
      <c r="B42" s="86"/>
      <c r="C42" s="86"/>
      <c r="D42" s="86"/>
      <c r="E42" s="108"/>
      <c r="F42" s="262"/>
      <c r="G42" s="86"/>
      <c r="H42" s="86"/>
      <c r="I42" s="86"/>
      <c r="J42" s="254"/>
      <c r="K42" s="86"/>
      <c r="L42" s="86"/>
      <c r="M42" s="86"/>
      <c r="N42" s="86"/>
      <c r="O42" s="86"/>
      <c r="P42" s="86"/>
    </row>
    <row r="43" spans="1:16" ht="14.25" customHeight="1">
      <c r="A43" s="86"/>
      <c r="B43" s="86"/>
      <c r="C43" s="86"/>
      <c r="D43" s="86"/>
      <c r="E43" s="108"/>
      <c r="F43" s="86"/>
      <c r="G43" s="86"/>
      <c r="H43" s="86"/>
      <c r="I43" s="86"/>
      <c r="J43" s="253"/>
      <c r="K43" s="86"/>
      <c r="L43" s="86"/>
      <c r="M43" s="86"/>
      <c r="N43" s="86"/>
      <c r="O43" s="86"/>
      <c r="P43" s="86"/>
    </row>
    <row r="44" spans="1:16" ht="14.25" customHeight="1">
      <c r="A44" s="86"/>
      <c r="B44" s="86"/>
      <c r="C44" s="86"/>
      <c r="D44" s="86"/>
      <c r="E44" s="108"/>
      <c r="F44" s="263"/>
      <c r="G44" s="86"/>
      <c r="H44" s="86"/>
      <c r="I44" s="86"/>
      <c r="J44" s="122"/>
      <c r="K44" s="86"/>
      <c r="L44" s="86"/>
      <c r="M44" s="86"/>
      <c r="N44" s="86"/>
      <c r="O44" s="86"/>
      <c r="P44" s="86"/>
    </row>
    <row r="45" spans="1:16" ht="14.25" customHeight="1">
      <c r="A45" s="86"/>
      <c r="B45" s="86"/>
      <c r="C45" s="86"/>
      <c r="D45" s="86"/>
      <c r="E45" s="108"/>
      <c r="F45" s="86"/>
      <c r="G45" s="86"/>
      <c r="H45" s="86"/>
      <c r="I45" s="86"/>
      <c r="J45" s="122"/>
      <c r="K45" s="86"/>
      <c r="L45" s="86"/>
      <c r="M45" s="86"/>
      <c r="N45" s="86"/>
      <c r="O45" s="86"/>
      <c r="P45" s="86"/>
    </row>
    <row r="46" spans="1:16" ht="14.25" customHeight="1">
      <c r="A46" s="86"/>
      <c r="B46" s="86"/>
      <c r="C46" s="86"/>
      <c r="D46" s="86"/>
      <c r="E46" s="108"/>
      <c r="F46" s="86"/>
      <c r="G46" s="86"/>
      <c r="H46" s="86"/>
      <c r="I46" s="86"/>
      <c r="J46" s="122"/>
      <c r="K46" s="86"/>
      <c r="L46" s="86"/>
      <c r="M46" s="86"/>
      <c r="N46" s="86"/>
      <c r="O46" s="86"/>
      <c r="P46" s="86"/>
    </row>
    <row r="47" spans="1:16" ht="14.25" customHeight="1">
      <c r="A47" s="86"/>
      <c r="B47" s="108"/>
      <c r="C47" s="86"/>
      <c r="D47" s="86"/>
      <c r="E47" s="108"/>
      <c r="F47" s="143"/>
      <c r="G47" s="86"/>
      <c r="H47" s="86"/>
      <c r="I47" s="86"/>
      <c r="J47" s="86"/>
      <c r="K47" s="86"/>
      <c r="L47" s="86"/>
      <c r="M47" s="86"/>
      <c r="N47" s="86"/>
      <c r="O47" s="86"/>
      <c r="P47" s="86"/>
    </row>
    <row r="48" spans="1:16" ht="14.25" customHeight="1">
      <c r="A48" s="86"/>
      <c r="B48" s="264"/>
      <c r="C48" s="86"/>
      <c r="D48" s="86"/>
      <c r="E48" s="108"/>
      <c r="F48" s="130"/>
      <c r="G48" s="86"/>
      <c r="H48" s="86"/>
      <c r="I48" s="86"/>
      <c r="J48" s="122"/>
      <c r="K48" s="86"/>
      <c r="L48" s="86"/>
      <c r="M48" s="86"/>
      <c r="N48" s="86"/>
      <c r="O48" s="86"/>
      <c r="P48" s="86"/>
    </row>
    <row r="49" spans="1:16" ht="14.25" customHeight="1">
      <c r="A49" s="86"/>
      <c r="B49" s="86"/>
      <c r="C49" s="86"/>
      <c r="D49" s="86"/>
      <c r="E49" s="108"/>
      <c r="F49" s="86"/>
      <c r="G49" s="86"/>
      <c r="H49" s="86"/>
      <c r="I49" s="86"/>
      <c r="J49" s="86"/>
      <c r="K49" s="86"/>
      <c r="L49" s="86"/>
      <c r="M49" s="86"/>
      <c r="N49" s="86"/>
      <c r="O49" s="86"/>
      <c r="P49" s="86"/>
    </row>
    <row r="50" spans="1:16" ht="14.25" customHeight="1">
      <c r="A50" s="86"/>
      <c r="B50" s="86"/>
      <c r="C50" s="86"/>
      <c r="D50" s="86"/>
      <c r="E50" s="108"/>
      <c r="F50" s="128"/>
      <c r="G50" s="86"/>
      <c r="H50" s="86"/>
      <c r="I50" s="86"/>
      <c r="J50" s="262"/>
      <c r="K50" s="86"/>
      <c r="L50" s="86"/>
      <c r="M50" s="86"/>
      <c r="N50" s="86"/>
      <c r="O50" s="86"/>
      <c r="P50" s="86"/>
    </row>
    <row r="51" spans="1:16" ht="14.25" customHeight="1">
      <c r="A51" s="86"/>
      <c r="B51" s="86"/>
      <c r="C51" s="86"/>
      <c r="D51" s="86"/>
      <c r="E51" s="108"/>
      <c r="F51" s="86"/>
      <c r="G51" s="86"/>
      <c r="H51" s="86"/>
      <c r="I51" s="86"/>
      <c r="J51" s="86"/>
      <c r="K51" s="86"/>
      <c r="L51" s="86"/>
      <c r="M51" s="86"/>
      <c r="N51" s="86"/>
      <c r="O51" s="86"/>
      <c r="P51" s="86"/>
    </row>
    <row r="52" spans="1:16" ht="14.25" customHeight="1">
      <c r="A52" s="86"/>
      <c r="B52" s="264"/>
      <c r="C52" s="86"/>
      <c r="D52" s="86"/>
      <c r="E52" s="108"/>
      <c r="F52" s="128"/>
      <c r="G52" s="86"/>
      <c r="H52" s="86"/>
      <c r="I52" s="86"/>
      <c r="J52" s="122"/>
      <c r="K52" s="86"/>
      <c r="L52" s="86"/>
      <c r="M52" s="86"/>
      <c r="N52" s="86"/>
      <c r="O52" s="86"/>
      <c r="P52" s="86"/>
    </row>
    <row r="53" spans="1:16" ht="14.25" customHeight="1">
      <c r="A53" s="86"/>
      <c r="B53" s="264"/>
      <c r="C53" s="86"/>
      <c r="D53" s="86"/>
      <c r="E53" s="108"/>
      <c r="F53" s="86"/>
      <c r="G53" s="86"/>
      <c r="H53" s="86"/>
      <c r="I53" s="86"/>
      <c r="J53" s="86"/>
      <c r="K53" s="86"/>
      <c r="L53" s="86"/>
      <c r="M53" s="86"/>
      <c r="N53" s="86"/>
      <c r="O53" s="86"/>
      <c r="P53" s="86"/>
    </row>
    <row r="54" spans="1:16" ht="14.25" customHeight="1">
      <c r="A54" s="86"/>
      <c r="B54" s="86"/>
      <c r="C54" s="86"/>
      <c r="D54" s="86"/>
      <c r="E54" s="108"/>
      <c r="F54" s="86"/>
      <c r="G54" s="86"/>
      <c r="H54" s="86"/>
      <c r="I54" s="86"/>
      <c r="J54" s="122"/>
      <c r="K54" s="86"/>
      <c r="L54" s="86"/>
      <c r="M54" s="86"/>
      <c r="N54" s="86"/>
      <c r="O54" s="86"/>
      <c r="P54" s="86"/>
    </row>
    <row r="55" spans="1:16" ht="14.25" customHeight="1">
      <c r="A55" s="86"/>
      <c r="B55" s="264"/>
      <c r="C55" s="86"/>
      <c r="D55" s="86"/>
      <c r="E55" s="108"/>
      <c r="F55" s="265"/>
      <c r="G55" s="86"/>
      <c r="H55" s="86"/>
      <c r="I55" s="86"/>
      <c r="J55" s="86"/>
      <c r="K55" s="86"/>
      <c r="L55" s="86"/>
      <c r="M55" s="86"/>
      <c r="N55" s="86"/>
      <c r="O55" s="86"/>
      <c r="P55" s="86"/>
    </row>
    <row r="56" spans="1:16" ht="14.25" customHeight="1">
      <c r="A56" s="86"/>
      <c r="B56" s="86"/>
      <c r="C56" s="86"/>
      <c r="D56" s="86"/>
      <c r="E56" s="108"/>
      <c r="F56" s="86"/>
      <c r="G56" s="86"/>
      <c r="H56" s="86"/>
      <c r="I56" s="86"/>
      <c r="J56" s="254"/>
      <c r="K56" s="86"/>
      <c r="L56" s="86"/>
      <c r="M56" s="86"/>
      <c r="N56" s="86"/>
      <c r="O56" s="86"/>
      <c r="P56" s="86"/>
    </row>
    <row r="57" spans="1:16" ht="14.25" customHeight="1">
      <c r="A57" s="86"/>
      <c r="B57" s="86"/>
      <c r="C57" s="86"/>
      <c r="D57" s="86"/>
      <c r="E57" s="108"/>
      <c r="F57" s="86"/>
      <c r="G57" s="86"/>
      <c r="H57" s="86"/>
      <c r="I57" s="86"/>
      <c r="J57" s="86"/>
      <c r="K57" s="86"/>
      <c r="L57" s="86"/>
      <c r="M57" s="86"/>
      <c r="N57" s="86"/>
      <c r="O57" s="86"/>
      <c r="P57" s="86"/>
    </row>
    <row r="58" spans="1:16" ht="14.25" customHeight="1">
      <c r="A58" s="86"/>
      <c r="B58" s="86"/>
      <c r="C58" s="86"/>
      <c r="D58" s="86"/>
      <c r="E58" s="108"/>
      <c r="F58" s="86"/>
      <c r="G58" s="86"/>
      <c r="H58" s="86"/>
      <c r="I58" s="86"/>
      <c r="J58" s="86"/>
      <c r="K58" s="86"/>
      <c r="L58" s="86"/>
      <c r="M58" s="86"/>
      <c r="N58" s="86"/>
      <c r="O58" s="86"/>
      <c r="P58" s="86"/>
    </row>
    <row r="59" spans="1:16" ht="14.25" customHeight="1">
      <c r="A59" s="86"/>
      <c r="B59" s="86"/>
      <c r="C59" s="86"/>
      <c r="D59" s="86"/>
      <c r="E59" s="108"/>
      <c r="F59" s="86"/>
      <c r="G59" s="86"/>
      <c r="H59" s="264"/>
      <c r="I59" s="86"/>
      <c r="J59" s="86"/>
      <c r="K59" s="86"/>
      <c r="L59" s="86"/>
      <c r="M59" s="86"/>
      <c r="N59" s="86"/>
      <c r="O59" s="86"/>
      <c r="P59" s="86"/>
    </row>
    <row r="60" spans="1:16" ht="14.25" customHeight="1">
      <c r="A60" s="86"/>
      <c r="B60" s="86"/>
      <c r="C60" s="86"/>
      <c r="D60" s="86"/>
      <c r="E60" s="108"/>
      <c r="F60" s="86"/>
      <c r="G60" s="86"/>
      <c r="H60" s="264"/>
      <c r="I60" s="86"/>
      <c r="J60" s="86"/>
      <c r="K60" s="86"/>
      <c r="L60" s="86"/>
      <c r="M60" s="86"/>
      <c r="N60" s="86"/>
      <c r="O60" s="86"/>
      <c r="P60" s="86"/>
    </row>
    <row r="61" spans="1:16" ht="14.25" customHeight="1">
      <c r="A61" s="86"/>
      <c r="B61" s="86"/>
      <c r="C61" s="86"/>
      <c r="D61" s="86"/>
      <c r="E61" s="108"/>
      <c r="F61" s="86"/>
      <c r="G61" s="86"/>
      <c r="H61" s="264"/>
      <c r="I61" s="86"/>
      <c r="J61" s="86"/>
      <c r="K61" s="86"/>
      <c r="L61" s="86"/>
      <c r="M61" s="86"/>
      <c r="N61" s="86"/>
      <c r="O61" s="86"/>
      <c r="P61" s="86"/>
    </row>
    <row r="62" spans="1:16" ht="14.25" customHeight="1">
      <c r="A62" s="86"/>
      <c r="B62" s="86"/>
      <c r="C62" s="86"/>
      <c r="D62" s="86"/>
      <c r="E62" s="108"/>
      <c r="F62" s="86"/>
      <c r="G62" s="86"/>
      <c r="H62" s="264"/>
      <c r="I62" s="86"/>
      <c r="J62" s="86"/>
      <c r="K62" s="86"/>
      <c r="L62" s="86"/>
      <c r="M62" s="86"/>
      <c r="N62" s="86"/>
      <c r="O62" s="86"/>
      <c r="P62" s="86"/>
    </row>
    <row r="63" spans="1:16" ht="14.25" customHeight="1">
      <c r="A63" s="86"/>
      <c r="B63" s="86"/>
      <c r="C63" s="86"/>
      <c r="D63" s="86"/>
      <c r="E63" s="108"/>
      <c r="F63" s="86"/>
      <c r="G63" s="86"/>
      <c r="H63" s="264"/>
      <c r="I63" s="86"/>
      <c r="J63" s="86"/>
      <c r="K63" s="86"/>
      <c r="L63" s="86"/>
      <c r="M63" s="86"/>
      <c r="N63" s="86"/>
      <c r="O63" s="86"/>
      <c r="P63" s="86"/>
    </row>
    <row r="64" spans="1:16" ht="14.25" customHeight="1">
      <c r="A64" s="86"/>
      <c r="B64" s="86"/>
      <c r="C64" s="86"/>
      <c r="D64" s="86"/>
      <c r="E64" s="108"/>
      <c r="F64" s="86"/>
      <c r="G64" s="86"/>
      <c r="H64" s="264"/>
      <c r="I64" s="86"/>
      <c r="J64" s="86"/>
      <c r="K64" s="86"/>
      <c r="L64" s="86"/>
      <c r="M64" s="86"/>
      <c r="N64" s="86"/>
      <c r="O64" s="86"/>
      <c r="P64" s="86"/>
    </row>
    <row r="65" spans="1:16" ht="14.25" customHeight="1">
      <c r="A65" s="86"/>
      <c r="B65" s="86"/>
      <c r="C65" s="86"/>
      <c r="D65" s="86"/>
      <c r="E65" s="108"/>
      <c r="F65" s="86"/>
      <c r="G65" s="86"/>
      <c r="H65" s="264"/>
      <c r="I65" s="86"/>
      <c r="J65" s="86"/>
      <c r="K65" s="86"/>
      <c r="L65" s="86"/>
      <c r="M65" s="86"/>
      <c r="N65" s="86"/>
      <c r="O65" s="86"/>
      <c r="P65" s="86"/>
    </row>
    <row r="66" spans="1:16" ht="14.25" customHeight="1">
      <c r="A66" s="86"/>
      <c r="B66" s="86"/>
      <c r="C66" s="86"/>
      <c r="D66" s="86"/>
      <c r="E66" s="108"/>
      <c r="F66" s="86"/>
      <c r="G66" s="86"/>
      <c r="H66" s="264"/>
      <c r="I66" s="86"/>
      <c r="J66" s="86"/>
      <c r="K66" s="86"/>
      <c r="L66" s="86"/>
      <c r="M66" s="86"/>
      <c r="N66" s="86"/>
      <c r="O66" s="86"/>
      <c r="P66" s="86"/>
    </row>
    <row r="67" spans="1:16" ht="14.25" customHeight="1">
      <c r="A67" s="86"/>
      <c r="B67" s="86"/>
      <c r="C67" s="86"/>
      <c r="D67" s="86"/>
      <c r="E67" s="108"/>
      <c r="F67" s="86"/>
      <c r="G67" s="86"/>
      <c r="H67" s="264"/>
      <c r="I67" s="86"/>
      <c r="J67" s="86"/>
      <c r="K67" s="86"/>
      <c r="L67" s="86"/>
      <c r="M67" s="86"/>
      <c r="N67" s="86"/>
      <c r="O67" s="86"/>
      <c r="P67" s="86"/>
    </row>
    <row r="68" spans="1:16" ht="14.25" customHeight="1">
      <c r="A68" s="86"/>
      <c r="B68" s="86"/>
      <c r="C68" s="86"/>
      <c r="D68" s="86"/>
      <c r="E68" s="108"/>
      <c r="F68" s="86"/>
      <c r="G68" s="86"/>
      <c r="H68" s="264"/>
      <c r="I68" s="86"/>
      <c r="J68" s="86"/>
      <c r="K68" s="86"/>
      <c r="L68" s="86"/>
      <c r="M68" s="86"/>
      <c r="N68" s="86"/>
      <c r="O68" s="86"/>
      <c r="P68" s="86"/>
    </row>
    <row r="69" spans="1:16" ht="14.25" customHeight="1">
      <c r="A69" s="86"/>
      <c r="B69" s="86"/>
      <c r="C69" s="86"/>
      <c r="D69" s="86"/>
      <c r="E69" s="108"/>
      <c r="F69" s="86"/>
      <c r="G69" s="86"/>
      <c r="H69" s="86"/>
      <c r="I69" s="86"/>
      <c r="J69" s="86"/>
      <c r="K69" s="86"/>
      <c r="L69" s="86"/>
      <c r="M69" s="86"/>
      <c r="N69" s="86"/>
      <c r="O69" s="86"/>
      <c r="P69" s="86"/>
    </row>
    <row r="70" spans="1:16" ht="14.25" customHeight="1">
      <c r="A70" s="86"/>
      <c r="B70" s="86"/>
      <c r="C70" s="86"/>
      <c r="D70" s="86"/>
      <c r="E70" s="108"/>
      <c r="F70" s="86"/>
      <c r="G70" s="86"/>
      <c r="H70" s="86"/>
      <c r="I70" s="86"/>
      <c r="J70" s="86"/>
      <c r="K70" s="86"/>
      <c r="L70" s="86"/>
      <c r="M70" s="86"/>
      <c r="N70" s="86"/>
      <c r="O70" s="86"/>
      <c r="P70" s="86"/>
    </row>
    <row r="71" spans="1:16" ht="14.25" customHeight="1">
      <c r="G71" s="86"/>
      <c r="H71" s="86"/>
      <c r="I71" s="86"/>
      <c r="J71" s="86"/>
      <c r="K71" s="86"/>
      <c r="L71" s="86"/>
      <c r="M71" s="86"/>
      <c r="N71" s="86"/>
      <c r="O71" s="86"/>
      <c r="P71" s="86"/>
    </row>
    <row r="72" spans="1:16" ht="14.25" customHeight="1">
      <c r="G72" s="86"/>
      <c r="H72" s="86"/>
      <c r="I72" s="86"/>
      <c r="J72" s="86"/>
      <c r="K72" s="86"/>
      <c r="L72" s="86"/>
      <c r="M72" s="86"/>
      <c r="N72" s="86"/>
      <c r="O72" s="86"/>
      <c r="P72" s="86"/>
    </row>
  </sheetData>
  <mergeCells count="5">
    <mergeCell ref="B40:E40"/>
    <mergeCell ref="A1:F1"/>
    <mergeCell ref="A2:F2"/>
    <mergeCell ref="A3:F3"/>
    <mergeCell ref="A4:F4"/>
  </mergeCells>
  <pageMargins left="1" right="0.51" top="1.25" bottom="0.5" header="0.5" footer="0.5"/>
  <pageSetup scale="27" firstPageNumber="4" orientation="portrait" r:id="rId1"/>
  <headerFooter scaleWithDoc="0" alignWithMargins="0">
    <oddHeader>&amp;LK-Factor Study
(Electric)
&amp;RExh. EMA-4</oddHeader>
    <oddFooter>&amp;RPage &amp;P of 19</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L147"/>
  <sheetViews>
    <sheetView view="pageBreakPreview" topLeftCell="A10" zoomScaleNormal="100" zoomScaleSheetLayoutView="100" workbookViewId="0">
      <selection activeCell="E39" sqref="E39"/>
    </sheetView>
  </sheetViews>
  <sheetFormatPr defaultColWidth="10.7109375" defaultRowHeight="12.75"/>
  <cols>
    <col min="1" max="1" width="8.28515625" style="224" customWidth="1"/>
    <col min="2" max="2" width="18.7109375" style="41" customWidth="1"/>
    <col min="3" max="4" width="10.7109375" style="19" customWidth="1"/>
    <col min="5" max="5" width="10.140625" style="19" customWidth="1"/>
    <col min="6" max="6" width="14.7109375" style="22" customWidth="1"/>
    <col min="7" max="7" width="11.85546875" style="19" bestFit="1" customWidth="1"/>
    <col min="8" max="8" width="2.140625" style="19" customWidth="1"/>
    <col min="9" max="9" width="18.42578125" style="19" customWidth="1"/>
    <col min="10" max="10" width="19.140625" style="19" customWidth="1"/>
    <col min="11" max="11" width="10.85546875" style="19" bestFit="1" customWidth="1"/>
    <col min="12" max="16384" width="10.7109375" style="19"/>
  </cols>
  <sheetData>
    <row r="1" spans="1:9">
      <c r="A1" s="881" t="s">
        <v>90</v>
      </c>
      <c r="B1" s="881"/>
      <c r="C1" s="881"/>
      <c r="D1" s="881"/>
      <c r="E1" s="881"/>
      <c r="F1" s="881"/>
      <c r="G1" s="881"/>
      <c r="H1" s="881"/>
    </row>
    <row r="2" spans="1:9">
      <c r="A2" s="882" t="s">
        <v>518</v>
      </c>
      <c r="B2" s="882"/>
      <c r="C2" s="882"/>
      <c r="D2" s="882"/>
      <c r="E2" s="882"/>
      <c r="F2" s="882"/>
      <c r="G2" s="882"/>
      <c r="H2" s="882"/>
    </row>
    <row r="3" spans="1:9">
      <c r="A3" s="882" t="s">
        <v>133</v>
      </c>
      <c r="B3" s="882"/>
      <c r="C3" s="882"/>
      <c r="D3" s="882"/>
      <c r="E3" s="882"/>
      <c r="F3" s="882"/>
      <c r="G3" s="882"/>
      <c r="H3" s="882"/>
    </row>
    <row r="4" spans="1:9">
      <c r="A4" s="883" t="str">
        <f>'ADJ SUMMARY'!A4</f>
        <v>TWELVE MONTHS ENDED DECEMBER 31, 2016</v>
      </c>
      <c r="B4" s="883"/>
      <c r="C4" s="883"/>
      <c r="D4" s="883"/>
      <c r="E4" s="883"/>
      <c r="F4" s="883"/>
      <c r="G4" s="883"/>
      <c r="H4" s="883"/>
    </row>
    <row r="5" spans="1:9">
      <c r="A5" s="884" t="s">
        <v>112</v>
      </c>
      <c r="B5" s="884"/>
      <c r="C5" s="884"/>
      <c r="D5" s="884"/>
      <c r="E5" s="884"/>
      <c r="F5" s="884"/>
      <c r="G5" s="884"/>
      <c r="H5" s="884"/>
    </row>
    <row r="6" spans="1:9" ht="13.5" thickBot="1">
      <c r="A6" s="223"/>
      <c r="B6" s="230"/>
      <c r="C6" s="20"/>
      <c r="D6" s="21"/>
      <c r="E6" s="21"/>
      <c r="F6" s="21"/>
      <c r="I6" s="23" t="s">
        <v>519</v>
      </c>
    </row>
    <row r="7" spans="1:9" ht="13.5" thickBot="1">
      <c r="C7" s="22"/>
      <c r="D7" s="22"/>
      <c r="E7" s="878" t="s">
        <v>518</v>
      </c>
      <c r="F7" s="879"/>
      <c r="G7" s="880"/>
      <c r="I7" s="23" t="s">
        <v>520</v>
      </c>
    </row>
    <row r="8" spans="1:9">
      <c r="C8" s="22"/>
      <c r="D8" s="22"/>
      <c r="E8" s="224">
        <f>'ADJ DETAIL-INPUT-Restate'!Y10</f>
        <v>2.1699999999999964</v>
      </c>
      <c r="F8" s="246"/>
      <c r="G8" s="246"/>
      <c r="I8" s="23"/>
    </row>
    <row r="9" spans="1:9">
      <c r="C9" s="22"/>
      <c r="D9" s="22"/>
      <c r="E9" s="24" t="s">
        <v>22</v>
      </c>
      <c r="F9" s="23" t="s">
        <v>546</v>
      </c>
      <c r="I9" s="23" t="s">
        <v>521</v>
      </c>
    </row>
    <row r="10" spans="1:9">
      <c r="B10" s="231" t="s">
        <v>113</v>
      </c>
      <c r="C10" s="22"/>
      <c r="D10" s="22"/>
      <c r="E10" s="235" t="s">
        <v>222</v>
      </c>
      <c r="F10" s="25" t="s">
        <v>114</v>
      </c>
      <c r="G10" s="25" t="s">
        <v>30</v>
      </c>
      <c r="I10" s="25" t="str">
        <f>F10</f>
        <v>Adjustments</v>
      </c>
    </row>
    <row r="11" spans="1:9">
      <c r="A11" s="224">
        <v>1</v>
      </c>
      <c r="B11" s="41" t="str">
        <f>'ADJ SUMMARY'!C10</f>
        <v>Results of Operations</v>
      </c>
      <c r="C11" s="22"/>
      <c r="D11" s="22"/>
      <c r="E11" s="234">
        <f>'ADJ SUMMARY'!E10</f>
        <v>1444926</v>
      </c>
      <c r="F11" s="221"/>
      <c r="G11" s="19">
        <f>SUM(E11:F11)</f>
        <v>1444926</v>
      </c>
      <c r="I11" s="247">
        <f>ROUND(E11*$E$38*-$F$45,0)+(E42*0.35)</f>
        <v>-455.30000000000109</v>
      </c>
    </row>
    <row r="12" spans="1:9">
      <c r="A12" s="224">
        <f>'ADJ SUMMARY'!A11</f>
        <v>1.01</v>
      </c>
      <c r="B12" s="232" t="str">
        <f>'ADJ SUMMARY'!C11</f>
        <v>Deferred FIT Rate Base</v>
      </c>
      <c r="C12" s="22"/>
      <c r="D12" s="22"/>
      <c r="E12" s="26"/>
      <c r="F12" s="234">
        <f>'ADJ SUMMARY'!E11</f>
        <v>806</v>
      </c>
      <c r="G12" s="19">
        <f>SUM(E12:F12)</f>
        <v>806</v>
      </c>
      <c r="I12" s="234">
        <f>ROUND(F12*$E$38*-$F$45,0)</f>
        <v>-8</v>
      </c>
    </row>
    <row r="13" spans="1:9">
      <c r="A13" s="224">
        <f>'ADJ SUMMARY'!A12</f>
        <v>1.02</v>
      </c>
      <c r="B13" s="232" t="str">
        <f>'ADJ SUMMARY'!C12</f>
        <v>Deferred Debits and Credits</v>
      </c>
      <c r="C13" s="22"/>
      <c r="D13" s="22"/>
      <c r="E13" s="26"/>
      <c r="F13" s="234">
        <f>'ADJ SUMMARY'!E12</f>
        <v>0</v>
      </c>
      <c r="G13" s="234">
        <f t="shared" ref="G13:G16" si="0">SUM(E13:F13)</f>
        <v>0</v>
      </c>
      <c r="I13" s="234">
        <f>ROUND(F13*$E$38*-$F$45,0)</f>
        <v>0</v>
      </c>
    </row>
    <row r="14" spans="1:9">
      <c r="A14" s="224">
        <f>'ADJ SUMMARY'!A13</f>
        <v>1.03</v>
      </c>
      <c r="B14" s="232" t="str">
        <f>'ADJ SUMMARY'!C13</f>
        <v>Working Capital</v>
      </c>
      <c r="C14" s="22"/>
      <c r="D14" s="22"/>
      <c r="E14" s="26"/>
      <c r="F14" s="234">
        <f>'ADJ SUMMARY'!E13</f>
        <v>-3006</v>
      </c>
      <c r="G14" s="19">
        <f t="shared" si="0"/>
        <v>-3006</v>
      </c>
      <c r="I14" s="234">
        <f>ROUND(F14*$E$38*-$F$45,0)</f>
        <v>30</v>
      </c>
    </row>
    <row r="15" spans="1:9">
      <c r="B15" s="232"/>
      <c r="C15" s="22"/>
      <c r="D15" s="22"/>
      <c r="E15" s="26"/>
      <c r="F15" s="234"/>
      <c r="I15" s="234"/>
    </row>
    <row r="16" spans="1:9">
      <c r="A16" s="224">
        <f>'ADJ SUMMARY'!A14</f>
        <v>2.0099999999999998</v>
      </c>
      <c r="B16" s="232" t="str">
        <f>'ADJ SUMMARY'!C14</f>
        <v>Eliminate B &amp; O Taxes</v>
      </c>
      <c r="C16" s="22"/>
      <c r="D16" s="22"/>
      <c r="E16" s="26"/>
      <c r="F16" s="234">
        <f>'ADJ SUMMARY'!E14</f>
        <v>0</v>
      </c>
      <c r="G16" s="19">
        <f t="shared" si="0"/>
        <v>0</v>
      </c>
      <c r="I16" s="234">
        <f t="shared" ref="I16:I34" si="1">ROUND(F16*$E$38*-$F$45,0)</f>
        <v>0</v>
      </c>
    </row>
    <row r="17" spans="1:9">
      <c r="A17" s="224">
        <f>'ADJ SUMMARY'!A15</f>
        <v>2.0199999999999996</v>
      </c>
      <c r="B17" s="232" t="str">
        <f>'ADJ SUMMARY'!C15</f>
        <v>Restate Property Tax</v>
      </c>
      <c r="C17" s="22"/>
      <c r="D17" s="22"/>
      <c r="E17" s="26"/>
      <c r="F17" s="234">
        <f>'ADJ SUMMARY'!E15</f>
        <v>0</v>
      </c>
      <c r="G17" s="19">
        <f t="shared" ref="G17:G31" si="2">SUM(E17:F17)</f>
        <v>0</v>
      </c>
      <c r="I17" s="234">
        <f t="shared" si="1"/>
        <v>0</v>
      </c>
    </row>
    <row r="18" spans="1:9">
      <c r="A18" s="224">
        <f>'ADJ SUMMARY'!A16</f>
        <v>2.0299999999999994</v>
      </c>
      <c r="B18" s="232" t="str">
        <f>'ADJ SUMMARY'!C16</f>
        <v>Uncollect. Expense</v>
      </c>
      <c r="C18" s="22"/>
      <c r="D18" s="22"/>
      <c r="E18" s="26"/>
      <c r="F18" s="234">
        <f>'ADJ SUMMARY'!E16</f>
        <v>0</v>
      </c>
      <c r="G18" s="19">
        <f t="shared" si="2"/>
        <v>0</v>
      </c>
      <c r="I18" s="234">
        <f t="shared" si="1"/>
        <v>0</v>
      </c>
    </row>
    <row r="19" spans="1:9">
      <c r="A19" s="224">
        <f>'ADJ SUMMARY'!A17</f>
        <v>2.0399999999999991</v>
      </c>
      <c r="B19" s="232" t="str">
        <f>'ADJ SUMMARY'!C17</f>
        <v>Regulatory Expense</v>
      </c>
      <c r="C19" s="22"/>
      <c r="D19" s="22"/>
      <c r="E19" s="26"/>
      <c r="F19" s="234">
        <f>'ADJ SUMMARY'!E17</f>
        <v>0</v>
      </c>
      <c r="G19" s="19">
        <f t="shared" si="2"/>
        <v>0</v>
      </c>
      <c r="I19" s="234">
        <f t="shared" si="1"/>
        <v>0</v>
      </c>
    </row>
    <row r="20" spans="1:9">
      <c r="A20" s="224">
        <f>'ADJ SUMMARY'!A18</f>
        <v>2.0499999999999989</v>
      </c>
      <c r="B20" s="232" t="str">
        <f>'ADJ SUMMARY'!C18</f>
        <v>Injuries and Damages</v>
      </c>
      <c r="C20" s="22"/>
      <c r="D20" s="22"/>
      <c r="E20" s="26"/>
      <c r="F20" s="234">
        <f>'ADJ SUMMARY'!E18</f>
        <v>0</v>
      </c>
      <c r="G20" s="19">
        <f t="shared" si="2"/>
        <v>0</v>
      </c>
      <c r="I20" s="234">
        <f t="shared" si="1"/>
        <v>0</v>
      </c>
    </row>
    <row r="21" spans="1:9">
      <c r="A21" s="224">
        <f>'ADJ SUMMARY'!A19</f>
        <v>2.0599999999999987</v>
      </c>
      <c r="B21" s="232" t="str">
        <f>'ADJ SUMMARY'!C19</f>
        <v>FIT/DFIT/ ITC Expense</v>
      </c>
      <c r="C21" s="22"/>
      <c r="D21" s="22"/>
      <c r="E21" s="26"/>
      <c r="F21" s="234">
        <f>'ADJ SUMMARY'!E19</f>
        <v>0</v>
      </c>
      <c r="G21" s="19">
        <f t="shared" si="2"/>
        <v>0</v>
      </c>
      <c r="I21" s="234">
        <f t="shared" si="1"/>
        <v>0</v>
      </c>
    </row>
    <row r="22" spans="1:9">
      <c r="A22" s="224">
        <f>'ADJ SUMMARY'!A20</f>
        <v>2.0699999999999985</v>
      </c>
      <c r="B22" s="232" t="str">
        <f>'ADJ SUMMARY'!C20</f>
        <v>Office Space Charges to Non-Utility</v>
      </c>
      <c r="C22" s="22"/>
      <c r="D22" s="22"/>
      <c r="E22" s="26"/>
      <c r="F22" s="234">
        <f>'ADJ SUMMARY'!E20</f>
        <v>0</v>
      </c>
      <c r="G22" s="19">
        <f t="shared" si="2"/>
        <v>0</v>
      </c>
      <c r="I22" s="234">
        <f t="shared" si="1"/>
        <v>0</v>
      </c>
    </row>
    <row r="23" spans="1:9">
      <c r="A23" s="224">
        <f>'ADJ SUMMARY'!A21</f>
        <v>2.0799999999999983</v>
      </c>
      <c r="B23" s="232" t="str">
        <f>'ADJ SUMMARY'!C21</f>
        <v>Restate Excise Taxes</v>
      </c>
      <c r="C23" s="22"/>
      <c r="D23" s="22"/>
      <c r="E23" s="26"/>
      <c r="F23" s="234">
        <f>'ADJ SUMMARY'!E21</f>
        <v>0</v>
      </c>
      <c r="G23" s="19">
        <f t="shared" si="2"/>
        <v>0</v>
      </c>
      <c r="I23" s="234">
        <f t="shared" si="1"/>
        <v>0</v>
      </c>
    </row>
    <row r="24" spans="1:9">
      <c r="A24" s="224">
        <f>'ADJ SUMMARY'!A22</f>
        <v>2.0899999999999981</v>
      </c>
      <c r="B24" s="232" t="str">
        <f>'ADJ SUMMARY'!C22</f>
        <v>Net Gains / Losses</v>
      </c>
      <c r="C24" s="22"/>
      <c r="D24" s="22"/>
      <c r="E24" s="26"/>
      <c r="F24" s="234">
        <f>'ADJ SUMMARY'!E22</f>
        <v>0</v>
      </c>
      <c r="G24" s="19">
        <f t="shared" si="2"/>
        <v>0</v>
      </c>
      <c r="I24" s="234">
        <f t="shared" si="1"/>
        <v>0</v>
      </c>
    </row>
    <row r="25" spans="1:9">
      <c r="A25" s="224">
        <f>'ADJ SUMMARY'!A23</f>
        <v>2.0999999999999979</v>
      </c>
      <c r="B25" s="232" t="str">
        <f>'ADJ SUMMARY'!C23</f>
        <v>Weather Normalization</v>
      </c>
      <c r="C25" s="22"/>
      <c r="D25" s="22"/>
      <c r="E25" s="26"/>
      <c r="F25" s="234">
        <f>'ADJ SUMMARY'!E23</f>
        <v>0</v>
      </c>
      <c r="G25" s="19">
        <f t="shared" si="2"/>
        <v>0</v>
      </c>
      <c r="I25" s="234">
        <f t="shared" si="1"/>
        <v>0</v>
      </c>
    </row>
    <row r="26" spans="1:9">
      <c r="A26" s="224">
        <f>'ADJ SUMMARY'!A24</f>
        <v>2.1099999999999977</v>
      </c>
      <c r="B26" s="232" t="str">
        <f>'ADJ SUMMARY'!C24</f>
        <v>Eliminate Adder Schedules</v>
      </c>
      <c r="C26" s="22"/>
      <c r="D26" s="22"/>
      <c r="E26" s="26"/>
      <c r="F26" s="234">
        <f>'ADJ SUMMARY'!E24</f>
        <v>0</v>
      </c>
      <c r="G26" s="19">
        <f t="shared" si="2"/>
        <v>0</v>
      </c>
      <c r="I26" s="234">
        <f t="shared" si="1"/>
        <v>0</v>
      </c>
    </row>
    <row r="27" spans="1:9">
      <c r="A27" s="224">
        <f>'ADJ SUMMARY'!A25</f>
        <v>2.1199999999999974</v>
      </c>
      <c r="B27" s="232" t="str">
        <f>'ADJ SUMMARY'!C25</f>
        <v>Misc. Restating Non-Util / Non- Recurring Expenses</v>
      </c>
      <c r="C27" s="22"/>
      <c r="D27" s="22"/>
      <c r="E27" s="26"/>
      <c r="F27" s="234">
        <f>'ADJ SUMMARY'!E25</f>
        <v>0</v>
      </c>
      <c r="G27" s="19">
        <f t="shared" si="2"/>
        <v>0</v>
      </c>
      <c r="I27" s="234">
        <f t="shared" si="1"/>
        <v>0</v>
      </c>
    </row>
    <row r="28" spans="1:9">
      <c r="A28" s="224">
        <f>'ADJ SUMMARY'!A26</f>
        <v>2.1299999999999972</v>
      </c>
      <c r="B28" s="232" t="str">
        <f>'ADJ SUMMARY'!C26</f>
        <v>Eliminate WA Power Cost Defer</v>
      </c>
      <c r="C28" s="22"/>
      <c r="D28" s="22"/>
      <c r="E28" s="26"/>
      <c r="F28" s="234">
        <f>'ADJ SUMMARY'!E26</f>
        <v>0</v>
      </c>
      <c r="G28" s="19">
        <f t="shared" si="2"/>
        <v>0</v>
      </c>
      <c r="I28" s="234">
        <f t="shared" si="1"/>
        <v>0</v>
      </c>
    </row>
    <row r="29" spans="1:9">
      <c r="A29" s="224">
        <f>'ADJ SUMMARY'!A27</f>
        <v>2.139999999999997</v>
      </c>
      <c r="B29" s="232" t="str">
        <f>'ADJ SUMMARY'!C27</f>
        <v>Nez Perce Settlement Adjustment</v>
      </c>
      <c r="C29" s="22"/>
      <c r="D29" s="22"/>
      <c r="E29" s="26"/>
      <c r="F29" s="234">
        <f>'ADJ SUMMARY'!E27</f>
        <v>0</v>
      </c>
      <c r="G29" s="19">
        <f t="shared" si="2"/>
        <v>0</v>
      </c>
      <c r="I29" s="234">
        <f t="shared" si="1"/>
        <v>0</v>
      </c>
    </row>
    <row r="30" spans="1:9">
      <c r="A30" s="224">
        <f>'ADJ SUMMARY'!A29</f>
        <v>2.1599999999999966</v>
      </c>
      <c r="B30" s="232" t="str">
        <f>'ADJ SUMMARY'!C29</f>
        <v>Normalize CS2/Colstrip Major Maint</v>
      </c>
      <c r="C30" s="22"/>
      <c r="D30" s="22"/>
      <c r="E30" s="26"/>
      <c r="F30" s="234">
        <f>'ADJ SUMMARY'!E29</f>
        <v>0</v>
      </c>
      <c r="G30" s="19">
        <f>SUM(E30:F30)</f>
        <v>0</v>
      </c>
      <c r="I30" s="234">
        <f t="shared" si="1"/>
        <v>0</v>
      </c>
    </row>
    <row r="31" spans="1:9">
      <c r="A31" s="224">
        <f>'ADJ SUMMARY'!A30</f>
        <v>2.1699999999999964</v>
      </c>
      <c r="B31" s="232" t="str">
        <f>'ADJ SUMMARY'!C30</f>
        <v>Restate Debt Interest</v>
      </c>
      <c r="C31" s="22"/>
      <c r="D31" s="22"/>
      <c r="E31" s="26"/>
      <c r="F31" s="234">
        <f>'ADJ SUMMARY'!E30</f>
        <v>0</v>
      </c>
      <c r="G31" s="19">
        <f t="shared" si="2"/>
        <v>0</v>
      </c>
      <c r="I31" s="234">
        <f t="shared" si="1"/>
        <v>0</v>
      </c>
    </row>
    <row r="32" spans="1:9">
      <c r="A32" s="224">
        <f>'ADJ SUMMARY'!A31</f>
        <v>2.1799999999999962</v>
      </c>
      <c r="B32" s="232" t="str">
        <f>'ADJ SUMMARY'!C31</f>
        <v>Authorized Power Supply</v>
      </c>
      <c r="C32" s="22"/>
      <c r="D32" s="22"/>
      <c r="E32" s="26"/>
      <c r="F32" s="234">
        <f>'ADJ SUMMARY'!E31</f>
        <v>0</v>
      </c>
      <c r="G32" s="19">
        <f t="shared" ref="G32" si="3">SUM(E32:F32)</f>
        <v>0</v>
      </c>
      <c r="I32" s="234">
        <f t="shared" si="1"/>
        <v>0</v>
      </c>
    </row>
    <row r="33" spans="1:12">
      <c r="A33" s="224" t="str">
        <f>'ADJ SUMMARY'!A36</f>
        <v>Remove</v>
      </c>
      <c r="B33" s="232" t="str">
        <f>'ADJ SUMMARY'!C36</f>
        <v>Remove Authorized Power Supply</v>
      </c>
      <c r="C33" s="22"/>
      <c r="D33" s="22"/>
      <c r="E33" s="26"/>
      <c r="F33" s="234">
        <f>'ADJ SUMMARY'!E36</f>
        <v>0</v>
      </c>
      <c r="G33" s="19">
        <f t="shared" ref="G33" si="4">SUM(E33:F33)</f>
        <v>0</v>
      </c>
      <c r="I33" s="234">
        <f t="shared" si="1"/>
        <v>0</v>
      </c>
    </row>
    <row r="34" spans="1:12">
      <c r="A34" s="224" t="e">
        <f>'ADJ SUMMARY'!A39</f>
        <v>#REF!</v>
      </c>
      <c r="B34" s="232" t="e">
        <f>'ADJ SUMMARY'!C39</f>
        <v>#REF!</v>
      </c>
      <c r="C34" s="22"/>
      <c r="D34" s="22"/>
      <c r="E34" s="26"/>
      <c r="F34" s="234" t="e">
        <f>'ADJ SUMMARY'!E39</f>
        <v>#REF!</v>
      </c>
      <c r="G34" s="19" t="e">
        <f t="shared" ref="G34" si="5">SUM(E34:F34)</f>
        <v>#REF!</v>
      </c>
      <c r="I34" s="234" t="e">
        <f t="shared" si="1"/>
        <v>#REF!</v>
      </c>
    </row>
    <row r="35" spans="1:12" ht="5.25" customHeight="1">
      <c r="B35" s="232"/>
      <c r="C35" s="22"/>
      <c r="D35" s="392"/>
      <c r="E35" s="393"/>
      <c r="F35" s="394"/>
      <c r="G35" s="395"/>
      <c r="H35" s="396"/>
      <c r="I35" s="396"/>
    </row>
    <row r="36" spans="1:12">
      <c r="B36" s="232" t="s">
        <v>552</v>
      </c>
      <c r="C36" s="22"/>
      <c r="D36" s="22"/>
      <c r="E36" s="56">
        <f>SUM(E11:E33)</f>
        <v>1444926</v>
      </c>
      <c r="F36" s="56">
        <f>SUM(F11:F33)</f>
        <v>-2200</v>
      </c>
      <c r="G36" s="56">
        <f>SUM(G11:G33)</f>
        <v>1442726</v>
      </c>
      <c r="H36" s="26"/>
      <c r="I36" s="26"/>
      <c r="K36" s="397" t="e">
        <f>G36-'ADJ SUMMARY'!E41</f>
        <v>#REF!</v>
      </c>
      <c r="L36" s="244" t="s">
        <v>543</v>
      </c>
    </row>
    <row r="37" spans="1:12" ht="5.25" customHeight="1">
      <c r="C37" s="22"/>
      <c r="D37" s="22"/>
      <c r="E37" s="56"/>
      <c r="F37" s="56"/>
      <c r="G37" s="56"/>
    </row>
    <row r="38" spans="1:12">
      <c r="B38" s="41" t="s">
        <v>134</v>
      </c>
      <c r="C38" s="22"/>
      <c r="D38" s="22"/>
      <c r="E38" s="149">
        <f>'Cost of Capital'!F10</f>
        <v>2.81E-2</v>
      </c>
      <c r="F38" s="149">
        <f>E38-I38</f>
        <v>2.81E-2</v>
      </c>
      <c r="G38" s="63"/>
      <c r="I38" s="149"/>
    </row>
    <row r="39" spans="1:12" ht="6" customHeight="1">
      <c r="C39" s="22"/>
      <c r="D39" s="22"/>
      <c r="E39" s="56"/>
      <c r="F39" s="56"/>
      <c r="G39" s="56"/>
    </row>
    <row r="40" spans="1:12">
      <c r="B40" s="41" t="s">
        <v>115</v>
      </c>
      <c r="C40" s="22"/>
      <c r="D40" s="22"/>
      <c r="E40" s="56">
        <f>E36*E38</f>
        <v>40602.420599999998</v>
      </c>
      <c r="F40" s="56">
        <f>F36*F38</f>
        <v>-61.82</v>
      </c>
      <c r="G40" s="56">
        <f>SUM(E40:F40)</f>
        <v>40540.600599999998</v>
      </c>
      <c r="I40" s="56">
        <f>SUM(I11:I33)</f>
        <v>-433.30000000000109</v>
      </c>
    </row>
    <row r="41" spans="1:12">
      <c r="C41" s="22"/>
      <c r="D41" s="22"/>
      <c r="E41" s="56"/>
      <c r="F41" s="56"/>
      <c r="G41" s="56"/>
      <c r="I41" s="56"/>
    </row>
    <row r="42" spans="1:12">
      <c r="B42" s="41" t="s">
        <v>517</v>
      </c>
      <c r="C42" s="22"/>
      <c r="D42" s="22"/>
      <c r="E42" s="236">
        <v>39302</v>
      </c>
      <c r="F42" s="236"/>
      <c r="G42" s="63">
        <f>SUM(E42:F42)</f>
        <v>39302</v>
      </c>
      <c r="I42" s="236"/>
    </row>
    <row r="43" spans="1:12" ht="5.25" customHeight="1">
      <c r="C43" s="22"/>
      <c r="D43" s="22"/>
      <c r="E43" s="56"/>
      <c r="F43" s="56"/>
      <c r="G43" s="56"/>
      <c r="I43" s="56"/>
    </row>
    <row r="44" spans="1:12">
      <c r="B44" s="41" t="s">
        <v>117</v>
      </c>
      <c r="C44" s="22"/>
      <c r="D44" s="22"/>
      <c r="E44" s="56">
        <f>E40-E42</f>
        <v>1300.4205999999976</v>
      </c>
      <c r="F44" s="56">
        <f>F40-F42</f>
        <v>-61.82</v>
      </c>
      <c r="G44" s="56">
        <f>SUM(E44:F44)</f>
        <v>1238.6005999999977</v>
      </c>
      <c r="I44" s="56"/>
    </row>
    <row r="45" spans="1:12" ht="18" customHeight="1">
      <c r="B45" s="41" t="s">
        <v>118</v>
      </c>
      <c r="D45" s="22"/>
      <c r="E45" s="238">
        <v>0.35</v>
      </c>
      <c r="F45" s="238">
        <v>0.35</v>
      </c>
      <c r="G45" s="63"/>
      <c r="I45" s="238"/>
    </row>
    <row r="46" spans="1:12" ht="5.25" customHeight="1" thickBot="1">
      <c r="D46" s="22"/>
      <c r="E46" s="56"/>
      <c r="F46" s="56"/>
      <c r="G46" s="56"/>
      <c r="I46" s="56"/>
    </row>
    <row r="47" spans="1:12" ht="13.5" thickBot="1">
      <c r="B47" s="41" t="s">
        <v>119</v>
      </c>
      <c r="D47" s="22"/>
      <c r="E47" s="249">
        <f>ROUND(E44*-E45,0)</f>
        <v>-455</v>
      </c>
      <c r="F47" s="84">
        <f>ROUND(F44*-F45,0)</f>
        <v>22</v>
      </c>
      <c r="G47" s="84">
        <f>SUM(E47:F47)</f>
        <v>-433</v>
      </c>
      <c r="I47" s="84">
        <f>I40</f>
        <v>-433.30000000000109</v>
      </c>
      <c r="J47" s="248" t="s">
        <v>547</v>
      </c>
      <c r="K47" s="19">
        <f>'ADJ DETAIL-INPUT-Restate'!AE52+'ADJ DETAIL-INPUT-Restate'!Y51-I47</f>
        <v>-6.2999999998908152E-2</v>
      </c>
    </row>
    <row r="48" spans="1:12" ht="13.5" thickTop="1">
      <c r="D48" s="22"/>
      <c r="E48" s="250">
        <f>E8</f>
        <v>2.1699999999999964</v>
      </c>
      <c r="F48" s="62"/>
      <c r="G48" s="62"/>
      <c r="I48" s="62"/>
    </row>
    <row r="49" spans="1:8" ht="13.5" thickBot="1">
      <c r="E49" s="251" t="s">
        <v>22</v>
      </c>
      <c r="F49" s="237"/>
    </row>
    <row r="50" spans="1:8" hidden="1">
      <c r="A50" s="225" t="s">
        <v>194</v>
      </c>
      <c r="B50" s="233" t="s">
        <v>193</v>
      </c>
    </row>
    <row r="51" spans="1:8" hidden="1">
      <c r="B51" s="231" t="s">
        <v>116</v>
      </c>
    </row>
    <row r="52" spans="1:8" hidden="1">
      <c r="B52" s="41" t="s">
        <v>120</v>
      </c>
      <c r="C52" s="75">
        <v>2430</v>
      </c>
      <c r="H52" s="19" t="s">
        <v>188</v>
      </c>
    </row>
    <row r="53" spans="1:8" hidden="1">
      <c r="B53" s="41" t="s">
        <v>121</v>
      </c>
      <c r="C53" s="74">
        <v>2935</v>
      </c>
      <c r="H53" s="19" t="s">
        <v>188</v>
      </c>
    </row>
    <row r="54" spans="1:8" hidden="1">
      <c r="B54" s="41" t="s">
        <v>122</v>
      </c>
      <c r="C54" s="27">
        <f>C52+C53</f>
        <v>5365</v>
      </c>
    </row>
    <row r="55" spans="1:8" hidden="1">
      <c r="C55" s="26"/>
    </row>
    <row r="56" spans="1:8" hidden="1">
      <c r="C56" s="31"/>
      <c r="D56" s="23"/>
      <c r="E56" s="23" t="s">
        <v>123</v>
      </c>
    </row>
    <row r="57" spans="1:8" hidden="1">
      <c r="C57" s="25" t="s">
        <v>98</v>
      </c>
      <c r="D57" s="25" t="s">
        <v>124</v>
      </c>
      <c r="E57" s="25" t="s">
        <v>28</v>
      </c>
    </row>
    <row r="58" spans="1:8" hidden="1">
      <c r="B58" s="41" t="s">
        <v>125</v>
      </c>
      <c r="C58" s="42" t="e">
        <f>#REF!</f>
        <v>#REF!</v>
      </c>
      <c r="D58" s="43" t="e">
        <f>ROUND(C58/$C$61,4)</f>
        <v>#REF!</v>
      </c>
      <c r="E58" s="42" t="e">
        <f>D58*E61</f>
        <v>#REF!</v>
      </c>
      <c r="F58" s="78"/>
    </row>
    <row r="59" spans="1:8" hidden="1">
      <c r="B59" s="41" t="s">
        <v>126</v>
      </c>
      <c r="C59" s="44" t="e">
        <f>#REF!</f>
        <v>#REF!</v>
      </c>
      <c r="D59" s="43" t="e">
        <f>ROUND(C59/$C$61,4)</f>
        <v>#REF!</v>
      </c>
      <c r="E59" s="44" t="e">
        <f>D59*E61</f>
        <v>#REF!</v>
      </c>
    </row>
    <row r="60" spans="1:8" hidden="1">
      <c r="B60" s="41" t="s">
        <v>127</v>
      </c>
      <c r="C60" s="44" t="e">
        <f>#REF!</f>
        <v>#REF!</v>
      </c>
      <c r="D60" s="43" t="e">
        <f>ROUND(C60/$C$61,4)-0.0001</f>
        <v>#REF!</v>
      </c>
      <c r="E60" s="44" t="e">
        <f>E61*D60</f>
        <v>#REF!</v>
      </c>
    </row>
    <row r="61" spans="1:8" hidden="1">
      <c r="B61" s="41" t="s">
        <v>128</v>
      </c>
      <c r="C61" s="45" t="e">
        <f>C58+C59+C60</f>
        <v>#REF!</v>
      </c>
      <c r="D61" s="46" t="e">
        <f>D58+D59+D60</f>
        <v>#REF!</v>
      </c>
      <c r="E61" s="45">
        <f>C54</f>
        <v>5365</v>
      </c>
    </row>
    <row r="62" spans="1:8" hidden="1">
      <c r="C62" s="47"/>
      <c r="D62" s="47"/>
      <c r="E62" s="47"/>
    </row>
    <row r="63" spans="1:8" hidden="1">
      <c r="B63" s="41" t="s">
        <v>129</v>
      </c>
      <c r="C63" s="42" t="e">
        <f>#REF!</f>
        <v>#REF!</v>
      </c>
      <c r="D63" s="43" t="e">
        <f>C63/C65</f>
        <v>#REF!</v>
      </c>
      <c r="E63" s="42" t="e">
        <f>D63*E65</f>
        <v>#REF!</v>
      </c>
    </row>
    <row r="64" spans="1:8" hidden="1">
      <c r="B64" s="41" t="s">
        <v>130</v>
      </c>
      <c r="C64" s="47" t="e">
        <f>#REF!</f>
        <v>#REF!</v>
      </c>
      <c r="D64" s="43" t="e">
        <f>C64/C65</f>
        <v>#REF!</v>
      </c>
      <c r="E64" s="47" t="e">
        <f>D64*E65</f>
        <v>#REF!</v>
      </c>
    </row>
    <row r="65" spans="1:6" hidden="1">
      <c r="B65" s="41" t="s">
        <v>128</v>
      </c>
      <c r="C65" s="45" t="e">
        <f>C63+C64</f>
        <v>#REF!</v>
      </c>
      <c r="D65" s="46" t="e">
        <f>D63+D64</f>
        <v>#REF!</v>
      </c>
      <c r="E65" s="45" t="e">
        <f>E58</f>
        <v>#REF!</v>
      </c>
    </row>
    <row r="66" spans="1:6" hidden="1">
      <c r="C66" s="47"/>
      <c r="D66" s="47"/>
      <c r="E66" s="47"/>
    </row>
    <row r="67" spans="1:6" hidden="1">
      <c r="B67" s="41" t="s">
        <v>131</v>
      </c>
      <c r="C67" s="42" t="e">
        <f>#REF!</f>
        <v>#REF!</v>
      </c>
      <c r="D67" s="48" t="e">
        <f>C67/C69</f>
        <v>#REF!</v>
      </c>
      <c r="E67" s="42" t="e">
        <f>E69*D67</f>
        <v>#REF!</v>
      </c>
    </row>
    <row r="68" spans="1:6" hidden="1">
      <c r="B68" s="41" t="s">
        <v>132</v>
      </c>
      <c r="C68" s="47" t="e">
        <f>#REF!</f>
        <v>#REF!</v>
      </c>
      <c r="D68" s="49" t="e">
        <f>C68/C69</f>
        <v>#REF!</v>
      </c>
      <c r="E68" s="47" t="e">
        <f>E69*D68</f>
        <v>#REF!</v>
      </c>
    </row>
    <row r="69" spans="1:6" hidden="1">
      <c r="B69" s="41" t="s">
        <v>128</v>
      </c>
      <c r="C69" s="45" t="e">
        <f>SUM(C67:C68)</f>
        <v>#REF!</v>
      </c>
      <c r="D69" s="50" t="e">
        <f>SUM(D67:D68)</f>
        <v>#REF!</v>
      </c>
      <c r="E69" s="45" t="e">
        <f>E59</f>
        <v>#REF!</v>
      </c>
    </row>
    <row r="70" spans="1:6" hidden="1">
      <c r="A70" s="226" t="str">
        <f>A1</f>
        <v>AVISTA UTILITIES</v>
      </c>
      <c r="C70" s="17"/>
      <c r="D70" s="18"/>
      <c r="E70" s="17"/>
      <c r="F70" s="18"/>
    </row>
    <row r="71" spans="1:6" hidden="1">
      <c r="A71" s="226" t="str">
        <f>A2</f>
        <v>Restate Debt Interest</v>
      </c>
      <c r="C71" s="17"/>
      <c r="D71" s="18"/>
      <c r="E71" s="17"/>
      <c r="F71" s="18"/>
    </row>
    <row r="72" spans="1:6" hidden="1">
      <c r="A72" s="226" t="s">
        <v>135</v>
      </c>
      <c r="C72" s="17"/>
      <c r="D72" s="18"/>
      <c r="E72" s="17"/>
      <c r="F72" s="18"/>
    </row>
    <row r="73" spans="1:6" hidden="1">
      <c r="A73" s="227" t="str">
        <f>A4</f>
        <v>TWELVE MONTHS ENDED DECEMBER 31, 2016</v>
      </c>
      <c r="C73" s="20"/>
      <c r="D73" s="18"/>
      <c r="E73" s="20"/>
      <c r="F73" s="18"/>
    </row>
    <row r="74" spans="1:6" hidden="1">
      <c r="A74" s="228" t="s">
        <v>112</v>
      </c>
      <c r="C74" s="17"/>
      <c r="D74" s="18"/>
      <c r="E74" s="18"/>
      <c r="F74" s="18"/>
    </row>
    <row r="75" spans="1:6" hidden="1">
      <c r="C75" s="22"/>
      <c r="D75" s="22"/>
      <c r="E75" s="24"/>
      <c r="F75" s="23" t="s">
        <v>21</v>
      </c>
    </row>
    <row r="76" spans="1:6" hidden="1">
      <c r="B76" s="231" t="s">
        <v>113</v>
      </c>
      <c r="C76" s="22"/>
      <c r="D76" s="22"/>
      <c r="E76" s="24"/>
      <c r="F76" s="25" t="s">
        <v>114</v>
      </c>
    </row>
    <row r="77" spans="1:6" hidden="1">
      <c r="A77" s="224" t="e">
        <f>'ADJ SUMMARY'!#REF!</f>
        <v>#REF!</v>
      </c>
      <c r="B77" s="41" t="e">
        <f>'ADJ SUMMARY'!#REF!</f>
        <v>#REF!</v>
      </c>
      <c r="C77" s="22"/>
      <c r="D77" s="22"/>
      <c r="E77" s="26"/>
      <c r="F77" s="77" t="e">
        <f>'ADJ SUMMARY'!#REF!</f>
        <v>#REF!</v>
      </c>
    </row>
    <row r="78" spans="1:6" hidden="1">
      <c r="A78" s="224" t="e">
        <f>'ADJ SUMMARY'!#REF!</f>
        <v>#REF!</v>
      </c>
      <c r="B78" s="41" t="e">
        <f>'ADJ SUMMARY'!#REF!</f>
        <v>#REF!</v>
      </c>
      <c r="C78" s="22"/>
      <c r="D78" s="22"/>
      <c r="E78" s="26"/>
      <c r="F78" s="77" t="e">
        <f>'ADJ SUMMARY'!#REF!</f>
        <v>#REF!</v>
      </c>
    </row>
    <row r="79" spans="1:6" hidden="1">
      <c r="A79" s="224" t="e">
        <f>'ADJ SUMMARY'!#REF!</f>
        <v>#REF!</v>
      </c>
      <c r="B79" s="41" t="e">
        <f>'ADJ SUMMARY'!#REF!</f>
        <v>#REF!</v>
      </c>
      <c r="C79" s="22"/>
      <c r="D79" s="22"/>
      <c r="E79" s="26"/>
      <c r="F79" s="77" t="e">
        <f>'ADJ SUMMARY'!#REF!</f>
        <v>#REF!</v>
      </c>
    </row>
    <row r="80" spans="1:6" hidden="1">
      <c r="A80" s="224" t="e">
        <f>'ADJ SUMMARY'!#REF!</f>
        <v>#REF!</v>
      </c>
      <c r="B80" s="41" t="e">
        <f>'ADJ SUMMARY'!#REF!</f>
        <v>#REF!</v>
      </c>
      <c r="C80" s="22"/>
      <c r="D80" s="22"/>
      <c r="E80" s="26"/>
      <c r="F80" s="77" t="e">
        <f>'ADJ SUMMARY'!#REF!</f>
        <v>#REF!</v>
      </c>
    </row>
    <row r="81" spans="1:6" hidden="1">
      <c r="A81" s="224" t="e">
        <f>'ADJ SUMMARY'!#REF!</f>
        <v>#REF!</v>
      </c>
      <c r="B81" s="41" t="e">
        <f>'ADJ SUMMARY'!#REF!</f>
        <v>#REF!</v>
      </c>
      <c r="C81" s="22"/>
      <c r="D81" s="22"/>
      <c r="E81" s="26"/>
      <c r="F81" s="77" t="e">
        <f>'ADJ SUMMARY'!#REF!</f>
        <v>#REF!</v>
      </c>
    </row>
    <row r="82" spans="1:6" hidden="1">
      <c r="A82" s="224" t="e">
        <f>'ADJ SUMMARY'!#REF!</f>
        <v>#REF!</v>
      </c>
      <c r="B82" s="41" t="e">
        <f>'ADJ SUMMARY'!#REF!</f>
        <v>#REF!</v>
      </c>
      <c r="C82" s="22"/>
      <c r="D82" s="22"/>
      <c r="E82" s="26"/>
      <c r="F82" s="77" t="e">
        <f>'ADJ SUMMARY'!#REF!</f>
        <v>#REF!</v>
      </c>
    </row>
    <row r="83" spans="1:6" hidden="1">
      <c r="A83" s="224" t="e">
        <f>'ADJ SUMMARY'!#REF!</f>
        <v>#REF!</v>
      </c>
      <c r="B83" s="41" t="e">
        <f>'ADJ SUMMARY'!#REF!</f>
        <v>#REF!</v>
      </c>
      <c r="C83" s="22"/>
      <c r="D83" s="22"/>
      <c r="E83" s="26"/>
      <c r="F83" s="77" t="e">
        <f>'ADJ SUMMARY'!#REF!</f>
        <v>#REF!</v>
      </c>
    </row>
    <row r="84" spans="1:6" hidden="1">
      <c r="A84" s="224" t="e">
        <f>'ADJ SUMMARY'!#REF!</f>
        <v>#REF!</v>
      </c>
      <c r="B84" s="41" t="e">
        <f>'ADJ SUMMARY'!#REF!</f>
        <v>#REF!</v>
      </c>
      <c r="C84" s="22"/>
      <c r="D84" s="22"/>
      <c r="E84" s="26"/>
      <c r="F84" s="77" t="e">
        <f>'ADJ SUMMARY'!#REF!</f>
        <v>#REF!</v>
      </c>
    </row>
    <row r="85" spans="1:6" hidden="1">
      <c r="A85" s="224" t="e">
        <f>'ADJ SUMMARY'!#REF!</f>
        <v>#REF!</v>
      </c>
      <c r="B85" s="41" t="e">
        <f>'ADJ SUMMARY'!#REF!</f>
        <v>#REF!</v>
      </c>
      <c r="C85" s="22"/>
      <c r="D85" s="22"/>
      <c r="E85" s="26"/>
      <c r="F85" s="77" t="e">
        <f>'ADJ SUMMARY'!#REF!</f>
        <v>#REF!</v>
      </c>
    </row>
    <row r="86" spans="1:6" hidden="1">
      <c r="A86" s="224" t="e">
        <f>'ADJ SUMMARY'!#REF!</f>
        <v>#REF!</v>
      </c>
      <c r="B86" s="41" t="e">
        <f>'ADJ SUMMARY'!#REF!</f>
        <v>#REF!</v>
      </c>
      <c r="C86" s="22"/>
      <c r="D86" s="22"/>
      <c r="E86" s="26"/>
      <c r="F86" s="77" t="e">
        <f>'ADJ SUMMARY'!#REF!</f>
        <v>#REF!</v>
      </c>
    </row>
    <row r="87" spans="1:6" hidden="1">
      <c r="A87" s="224" t="e">
        <f>'ADJ SUMMARY'!#REF!</f>
        <v>#REF!</v>
      </c>
      <c r="B87" s="41" t="e">
        <f>'ADJ SUMMARY'!#REF!</f>
        <v>#REF!</v>
      </c>
      <c r="C87" s="22"/>
      <c r="D87" s="22"/>
      <c r="E87" s="26"/>
      <c r="F87" s="77" t="e">
        <f>'ADJ SUMMARY'!#REF!</f>
        <v>#REF!</v>
      </c>
    </row>
    <row r="88" spans="1:6" hidden="1">
      <c r="A88" s="224" t="e">
        <f>'ADJ SUMMARY'!#REF!</f>
        <v>#REF!</v>
      </c>
      <c r="B88" s="41" t="e">
        <f>'ADJ SUMMARY'!#REF!</f>
        <v>#REF!</v>
      </c>
      <c r="C88" s="22"/>
      <c r="D88" s="22"/>
      <c r="E88" s="26"/>
      <c r="F88" s="77" t="e">
        <f>'ADJ SUMMARY'!#REF!</f>
        <v>#REF!</v>
      </c>
    </row>
    <row r="89" spans="1:6" hidden="1">
      <c r="A89" s="224" t="e">
        <f>'ADJ SUMMARY'!#REF!</f>
        <v>#REF!</v>
      </c>
      <c r="B89" s="41" t="e">
        <f>'ADJ SUMMARY'!#REF!</f>
        <v>#REF!</v>
      </c>
      <c r="C89" s="22"/>
      <c r="D89" s="22"/>
      <c r="E89" s="26"/>
      <c r="F89" s="77" t="e">
        <f>'ADJ SUMMARY'!#REF!</f>
        <v>#REF!</v>
      </c>
    </row>
    <row r="90" spans="1:6" hidden="1">
      <c r="A90" s="224" t="e">
        <f>'ADJ SUMMARY'!#REF!</f>
        <v>#REF!</v>
      </c>
      <c r="B90" s="41" t="e">
        <f>'ADJ SUMMARY'!#REF!</f>
        <v>#REF!</v>
      </c>
      <c r="C90" s="22"/>
      <c r="D90" s="22"/>
      <c r="E90" s="26"/>
      <c r="F90" s="77" t="e">
        <f>'ADJ SUMMARY'!#REF!</f>
        <v>#REF!</v>
      </c>
    </row>
    <row r="91" spans="1:6" hidden="1">
      <c r="A91" s="224" t="e">
        <f>'ADJ SUMMARY'!#REF!</f>
        <v>#REF!</v>
      </c>
      <c r="B91" s="41" t="e">
        <f>'ADJ SUMMARY'!#REF!</f>
        <v>#REF!</v>
      </c>
      <c r="C91" s="22"/>
      <c r="D91" s="22"/>
      <c r="E91" s="26"/>
      <c r="F91" s="77" t="e">
        <f>'ADJ SUMMARY'!#REF!</f>
        <v>#REF!</v>
      </c>
    </row>
    <row r="92" spans="1:6" hidden="1">
      <c r="A92" s="224" t="e">
        <f>'ADJ SUMMARY'!#REF!</f>
        <v>#REF!</v>
      </c>
      <c r="B92" s="41" t="e">
        <f>'ADJ SUMMARY'!#REF!</f>
        <v>#REF!</v>
      </c>
      <c r="C92" s="22"/>
      <c r="D92" s="22"/>
      <c r="E92" s="26"/>
      <c r="F92" s="77" t="e">
        <f>'ADJ SUMMARY'!#REF!</f>
        <v>#REF!</v>
      </c>
    </row>
    <row r="93" spans="1:6" hidden="1">
      <c r="A93" s="224" t="e">
        <f>'ADJ SUMMARY'!#REF!</f>
        <v>#REF!</v>
      </c>
      <c r="B93" s="41" t="e">
        <f>'ADJ SUMMARY'!#REF!</f>
        <v>#REF!</v>
      </c>
      <c r="C93" s="22"/>
      <c r="D93" s="22"/>
      <c r="E93" s="26"/>
      <c r="F93" s="77" t="e">
        <f>'ADJ SUMMARY'!#REF!</f>
        <v>#REF!</v>
      </c>
    </row>
    <row r="94" spans="1:6" hidden="1">
      <c r="A94" s="224" t="e">
        <f>'ADJ SUMMARY'!#REF!</f>
        <v>#REF!</v>
      </c>
      <c r="B94" s="41" t="e">
        <f>'ADJ SUMMARY'!#REF!</f>
        <v>#REF!</v>
      </c>
      <c r="C94" s="22"/>
      <c r="D94" s="22"/>
      <c r="E94" s="26"/>
      <c r="F94" s="77" t="e">
        <f>'ADJ SUMMARY'!#REF!</f>
        <v>#REF!</v>
      </c>
    </row>
    <row r="95" spans="1:6" hidden="1">
      <c r="A95" s="224" t="e">
        <f>'ADJ SUMMARY'!#REF!</f>
        <v>#REF!</v>
      </c>
      <c r="B95" s="41" t="e">
        <f>'ADJ SUMMARY'!#REF!</f>
        <v>#REF!</v>
      </c>
      <c r="C95" s="22"/>
      <c r="D95" s="22"/>
      <c r="E95" s="26"/>
      <c r="F95" s="77" t="e">
        <f>'ADJ SUMMARY'!#REF!</f>
        <v>#REF!</v>
      </c>
    </row>
    <row r="96" spans="1:6" hidden="1">
      <c r="A96" s="224" t="e">
        <f>'ADJ SUMMARY'!#REF!</f>
        <v>#REF!</v>
      </c>
      <c r="B96" s="41" t="e">
        <f>'ADJ SUMMARY'!#REF!</f>
        <v>#REF!</v>
      </c>
      <c r="C96" s="22"/>
      <c r="D96" s="22"/>
      <c r="E96" s="26"/>
      <c r="F96" s="77" t="e">
        <f>'ADJ SUMMARY'!#REF!</f>
        <v>#REF!</v>
      </c>
    </row>
    <row r="97" spans="1:6" hidden="1">
      <c r="A97" s="224" t="e">
        <f>'ADJ SUMMARY'!#REF!</f>
        <v>#REF!</v>
      </c>
      <c r="B97" s="41" t="e">
        <f>'ADJ SUMMARY'!#REF!</f>
        <v>#REF!</v>
      </c>
      <c r="C97" s="22"/>
      <c r="D97" s="22"/>
      <c r="E97" s="26"/>
      <c r="F97" s="77" t="e">
        <f>'ADJ SUMMARY'!#REF!</f>
        <v>#REF!</v>
      </c>
    </row>
    <row r="98" spans="1:6" ht="5.25" hidden="1" customHeight="1">
      <c r="C98" s="22"/>
      <c r="D98" s="22"/>
      <c r="E98" s="26"/>
      <c r="F98" s="77"/>
    </row>
    <row r="99" spans="1:6" ht="13.5" hidden="1" customHeight="1">
      <c r="A99" s="224" t="e">
        <f>'ADJ SUMMARY'!#REF!</f>
        <v>#REF!</v>
      </c>
      <c r="B99" s="41" t="e">
        <f>'ADJ SUMMARY'!#REF!</f>
        <v>#REF!</v>
      </c>
      <c r="C99" s="22"/>
      <c r="D99" s="22"/>
      <c r="E99" s="26"/>
      <c r="F99" s="77" t="e">
        <f>'ADJ SUMMARY'!#REF!</f>
        <v>#REF!</v>
      </c>
    </row>
    <row r="100" spans="1:6" hidden="1">
      <c r="A100" s="224" t="e">
        <f>'ADJ SUMMARY'!#REF!</f>
        <v>#REF!</v>
      </c>
      <c r="B100" s="41" t="e">
        <f>'ADJ SUMMARY'!#REF!</f>
        <v>#REF!</v>
      </c>
      <c r="C100" s="22"/>
      <c r="D100" s="22"/>
      <c r="E100" s="26"/>
      <c r="F100" s="77" t="e">
        <f>'ADJ SUMMARY'!#REF!</f>
        <v>#REF!</v>
      </c>
    </row>
    <row r="101" spans="1:6" hidden="1">
      <c r="A101" s="224" t="e">
        <f>'ADJ SUMMARY'!#REF!</f>
        <v>#REF!</v>
      </c>
      <c r="B101" s="41" t="e">
        <f>'ADJ SUMMARY'!#REF!</f>
        <v>#REF!</v>
      </c>
      <c r="C101" s="22"/>
      <c r="D101" s="22"/>
      <c r="E101" s="26"/>
      <c r="F101" s="77" t="e">
        <f>'ADJ SUMMARY'!#REF!</f>
        <v>#REF!</v>
      </c>
    </row>
    <row r="102" spans="1:6" hidden="1">
      <c r="A102" s="224" t="e">
        <f>'ADJ SUMMARY'!#REF!</f>
        <v>#REF!</v>
      </c>
      <c r="B102" s="41" t="e">
        <f>'ADJ SUMMARY'!#REF!</f>
        <v>#REF!</v>
      </c>
      <c r="C102" s="22"/>
      <c r="D102" s="22"/>
      <c r="E102" s="26"/>
      <c r="F102" s="77" t="e">
        <f>'ADJ SUMMARY'!#REF!</f>
        <v>#REF!</v>
      </c>
    </row>
    <row r="103" spans="1:6" hidden="1">
      <c r="A103" s="224" t="e">
        <f>'ADJ SUMMARY'!#REF!</f>
        <v>#REF!</v>
      </c>
      <c r="B103" s="41" t="e">
        <f>'ADJ SUMMARY'!#REF!</f>
        <v>#REF!</v>
      </c>
      <c r="C103" s="22"/>
      <c r="D103" s="22"/>
      <c r="E103" s="26"/>
      <c r="F103" s="77" t="e">
        <f>'ADJ SUMMARY'!#REF!</f>
        <v>#REF!</v>
      </c>
    </row>
    <row r="104" spans="1:6" hidden="1">
      <c r="A104" s="224" t="e">
        <f>'ADJ SUMMARY'!#REF!</f>
        <v>#REF!</v>
      </c>
      <c r="B104" s="41" t="e">
        <f>'ADJ SUMMARY'!#REF!</f>
        <v>#REF!</v>
      </c>
      <c r="C104" s="22"/>
      <c r="D104" s="22"/>
      <c r="E104" s="26"/>
      <c r="F104" s="77" t="e">
        <f>'ADJ SUMMARY'!#REF!</f>
        <v>#REF!</v>
      </c>
    </row>
    <row r="105" spans="1:6" hidden="1">
      <c r="A105" s="224" t="e">
        <f>'ADJ SUMMARY'!#REF!</f>
        <v>#REF!</v>
      </c>
      <c r="B105" s="41" t="e">
        <f>'ADJ SUMMARY'!#REF!</f>
        <v>#REF!</v>
      </c>
      <c r="C105" s="22"/>
      <c r="D105" s="22"/>
      <c r="E105" s="26"/>
      <c r="F105" s="77" t="e">
        <f>'ADJ SUMMARY'!#REF!</f>
        <v>#REF!</v>
      </c>
    </row>
    <row r="106" spans="1:6" hidden="1">
      <c r="A106" s="224" t="e">
        <f>'ADJ SUMMARY'!#REF!</f>
        <v>#REF!</v>
      </c>
      <c r="B106" s="41" t="e">
        <f>'ADJ SUMMARY'!#REF!</f>
        <v>#REF!</v>
      </c>
      <c r="C106" s="22"/>
      <c r="D106" s="22"/>
      <c r="E106" s="26"/>
      <c r="F106" s="77" t="e">
        <f>'ADJ SUMMARY'!#REF!</f>
        <v>#REF!</v>
      </c>
    </row>
    <row r="107" spans="1:6" hidden="1">
      <c r="A107" s="224" t="e">
        <f>'ADJ SUMMARY'!#REF!</f>
        <v>#REF!</v>
      </c>
      <c r="B107" s="41" t="e">
        <f>'ADJ SUMMARY'!#REF!</f>
        <v>#REF!</v>
      </c>
      <c r="C107" s="22"/>
      <c r="D107" s="22"/>
      <c r="E107" s="26"/>
      <c r="F107" s="77" t="e">
        <f>'ADJ SUMMARY'!#REF!</f>
        <v>#REF!</v>
      </c>
    </row>
    <row r="108" spans="1:6" hidden="1">
      <c r="A108" s="224" t="e">
        <f>'ADJ SUMMARY'!#REF!</f>
        <v>#REF!</v>
      </c>
      <c r="B108" s="41" t="e">
        <f>'ADJ SUMMARY'!#REF!</f>
        <v>#REF!</v>
      </c>
      <c r="C108" s="22"/>
      <c r="D108" s="22"/>
      <c r="E108" s="26"/>
      <c r="F108" s="77" t="e">
        <f>'ADJ SUMMARY'!#REF!</f>
        <v>#REF!</v>
      </c>
    </row>
    <row r="109" spans="1:6" hidden="1">
      <c r="A109" s="224" t="e">
        <f>'ADJ SUMMARY'!#REF!</f>
        <v>#REF!</v>
      </c>
      <c r="B109" s="41" t="e">
        <f>'ADJ SUMMARY'!#REF!</f>
        <v>#REF!</v>
      </c>
      <c r="C109" s="22"/>
      <c r="D109" s="22"/>
      <c r="E109" s="26"/>
      <c r="F109" s="77" t="e">
        <f>'ADJ SUMMARY'!#REF!</f>
        <v>#REF!</v>
      </c>
    </row>
    <row r="110" spans="1:6" hidden="1">
      <c r="A110" s="224" t="e">
        <f>'ADJ SUMMARY'!#REF!</f>
        <v>#REF!</v>
      </c>
      <c r="B110" s="41" t="e">
        <f>'ADJ SUMMARY'!#REF!</f>
        <v>#REF!</v>
      </c>
      <c r="C110" s="22"/>
      <c r="D110" s="22"/>
      <c r="E110" s="26"/>
      <c r="F110" s="77" t="e">
        <f>'ADJ SUMMARY'!#REF!</f>
        <v>#REF!</v>
      </c>
    </row>
    <row r="111" spans="1:6" hidden="1">
      <c r="A111" s="224" t="e">
        <f>'ADJ SUMMARY'!#REF!</f>
        <v>#REF!</v>
      </c>
      <c r="B111" s="41" t="e">
        <f>'ADJ SUMMARY'!#REF!</f>
        <v>#REF!</v>
      </c>
      <c r="C111" s="22"/>
      <c r="D111" s="22"/>
      <c r="E111" s="26"/>
      <c r="F111" s="77" t="e">
        <f>'ADJ SUMMARY'!#REF!</f>
        <v>#REF!</v>
      </c>
    </row>
    <row r="112" spans="1:6" hidden="1">
      <c r="A112" s="224" t="e">
        <f>'ADJ SUMMARY'!#REF!</f>
        <v>#REF!</v>
      </c>
      <c r="B112" s="41" t="e">
        <f>'ADJ SUMMARY'!#REF!</f>
        <v>#REF!</v>
      </c>
      <c r="C112" s="22"/>
      <c r="D112" s="22"/>
      <c r="E112" s="26"/>
      <c r="F112" s="77" t="e">
        <f>'ADJ SUMMARY'!#REF!</f>
        <v>#REF!</v>
      </c>
    </row>
    <row r="113" spans="1:9" ht="13.5" hidden="1" customHeight="1">
      <c r="A113" s="224" t="e">
        <f>'ADJ SUMMARY'!#REF!</f>
        <v>#REF!</v>
      </c>
      <c r="B113" s="41" t="e">
        <f>'ADJ SUMMARY'!#REF!</f>
        <v>#REF!</v>
      </c>
      <c r="C113" s="22"/>
      <c r="D113" s="22"/>
      <c r="E113" s="26"/>
      <c r="F113" s="77" t="e">
        <f>'ADJ SUMMARY'!#REF!</f>
        <v>#REF!</v>
      </c>
    </row>
    <row r="114" spans="1:9" ht="0.75" hidden="1" customHeight="1">
      <c r="A114" s="224" t="e">
        <f>'ADJ SUMMARY'!#REF!</f>
        <v>#REF!</v>
      </c>
      <c r="B114" s="41" t="e">
        <f>'ADJ SUMMARY'!#REF!</f>
        <v>#REF!</v>
      </c>
      <c r="C114" s="22"/>
      <c r="D114" s="22"/>
      <c r="E114" s="26"/>
      <c r="F114" s="77" t="e">
        <f>'ADJ SUMMARY'!#REF!</f>
        <v>#REF!</v>
      </c>
    </row>
    <row r="115" spans="1:9" ht="13.5" hidden="1" customHeight="1">
      <c r="B115" s="41" t="s">
        <v>149</v>
      </c>
      <c r="C115" s="22"/>
      <c r="D115" s="22"/>
      <c r="E115" s="26"/>
      <c r="F115" s="27" t="e">
        <f>SUM(F77:F114)</f>
        <v>#REF!</v>
      </c>
    </row>
    <row r="116" spans="1:9" hidden="1">
      <c r="C116" s="22"/>
      <c r="D116" s="22"/>
      <c r="E116" s="22"/>
      <c r="F116" s="19"/>
      <c r="G116" s="85"/>
    </row>
    <row r="117" spans="1:9" hidden="1">
      <c r="B117" s="41" t="str">
        <f>B38</f>
        <v>Weighted Average Cost of Debt</v>
      </c>
      <c r="C117" s="38"/>
      <c r="D117" s="38"/>
      <c r="E117" s="39"/>
      <c r="F117" s="99" t="e">
        <f>#REF!</f>
        <v>#REF!</v>
      </c>
      <c r="H117" s="100" t="s">
        <v>192</v>
      </c>
      <c r="I117" s="47"/>
    </row>
    <row r="118" spans="1:9" hidden="1">
      <c r="C118" s="22"/>
      <c r="D118" s="22"/>
      <c r="F118" s="19"/>
    </row>
    <row r="119" spans="1:9" hidden="1">
      <c r="B119" s="41" t="s">
        <v>115</v>
      </c>
      <c r="C119" s="22"/>
      <c r="D119" s="22"/>
      <c r="E119" s="26"/>
      <c r="F119" s="26" t="e">
        <f>F115*F117</f>
        <v>#REF!</v>
      </c>
    </row>
    <row r="120" spans="1:9" hidden="1">
      <c r="C120" s="22"/>
      <c r="D120" s="22"/>
      <c r="E120" s="22"/>
      <c r="F120" s="19"/>
    </row>
    <row r="121" spans="1:9" hidden="1">
      <c r="B121" s="41" t="s">
        <v>195</v>
      </c>
      <c r="C121" s="22"/>
      <c r="D121" s="22"/>
      <c r="F121" s="88">
        <v>21469</v>
      </c>
      <c r="H121" s="92" t="s">
        <v>198</v>
      </c>
    </row>
    <row r="122" spans="1:9" hidden="1">
      <c r="C122" s="22"/>
      <c r="D122" s="22"/>
      <c r="E122" s="22"/>
      <c r="F122" s="19"/>
    </row>
    <row r="123" spans="1:9" hidden="1">
      <c r="B123" s="41" t="s">
        <v>117</v>
      </c>
      <c r="C123" s="22"/>
      <c r="D123" s="22"/>
      <c r="E123" s="26"/>
      <c r="F123" s="26" t="e">
        <f>F119-F121</f>
        <v>#REF!</v>
      </c>
    </row>
    <row r="124" spans="1:9" hidden="1">
      <c r="B124" s="41" t="s">
        <v>118</v>
      </c>
      <c r="D124" s="22"/>
      <c r="E124" s="29"/>
      <c r="F124" s="30">
        <v>0.35</v>
      </c>
    </row>
    <row r="125" spans="1:9" hidden="1">
      <c r="D125" s="22"/>
      <c r="E125" s="22"/>
      <c r="F125" s="19"/>
    </row>
    <row r="126" spans="1:9" hidden="1">
      <c r="B126" s="41" t="s">
        <v>119</v>
      </c>
      <c r="D126" s="22"/>
      <c r="E126" s="26"/>
      <c r="F126" s="26" t="e">
        <f>F123*-F124</f>
        <v>#REF!</v>
      </c>
      <c r="G126" s="26"/>
    </row>
    <row r="127" spans="1:9" ht="13.5" hidden="1" thickTop="1">
      <c r="D127" s="22"/>
      <c r="E127" s="26"/>
      <c r="F127" s="40"/>
    </row>
    <row r="128" spans="1:9" hidden="1">
      <c r="A128" s="229"/>
      <c r="F128" s="19"/>
    </row>
    <row r="129" spans="1:6" hidden="1">
      <c r="A129" s="229"/>
      <c r="B129" s="231" t="s">
        <v>116</v>
      </c>
      <c r="F129" s="19"/>
    </row>
    <row r="130" spans="1:6" hidden="1">
      <c r="A130" s="229"/>
      <c r="B130" s="41" t="s">
        <v>120</v>
      </c>
      <c r="C130" s="26">
        <f>C52</f>
        <v>2430</v>
      </c>
      <c r="F130" s="19"/>
    </row>
    <row r="131" spans="1:6" hidden="1">
      <c r="A131" s="229"/>
      <c r="B131" s="41" t="s">
        <v>121</v>
      </c>
      <c r="C131" s="19">
        <f>C53</f>
        <v>2935</v>
      </c>
      <c r="F131" s="19"/>
    </row>
    <row r="132" spans="1:6" hidden="1">
      <c r="A132" s="229"/>
      <c r="B132" s="41" t="s">
        <v>122</v>
      </c>
      <c r="C132" s="27">
        <f>C130+C131</f>
        <v>5365</v>
      </c>
      <c r="F132" s="19"/>
    </row>
    <row r="133" spans="1:6" hidden="1">
      <c r="A133" s="229"/>
      <c r="C133" s="26"/>
      <c r="F133" s="19"/>
    </row>
    <row r="134" spans="1:6" hidden="1">
      <c r="A134" s="229"/>
      <c r="C134" s="31"/>
      <c r="D134" s="23"/>
      <c r="E134" s="23" t="s">
        <v>123</v>
      </c>
      <c r="F134" s="19"/>
    </row>
    <row r="135" spans="1:6" hidden="1">
      <c r="A135" s="229"/>
      <c r="C135" s="25" t="s">
        <v>98</v>
      </c>
      <c r="D135" s="25" t="s">
        <v>124</v>
      </c>
      <c r="E135" s="25" t="s">
        <v>28</v>
      </c>
      <c r="F135" s="19"/>
    </row>
    <row r="136" spans="1:6" hidden="1">
      <c r="A136" s="229"/>
      <c r="B136" s="41" t="s">
        <v>125</v>
      </c>
      <c r="C136" s="26" t="e">
        <f>$C$58</f>
        <v>#REF!</v>
      </c>
      <c r="D136" s="28" t="e">
        <f>C136/C139</f>
        <v>#REF!</v>
      </c>
      <c r="E136" s="26" t="e">
        <f>D136*E139</f>
        <v>#REF!</v>
      </c>
      <c r="F136" s="19"/>
    </row>
    <row r="137" spans="1:6" hidden="1">
      <c r="A137" s="229"/>
      <c r="B137" s="41" t="s">
        <v>126</v>
      </c>
      <c r="C137" s="19" t="e">
        <f>$C$59</f>
        <v>#REF!</v>
      </c>
      <c r="D137" s="37" t="e">
        <f>C137/C139</f>
        <v>#REF!</v>
      </c>
      <c r="E137" s="32" t="e">
        <f>D137*E139</f>
        <v>#REF!</v>
      </c>
      <c r="F137" s="19"/>
    </row>
    <row r="138" spans="1:6" hidden="1">
      <c r="A138" s="229"/>
      <c r="B138" s="41" t="s">
        <v>127</v>
      </c>
      <c r="C138" s="19" t="e">
        <f>$C$60</f>
        <v>#REF!</v>
      </c>
      <c r="D138" s="37" t="e">
        <f>C138/C139</f>
        <v>#REF!</v>
      </c>
      <c r="E138" s="32" t="e">
        <f>E139*D138</f>
        <v>#REF!</v>
      </c>
      <c r="F138" s="19"/>
    </row>
    <row r="139" spans="1:6" hidden="1">
      <c r="A139" s="229"/>
      <c r="B139" s="41" t="s">
        <v>128</v>
      </c>
      <c r="C139" s="27" t="e">
        <f>C136+C137+C138</f>
        <v>#REF!</v>
      </c>
      <c r="D139" s="33" t="e">
        <f>D136+D137+D138</f>
        <v>#REF!</v>
      </c>
      <c r="E139" s="27">
        <f>C132</f>
        <v>5365</v>
      </c>
      <c r="F139" s="19"/>
    </row>
    <row r="140" spans="1:6" hidden="1">
      <c r="A140" s="229"/>
      <c r="F140" s="19"/>
    </row>
    <row r="141" spans="1:6" hidden="1">
      <c r="A141" s="229"/>
      <c r="B141" s="41" t="s">
        <v>129</v>
      </c>
      <c r="C141" s="26" t="e">
        <f>$C$63</f>
        <v>#REF!</v>
      </c>
      <c r="D141" s="28" t="e">
        <f>C141/C143</f>
        <v>#REF!</v>
      </c>
      <c r="E141" s="26" t="e">
        <f>D141*E143</f>
        <v>#REF!</v>
      </c>
      <c r="F141" s="19"/>
    </row>
    <row r="142" spans="1:6" hidden="1">
      <c r="A142" s="229"/>
      <c r="B142" s="41" t="s">
        <v>130</v>
      </c>
      <c r="C142" s="19" t="e">
        <f>$C$64</f>
        <v>#REF!</v>
      </c>
      <c r="D142" s="28" t="e">
        <f>C142/C143</f>
        <v>#REF!</v>
      </c>
      <c r="E142" s="19" t="e">
        <f>D142*E143</f>
        <v>#REF!</v>
      </c>
      <c r="F142" s="19"/>
    </row>
    <row r="143" spans="1:6" hidden="1">
      <c r="A143" s="229"/>
      <c r="B143" s="41" t="s">
        <v>128</v>
      </c>
      <c r="C143" s="27" t="e">
        <f>C141+C142</f>
        <v>#REF!</v>
      </c>
      <c r="D143" s="33" t="e">
        <f>D141+D142</f>
        <v>#REF!</v>
      </c>
      <c r="E143" s="27" t="e">
        <f>E136</f>
        <v>#REF!</v>
      </c>
      <c r="F143" s="19"/>
    </row>
    <row r="144" spans="1:6" hidden="1">
      <c r="A144" s="229"/>
      <c r="F144" s="19"/>
    </row>
    <row r="145" spans="1:6" hidden="1">
      <c r="A145" s="229"/>
      <c r="B145" s="41" t="s">
        <v>131</v>
      </c>
      <c r="C145" s="26" t="e">
        <f>$C$67</f>
        <v>#REF!</v>
      </c>
      <c r="D145" s="34" t="e">
        <f>C145/C147</f>
        <v>#REF!</v>
      </c>
      <c r="E145" s="26" t="e">
        <f>E147*D145</f>
        <v>#REF!</v>
      </c>
      <c r="F145" s="19"/>
    </row>
    <row r="146" spans="1:6" hidden="1">
      <c r="A146" s="229"/>
      <c r="B146" s="41" t="s">
        <v>132</v>
      </c>
      <c r="C146" s="19" t="e">
        <f>C$68</f>
        <v>#REF!</v>
      </c>
      <c r="D146" s="35" t="e">
        <f>C146/C147</f>
        <v>#REF!</v>
      </c>
      <c r="E146" s="19" t="e">
        <f>E147*D146</f>
        <v>#REF!</v>
      </c>
      <c r="F146" s="19"/>
    </row>
    <row r="147" spans="1:6" hidden="1">
      <c r="A147" s="229"/>
      <c r="B147" s="41" t="s">
        <v>128</v>
      </c>
      <c r="C147" s="27" t="e">
        <f>SUM(C145:C146)</f>
        <v>#REF!</v>
      </c>
      <c r="D147" s="36" t="e">
        <f>SUM(D145:D146)</f>
        <v>#REF!</v>
      </c>
      <c r="E147" s="27" t="e">
        <f>E137</f>
        <v>#REF!</v>
      </c>
      <c r="F147" s="19"/>
    </row>
  </sheetData>
  <mergeCells count="6">
    <mergeCell ref="E7:G7"/>
    <mergeCell ref="A1:H1"/>
    <mergeCell ref="A2:H2"/>
    <mergeCell ref="A3:H3"/>
    <mergeCell ref="A4:H4"/>
    <mergeCell ref="A5:H5"/>
  </mergeCells>
  <phoneticPr fontId="0" type="noConversion"/>
  <printOptions horizontalCentered="1"/>
  <pageMargins left="0.75" right="0.75" top="0.5" bottom="0.5" header="0.5" footer="0.25"/>
  <pageSetup scale="86" orientation="portrait" r:id="rId1"/>
  <headerFooter alignWithMargins="0"/>
  <rowBreaks count="1" manualBreakCount="1">
    <brk id="69" max="16383" man="1"/>
  </rowBreaks>
  <colBreaks count="1" manualBreakCount="1">
    <brk id="9" max="62"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43"/>
  <sheetViews>
    <sheetView view="pageBreakPreview" zoomScale="130" zoomScaleNormal="115" zoomScaleSheetLayoutView="130" workbookViewId="0">
      <selection activeCell="AI18" sqref="AI18"/>
    </sheetView>
  </sheetViews>
  <sheetFormatPr defaultColWidth="11.42578125" defaultRowHeight="12.75"/>
  <cols>
    <col min="1" max="1" width="11.28515625" style="1" customWidth="1"/>
    <col min="2" max="2" width="12.140625" style="1" customWidth="1"/>
    <col min="3" max="3" width="45" style="1" customWidth="1"/>
    <col min="4" max="4" width="9.7109375" style="138" customWidth="1"/>
    <col min="5" max="5" width="10.85546875" style="138" customWidth="1"/>
    <col min="6" max="6" width="8.7109375" style="13" customWidth="1"/>
    <col min="7" max="7" width="11.42578125" style="5" hidden="1" customWidth="1"/>
    <col min="8" max="8" width="11.42578125" style="115" hidden="1" customWidth="1"/>
    <col min="9" max="9" width="10.42578125" style="242" customWidth="1"/>
    <col min="10" max="10" width="9.42578125" style="270" hidden="1" customWidth="1"/>
    <col min="11" max="11" width="9.5703125" style="1" customWidth="1"/>
    <col min="12" max="12" width="15" style="1" customWidth="1"/>
    <col min="13" max="16384" width="11.42578125" style="1"/>
  </cols>
  <sheetData>
    <row r="1" spans="1:16">
      <c r="A1" s="885" t="str">
        <f>'ADJ DETAIL-INPUT-Restate'!A2</f>
        <v xml:space="preserve">AVISTA UTILITIES  </v>
      </c>
      <c r="B1" s="885"/>
      <c r="C1" s="885"/>
      <c r="D1" s="885"/>
      <c r="E1" s="885"/>
      <c r="F1" s="885"/>
    </row>
    <row r="2" spans="1:16">
      <c r="A2" s="886" t="s">
        <v>53</v>
      </c>
      <c r="B2" s="886"/>
      <c r="C2" s="886"/>
      <c r="D2" s="886"/>
      <c r="E2" s="886"/>
      <c r="F2" s="886"/>
    </row>
    <row r="3" spans="1:16">
      <c r="A3" s="886" t="s">
        <v>54</v>
      </c>
      <c r="B3" s="886"/>
      <c r="C3" s="886"/>
      <c r="D3" s="886"/>
      <c r="E3" s="886"/>
      <c r="F3" s="886"/>
    </row>
    <row r="4" spans="1:16">
      <c r="A4" s="887" t="str">
        <f>'ADJ DETAIL-INPUT-Restate'!A5</f>
        <v>TWELVE MONTHS ENDED DECEMBER 31, 2016</v>
      </c>
      <c r="B4" s="887"/>
      <c r="C4" s="887"/>
      <c r="D4" s="887"/>
      <c r="E4" s="887"/>
      <c r="F4" s="887"/>
    </row>
    <row r="5" spans="1:16" ht="5.25" customHeight="1"/>
    <row r="7" spans="1:16">
      <c r="D7" s="139"/>
      <c r="E7" s="140" t="s">
        <v>54</v>
      </c>
      <c r="F7" s="14"/>
      <c r="G7" s="10" t="s">
        <v>201</v>
      </c>
      <c r="H7" s="112" t="s">
        <v>202</v>
      </c>
    </row>
    <row r="8" spans="1:16">
      <c r="A8" s="6" t="s">
        <v>55</v>
      </c>
      <c r="B8" s="239" t="s">
        <v>522</v>
      </c>
      <c r="C8" s="14" t="s">
        <v>109</v>
      </c>
      <c r="D8" s="140" t="s">
        <v>57</v>
      </c>
      <c r="E8" s="140" t="s">
        <v>21</v>
      </c>
      <c r="F8" s="14" t="s">
        <v>58</v>
      </c>
      <c r="I8" s="1" t="s">
        <v>614</v>
      </c>
    </row>
    <row r="9" spans="1:16">
      <c r="A9" s="113" t="s">
        <v>599</v>
      </c>
      <c r="B9" s="113"/>
      <c r="C9" s="16"/>
      <c r="D9" s="141"/>
      <c r="E9" s="141"/>
      <c r="F9" s="16"/>
      <c r="I9" s="243" t="s">
        <v>201</v>
      </c>
      <c r="J9" s="271" t="s">
        <v>202</v>
      </c>
      <c r="K9" s="1" t="s">
        <v>542</v>
      </c>
    </row>
    <row r="10" spans="1:16">
      <c r="A10" s="136">
        <f>'ADJ DETAIL-INPUT-Restate'!E$10</f>
        <v>1</v>
      </c>
      <c r="B10" s="241" t="str">
        <f>'ADJ DETAIL-INPUT-Restate'!E$11</f>
        <v>E-ROO</v>
      </c>
      <c r="C10" s="8" t="str">
        <f>TRIM(CONCATENATE('ADJ DETAIL-INPUT-Restate'!E$7," ",'ADJ DETAIL-INPUT-Restate'!E$8," ",'ADJ DETAIL-INPUT-Restate'!E$9))</f>
        <v>Results of Operations</v>
      </c>
      <c r="D10" s="157">
        <f>'ADJ DETAIL-INPUT-Restate'!E$56</f>
        <v>109611</v>
      </c>
      <c r="E10" s="157">
        <f>'ADJ DETAIL-INPUT-Restate'!E$80</f>
        <v>1444926</v>
      </c>
      <c r="F10" s="123">
        <f>D10/E10</f>
        <v>7.5859248155268857E-2</v>
      </c>
      <c r="G10" s="5" t="s">
        <v>207</v>
      </c>
      <c r="I10" s="111" t="s">
        <v>204</v>
      </c>
      <c r="K10" s="111" t="s">
        <v>206</v>
      </c>
      <c r="L10" s="390"/>
      <c r="M10" s="390"/>
    </row>
    <row r="11" spans="1:16" s="12" customFormat="1">
      <c r="A11" s="136">
        <f>'ADJ DETAIL-INPUT-Restate'!F$10</f>
        <v>1.01</v>
      </c>
      <c r="B11" s="241" t="str">
        <f>'ADJ DETAIL-INPUT-Restate'!F$11</f>
        <v>E-DFIT</v>
      </c>
      <c r="C11" s="8" t="str">
        <f>TRIM(CONCATENATE('ADJ DETAIL-INPUT-Restate'!F$7," ",'ADJ DETAIL-INPUT-Restate'!F$8," ",'ADJ DETAIL-INPUT-Restate'!F$9))</f>
        <v>Deferred FIT Rate Base</v>
      </c>
      <c r="D11" s="56">
        <f>'ADJ DETAIL-INPUT-Restate'!F$56</f>
        <v>7.9270099999999992</v>
      </c>
      <c r="E11" s="56">
        <f>'ADJ DETAIL-INPUT-Restate'!F$80</f>
        <v>806</v>
      </c>
      <c r="F11" s="81"/>
      <c r="G11" s="5" t="s">
        <v>200</v>
      </c>
      <c r="I11" s="111" t="s">
        <v>576</v>
      </c>
      <c r="K11" s="111" t="s">
        <v>206</v>
      </c>
      <c r="L11" s="390"/>
      <c r="M11" s="390"/>
    </row>
    <row r="12" spans="1:16" s="12" customFormat="1">
      <c r="A12" s="136">
        <f>'ADJ DETAIL-INPUT-Restate'!G$10</f>
        <v>1.02</v>
      </c>
      <c r="B12" s="241" t="str">
        <f>'ADJ DETAIL-INPUT-Restate'!G$11</f>
        <v>E-DDC</v>
      </c>
      <c r="C12" s="8" t="str">
        <f>TRIM(CONCATENATE('ADJ DETAIL-INPUT-Restate'!G$7," ",'ADJ DETAIL-INPUT-Restate'!G$8," ",'ADJ DETAIL-INPUT-Restate'!G$9))</f>
        <v>Deferred Debits and Credits</v>
      </c>
      <c r="D12" s="56">
        <f>'ADJ DETAIL-INPUT-Restate'!G$56</f>
        <v>-7.8000000000000007</v>
      </c>
      <c r="E12" s="56">
        <f>'ADJ DETAIL-INPUT-Restate'!G$80</f>
        <v>0</v>
      </c>
      <c r="F12" s="81"/>
      <c r="G12" s="5" t="s">
        <v>207</v>
      </c>
      <c r="H12" s="115"/>
      <c r="I12" s="111" t="s">
        <v>613</v>
      </c>
      <c r="K12" s="111" t="s">
        <v>206</v>
      </c>
    </row>
    <row r="13" spans="1:16" s="79" customFormat="1">
      <c r="A13" s="136">
        <f>'ADJ DETAIL-INPUT-Restate'!H$10</f>
        <v>1.03</v>
      </c>
      <c r="B13" s="241" t="str">
        <f>'ADJ DETAIL-INPUT-Restate'!H$11</f>
        <v xml:space="preserve">E-WC </v>
      </c>
      <c r="C13" s="8" t="str">
        <f>TRIM(CONCATENATE('ADJ DETAIL-INPUT-Restate'!H$7," ",'ADJ DETAIL-INPUT-Restate'!H$8," ",'ADJ DETAIL-INPUT-Restate'!H$9))</f>
        <v>Working Capital</v>
      </c>
      <c r="D13" s="56">
        <f>'ADJ DETAIL-INPUT-Restate'!H$56</f>
        <v>-29.564009999999996</v>
      </c>
      <c r="E13" s="127">
        <f>'ADJ DETAIL-INPUT-Restate'!H$80</f>
        <v>-3006</v>
      </c>
      <c r="F13" s="80"/>
      <c r="G13" s="5" t="s">
        <v>207</v>
      </c>
      <c r="H13" s="115"/>
      <c r="I13" s="111" t="s">
        <v>204</v>
      </c>
      <c r="K13" s="111" t="s">
        <v>206</v>
      </c>
    </row>
    <row r="14" spans="1:16" s="11" customFormat="1">
      <c r="A14" s="136">
        <f>'ADJ DETAIL-INPUT-Restate'!I$10</f>
        <v>2.0099999999999998</v>
      </c>
      <c r="B14" s="241" t="str">
        <f>'ADJ DETAIL-INPUT-Restate'!I$11</f>
        <v>E-EBO</v>
      </c>
      <c r="C14" s="8" t="str">
        <f>TRIM(CONCATENATE('ADJ DETAIL-INPUT-Restate'!I$7," ",'ADJ DETAIL-INPUT-Restate'!I$8," ",'ADJ DETAIL-INPUT-Restate'!I$9))</f>
        <v>Eliminate B &amp; O Taxes</v>
      </c>
      <c r="D14" s="56">
        <f>'ADJ DETAIL-INPUT-Restate'!I$56</f>
        <v>-95.550000000000011</v>
      </c>
      <c r="E14" s="56">
        <f>'ADJ DETAIL-INPUT-Restate'!I$80</f>
        <v>0</v>
      </c>
      <c r="F14" s="13"/>
      <c r="G14" s="5" t="s">
        <v>207</v>
      </c>
      <c r="H14" s="115"/>
      <c r="I14" s="111" t="s">
        <v>576</v>
      </c>
      <c r="K14" s="111" t="s">
        <v>206</v>
      </c>
    </row>
    <row r="15" spans="1:16" s="11" customFormat="1">
      <c r="A15" s="136">
        <f>'ADJ DETAIL-INPUT-Restate'!J$10</f>
        <v>2.0199999999999996</v>
      </c>
      <c r="B15" s="241" t="str">
        <f>'ADJ DETAIL-INPUT-Restate'!J$11</f>
        <v>E-RPT</v>
      </c>
      <c r="C15" s="8" t="str">
        <f>TRIM(CONCATENATE('ADJ DETAIL-INPUT-Restate'!J$7," ",'ADJ DETAIL-INPUT-Restate'!J$8," ",'ADJ DETAIL-INPUT-Restate'!J$9))</f>
        <v>Restate Property Tax</v>
      </c>
      <c r="D15" s="56">
        <f>'ADJ DETAIL-INPUT-Restate'!J$56</f>
        <v>162.5</v>
      </c>
      <c r="E15" s="56">
        <f>'ADJ DETAIL-INPUT-Restate'!J$80</f>
        <v>0</v>
      </c>
      <c r="F15" s="13"/>
      <c r="G15" s="272" t="s">
        <v>207</v>
      </c>
      <c r="H15" s="115"/>
      <c r="I15" s="111" t="s">
        <v>204</v>
      </c>
      <c r="K15" s="111" t="s">
        <v>206</v>
      </c>
      <c r="L15" s="101"/>
      <c r="M15" s="101"/>
      <c r="N15" s="101"/>
      <c r="O15" s="101"/>
      <c r="P15" s="101"/>
    </row>
    <row r="16" spans="1:16" s="11" customFormat="1">
      <c r="A16" s="136">
        <f>'ADJ DETAIL-INPUT-Restate'!K$10</f>
        <v>2.0299999999999994</v>
      </c>
      <c r="B16" s="241" t="str">
        <f>'ADJ DETAIL-INPUT-Restate'!K$11</f>
        <v>E-UE</v>
      </c>
      <c r="C16" s="8" t="str">
        <f>TRIM(CONCATENATE('ADJ DETAIL-INPUT-Restate'!K$7," ",'ADJ DETAIL-INPUT-Restate'!K$8," ",'ADJ DETAIL-INPUT-Restate'!K$9))</f>
        <v>Uncollect. Expense</v>
      </c>
      <c r="D16" s="56">
        <f>'ADJ DETAIL-INPUT-Restate'!K$56</f>
        <v>-858.65000000000009</v>
      </c>
      <c r="E16" s="56">
        <f>'ADJ DETAIL-INPUT-Restate'!K$80</f>
        <v>0</v>
      </c>
      <c r="F16" s="13"/>
      <c r="G16" s="5" t="s">
        <v>207</v>
      </c>
      <c r="H16" s="115"/>
      <c r="I16" s="111" t="s">
        <v>223</v>
      </c>
      <c r="K16" s="111" t="s">
        <v>206</v>
      </c>
    </row>
    <row r="17" spans="1:12" s="11" customFormat="1">
      <c r="A17" s="136">
        <f>'ADJ DETAIL-INPUT-Restate'!L$10</f>
        <v>2.0399999999999991</v>
      </c>
      <c r="B17" s="241" t="str">
        <f>'ADJ DETAIL-INPUT-Restate'!L$11</f>
        <v>E-RE</v>
      </c>
      <c r="C17" s="8" t="str">
        <f>TRIM(CONCATENATE('ADJ DETAIL-INPUT-Restate'!L$7," ",'ADJ DETAIL-INPUT-Restate'!L$8," ",'ADJ DETAIL-INPUT-Restate'!L$9))</f>
        <v>Regulatory Expense</v>
      </c>
      <c r="D17" s="56">
        <f>'ADJ DETAIL-INPUT-Restate'!L$56</f>
        <v>-4.5500000000000007</v>
      </c>
      <c r="E17" s="56">
        <f>'ADJ DETAIL-INPUT-Restate'!L$80</f>
        <v>0</v>
      </c>
      <c r="F17" s="13"/>
      <c r="G17" s="5" t="s">
        <v>208</v>
      </c>
      <c r="H17" s="115"/>
      <c r="I17" s="111" t="s">
        <v>613</v>
      </c>
      <c r="K17" s="111" t="s">
        <v>206</v>
      </c>
    </row>
    <row r="18" spans="1:12" s="11" customFormat="1">
      <c r="A18" s="136">
        <f>'ADJ DETAIL-INPUT-Restate'!M$10</f>
        <v>2.0499999999999989</v>
      </c>
      <c r="B18" s="241" t="str">
        <f>'ADJ DETAIL-INPUT-Restate'!M$11</f>
        <v>E-ID</v>
      </c>
      <c r="C18" s="8" t="str">
        <f>TRIM(CONCATENATE('ADJ DETAIL-INPUT-Restate'!M$7," ",'ADJ DETAIL-INPUT-Restate'!M$8," ",'ADJ DETAIL-INPUT-Restate'!M$9))</f>
        <v>Injuries and Damages</v>
      </c>
      <c r="D18" s="56">
        <f>'ADJ DETAIL-INPUT-Restate'!M$56</f>
        <v>-98.15</v>
      </c>
      <c r="E18" s="56">
        <f>'ADJ DETAIL-INPUT-Restate'!M$80</f>
        <v>0</v>
      </c>
      <c r="F18" s="13"/>
      <c r="G18" s="5" t="s">
        <v>208</v>
      </c>
      <c r="H18" s="115"/>
      <c r="I18" s="111" t="s">
        <v>613</v>
      </c>
      <c r="K18" s="111" t="s">
        <v>206</v>
      </c>
    </row>
    <row r="19" spans="1:12" s="79" customFormat="1">
      <c r="A19" s="136">
        <f>'ADJ DETAIL-INPUT-Restate'!N$10</f>
        <v>2.0599999999999987</v>
      </c>
      <c r="B19" s="241" t="str">
        <f>'ADJ DETAIL-INPUT-Restate'!N$11</f>
        <v xml:space="preserve">E-FIT </v>
      </c>
      <c r="C19" s="8" t="str">
        <f>TRIM(CONCATENATE('ADJ DETAIL-INPUT-Restate'!N$7," ",'ADJ DETAIL-INPUT-Restate'!N$8," ",'ADJ DETAIL-INPUT-Restate'!N$9))</f>
        <v>FIT/DFIT/ ITC Expense</v>
      </c>
      <c r="D19" s="127">
        <f>'ADJ DETAIL-INPUT-Restate'!N$56</f>
        <v>-69</v>
      </c>
      <c r="E19" s="56">
        <f>'ADJ DETAIL-INPUT-Restate'!N$80</f>
        <v>0</v>
      </c>
      <c r="F19" s="80"/>
      <c r="G19" s="5" t="s">
        <v>200</v>
      </c>
      <c r="I19" s="111" t="s">
        <v>576</v>
      </c>
      <c r="J19" s="111"/>
      <c r="K19" s="111" t="s">
        <v>206</v>
      </c>
    </row>
    <row r="20" spans="1:12">
      <c r="A20" s="136">
        <f>'ADJ DETAIL-INPUT-Restate'!O$10</f>
        <v>2.0699999999999985</v>
      </c>
      <c r="B20" s="241" t="str">
        <f>'ADJ DETAIL-INPUT-Restate'!O$11</f>
        <v>E-OSC</v>
      </c>
      <c r="C20" s="8" t="str">
        <f>TRIM(CONCATENATE('ADJ DETAIL-INPUT-Restate'!O$7," ",'ADJ DETAIL-INPUT-Restate'!O$8," ",'ADJ DETAIL-INPUT-Restate'!O$9))</f>
        <v>Office Space Charges to Non-Utility</v>
      </c>
      <c r="D20" s="56">
        <f>'ADJ DETAIL-INPUT-Restate'!O$56</f>
        <v>20.149999999999999</v>
      </c>
      <c r="E20" s="56">
        <f>'ADJ DETAIL-INPUT-Restate'!O$80</f>
        <v>0</v>
      </c>
      <c r="G20" s="5" t="s">
        <v>207</v>
      </c>
      <c r="I20" s="111" t="s">
        <v>223</v>
      </c>
      <c r="K20" s="111" t="s">
        <v>206</v>
      </c>
    </row>
    <row r="21" spans="1:12" s="79" customFormat="1">
      <c r="A21" s="136">
        <f>'ADJ DETAIL-INPUT-Restate'!P$10</f>
        <v>2.0799999999999983</v>
      </c>
      <c r="B21" s="241" t="str">
        <f>'ADJ DETAIL-INPUT-Restate'!P$11</f>
        <v>E-RET</v>
      </c>
      <c r="C21" s="8" t="str">
        <f>TRIM(CONCATENATE('ADJ DETAIL-INPUT-Restate'!P$7," ",'ADJ DETAIL-INPUT-Restate'!P$8," ",'ADJ DETAIL-INPUT-Restate'!P$9))</f>
        <v>Restate Excise Taxes</v>
      </c>
      <c r="D21" s="56">
        <f>'ADJ DETAIL-INPUT-Restate'!P$56</f>
        <v>40.299999999999997</v>
      </c>
      <c r="E21" s="56">
        <f>'ADJ DETAIL-INPUT-Restate'!P$80</f>
        <v>0</v>
      </c>
      <c r="F21" s="81"/>
      <c r="G21" s="5" t="s">
        <v>207</v>
      </c>
      <c r="H21" s="115"/>
      <c r="I21" s="111" t="s">
        <v>576</v>
      </c>
      <c r="K21" s="111" t="s">
        <v>206</v>
      </c>
      <c r="L21" s="289"/>
    </row>
    <row r="22" spans="1:12" s="79" customFormat="1">
      <c r="A22" s="136">
        <f>'ADJ DETAIL-INPUT-Restate'!Q$10</f>
        <v>2.0899999999999981</v>
      </c>
      <c r="B22" s="241" t="str">
        <f>'ADJ DETAIL-INPUT-Restate'!Q$11</f>
        <v>E-NGL</v>
      </c>
      <c r="C22" s="8" t="str">
        <f>TRIM(CONCATENATE('ADJ DETAIL-INPUT-Restate'!Q$7," ",'ADJ DETAIL-INPUT-Restate'!Q$8," ",'ADJ DETAIL-INPUT-Restate'!Q$9))</f>
        <v>Net Gains / Losses</v>
      </c>
      <c r="D22" s="56">
        <f>'ADJ DETAIL-INPUT-Restate'!Q$56</f>
        <v>61.1</v>
      </c>
      <c r="E22" s="56">
        <f>'ADJ DETAIL-INPUT-Restate'!Q$80</f>
        <v>0</v>
      </c>
      <c r="F22" s="81"/>
      <c r="G22" s="5" t="s">
        <v>208</v>
      </c>
      <c r="H22" s="115"/>
      <c r="I22" s="111" t="s">
        <v>613</v>
      </c>
      <c r="K22" s="111" t="s">
        <v>206</v>
      </c>
    </row>
    <row r="23" spans="1:12">
      <c r="A23" s="136">
        <f>'ADJ DETAIL-INPUT-Restate'!R$10</f>
        <v>2.0999999999999979</v>
      </c>
      <c r="B23" s="241" t="str">
        <f>'ADJ DETAIL-INPUT-Restate'!R$11</f>
        <v>E-WN</v>
      </c>
      <c r="C23" s="8" t="str">
        <f>TRIM(CONCATENATE('ADJ DETAIL-INPUT-Restate'!R$7," ",'ADJ DETAIL-INPUT-Restate'!R$8," ",'ADJ DETAIL-INPUT-Restate'!R$9))</f>
        <v>Weather Normalization</v>
      </c>
      <c r="D23" s="56">
        <f>'ADJ DETAIL-INPUT-Restate'!R$56</f>
        <v>824.85</v>
      </c>
      <c r="E23" s="56">
        <f>'ADJ DETAIL-INPUT-Restate'!R$80</f>
        <v>0</v>
      </c>
      <c r="F23" s="15"/>
      <c r="G23" s="5" t="s">
        <v>205</v>
      </c>
      <c r="I23" s="111" t="s">
        <v>576</v>
      </c>
      <c r="K23" s="111" t="s">
        <v>206</v>
      </c>
    </row>
    <row r="24" spans="1:12" s="79" customFormat="1">
      <c r="A24" s="136">
        <f>'ADJ DETAIL-INPUT-Restate'!S$10</f>
        <v>2.1099999999999977</v>
      </c>
      <c r="B24" s="241" t="str">
        <f>'ADJ DETAIL-INPUT-Restate'!S$11</f>
        <v>E-EAS</v>
      </c>
      <c r="C24" s="8" t="str">
        <f>TRIM(CONCATENATE('ADJ DETAIL-INPUT-Restate'!S$7," ",'ADJ DETAIL-INPUT-Restate'!S$8," ",'ADJ DETAIL-INPUT-Restate'!S$9))</f>
        <v>Eliminate Adder Schedules</v>
      </c>
      <c r="D24" s="127">
        <f>'ADJ DETAIL-INPUT-Restate'!S$56</f>
        <v>0</v>
      </c>
      <c r="E24" s="56">
        <f>'ADJ DETAIL-INPUT-Restate'!T$80</f>
        <v>0</v>
      </c>
      <c r="F24" s="80"/>
      <c r="G24" s="280" t="s">
        <v>211</v>
      </c>
      <c r="H24" s="118"/>
      <c r="I24" s="111" t="s">
        <v>613</v>
      </c>
      <c r="K24" s="111" t="s">
        <v>206</v>
      </c>
    </row>
    <row r="25" spans="1:12" s="79" customFormat="1">
      <c r="A25" s="136">
        <f>'ADJ DETAIL-INPUT-Restate'!T$10</f>
        <v>2.1199999999999974</v>
      </c>
      <c r="B25" s="241" t="str">
        <f>'ADJ DETAIL-INPUT-Restate'!T$11</f>
        <v>E-MR</v>
      </c>
      <c r="C25" s="8" t="str">
        <f>TRIM(CONCATENATE('ADJ DETAIL-INPUT-Restate'!T$7," ",'ADJ DETAIL-INPUT-Restate'!T$8," ",'ADJ DETAIL-INPUT-Restate'!T$9))</f>
        <v>Misc. Restating Non-Util / Non- Recurring Expenses</v>
      </c>
      <c r="D25" s="127">
        <f>'ADJ DETAIL-INPUT-Restate'!T$56</f>
        <v>-969.15</v>
      </c>
      <c r="E25" s="56">
        <f>'ADJ DETAIL-INPUT-Restate'!T$80</f>
        <v>0</v>
      </c>
      <c r="F25" s="80"/>
      <c r="G25" s="5" t="s">
        <v>211</v>
      </c>
      <c r="H25" s="118"/>
      <c r="I25" s="111" t="s">
        <v>613</v>
      </c>
      <c r="K25" s="111" t="s">
        <v>206</v>
      </c>
      <c r="L25" s="138"/>
    </row>
    <row r="26" spans="1:12" s="11" customFormat="1">
      <c r="A26" s="136">
        <f>'ADJ DETAIL-INPUT-Restate'!U$10</f>
        <v>2.1299999999999972</v>
      </c>
      <c r="B26" s="241" t="str">
        <f>'ADJ DETAIL-INPUT-Restate'!U$11</f>
        <v>E-EWPC</v>
      </c>
      <c r="C26" s="8" t="str">
        <f>TRIM(CONCATENATE('ADJ DETAIL-INPUT-Restate'!U$7," ",'ADJ DETAIL-INPUT-Restate'!U$8," ",'ADJ DETAIL-INPUT-Restate'!U$9))</f>
        <v>Eliminate WA Power Cost Defer</v>
      </c>
      <c r="D26" s="56">
        <f>'ADJ DETAIL-INPUT-Restate'!U$56</f>
        <v>4386</v>
      </c>
      <c r="E26" s="56">
        <f>'ADJ DETAIL-INPUT-Restate'!U$80</f>
        <v>0</v>
      </c>
      <c r="F26" s="13"/>
      <c r="G26" s="5" t="s">
        <v>203</v>
      </c>
      <c r="H26" s="117" t="s">
        <v>209</v>
      </c>
      <c r="I26" s="111" t="s">
        <v>224</v>
      </c>
      <c r="K26" s="111" t="s">
        <v>206</v>
      </c>
    </row>
    <row r="27" spans="1:12" s="11" customFormat="1">
      <c r="A27" s="136">
        <f>'ADJ DETAIL-INPUT-Restate'!V$10</f>
        <v>2.139999999999997</v>
      </c>
      <c r="B27" s="241" t="str">
        <f>'ADJ DETAIL-INPUT-Restate'!V$11</f>
        <v>E-NPS</v>
      </c>
      <c r="C27" s="8" t="str">
        <f>TRIM(CONCATENATE('ADJ DETAIL-INPUT-Restate'!V$7," ",'ADJ DETAIL-INPUT-Restate'!V$8," ",'ADJ DETAIL-INPUT-Restate'!V$9))</f>
        <v>Nez Perce Settlement Adjustment</v>
      </c>
      <c r="D27" s="56">
        <f>'ADJ DETAIL-INPUT-Restate'!V$56</f>
        <v>2.6</v>
      </c>
      <c r="E27" s="56">
        <f>'ADJ DETAIL-INPUT-Restate'!V$80</f>
        <v>0</v>
      </c>
      <c r="F27" s="13"/>
      <c r="G27" s="5" t="s">
        <v>207</v>
      </c>
      <c r="H27" s="115"/>
      <c r="I27" s="111" t="s">
        <v>204</v>
      </c>
      <c r="K27" s="111" t="s">
        <v>206</v>
      </c>
    </row>
    <row r="28" spans="1:12" s="11" customFormat="1">
      <c r="A28" s="136">
        <f>'ADJ DETAIL-INPUT-Restate'!W$10</f>
        <v>2.1499999999999968</v>
      </c>
      <c r="B28" s="241" t="str">
        <f>'ADJ DETAIL-INPUT-Restate'!W$11</f>
        <v>E-RI</v>
      </c>
      <c r="C28" s="8" t="str">
        <f>TRIM(CONCATENATE('ADJ DETAIL-INPUT-Restate'!W$7," ",'ADJ DETAIL-INPUT-Restate'!W$8," ",'ADJ DETAIL-INPUT-Restate'!W$9))</f>
        <v>Restating Incentives</v>
      </c>
      <c r="D28" s="56">
        <f>'ADJ DETAIL-INPUT-Restate'!W$56</f>
        <v>406.9</v>
      </c>
      <c r="E28" s="56">
        <f>'ADJ DETAIL-INPUT-Restate'!W$80</f>
        <v>0</v>
      </c>
      <c r="F28" s="13"/>
      <c r="G28" s="449" t="s">
        <v>207</v>
      </c>
      <c r="H28" s="115"/>
      <c r="I28" s="111" t="s">
        <v>224</v>
      </c>
      <c r="K28" s="111" t="s">
        <v>206</v>
      </c>
    </row>
    <row r="29" spans="1:12" s="93" customFormat="1">
      <c r="A29" s="298">
        <f>'ADJ DETAIL-INPUT-Restate'!X$10</f>
        <v>2.1599999999999966</v>
      </c>
      <c r="B29" s="267" t="str">
        <f>'ADJ DETAIL-INPUT-Restate'!X$11</f>
        <v>E-PMM</v>
      </c>
      <c r="C29" s="268" t="str">
        <f>TRIM(CONCATENATE('ADJ DETAIL-INPUT-Restate'!X$7," ",'ADJ DETAIL-INPUT-Restate'!X$8," ",'ADJ DETAIL-INPUT-Restate'!X$9))</f>
        <v>Normalize CS2/Colstrip Major Maint</v>
      </c>
      <c r="D29" s="122">
        <f>'ADJ DETAIL-INPUT-Restate'!X$56</f>
        <v>763.1</v>
      </c>
      <c r="E29" s="323">
        <f>'ADJ DETAIL-INPUT-Restate'!X$80</f>
        <v>0</v>
      </c>
      <c r="F29" s="299"/>
      <c r="G29" s="288"/>
      <c r="H29" s="297"/>
      <c r="I29" s="111" t="s">
        <v>206</v>
      </c>
      <c r="K29" s="111" t="s">
        <v>206</v>
      </c>
      <c r="L29" s="302"/>
    </row>
    <row r="30" spans="1:12" s="96" customFormat="1">
      <c r="A30" s="137">
        <f>'ADJ DETAIL-INPUT-Restate'!Y$10</f>
        <v>2.1699999999999964</v>
      </c>
      <c r="B30" s="241" t="str">
        <f>'ADJ DETAIL-INPUT-Restate'!Y$11</f>
        <v>E-RDI</v>
      </c>
      <c r="C30" s="119" t="str">
        <f>TRIM(CONCATENATE('ADJ DETAIL-INPUT-Restate'!Y$7," ",'ADJ DETAIL-INPUT-Restate'!Y$8," ",'ADJ DETAIL-INPUT-Restate'!Y$9))</f>
        <v>Restate Debt Interest</v>
      </c>
      <c r="D30" s="102">
        <f>'ADJ DETAIL-INPUT-Restate'!Y$56</f>
        <v>455</v>
      </c>
      <c r="E30" s="102">
        <f>'ADJ DETAIL-INPUT-Restate'!Y$80</f>
        <v>0</v>
      </c>
      <c r="F30" s="97"/>
      <c r="G30" s="120" t="s">
        <v>206</v>
      </c>
      <c r="H30" s="116"/>
      <c r="I30" s="111" t="s">
        <v>206</v>
      </c>
      <c r="K30" s="111" t="s">
        <v>206</v>
      </c>
      <c r="L30" s="375"/>
    </row>
    <row r="31" spans="1:12" s="79" customFormat="1" ht="12" customHeight="1">
      <c r="A31" s="136">
        <f>'ADJ DETAIL-INPUT-Restate'!AA$10</f>
        <v>2.1799999999999962</v>
      </c>
      <c r="B31" s="241" t="str">
        <f>'ADJ DETAIL-INPUT-Restate'!Z$11</f>
        <v>E-APS</v>
      </c>
      <c r="C31" s="119" t="str">
        <f>TRIM(CONCATENATE('ADJ DETAIL-INPUT-Restate'!Z$7," ",'ADJ DETAIL-INPUT-Restate'!Z$8," ",'ADJ DETAIL-INPUT-Restate'!Z$9))</f>
        <v>Authorized Power Supply</v>
      </c>
      <c r="D31" s="323">
        <f>'ADJ DETAIL-INPUT-Restate'!Z$56</f>
        <v>-7696</v>
      </c>
      <c r="E31" s="323">
        <f>'ADJ DETAIL-INPUT-Restate'!Z$80</f>
        <v>0</v>
      </c>
      <c r="F31" s="80"/>
      <c r="G31" s="252" t="s">
        <v>211</v>
      </c>
      <c r="H31" s="118"/>
      <c r="I31" s="111" t="s">
        <v>576</v>
      </c>
      <c r="K31" s="111" t="s">
        <v>206</v>
      </c>
    </row>
    <row r="32" spans="1:12" s="79" customFormat="1" hidden="1">
      <c r="A32" s="136">
        <f>'ADJ DETAIL-INPUT-Restate'!AB$10</f>
        <v>2.1899999999999959</v>
      </c>
      <c r="B32" s="241" t="str">
        <f>'ADJ DETAIL-INPUT-Restate'!AB$11</f>
        <v>OPEN</v>
      </c>
      <c r="C32" s="8" t="str">
        <f>TRIM(CONCATENATE('ADJ DETAIL-INPUT-Restate'!AB$7," ",'ADJ DETAIL-INPUT-Restate'!AB$8," ",'ADJ DETAIL-INPUT-Restate'!AB$9))</f>
        <v>OPEN</v>
      </c>
      <c r="D32" s="138">
        <f>'ADJ DETAIL-INPUT-Restate'!AB$56</f>
        <v>0</v>
      </c>
      <c r="E32" s="138">
        <f>'ADJ DETAIL-INPUT-Restate'!AB$80</f>
        <v>0</v>
      </c>
      <c r="F32" s="80"/>
      <c r="G32" s="5" t="s">
        <v>207</v>
      </c>
      <c r="H32" s="115"/>
      <c r="J32" s="1"/>
      <c r="K32" s="12"/>
    </row>
    <row r="33" spans="1:12" s="66" customFormat="1" ht="20.25" hidden="1" customHeight="1">
      <c r="A33" s="121"/>
      <c r="B33" s="121"/>
      <c r="C33" s="95"/>
      <c r="D33" s="275"/>
      <c r="E33" s="275"/>
      <c r="F33" s="98"/>
      <c r="G33" s="9"/>
      <c r="H33" s="116"/>
      <c r="J33" s="1"/>
    </row>
    <row r="34" spans="1:12" ht="13.5" thickBot="1">
      <c r="A34" s="9"/>
      <c r="B34" s="9"/>
      <c r="C34" s="93" t="s">
        <v>59</v>
      </c>
      <c r="D34" s="276">
        <f>SUM(D10:D33)</f>
        <v>106913.01300000002</v>
      </c>
      <c r="E34" s="276">
        <f>SUM(E10:E33)</f>
        <v>1442726</v>
      </c>
      <c r="F34" s="109">
        <f>D34/E34</f>
        <v>7.4104863293515205E-2</v>
      </c>
      <c r="G34" s="9"/>
      <c r="H34" s="116"/>
      <c r="I34" s="1"/>
      <c r="J34" s="1"/>
    </row>
    <row r="35" spans="1:12" ht="13.5" thickTop="1">
      <c r="A35" s="114" t="s">
        <v>230</v>
      </c>
      <c r="B35" s="114"/>
      <c r="C35" s="93"/>
      <c r="D35" s="142"/>
      <c r="E35" s="143"/>
      <c r="F35" s="123"/>
      <c r="G35" s="9"/>
      <c r="H35" s="116"/>
      <c r="I35" s="1"/>
      <c r="J35" s="1"/>
    </row>
    <row r="36" spans="1:12" s="96" customFormat="1">
      <c r="A36" s="298" t="str">
        <f>'ADJ DETAIL-INPUT-Restate'!AD$10</f>
        <v>Remove</v>
      </c>
      <c r="B36" s="296">
        <f>'ADJ DETAIL-INPUT-Restate'!AD$11</f>
        <v>0</v>
      </c>
      <c r="C36" s="268" t="str">
        <f>TRIM(CONCATENATE('ADJ DETAIL-INPUT-Restate'!AD$7," ",'ADJ DETAIL-INPUT-Restate'!AD$8," ",'ADJ DETAIL-INPUT-Restate'!AD$9))</f>
        <v>Remove Authorized Power Supply</v>
      </c>
      <c r="D36" s="143">
        <f>'ADJ DETAIL-INPUT-Restate'!AD$56</f>
        <v>0.19575074999593201</v>
      </c>
      <c r="E36" s="323">
        <f>'ADJ DETAIL-INPUT-Restate'!AD$80</f>
        <v>0</v>
      </c>
      <c r="F36" s="299"/>
      <c r="G36" s="300" t="s">
        <v>214</v>
      </c>
      <c r="H36" s="297"/>
      <c r="I36" s="111" t="s">
        <v>206</v>
      </c>
      <c r="K36" s="111" t="s">
        <v>206</v>
      </c>
      <c r="L36" s="301"/>
    </row>
    <row r="37" spans="1:12" ht="13.5" thickBot="1">
      <c r="A37" s="439"/>
      <c r="B37" s="439"/>
      <c r="C37" s="455" t="s">
        <v>626</v>
      </c>
      <c r="D37" s="470">
        <f>SUM(D34:D36)</f>
        <v>106913.20875075001</v>
      </c>
      <c r="E37" s="470">
        <f>SUM(E34:E36)</f>
        <v>1442726</v>
      </c>
      <c r="F37" s="471">
        <f>D37/E37</f>
        <v>7.4104998974684047E-2</v>
      </c>
      <c r="G37" s="439"/>
      <c r="I37" s="1"/>
      <c r="J37" s="1"/>
    </row>
    <row r="38" spans="1:12" s="96" customFormat="1" ht="13.5" thickTop="1">
      <c r="A38" s="298"/>
      <c r="B38" s="296"/>
      <c r="C38" s="268"/>
      <c r="D38" s="143"/>
      <c r="E38" s="143"/>
      <c r="F38" s="299"/>
      <c r="G38" s="300"/>
      <c r="H38" s="297"/>
      <c r="J38" s="111"/>
      <c r="K38" s="107"/>
      <c r="L38" s="301"/>
    </row>
    <row r="39" spans="1:12" s="93" customFormat="1">
      <c r="A39" s="298" t="e">
        <f>'ADJ DETAIL-INPUT-Restate'!#REF!</f>
        <v>#REF!</v>
      </c>
      <c r="B39" s="267" t="e">
        <f>'ADJ DETAIL-INPUT-Restate'!#REF!</f>
        <v>#REF!</v>
      </c>
      <c r="C39" s="268" t="e">
        <f>TRIM(CONCATENATE('ADJ DETAIL-INPUT-Restate'!#REF!," ",'ADJ DETAIL-INPUT-Restate'!#REF!," ",'ADJ DETAIL-INPUT-Restate'!#REF!))</f>
        <v>#REF!</v>
      </c>
      <c r="D39" s="143" t="e">
        <f>'ADJ DETAIL-INPUT-Restate'!#REF!</f>
        <v>#REF!</v>
      </c>
      <c r="E39" s="143" t="e">
        <f>'ADJ DETAIL-INPUT-Restate'!#REF!</f>
        <v>#REF!</v>
      </c>
      <c r="F39" s="110"/>
      <c r="G39" s="120" t="s">
        <v>206</v>
      </c>
      <c r="H39" s="116"/>
      <c r="I39" s="388" t="s">
        <v>576</v>
      </c>
      <c r="K39" s="111" t="s">
        <v>206</v>
      </c>
    </row>
    <row r="40" spans="1:12" s="101" customFormat="1">
      <c r="A40" s="440"/>
      <c r="B40" s="451"/>
      <c r="C40" s="441"/>
      <c r="D40" s="442"/>
      <c r="E40" s="442"/>
      <c r="F40" s="443"/>
      <c r="G40" s="288"/>
      <c r="H40" s="297"/>
      <c r="I40" s="452"/>
      <c r="J40" s="288"/>
      <c r="K40" s="86"/>
      <c r="L40" s="129"/>
    </row>
    <row r="41" spans="1:12" s="93" customFormat="1" ht="13.5" thickBot="1">
      <c r="B41" s="450"/>
      <c r="C41" s="260" t="s">
        <v>627</v>
      </c>
      <c r="D41" s="453" t="e">
        <f>D37+D39</f>
        <v>#REF!</v>
      </c>
      <c r="E41" s="453" t="e">
        <f>E37+E39</f>
        <v>#REF!</v>
      </c>
      <c r="F41" s="454" t="e">
        <f>D41/E41</f>
        <v>#REF!</v>
      </c>
      <c r="G41" s="450"/>
      <c r="H41" s="116"/>
      <c r="I41" s="450"/>
    </row>
    <row r="42" spans="1:12" ht="13.5" thickTop="1">
      <c r="A42" s="114"/>
      <c r="B42" s="439"/>
      <c r="C42" s="444"/>
      <c r="D42" s="143"/>
      <c r="E42" s="143"/>
      <c r="F42" s="445"/>
      <c r="G42" s="439"/>
      <c r="I42" s="439"/>
      <c r="J42" s="1"/>
    </row>
    <row r="43" spans="1:12">
      <c r="A43" s="114" t="s">
        <v>544</v>
      </c>
      <c r="B43" s="477" t="s">
        <v>545</v>
      </c>
      <c r="C43" s="86" t="s">
        <v>105</v>
      </c>
      <c r="D43" s="144"/>
      <c r="E43" s="144"/>
      <c r="F43" s="76"/>
      <c r="I43" s="111" t="s">
        <v>223</v>
      </c>
      <c r="J43" s="1"/>
      <c r="K43" s="111" t="s">
        <v>206</v>
      </c>
    </row>
  </sheetData>
  <customSheetViews>
    <customSheetView guid="{6E1B8C45-B07F-11D2-B0DC-0000832CDFF0}" scale="75" showPageBreaks="1" printArea="1" hiddenRows="1" showRuler="0" topLeftCell="A49">
      <selection activeCell="O30" sqref="O30"/>
      <rowBreaks count="1" manualBreakCount="1">
        <brk id="48" max="65535" man="1"/>
      </rowBreaks>
      <pageMargins left="0.75" right="0.75" top="1" bottom="1" header="0.5" footer="0.5"/>
      <pageSetup orientation="portrait" horizontalDpi="4294967292" verticalDpi="0" r:id="rId1"/>
      <headerFooter alignWithMargins="0">
        <oddHeader xml:space="preserve">&amp;C
</oddHeader>
        <oddFooter xml:space="preserve">&amp;C
</oddFooter>
      </headerFooter>
    </customSheetView>
    <customSheetView guid="{A15D1962-B049-11D2-8670-0000832CEEE8}" scale="75" showPageBreaks="1" hiddenRows="1" showRuler="0" topLeftCell="A20">
      <selection activeCell="A42" sqref="A42:IV47"/>
      <rowBreaks count="1" manualBreakCount="1">
        <brk id="48" max="65535" man="1"/>
      </rowBreaks>
      <pageMargins left="0.75" right="0.75" top="1" bottom="1" header="0.5" footer="0.5"/>
      <pageSetup orientation="portrait" horizontalDpi="4294967292" verticalDpi="0" r:id="rId2"/>
      <headerFooter alignWithMargins="0">
        <oddHeader xml:space="preserve">&amp;C
</oddHeader>
        <oddFooter xml:space="preserve">&amp;C
</oddFooter>
      </headerFooter>
    </customSheetView>
  </customSheetViews>
  <mergeCells count="4">
    <mergeCell ref="A1:F1"/>
    <mergeCell ref="A2:F2"/>
    <mergeCell ref="A3:F3"/>
    <mergeCell ref="A4:F4"/>
  </mergeCells>
  <phoneticPr fontId="0" type="noConversion"/>
  <pageMargins left="1.1000000000000001" right="0.75" top="1.1299999999999999" bottom="0.75" header="0.5" footer="0.5"/>
  <pageSetup scale="87" orientation="portrait" horizontalDpi="1200" verticalDpi="1200" r:id="rId3"/>
  <headerFooter alignWithMargins="0">
    <oddHeader xml:space="preserve">&amp;C
</oddHeader>
    <oddFooter xml:space="preserve">&amp;C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293D7BF2DB2434CBA4573E3DBB11230" ma:contentTypeVersion="92" ma:contentTypeDescription="" ma:contentTypeScope="" ma:versionID="60b0b77e4944c850bac245fb75c837f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2017-05-26T07:00:00+00:00</OpenedDate>
    <Date1 xmlns="dc463f71-b30c-4ab2-9473-d307f9d35888">2017-12-01T08:00:00+00:00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170485</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7D143184-5E06-4677-8BF6-C63EEFE12766}"/>
</file>

<file path=customXml/itemProps2.xml><?xml version="1.0" encoding="utf-8"?>
<ds:datastoreItem xmlns:ds="http://schemas.openxmlformats.org/officeDocument/2006/customXml" ds:itemID="{2AF746F2-F1D7-4A15-BC2C-C2D95B8BBA5A}"/>
</file>

<file path=customXml/itemProps3.xml><?xml version="1.0" encoding="utf-8"?>
<ds:datastoreItem xmlns:ds="http://schemas.openxmlformats.org/officeDocument/2006/customXml" ds:itemID="{ABA4B662-758E-4520-9E00-BC0E27878B2F}"/>
</file>

<file path=customXml/itemProps4.xml><?xml version="1.0" encoding="utf-8"?>
<ds:datastoreItem xmlns:ds="http://schemas.openxmlformats.org/officeDocument/2006/customXml" ds:itemID="{B40279C7-8F87-4848-AC73-7615F7663F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Revised Year 2-3 - Table</vt:lpstr>
      <vt:lpstr>ADJ DETAIL-INPUT-Restate</vt:lpstr>
      <vt:lpstr>2007-2016 Data</vt:lpstr>
      <vt:lpstr>CBR Hist</vt:lpstr>
      <vt:lpstr>Reg Amorts</vt:lpstr>
      <vt:lpstr>Cost of Capital</vt:lpstr>
      <vt:lpstr>DEBT CALC</vt:lpstr>
      <vt:lpstr>ADJ SUMMARY</vt:lpstr>
      <vt:lpstr>ROO INPUT</vt:lpstr>
      <vt:lpstr>CF </vt:lpstr>
      <vt:lpstr>Table</vt:lpstr>
      <vt:lpstr>ID_Elec</vt:lpstr>
      <vt:lpstr>'2007-2016 Data'!Print_Area</vt:lpstr>
      <vt:lpstr>'ADJ DETAIL-INPUT-Restate'!Print_Area</vt:lpstr>
      <vt:lpstr>'ADJ SUMMARY'!Print_Area</vt:lpstr>
      <vt:lpstr>'CBR Hist'!Print_Area</vt:lpstr>
      <vt:lpstr>'CF '!Print_Area</vt:lpstr>
      <vt:lpstr>'DEBT CALC'!Print_Area</vt:lpstr>
      <vt:lpstr>'ROO INPUT'!Print_Area</vt:lpstr>
      <vt:lpstr>Print_for_CBReport</vt:lpstr>
      <vt:lpstr>'2007-2016 Data'!Print_Titles</vt:lpstr>
      <vt:lpstr>'CBR Hist'!Print_Titles</vt:lpstr>
      <vt:lpstr>'ROO INPUT'!Print_Titles</vt:lpstr>
      <vt:lpstr>WA_Elec</vt:lpstr>
    </vt:vector>
  </TitlesOfParts>
  <Company>Micron Electronics,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Liz Andrews</cp:lastModifiedBy>
  <cp:lastPrinted>2017-11-30T17:26:59Z</cp:lastPrinted>
  <dcterms:created xsi:type="dcterms:W3CDTF">1997-05-15T21:41:44Z</dcterms:created>
  <dcterms:modified xsi:type="dcterms:W3CDTF">2017-11-30T17:27:16Z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0x0101006E56B4D1795A2E4DB2F0B01679ED314A004293D7BF2DB2434CBA4573E3DBB11230</vt:lpwstr>
  </property>
  <property fmtid="{D5CDD505-2E9C-101B-9397-08002B2CF9AE}" pid="3" name="_docset_NoMedatataSyncRequired">
    <vt:lpwstr>False</vt:lpwstr>
  </property>
  <property fmtid="{D5CDD505-2E9C-101B-9397-08002B2CF9AE}" pid="4" name="IsEFSEC">
    <vt:bool>false</vt:bool>
  </property>
</Properties>
</file>