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025" tabRatio="561" activeTab="0"/>
  </bookViews>
  <sheets>
    <sheet name="mode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>'model'!#REF!</definedName>
    <definedName name="apeek">'model'!$EF$46</definedName>
    <definedName name="BADDEBT">'model'!#REF!</definedName>
    <definedName name="BD">'model'!#REF!</definedName>
    <definedName name="BEP">'model'!#REF!</definedName>
    <definedName name="COLHOUSE">'model'!#REF!</definedName>
    <definedName name="COLXFER">'model'!#REF!</definedName>
    <definedName name="COMPINSR">'model'!#REF!</definedName>
    <definedName name="CONSERV">'model'!#REF!</definedName>
    <definedName name="CONVFACT">'model'!$Y$3:$AC$29</definedName>
    <definedName name="CUSTDEP">'model'!#REF!</definedName>
    <definedName name="DEPRECIATION">'model'!#REF!</definedName>
    <definedName name="DOCKET">'model'!$A$7</definedName>
    <definedName name="EMPLBENE">'model'!$BK$4:$BN$17</definedName>
    <definedName name="FACTORS">'model'!$CU$4:$CY$16</definedName>
    <definedName name="FF">'model'!$AC$13</definedName>
    <definedName name="FIELDCHRG">'model'!#REF!</definedName>
    <definedName name="FIT">'model'!$AB$28</definedName>
    <definedName name="INCSTMNT">'model'!$EB$4:$IV$47</definedName>
    <definedName name="INTRESEXCH">'model'!#REF!</definedName>
    <definedName name="INVPLAN">'model'!$BO$4:$BR$34</definedName>
    <definedName name="LATEPAY">'model'!#REF!</definedName>
    <definedName name="MERGER_COST">'[4]Sheet1'!$AF$3:$AJ$28</definedName>
    <definedName name="MISCELLANEOUS">'model'!$AI$1</definedName>
    <definedName name="MT">'model'!$AC$15</definedName>
    <definedName name="OBCLEASE">'model'!#REF!</definedName>
    <definedName name="OPEXPPF">'model'!#REF!</definedName>
    <definedName name="OPEXPRS">'model'!$AI$4:$AM$20</definedName>
    <definedName name="PEBBLE">'model'!#REF!</definedName>
    <definedName name="_xlnm.Print_Area" localSheetId="0">'model'!$A$1:$EH$56</definedName>
    <definedName name="PRO_FORMA">'model'!$DU$4:$EC$50</definedName>
    <definedName name="PRODADJ">'model'!#REF!</definedName>
    <definedName name="PROPSALES">'model'!#REF!</definedName>
    <definedName name="PSPL">'model'!$A$4</definedName>
    <definedName name="PWRCSTPF">'model'!#REF!</definedName>
    <definedName name="PWRCSTRS">'model'!$G$4:$L$27</definedName>
    <definedName name="PWRCSTWP">'model'!$M$19:$N$116</definedName>
    <definedName name="PWRCSTWR">'model'!#REF!</definedName>
    <definedName name="RATEBASE">'model'!$A$4:$F$51</definedName>
    <definedName name="RATECASE">'model'!#REF!</definedName>
    <definedName name="RESTATING">'model'!$DB$4:$EA$49</definedName>
    <definedName name="RETIREPLAN">'model'!#REF!</definedName>
    <definedName name="REVADJ">'model'!$A$4:$F$35</definedName>
    <definedName name="REVREQ">'model'!$EB$44:$EB$85</definedName>
    <definedName name="ROE">'model'!#REF!</definedName>
    <definedName name="ROR">'model'!$CU$4:$CY$17</definedName>
    <definedName name="SALESRESALEP">'model'!$M$32:$N$57</definedName>
    <definedName name="SALESRESALER">'model'!#REF!</definedName>
    <definedName name="SKAGIT">'model'!#REF!</definedName>
    <definedName name="SLFINSURANCE">'model'!$BK$4:$BR$27</definedName>
    <definedName name="STAFFREDUC">'model'!#REF!</definedName>
    <definedName name="STORM">'model'!#REF!</definedName>
    <definedName name="SUMMARY">'model'!$CZ$4:$EA$49</definedName>
    <definedName name="TAXCORPLIC">'model'!#REF!</definedName>
    <definedName name="TAXENERGYP">'model'!#REF!</definedName>
    <definedName name="TAXENERGYR">'model'!#REF!</definedName>
    <definedName name="TAXEXCISE">'model'!#REF!</definedName>
    <definedName name="TAXFICA">'model'!#REF!</definedName>
    <definedName name="TAXFUT">'model'!#REF!</definedName>
    <definedName name="TAXINCOME">'model'!$P$4:$T$30</definedName>
    <definedName name="TAXMEDICARE">'model'!#REF!</definedName>
    <definedName name="TAXPFINT">'model'!#REF!</definedName>
    <definedName name="TAXPROPERTY">'model'!$AN$1:$AR$20</definedName>
    <definedName name="TAXSUT">'model'!#REF!</definedName>
    <definedName name="TEMPADJ">'model'!#REF!</definedName>
    <definedName name="TESTYEAR">'model'!$A$6</definedName>
    <definedName name="UTG">'model'!$AB$14</definedName>
    <definedName name="UTN">'model'!$AC$14</definedName>
    <definedName name="WAGES">'model'!#REF!</definedName>
    <definedName name="WRKCAP">'model'!#REF!</definedName>
  </definedNames>
  <calcPr fullCalcOnLoad="1"/>
</workbook>
</file>

<file path=xl/comments1.xml><?xml version="1.0" encoding="utf-8"?>
<comments xmlns="http://schemas.openxmlformats.org/spreadsheetml/2006/main">
  <authors>
    <author>.</author>
    <author>HUI LEE</author>
  </authors>
  <commentList>
    <comment ref="DB1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Input municipal additions from Mei's weather normalization spreadsheet.
</t>
        </r>
      </text>
    </comment>
    <comment ref="DB16" authorId="1">
      <text>
        <r>
          <rPr>
            <b/>
            <sz val="8"/>
            <rFont val="Tahoma"/>
            <family val="0"/>
          </rPr>
          <t>HUI LEE:</t>
        </r>
        <r>
          <rPr>
            <sz val="8"/>
            <rFont val="Tahoma"/>
            <family val="0"/>
          </rPr>
          <t xml:space="preserve">
OTHER REVENUE from Mei's gas revenue schedule.</t>
        </r>
      </text>
    </comment>
  </commentList>
</comments>
</file>

<file path=xl/sharedStrings.xml><?xml version="1.0" encoding="utf-8"?>
<sst xmlns="http://schemas.openxmlformats.org/spreadsheetml/2006/main" count="736" uniqueCount="328">
  <si>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</si>
  <si>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</si>
  <si>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</si>
  <si>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</si>
  <si>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</si>
  <si>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</si>
  <si>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</si>
  <si>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</si>
  <si>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</si>
  <si>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</si>
  <si>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</si>
  <si>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</si>
  <si>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DEPRECIATION/AMORTIZATION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</si>
  <si>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</si>
  <si>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</si>
  <si>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</si>
  <si>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</si>
  <si>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</si>
  <si>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</si>
  <si>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</si>
  <si>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</si>
  <si>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</si>
  <si>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</si>
  <si>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PAGE 2.07</t>
  </si>
  <si>
    <t>PAGE 2.01</t>
  </si>
  <si>
    <t>PAGE 2.08</t>
  </si>
  <si>
    <t>PAGE 2.09</t>
  </si>
  <si>
    <t>PAGE 2.10</t>
  </si>
  <si>
    <t>PAGE 2.11</t>
  </si>
  <si>
    <t>PAGE 2.04</t>
  </si>
  <si>
    <t>PAGE 2.13</t>
  </si>
  <si>
    <t>PAGE 2.05</t>
  </si>
  <si>
    <t>PUGET SOUND ENERGY-GAS</t>
  </si>
  <si>
    <t xml:space="preserve">PUGET SOUND ENERGY-GAS </t>
  </si>
  <si>
    <t>RESTATED PROPERTY TAX</t>
  </si>
  <si>
    <t>SFAS 106</t>
  </si>
  <si>
    <t>CONVERSION FACTOR</t>
  </si>
  <si>
    <t>RESULTS OF OPERATIONS</t>
  </si>
  <si>
    <t>&gt;</t>
  </si>
  <si>
    <t>LINE</t>
  </si>
  <si>
    <t>INCREASE</t>
  </si>
  <si>
    <t xml:space="preserve">LINE </t>
  </si>
  <si>
    <t>ACTUAL RESULTS OF</t>
  </si>
  <si>
    <t>DEPRECIATION/</t>
  </si>
  <si>
    <t xml:space="preserve">FEDERAL </t>
  </si>
  <si>
    <t>TAX BENEFIT OF</t>
  </si>
  <si>
    <t xml:space="preserve">BAD </t>
  </si>
  <si>
    <t>MISCELLANEOUS</t>
  </si>
  <si>
    <t xml:space="preserve">PROPERTY </t>
  </si>
  <si>
    <t>CONSERVATION</t>
  </si>
  <si>
    <t>PROPERTY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</si>
  <si>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</si>
  <si>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</si>
  <si>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</si>
  <si>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</si>
  <si>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</si>
  <si>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</si>
  <si>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</si>
  <si>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</si>
  <si>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</si>
  <si>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</si>
  <si>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</si>
  <si>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</si>
  <si>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</si>
  <si>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</si>
  <si>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 xml:space="preserve">PURCHASED GAS </t>
  </si>
  <si>
    <t>AMORTIZATION</t>
  </si>
  <si>
    <t>INCOME TAX</t>
  </si>
  <si>
    <t>RESTATED INTEREST</t>
  </si>
  <si>
    <t>DEBTS</t>
  </si>
  <si>
    <t>ADJUSTMENTS</t>
  </si>
  <si>
    <t>TAXES</t>
  </si>
  <si>
    <t>RESTATING</t>
  </si>
  <si>
    <t>SALES</t>
  </si>
  <si>
    <t>INSURANCE</t>
  </si>
  <si>
    <t>PLAN</t>
  </si>
  <si>
    <t>EXPENSES</t>
  </si>
  <si>
    <t>RESULTS OF</t>
  </si>
  <si>
    <t>OPERATING EXPENSES</t>
  </si>
  <si>
    <t>BASE</t>
  </si>
  <si>
    <t>RATE</t>
  </si>
  <si>
    <t>1</t>
  </si>
  <si>
    <t>ACTUAL BAD DEBT WRITE-OFF</t>
  </si>
  <si>
    <t>TAXABLE INCOME</t>
  </si>
  <si>
    <t>INTEREST EXPENSE ITEMS PER BOOKS:</t>
  </si>
  <si>
    <t>-</t>
  </si>
  <si>
    <t>CHARGED TO EXPENSE IN TY</t>
  </si>
  <si>
    <t>OPERATING REVENUES</t>
  </si>
  <si>
    <t>TOTAL OPERATING REVENUE</t>
  </si>
  <si>
    <t>INCREASE (DECREASE) NET OPERATING INCOME</t>
  </si>
  <si>
    <t>INCREASE (DECREASE) EXPENSE</t>
  </si>
  <si>
    <t>BAD DEBT PROVISION</t>
  </si>
  <si>
    <t>INCREASE(DECREASE) EXPENSE</t>
  </si>
  <si>
    <t xml:space="preserve">FEDERAL INCOME TAX </t>
  </si>
  <si>
    <t>OPERATING REVENUE</t>
  </si>
  <si>
    <t>INCENTIVE/MERIT PAY</t>
  </si>
  <si>
    <t xml:space="preserve">   CURRENT FIT    @</t>
  </si>
  <si>
    <t>MUNICIPAL ADDITIONS</t>
  </si>
  <si>
    <t>OPERATING REVENUE DEDUCTION</t>
  </si>
  <si>
    <t xml:space="preserve">     MUNICIPAL ADDITIONS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</si>
  <si>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</si>
  <si>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</si>
  <si>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</si>
  <si>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</si>
  <si>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</si>
  <si>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 (DECREASE) IN EXPENSE</t>
  </si>
  <si>
    <t xml:space="preserve">     OTHER OPERATIONS</t>
  </si>
  <si>
    <t>INCREASE(DECREASE) NOI</t>
  </si>
  <si>
    <t xml:space="preserve">   DEFERRED FIT - CREDIT</t>
  </si>
  <si>
    <t>INCREASE(DECREASE) INCOME</t>
  </si>
  <si>
    <t>LESS TEST YEAR RATE CASE AMORT</t>
  </si>
  <si>
    <t xml:space="preserve">     OTHER TAXES</t>
  </si>
  <si>
    <t>ADJUSTMENT TO RATE BASE</t>
  </si>
  <si>
    <t>INCREASE (DECREASE) FIT          @</t>
  </si>
  <si>
    <t>INCREASE (DECREASE) NOI</t>
  </si>
  <si>
    <t xml:space="preserve">   DEFERRED FIT - INV TAX CREDIT, NET OF AMORTIZATION</t>
  </si>
  <si>
    <t>TRANSMISSION</t>
  </si>
  <si>
    <t xml:space="preserve">     STATE UTILITY</t>
  </si>
  <si>
    <t>OPERATING EXPENSE</t>
  </si>
  <si>
    <t xml:space="preserve">                    TOTAL RESTATED FIT</t>
  </si>
  <si>
    <t>INCREASE (DECREASE) OPERATING INC.</t>
  </si>
  <si>
    <t>DISTRIBUTION</t>
  </si>
  <si>
    <t xml:space="preserve">     PURCHASED GAS</t>
  </si>
  <si>
    <t>INCREASE(DECREASE) FIT</t>
  </si>
  <si>
    <t>CUSTOMER ACCTS</t>
  </si>
  <si>
    <t>SALARIED EMPLOYEES</t>
  </si>
  <si>
    <t>INCREASE (DECREASE) INCOME</t>
  </si>
  <si>
    <t xml:space="preserve">     OTHER OPERATIONS EXPENSE</t>
  </si>
  <si>
    <t>FIT PER BOOKS:</t>
  </si>
  <si>
    <t>CUSTOMER SERVICE</t>
  </si>
  <si>
    <t>UNION EMPLOYEES</t>
  </si>
  <si>
    <t xml:space="preserve">     STATE UTILITY TAX</t>
  </si>
  <si>
    <t xml:space="preserve">   CURRENT FIT    </t>
  </si>
  <si>
    <t>ADMIN. &amp; GENERAL</t>
  </si>
  <si>
    <t>PRO FORMA INSURANCE COSTS</t>
  </si>
  <si>
    <t xml:space="preserve">     MUNICIPAL REVENUE</t>
  </si>
  <si>
    <t>TOTAL WAGE INCREASE</t>
  </si>
  <si>
    <t>UNION</t>
  </si>
  <si>
    <t xml:space="preserve">     ALL OTHER (FILING FEE)</t>
  </si>
  <si>
    <t xml:space="preserve">     GROSS RECEIPTS</t>
  </si>
  <si>
    <t>APPLICABLE TO OPERATIONS @</t>
  </si>
  <si>
    <t>INVESTMENT PLAN APPLICABLE TO UNION</t>
  </si>
  <si>
    <t>FEDERAL INCOME TAX</t>
  </si>
  <si>
    <t xml:space="preserve">TAXES:   </t>
  </si>
  <si>
    <t xml:space="preserve">RATE YEAR UNION WAGE INCREASE                   </t>
  </si>
  <si>
    <t xml:space="preserve">     CURRENT</t>
  </si>
  <si>
    <t xml:space="preserve">                    TOTAL CHARGED TO EXPENSE</t>
  </si>
  <si>
    <t xml:space="preserve">TOTAL COMPANY CONTRIBUTION FOR UNION </t>
  </si>
  <si>
    <t>FUTA</t>
  </si>
  <si>
    <t xml:space="preserve">                   TOTAL OPERATING REVENUE DEDUCTIONS</t>
  </si>
  <si>
    <t xml:space="preserve">     DEFERRED</t>
  </si>
  <si>
    <t>SUTA</t>
  </si>
  <si>
    <t xml:space="preserve">     INVESTMENT TAX CREDIT</t>
  </si>
  <si>
    <t>INCREASE(DECREASE) DEFERRED FIT</t>
  </si>
  <si>
    <t>TOTAL TAXES</t>
  </si>
  <si>
    <t>OTHER POWER SUPPLY EXPENSES</t>
  </si>
  <si>
    <t xml:space="preserve">          TOTAL OPERATING EXPENSE</t>
  </si>
  <si>
    <t>INCREASE(DECREASE) ITC</t>
  </si>
  <si>
    <t xml:space="preserve">          TOTAL OPERATING INCOME</t>
  </si>
  <si>
    <t xml:space="preserve">INCREASE(DECREASE) NOI </t>
  </si>
  <si>
    <t>COST OF</t>
  </si>
  <si>
    <t>COST %</t>
  </si>
  <si>
    <t>CAPITAL</t>
  </si>
  <si>
    <t>CUSTOMER ACCOUNT EXPENSES</t>
  </si>
  <si>
    <t>INCREASE (DECREASE) FIT @ 35%</t>
  </si>
  <si>
    <t xml:space="preserve">   </t>
  </si>
  <si>
    <t>PAGE 4.02</t>
  </si>
  <si>
    <t>AMORTIZATION OF PROPERTY LOSS</t>
  </si>
  <si>
    <t>CAPITAL %</t>
  </si>
  <si>
    <t>DEBT</t>
  </si>
  <si>
    <t>PREFERRED</t>
  </si>
  <si>
    <t>EQUITY</t>
  </si>
  <si>
    <t>RATEBASE</t>
  </si>
  <si>
    <t>GENERAL RATE INCREASE</t>
  </si>
  <si>
    <t>RATE BASE</t>
  </si>
  <si>
    <t>OPERATING INCOME REQUIREMENT</t>
  </si>
  <si>
    <t>PRO FORMA OPERATING INCOME</t>
  </si>
  <si>
    <t>QUALIFIED RETIREMENT FUND</t>
  </si>
  <si>
    <t>FOR THE TWELVE MONTHS ENDED JUNE 30, 2001</t>
  </si>
  <si>
    <t>OUTSIDE CONSULTANTS</t>
  </si>
  <si>
    <t>LEGAL SERVICES</t>
  </si>
  <si>
    <t>TOTAL RATE CASE EXPENSE</t>
  </si>
  <si>
    <t>ANNUAL AMORTIZATION OVER  3 YEARS</t>
  </si>
  <si>
    <t xml:space="preserve">             Acct.# 18230342 - AFUCE on Effic Wtr Htr Reb</t>
  </si>
  <si>
    <t xml:space="preserve">             Acct.# 18230362 -Wtr Htr Lost Margins</t>
  </si>
  <si>
    <t xml:space="preserve">             Acct.# 18230412- Wtr Htr/LFSH not in Rates</t>
  </si>
  <si>
    <t>CONSERVATION REGULATORY ASSET</t>
  </si>
  <si>
    <t>PAGE 2.03</t>
  </si>
  <si>
    <t>TOTAL FAS 133 EXPENSE</t>
  </si>
  <si>
    <t xml:space="preserve">ACTUAL </t>
  </si>
  <si>
    <t>INCREASE (DECREASE) OPERATING INCOME</t>
  </si>
  <si>
    <t>TOTAL ADJUSTMENT TO RATEBASE</t>
  </si>
  <si>
    <t>STATEMENT OF OPERATING INCOME AND ADJUSTMENTS</t>
  </si>
  <si>
    <t>PAGE 2.14</t>
  </si>
  <si>
    <t>INVESTMENT PLAN</t>
  </si>
  <si>
    <t>BENEFIT CONTRIBUTION:</t>
  </si>
  <si>
    <t>CHARGED TO EXPENSE 06/30/01</t>
  </si>
  <si>
    <t>WAGES:</t>
  </si>
  <si>
    <t>FICA - SOCIAL SECURITY</t>
  </si>
  <si>
    <t>FICA - MEDICARE</t>
  </si>
  <si>
    <t>TOTAL WAGES &amp; TAXES</t>
  </si>
  <si>
    <t>PRODUCTION MANUF. GAS</t>
  </si>
  <si>
    <t>OTHER GAS SUPPLY</t>
  </si>
  <si>
    <t>STORAGE, LNG T&amp;G</t>
  </si>
  <si>
    <t>OTHER ENERGY SUPPLY EXPENSES</t>
  </si>
  <si>
    <t>@</t>
  </si>
  <si>
    <t>INVESTMENT PLAN APPLICABLE TO MANAGEMENT</t>
  </si>
  <si>
    <t>TOTAL COMPANY CONTRIBUTION FOR MANAGEMENT</t>
  </si>
  <si>
    <t>PRO FORMA COSTS APPLICABLE TO OPERATIONS</t>
  </si>
  <si>
    <t>CHARGED TO EXPENSE FOR YEAR ENDED 6/30/2001</t>
  </si>
  <si>
    <t xml:space="preserve">                                 TOTAL</t>
  </si>
  <si>
    <t>POSTAGE</t>
  </si>
  <si>
    <t>ACTUAL ACCT 403-DEPRECIATION EXPENSE</t>
  </si>
  <si>
    <t>RESTATED ACCT 403-DEPRECIATION EXPENSE</t>
  </si>
  <si>
    <t>PROFORMA CONNEXT WUTC ADJUSTMENT</t>
  </si>
  <si>
    <t>INCREASE (DECREASE) EXPENSES</t>
  </si>
  <si>
    <t xml:space="preserve">CUSTOMER BILL POSTAGE </t>
  </si>
  <si>
    <t>TOTAL POSTAGE EXPENSE</t>
  </si>
  <si>
    <t>PAGE 2.02</t>
  </si>
  <si>
    <t>WEIGHTED COST OF DEBT</t>
  </si>
  <si>
    <t>INTEREST ON LONG TERM DEBT</t>
  </si>
  <si>
    <t>AMORTIZATION OF DEBT DISCOUNT</t>
  </si>
  <si>
    <t xml:space="preserve">    AND EXPENSE, NET OF PREMIUMS</t>
  </si>
  <si>
    <t>OTHER INTEREST EXPENSE</t>
  </si>
  <si>
    <t>CHARGED TO EXPENSE IN TEST YEAR</t>
  </si>
  <si>
    <t xml:space="preserve">INCREASE (DECREASE) FIT @ </t>
  </si>
  <si>
    <t>MERCER BUILDING DEPRECIATION IN TEST YEAR</t>
  </si>
  <si>
    <t>MERCER BUILDING AMA IN TEST YEAR</t>
  </si>
  <si>
    <t xml:space="preserve">CORPORATE MAIL POSTAGE </t>
  </si>
  <si>
    <t>ACTUAL LOST MARGIN ON GAS WATER HEATER</t>
  </si>
  <si>
    <t>RESTATED LOST MARGIN ON GAS WATER HEATER</t>
  </si>
  <si>
    <t>RESTATED CONSERVATION TRACKER AMORTIZATION</t>
  </si>
  <si>
    <t>ACTUAL CONSERVATION TRACKER AMORTIZATION</t>
  </si>
  <si>
    <t>KENT OPERATING BASE AMA IN TEST YEAR</t>
  </si>
  <si>
    <t>TOTEM LAKE OPERATING BASE AMA IN TEST YEAR</t>
  </si>
  <si>
    <t>ACTUAL NON TRACKER CONSERV. EXP - LOW INCOME CUSTOMER</t>
  </si>
  <si>
    <t>PROFORMA NON TRACKER CONSERV. EXP - LOW INCOME CUSTOMER</t>
  </si>
  <si>
    <t>KENT OPERATING BASE DEPRECIATION IN TEST YEAR</t>
  </si>
  <si>
    <t>TOTEM LAKE OPERATING BASE DEPRECIATION IN TEST YEAR</t>
  </si>
  <si>
    <t>FUTURE USE ADJUSTMENT</t>
  </si>
  <si>
    <t>CWIP "IN SERVICE" BUT NOT TRANSFERRED TO PLANT</t>
  </si>
  <si>
    <t>TACOMA NARROWS</t>
  </si>
  <si>
    <t>CLX PHASE 2-4 AMORTIZATION</t>
  </si>
  <si>
    <t>SERP ADJUSTMENT</t>
  </si>
  <si>
    <t>NORTH BEND FACILITY</t>
  </si>
  <si>
    <t>PAGE 2.06</t>
  </si>
  <si>
    <t>PAGE 2.12</t>
  </si>
  <si>
    <t>PAGE 2.15</t>
  </si>
  <si>
    <t>PAGE 2.16</t>
  </si>
  <si>
    <t>PAGE 2.17</t>
  </si>
  <si>
    <t>PAGE 4.03</t>
  </si>
  <si>
    <t>WAGE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</si>
  <si>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</si>
  <si>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</si>
  <si>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</si>
  <si>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</si>
  <si>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</si>
  <si>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</si>
  <si>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</si>
  <si>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</si>
  <si>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</si>
  <si>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</si>
  <si>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</si>
  <si>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</si>
  <si>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 xml:space="preserve">  DEPRECIATION AND OTHER LIABILITIES</t>
  </si>
  <si>
    <t>OPERATING INCOME DEFICIENCY</t>
  </si>
  <si>
    <t>REVENUE REQUIREMENT DEFICIENCY</t>
  </si>
  <si>
    <r>
      <t>CONSERVATION AMORTIZATION FOR RATE YEAR</t>
    </r>
    <r>
      <rPr>
        <sz val="8"/>
        <rFont val="Times New Roman"/>
        <family val="1"/>
      </rPr>
      <t xml:space="preserve"> (BASE ON 3 YEAR AVERAGE)</t>
    </r>
  </si>
  <si>
    <t>ADJUST RATE BASE FOR LINE 10 @</t>
  </si>
  <si>
    <t>GAS RENTAL EQUIPMENT PIPING AND VENTING</t>
  </si>
  <si>
    <t>PROPERTY INSURANCE EXPENSE</t>
  </si>
  <si>
    <t>LIABILITY INSURANCE EXPENSE</t>
  </si>
  <si>
    <t>INCREASE(DECREASE) OPERATING INCOME</t>
  </si>
  <si>
    <t>PROPERTY&amp;</t>
  </si>
  <si>
    <t>LIABILITY INS</t>
  </si>
  <si>
    <t xml:space="preserve">             Acct.# 18230422- Wtr Htr Program in Rates (balance less annual amort.)</t>
  </si>
  <si>
    <t>PAGE 2.18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</si>
  <si>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</si>
  <si>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</si>
  <si>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</si>
  <si>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</si>
  <si>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</si>
  <si>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</si>
  <si>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PEM ADJUSTMENT</t>
  </si>
  <si>
    <t>DEDUCTIBLE CWIP</t>
  </si>
  <si>
    <t>REVENUE &amp; PURCHASED GAS</t>
  </si>
  <si>
    <t>SFAS 133</t>
  </si>
  <si>
    <t>TAX BENEFIT OF PRO FORMA INTEREST</t>
  </si>
  <si>
    <t>BAD DEBTS</t>
  </si>
  <si>
    <t>MISCELLANEOUS OPERATING EXPENSE</t>
  </si>
  <si>
    <t>PROPERTY TAXES</t>
  </si>
  <si>
    <t>WAGE INCREASE</t>
  </si>
  <si>
    <t>PROPERTY SALES</t>
  </si>
  <si>
    <t>EMPLOYEE INSURANCE</t>
  </si>
  <si>
    <t>RATE CASE EXPENSES</t>
  </si>
  <si>
    <t>PROPERTY &amp; LIABILITY INSURANCE</t>
  </si>
  <si>
    <t>EXCISE TAX &amp; FILING FEE</t>
  </si>
  <si>
    <t>REVENUE &amp;</t>
  </si>
  <si>
    <t>PRO FORMA INTEREST</t>
  </si>
  <si>
    <t>EXCISE TAX &amp;</t>
  </si>
  <si>
    <t>FILING FEE</t>
  </si>
  <si>
    <t>RESTATING AND PRO FORMA ADJUSTMENTS</t>
  </si>
  <si>
    <t>PAGE 2.19</t>
  </si>
  <si>
    <t>PENSION PLAN</t>
  </si>
  <si>
    <t>PENSION</t>
  </si>
  <si>
    <t>PROFORMA LOCATION COST</t>
  </si>
  <si>
    <t>ADS BASIC SERVICE</t>
  </si>
  <si>
    <t>UTILITY PARTNERS JUDGEMENT</t>
  </si>
  <si>
    <t>METER READING COSTS</t>
  </si>
  <si>
    <t>GAS COSTS:</t>
  </si>
  <si>
    <t xml:space="preserve"> PURCHASED GAS</t>
  </si>
  <si>
    <t>PAGE 4.05</t>
  </si>
  <si>
    <t>PRO FORMA</t>
  </si>
  <si>
    <t>PRO FORMA COST OF CAPITAL</t>
  </si>
  <si>
    <t>MANAGEMENT (INC. EXECUTIVES)</t>
  </si>
  <si>
    <t>TOTAL PROFORMA COSTS (LN 4 + LN 9)</t>
  </si>
  <si>
    <t>OTHERS</t>
  </si>
  <si>
    <t>DIST. SAFE &amp; RELIAB. &amp; STAFF ADJ. &amp; 4-FACTOR</t>
  </si>
  <si>
    <t>4-FACTOR ADJ.</t>
  </si>
  <si>
    <t>Jim Russell's Governance Adjustment</t>
  </si>
  <si>
    <t>4-factor Allocator Adjustment (used by staff in Electric case)</t>
  </si>
  <si>
    <t xml:space="preserve">     Total Staff Adjustments</t>
  </si>
  <si>
    <t xml:space="preserve">     MISCELLANEOUS SETTLEMENT ADJUSTMENT</t>
  </si>
  <si>
    <t>MISCELLANEOUS O&amp;M REDUCTION</t>
  </si>
  <si>
    <t>Exhibit No.___ (Joint-2), Summary</t>
  </si>
  <si>
    <t>Page J2-C</t>
  </si>
  <si>
    <t>Page J2-B</t>
  </si>
  <si>
    <t>Page J2-A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</si>
</sst>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7" formatCode="0.0%"/>
    <numFmt numFmtId="168" formatCode="0.000%"/>
    <numFmt numFmtId="171" formatCode="0.00000%"/>
    <numFmt numFmtId="176" formatCode="0.0000000"/>
    <numFmt numFmtId="177" formatCode="0.000000"/>
    <numFmt numFmtId="183" formatCode="#,##0.0000000;\(#,##0.0000000\)"/>
    <numFmt numFmtId="184" formatCode="#,##0;\(#,##0\)"/>
    <numFmt numFmtId="193" formatCode="0."/>
    <numFmt numFmtId="194" formatCode=".0000000"/>
    <numFmt numFmtId="195" formatCode="&quot;$&quot;#,##0_);\(#,##0\)"/>
    <numFmt numFmtId="196" formatCode="#,##0.0_);\(#,##0.0\)"/>
    <numFmt numFmtId="198" formatCode="_(* #,##0_);_(* \(#,##0\);_(* &quot;-&quot;??_);_(@_)"/>
    <numFmt numFmtId="199" formatCode="_(&quot;$&quot;* #,##0_);_(&quot;$&quot;* \(#,##0\);_(&quot;$&quot;* &quot;-&quot;??_);_(@_)"/>
    <numFmt numFmtId="204" formatCode="_(* #,##0_);[Red]_(* \(#,##0\);_(* &quot;-&quot;_);_(@_)"/>
    <numFmt numFmtId="220" formatCode="_(&quot;$&quot;* #,##0_);[Red]_(&quot;$&quot;* \(#,##0\);_(&quot;$&quot;* &quot;-&quot;_);_(@_)"/>
    <numFmt numFmtId="247" formatCode="_(* #,##0.000_);_(* \(#,##0.000\);_(* &quot;-&quot;_);_(@_)"/>
    <numFmt numFmtId="258" formatCode="_(&quot;$&quot;* #,##0.0000_);_(&quot;$&quot;* \(#,##0.0000\);_(&quot;$&quot;* &quot;-&quot;??_);_(@_)"/>
  </numFmts>
  <fonts count="21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8" fontId="14" fillId="0" borderId="0">
      <alignment/>
      <protection/>
    </xf>
    <xf numFmtId="4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  <xf numFmtId="38" fontId="15" fillId="0" borderId="1">
      <alignment/>
      <protection/>
    </xf>
    <xf numFmtId="38" fontId="14" fillId="0" borderId="2">
      <alignment/>
      <protection/>
    </xf>
  </cellStyleXfs>
  <cellXfs count="356">
    <xf numFmtId="0" fontId="0" fillId="0" borderId="0" xfId="0" applyAlignment="1">
      <alignment/>
    </xf>
    <xf numFmtId="0" fontId="7" fillId="2" borderId="0" xfId="0" applyFont="1" applyFill="1" applyAlignment="1">
      <alignment/>
    </xf>
    <xf numFmtId="15" fontId="7" fillId="2" borderId="0" xfId="0" applyNumberFormat="1" applyFont="1" applyFill="1" applyAlignment="1">
      <alignment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3" fontId="7" fillId="2" borderId="0" xfId="15" applyNumberFormat="1" applyFont="1" applyFill="1" applyAlignment="1">
      <alignment/>
    </xf>
    <xf numFmtId="184" fontId="7" fillId="2" borderId="0" xfId="0" applyNumberFormat="1" applyFont="1" applyFill="1" applyBorder="1" applyAlignment="1">
      <alignment/>
    </xf>
    <xf numFmtId="41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8" fillId="2" borderId="4" xfId="0" applyFont="1" applyFill="1" applyBorder="1" applyAlignment="1">
      <alignment horizontal="right"/>
    </xf>
    <xf numFmtId="15" fontId="8" fillId="2" borderId="0" xfId="0" applyNumberFormat="1" applyFont="1" applyFill="1" applyAlignment="1">
      <alignment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right"/>
    </xf>
    <xf numFmtId="0" fontId="8" fillId="2" borderId="4" xfId="0" applyFont="1" applyFill="1" applyBorder="1" applyAlignment="1" quotePrefix="1">
      <alignment horizontal="right"/>
    </xf>
    <xf numFmtId="0" fontId="8" fillId="2" borderId="0" xfId="0" applyFont="1" applyFill="1" applyBorder="1" applyAlignment="1" quotePrefix="1">
      <alignment horizontal="right"/>
    </xf>
    <xf numFmtId="184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quotePrefix="1">
      <alignment horizontal="left"/>
    </xf>
    <xf numFmtId="0" fontId="8" fillId="2" borderId="0" xfId="0" applyFont="1" applyFill="1" applyBorder="1" applyAlignment="1">
      <alignment horizontal="center"/>
    </xf>
    <xf numFmtId="3" fontId="8" fillId="2" borderId="0" xfId="15" applyNumberFormat="1" applyFont="1" applyFill="1" applyAlignment="1">
      <alignment horizontal="centerContinuous"/>
    </xf>
    <xf numFmtId="184" fontId="8" fillId="2" borderId="0" xfId="0" applyNumberFormat="1" applyFont="1" applyFill="1" applyBorder="1" applyAlignment="1">
      <alignment horizontal="centerContinuous"/>
    </xf>
    <xf numFmtId="41" fontId="8" fillId="2" borderId="0" xfId="0" applyNumberFormat="1" applyFont="1" applyFill="1" applyAlignment="1">
      <alignment horizontal="centerContinuous"/>
    </xf>
    <xf numFmtId="0" fontId="8" fillId="2" borderId="0" xfId="0" applyFont="1" applyFill="1" applyAlignment="1" applyProtection="1">
      <alignment horizontal="center"/>
      <protection locked="0"/>
    </xf>
    <xf numFmtId="18" fontId="8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15" fontId="10" fillId="2" borderId="0" xfId="0" applyNumberFormat="1" applyFont="1" applyFill="1" applyAlignment="1">
      <alignment horizontal="centerContinuous"/>
    </xf>
    <xf numFmtId="15" fontId="8" fillId="2" borderId="0" xfId="0" applyNumberFormat="1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37" fontId="8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 locked="0"/>
    </xf>
    <xf numFmtId="3" fontId="8" fillId="2" borderId="0" xfId="15" applyNumberFormat="1" applyFont="1" applyFill="1" applyAlignment="1">
      <alignment/>
    </xf>
    <xf numFmtId="2" fontId="8" fillId="2" borderId="0" xfId="0" applyNumberFormat="1" applyFont="1" applyFill="1" applyAlignment="1">
      <alignment horizontal="center"/>
    </xf>
    <xf numFmtId="18" fontId="8" fillId="2" borderId="0" xfId="0" applyNumberFormat="1" applyFont="1" applyFill="1" applyAlignment="1">
      <alignment/>
    </xf>
    <xf numFmtId="41" fontId="8" fillId="2" borderId="0" xfId="0" applyNumberFormat="1" applyFont="1" applyFill="1" applyAlignment="1">
      <alignment/>
    </xf>
    <xf numFmtId="0" fontId="8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quotePrefix="1">
      <alignment horizontal="fill"/>
    </xf>
    <xf numFmtId="0" fontId="8" fillId="2" borderId="0" xfId="0" applyFont="1" applyFill="1" applyAlignment="1">
      <alignment horizontal="fill"/>
    </xf>
    <xf numFmtId="1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/>
    </xf>
    <xf numFmtId="0" fontId="8" fillId="2" borderId="5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 applyProtection="1">
      <alignment/>
      <protection locked="0"/>
    </xf>
    <xf numFmtId="3" fontId="8" fillId="2" borderId="5" xfId="15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right"/>
    </xf>
    <xf numFmtId="2" fontId="8" fillId="2" borderId="5" xfId="0" applyNumberFormat="1" applyFont="1" applyFill="1" applyBorder="1" applyAlignment="1">
      <alignment horizontal="center"/>
    </xf>
    <xf numFmtId="184" fontId="8" fillId="2" borderId="5" xfId="0" applyNumberFormat="1" applyFont="1" applyFill="1" applyBorder="1" applyAlignment="1">
      <alignment horizontal="center"/>
    </xf>
    <xf numFmtId="41" fontId="8" fillId="2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7" fillId="2" borderId="0" xfId="0" applyFont="1" applyFill="1" applyAlignment="1">
      <alignment horizontal="fill"/>
    </xf>
    <xf numFmtId="0" fontId="7" fillId="2" borderId="0" xfId="0" applyFont="1" applyFill="1" applyAlignment="1" applyProtection="1">
      <alignment horizontal="fill"/>
      <protection locked="0"/>
    </xf>
    <xf numFmtId="41" fontId="7" fillId="2" borderId="0" xfId="0" applyNumberFormat="1" applyFont="1" applyFill="1" applyBorder="1" applyAlignment="1" applyProtection="1">
      <alignment/>
      <protection locked="0"/>
    </xf>
    <xf numFmtId="17" fontId="7" fillId="2" borderId="0" xfId="0" applyNumberFormat="1" applyFont="1" applyFill="1" applyBorder="1" applyAlignment="1">
      <alignment horizontal="left"/>
    </xf>
    <xf numFmtId="184" fontId="7" fillId="2" borderId="0" xfId="0" applyNumberFormat="1" applyFont="1" applyFill="1" applyAlignment="1" applyProtection="1">
      <alignment horizontal="right"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" fontId="7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9" fontId="7" fillId="2" borderId="0" xfId="0" applyNumberFormat="1" applyFont="1" applyFill="1" applyBorder="1" applyAlignment="1" applyProtection="1">
      <alignment horizontal="left"/>
      <protection locked="0"/>
    </xf>
    <xf numFmtId="37" fontId="7" fillId="2" borderId="0" xfId="0" applyNumberFormat="1" applyFont="1" applyFill="1" applyBorder="1" applyAlignment="1" applyProtection="1">
      <alignment/>
      <protection locked="0"/>
    </xf>
    <xf numFmtId="41" fontId="7" fillId="2" borderId="0" xfId="0" applyNumberFormat="1" applyFont="1" applyFill="1" applyBorder="1" applyAlignment="1" applyProtection="1">
      <alignment/>
      <protection locked="0"/>
    </xf>
    <xf numFmtId="0" fontId="7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2" fontId="8" fillId="2" borderId="0" xfId="0" applyNumberFormat="1" applyFont="1" applyFill="1" applyAlignment="1" applyProtection="1">
      <alignment horizontal="center"/>
      <protection locked="0"/>
    </xf>
    <xf numFmtId="0" fontId="7" fillId="2" borderId="5" xfId="0" applyFont="1" applyFill="1" applyBorder="1" applyAlignment="1">
      <alignment/>
    </xf>
    <xf numFmtId="0" fontId="7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/>
    </xf>
    <xf numFmtId="0" fontId="9" fillId="2" borderId="0" xfId="0" applyFont="1" applyFill="1" applyAlignment="1" quotePrefix="1">
      <alignment horizontal="left"/>
    </xf>
    <xf numFmtId="42" fontId="7" fillId="2" borderId="0" xfId="0" applyNumberFormat="1" applyFont="1" applyFill="1" applyBorder="1" applyAlignment="1" applyProtection="1">
      <alignment/>
      <protection locked="0"/>
    </xf>
    <xf numFmtId="164" fontId="7" fillId="2" borderId="0" xfId="0" applyNumberFormat="1" applyFont="1" applyFill="1" applyAlignment="1">
      <alignment horizontal="left"/>
    </xf>
    <xf numFmtId="42" fontId="7" fillId="2" borderId="0" xfId="16" applyNumberFormat="1" applyFont="1" applyFill="1" applyAlignment="1" applyProtection="1">
      <alignment/>
      <protection locked="0"/>
    </xf>
    <xf numFmtId="42" fontId="7" fillId="2" borderId="0" xfId="16" applyNumberFormat="1" applyFont="1" applyFill="1" applyBorder="1" applyAlignment="1" applyProtection="1">
      <alignment horizontal="right"/>
      <protection locked="0"/>
    </xf>
    <xf numFmtId="9" fontId="7" fillId="2" borderId="5" xfId="21" applyFont="1" applyFill="1" applyBorder="1" applyAlignment="1">
      <alignment/>
    </xf>
    <xf numFmtId="3" fontId="7" fillId="2" borderId="0" xfId="15" applyNumberFormat="1" applyFont="1" applyFill="1" applyBorder="1" applyAlignment="1">
      <alignment/>
    </xf>
    <xf numFmtId="42" fontId="7" fillId="2" borderId="0" xfId="16" applyNumberFormat="1" applyFont="1" applyFill="1" applyBorder="1" applyAlignment="1">
      <alignment/>
    </xf>
    <xf numFmtId="184" fontId="7" fillId="2" borderId="0" xfId="0" applyNumberFormat="1" applyFont="1" applyFill="1" applyAlignment="1">
      <alignment/>
    </xf>
    <xf numFmtId="42" fontId="7" fillId="2" borderId="0" xfId="16" applyNumberFormat="1" applyFont="1" applyFill="1" applyAlignment="1">
      <alignment/>
    </xf>
    <xf numFmtId="0" fontId="9" fillId="2" borderId="0" xfId="0" applyFont="1" applyFill="1" applyBorder="1" applyAlignment="1" applyProtection="1">
      <alignment horizontal="left"/>
      <protection locked="0"/>
    </xf>
    <xf numFmtId="199" fontId="7" fillId="2" borderId="0" xfId="0" applyNumberFormat="1" applyFont="1" applyFill="1" applyBorder="1" applyAlignment="1">
      <alignment/>
    </xf>
    <xf numFmtId="184" fontId="7" fillId="2" borderId="0" xfId="0" applyNumberFormat="1" applyFont="1" applyFill="1" applyAlignment="1" applyProtection="1">
      <alignment/>
      <protection locked="0"/>
    </xf>
    <xf numFmtId="184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6" fontId="7" fillId="2" borderId="0" xfId="16" applyNumberFormat="1" applyFont="1" applyFill="1" applyAlignment="1" applyProtection="1">
      <alignment/>
      <protection locked="0"/>
    </xf>
    <xf numFmtId="0" fontId="7" fillId="2" borderId="0" xfId="16" applyNumberFormat="1" applyFont="1" applyFill="1" applyAlignment="1" applyProtection="1">
      <alignment/>
      <protection locked="0"/>
    </xf>
    <xf numFmtId="0" fontId="7" fillId="2" borderId="0" xfId="0" applyFont="1" applyFill="1" applyAlignment="1" quotePrefix="1">
      <alignment horizontal="left"/>
    </xf>
    <xf numFmtId="0" fontId="7" fillId="2" borderId="0" xfId="0" applyFont="1" applyFill="1" applyAlignment="1" quotePrefix="1">
      <alignment horizontal="fill"/>
    </xf>
    <xf numFmtId="17" fontId="7" fillId="2" borderId="0" xfId="0" applyNumberFormat="1" applyFont="1" applyFill="1" applyAlignment="1">
      <alignment/>
    </xf>
    <xf numFmtId="198" fontId="7" fillId="2" borderId="0" xfId="15" applyNumberFormat="1" applyFont="1" applyFill="1" applyAlignment="1">
      <alignment/>
    </xf>
    <xf numFmtId="42" fontId="7" fillId="2" borderId="0" xfId="16" applyNumberFormat="1" applyFont="1" applyFill="1" applyBorder="1" applyAlignment="1">
      <alignment horizontal="right"/>
    </xf>
    <xf numFmtId="0" fontId="7" fillId="2" borderId="0" xfId="0" applyFont="1" applyFill="1" applyAlignment="1" applyProtection="1" quotePrefix="1">
      <alignment horizontal="left"/>
      <protection locked="0"/>
    </xf>
    <xf numFmtId="41" fontId="7" fillId="2" borderId="5" xfId="0" applyNumberFormat="1" applyFont="1" applyFill="1" applyBorder="1" applyAlignment="1" applyProtection="1">
      <alignment/>
      <protection locked="0"/>
    </xf>
    <xf numFmtId="37" fontId="7" fillId="2" borderId="0" xfId="15" applyNumberFormat="1" applyFont="1" applyFill="1" applyAlignment="1">
      <alignment/>
    </xf>
    <xf numFmtId="184" fontId="7" fillId="2" borderId="5" xfId="0" applyNumberFormat="1" applyFont="1" applyFill="1" applyBorder="1" applyAlignment="1" applyProtection="1">
      <alignment horizontal="right"/>
      <protection locked="0"/>
    </xf>
    <xf numFmtId="184" fontId="7" fillId="2" borderId="0" xfId="0" applyNumberFormat="1" applyFont="1" applyFill="1" applyBorder="1" applyAlignment="1" applyProtection="1">
      <alignment/>
      <protection locked="0"/>
    </xf>
    <xf numFmtId="176" fontId="7" fillId="2" borderId="0" xfId="0" applyNumberFormat="1" applyFont="1" applyFill="1" applyAlignment="1">
      <alignment/>
    </xf>
    <xf numFmtId="0" fontId="7" fillId="2" borderId="0" xfId="0" applyFont="1" applyFill="1" applyBorder="1" applyAlignment="1">
      <alignment horizontal="left"/>
    </xf>
    <xf numFmtId="42" fontId="7" fillId="2" borderId="0" xfId="0" applyNumberFormat="1" applyFont="1" applyFill="1" applyBorder="1" applyAlignment="1">
      <alignment/>
    </xf>
    <xf numFmtId="42" fontId="7" fillId="2" borderId="0" xfId="0" applyNumberFormat="1" applyFont="1" applyFill="1" applyAlignment="1">
      <alignment/>
    </xf>
    <xf numFmtId="42" fontId="13" fillId="2" borderId="0" xfId="15" applyNumberFormat="1" applyFont="1" applyFill="1" applyAlignment="1">
      <alignment/>
    </xf>
    <xf numFmtId="41" fontId="7" fillId="2" borderId="5" xfId="0" applyNumberFormat="1" applyFont="1" applyFill="1" applyBorder="1" applyAlignment="1" applyProtection="1">
      <alignment/>
      <protection locked="0"/>
    </xf>
    <xf numFmtId="41" fontId="7" fillId="2" borderId="5" xfId="15" applyNumberFormat="1" applyFont="1" applyFill="1" applyBorder="1" applyAlignment="1">
      <alignment/>
    </xf>
    <xf numFmtId="37" fontId="7" fillId="2" borderId="0" xfId="0" applyNumberFormat="1" applyFont="1" applyFill="1" applyAlignment="1">
      <alignment/>
    </xf>
    <xf numFmtId="37" fontId="7" fillId="2" borderId="0" xfId="0" applyNumberFormat="1" applyFont="1" applyFill="1" applyAlignment="1" applyProtection="1">
      <alignment/>
      <protection locked="0"/>
    </xf>
    <xf numFmtId="41" fontId="7" fillId="2" borderId="0" xfId="0" applyNumberFormat="1" applyFont="1" applyFill="1" applyAlignment="1" applyProtection="1">
      <alignment/>
      <protection locked="0"/>
    </xf>
    <xf numFmtId="0" fontId="7" fillId="2" borderId="0" xfId="0" applyNumberFormat="1" applyFont="1" applyFill="1" applyAlignment="1" applyProtection="1">
      <alignment/>
      <protection locked="0"/>
    </xf>
    <xf numFmtId="6" fontId="7" fillId="2" borderId="0" xfId="16" applyNumberFormat="1" applyFont="1" applyFill="1" applyAlignment="1">
      <alignment horizontal="right"/>
    </xf>
    <xf numFmtId="10" fontId="7" fillId="2" borderId="0" xfId="0" applyNumberFormat="1" applyFont="1" applyFill="1" applyAlignment="1">
      <alignment/>
    </xf>
    <xf numFmtId="168" fontId="7" fillId="2" borderId="0" xfId="0" applyNumberFormat="1" applyFont="1" applyFill="1" applyAlignment="1">
      <alignment/>
    </xf>
    <xf numFmtId="41" fontId="7" fillId="2" borderId="0" xfId="15" applyNumberFormat="1" applyFont="1" applyFill="1" applyBorder="1" applyAlignment="1">
      <alignment/>
    </xf>
    <xf numFmtId="41" fontId="7" fillId="2" borderId="5" xfId="16" applyNumberFormat="1" applyFont="1" applyFill="1" applyBorder="1" applyAlignment="1" applyProtection="1">
      <alignment/>
      <protection locked="0"/>
    </xf>
    <xf numFmtId="42" fontId="7" fillId="2" borderId="0" xfId="0" applyNumberFormat="1" applyFont="1" applyFill="1" applyBorder="1" applyAlignment="1" applyProtection="1">
      <alignment/>
      <protection locked="0"/>
    </xf>
    <xf numFmtId="9" fontId="7" fillId="2" borderId="0" xfId="0" applyNumberFormat="1" applyFont="1" applyFill="1" applyAlignment="1">
      <alignment horizontal="center"/>
    </xf>
    <xf numFmtId="37" fontId="7" fillId="2" borderId="0" xfId="15" applyNumberFormat="1" applyFont="1" applyFill="1" applyBorder="1" applyAlignment="1" applyProtection="1">
      <alignment/>
      <protection locked="0"/>
    </xf>
    <xf numFmtId="41" fontId="7" fillId="2" borderId="0" xfId="0" applyNumberFormat="1" applyFont="1" applyFill="1" applyBorder="1" applyAlignment="1">
      <alignment/>
    </xf>
    <xf numFmtId="41" fontId="13" fillId="2" borderId="0" xfId="15" applyNumberFormat="1" applyFont="1" applyFill="1" applyAlignment="1">
      <alignment/>
    </xf>
    <xf numFmtId="41" fontId="7" fillId="2" borderId="5" xfId="0" applyNumberFormat="1" applyFont="1" applyFill="1" applyBorder="1" applyAlignment="1">
      <alignment/>
    </xf>
    <xf numFmtId="10" fontId="7" fillId="2" borderId="0" xfId="0" applyNumberFormat="1" applyFont="1" applyFill="1" applyAlignment="1">
      <alignment horizontal="center"/>
    </xf>
    <xf numFmtId="184" fontId="7" fillId="2" borderId="5" xfId="0" applyNumberFormat="1" applyFont="1" applyFill="1" applyBorder="1" applyAlignment="1">
      <alignment/>
    </xf>
    <xf numFmtId="6" fontId="7" fillId="2" borderId="2" xfId="16" applyNumberFormat="1" applyFont="1" applyFill="1" applyBorder="1" applyAlignment="1" applyProtection="1">
      <alignment/>
      <protection locked="0"/>
    </xf>
    <xf numFmtId="42" fontId="7" fillId="2" borderId="2" xfId="16" applyNumberFormat="1" applyFont="1" applyFill="1" applyBorder="1" applyAlignment="1" applyProtection="1">
      <alignment/>
      <protection locked="0"/>
    </xf>
    <xf numFmtId="0" fontId="7" fillId="2" borderId="0" xfId="16" applyNumberFormat="1" applyFont="1" applyFill="1" applyBorder="1" applyAlignment="1" applyProtection="1">
      <alignment/>
      <protection locked="0"/>
    </xf>
    <xf numFmtId="42" fontId="7" fillId="2" borderId="0" xfId="16" applyNumberFormat="1" applyFont="1" applyFill="1" applyBorder="1" applyAlignment="1" applyProtection="1">
      <alignment/>
      <protection locked="0"/>
    </xf>
    <xf numFmtId="10" fontId="7" fillId="2" borderId="5" xfId="0" applyNumberFormat="1" applyFont="1" applyFill="1" applyBorder="1" applyAlignment="1">
      <alignment/>
    </xf>
    <xf numFmtId="42" fontId="7" fillId="2" borderId="0" xfId="16" applyNumberFormat="1" applyFont="1" applyFill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9" fontId="7" fillId="2" borderId="0" xfId="0" applyNumberFormat="1" applyFont="1" applyFill="1" applyAlignment="1">
      <alignment horizontal="left"/>
    </xf>
    <xf numFmtId="41" fontId="7" fillId="2" borderId="0" xfId="15" applyNumberFormat="1" applyFont="1" applyFill="1" applyBorder="1" applyAlignment="1" applyProtection="1">
      <alignment/>
      <protection locked="0"/>
    </xf>
    <xf numFmtId="168" fontId="7" fillId="2" borderId="0" xfId="21" applyNumberFormat="1" applyFont="1" applyFill="1" applyBorder="1" applyAlignment="1">
      <alignment/>
    </xf>
    <xf numFmtId="41" fontId="13" fillId="2" borderId="0" xfId="15" applyNumberFormat="1" applyFont="1" applyFill="1" applyBorder="1" applyAlignment="1">
      <alignment/>
    </xf>
    <xf numFmtId="1" fontId="7" fillId="2" borderId="0" xfId="0" applyNumberFormat="1" applyFont="1" applyFill="1" applyAlignment="1" quotePrefix="1">
      <alignment horizontal="left"/>
    </xf>
    <xf numFmtId="199" fontId="7" fillId="2" borderId="6" xfId="0" applyNumberFormat="1" applyFont="1" applyFill="1" applyBorder="1" applyAlignment="1">
      <alignment/>
    </xf>
    <xf numFmtId="0" fontId="7" fillId="2" borderId="0" xfId="0" applyFont="1" applyFill="1" applyAlignment="1">
      <alignment vertical="center"/>
    </xf>
    <xf numFmtId="184" fontId="7" fillId="2" borderId="2" xfId="0" applyNumberFormat="1" applyFont="1" applyFill="1" applyBorder="1" applyAlignment="1">
      <alignment/>
    </xf>
    <xf numFmtId="0" fontId="7" fillId="2" borderId="0" xfId="0" applyNumberFormat="1" applyFont="1" applyFill="1" applyAlignment="1">
      <alignment/>
    </xf>
    <xf numFmtId="10" fontId="7" fillId="2" borderId="0" xfId="0" applyNumberFormat="1" applyFont="1" applyFill="1" applyBorder="1" applyAlignment="1">
      <alignment/>
    </xf>
    <xf numFmtId="41" fontId="7" fillId="2" borderId="0" xfId="15" applyNumberFormat="1" applyFont="1" applyFill="1" applyAlignment="1">
      <alignment/>
    </xf>
    <xf numFmtId="41" fontId="7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/>
    </xf>
    <xf numFmtId="41" fontId="7" fillId="2" borderId="0" xfId="0" applyNumberFormat="1" applyFont="1" applyFill="1" applyBorder="1" applyAlignment="1" applyProtection="1" quotePrefix="1">
      <alignment horizontal="left"/>
      <protection locked="0"/>
    </xf>
    <xf numFmtId="10" fontId="7" fillId="2" borderId="5" xfId="21" applyNumberFormat="1" applyFont="1" applyFill="1" applyBorder="1" applyAlignment="1">
      <alignment horizontal="right"/>
    </xf>
    <xf numFmtId="42" fontId="7" fillId="2" borderId="6" xfId="16" applyNumberFormat="1" applyFont="1" applyFill="1" applyBorder="1" applyAlignment="1">
      <alignment/>
    </xf>
    <xf numFmtId="37" fontId="7" fillId="2" borderId="5" xfId="15" applyNumberFormat="1" applyFont="1" applyFill="1" applyBorder="1" applyAlignment="1" applyProtection="1">
      <alignment/>
      <protection locked="0"/>
    </xf>
    <xf numFmtId="6" fontId="7" fillId="2" borderId="0" xfId="16" applyNumberFormat="1" applyFont="1" applyFill="1" applyAlignment="1">
      <alignment/>
    </xf>
    <xf numFmtId="0" fontId="7" fillId="2" borderId="0" xfId="16" applyNumberFormat="1" applyFont="1" applyFill="1" applyAlignment="1" applyProtection="1" quotePrefix="1">
      <alignment/>
      <protection locked="0"/>
    </xf>
    <xf numFmtId="10" fontId="7" fillId="2" borderId="2" xfId="0" applyNumberFormat="1" applyFont="1" applyFill="1" applyBorder="1" applyAlignment="1">
      <alignment/>
    </xf>
    <xf numFmtId="37" fontId="7" fillId="2" borderId="5" xfId="15" applyNumberFormat="1" applyFont="1" applyFill="1" applyBorder="1" applyAlignment="1">
      <alignment/>
    </xf>
    <xf numFmtId="41" fontId="7" fillId="2" borderId="5" xfId="0" applyNumberFormat="1" applyFont="1" applyFill="1" applyBorder="1" applyAlignment="1">
      <alignment horizontal="right"/>
    </xf>
    <xf numFmtId="41" fontId="7" fillId="2" borderId="0" xfId="0" applyNumberFormat="1" applyFont="1" applyFill="1" applyBorder="1" applyAlignment="1">
      <alignment horizontal="right"/>
    </xf>
    <xf numFmtId="198" fontId="7" fillId="2" borderId="5" xfId="15" applyNumberFormat="1" applyFont="1" applyFill="1" applyBorder="1" applyAlignment="1">
      <alignment/>
    </xf>
    <xf numFmtId="41" fontId="7" fillId="2" borderId="0" xfId="15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10" fontId="7" fillId="2" borderId="0" xfId="21" applyNumberFormat="1" applyFont="1" applyFill="1" applyAlignment="1">
      <alignment/>
    </xf>
    <xf numFmtId="184" fontId="7" fillId="2" borderId="0" xfId="0" applyNumberFormat="1" applyFont="1" applyFill="1" applyAlignment="1">
      <alignment horizontal="left"/>
    </xf>
    <xf numFmtId="37" fontId="7" fillId="2" borderId="6" xfId="0" applyNumberFormat="1" applyFont="1" applyFill="1" applyBorder="1" applyAlignment="1">
      <alignment/>
    </xf>
    <xf numFmtId="184" fontId="7" fillId="2" borderId="0" xfId="0" applyNumberFormat="1" applyFont="1" applyFill="1" applyAlignment="1">
      <alignment horizontal="center"/>
    </xf>
    <xf numFmtId="5" fontId="7" fillId="2" borderId="6" xfId="16" applyNumberFormat="1" applyFont="1" applyFill="1" applyBorder="1" applyAlignment="1">
      <alignment/>
    </xf>
    <xf numFmtId="9" fontId="7" fillId="2" borderId="0" xfId="0" applyNumberFormat="1" applyFont="1" applyFill="1" applyAlignment="1">
      <alignment/>
    </xf>
    <xf numFmtId="9" fontId="7" fillId="2" borderId="0" xfId="0" applyNumberFormat="1" applyFont="1" applyFill="1" applyAlignment="1">
      <alignment horizontal="right"/>
    </xf>
    <xf numFmtId="41" fontId="7" fillId="2" borderId="5" xfId="15" applyNumberFormat="1" applyFont="1" applyFill="1" applyBorder="1" applyAlignment="1" applyProtection="1">
      <alignment/>
      <protection locked="0"/>
    </xf>
    <xf numFmtId="3" fontId="7" fillId="2" borderId="0" xfId="15" applyNumberFormat="1" applyFont="1" applyFill="1" applyAlignment="1">
      <alignment horizontal="right"/>
    </xf>
    <xf numFmtId="168" fontId="7" fillId="2" borderId="0" xfId="21" applyNumberFormat="1" applyFont="1" applyFill="1" applyAlignment="1">
      <alignment/>
    </xf>
    <xf numFmtId="41" fontId="13" fillId="2" borderId="5" xfId="15" applyNumberFormat="1" applyFont="1" applyFill="1" applyBorder="1" applyAlignment="1">
      <alignment/>
    </xf>
    <xf numFmtId="198" fontId="7" fillId="2" borderId="0" xfId="16" applyNumberFormat="1" applyFont="1" applyFill="1" applyBorder="1" applyAlignment="1">
      <alignment horizontal="center"/>
    </xf>
    <xf numFmtId="0" fontId="7" fillId="2" borderId="0" xfId="16" applyNumberFormat="1" applyFont="1" applyFill="1" applyBorder="1" applyAlignment="1" applyProtection="1" quotePrefix="1">
      <alignment/>
      <protection locked="0"/>
    </xf>
    <xf numFmtId="184" fontId="7" fillId="2" borderId="0" xfId="0" applyNumberFormat="1" applyFont="1" applyFill="1" applyBorder="1" applyAlignment="1" applyProtection="1">
      <alignment/>
      <protection locked="0"/>
    </xf>
    <xf numFmtId="17" fontId="9" fillId="2" borderId="0" xfId="0" applyNumberFormat="1" applyFont="1" applyFill="1" applyBorder="1" applyAlignment="1">
      <alignment horizontal="left"/>
    </xf>
    <xf numFmtId="198" fontId="7" fillId="2" borderId="5" xfId="15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184" fontId="7" fillId="2" borderId="0" xfId="0" applyNumberFormat="1" applyFont="1" applyFill="1" applyAlignment="1" applyProtection="1">
      <alignment horizontal="left"/>
      <protection locked="0"/>
    </xf>
    <xf numFmtId="184" fontId="7" fillId="2" borderId="0" xfId="0" applyNumberFormat="1" applyFont="1" applyFill="1" applyBorder="1" applyAlignment="1">
      <alignment horizontal="left"/>
    </xf>
    <xf numFmtId="3" fontId="7" fillId="2" borderId="0" xfId="15" applyNumberFormat="1" applyFont="1" applyFill="1" applyAlignment="1" applyProtection="1">
      <alignment/>
      <protection locked="0"/>
    </xf>
    <xf numFmtId="42" fontId="7" fillId="2" borderId="0" xfId="15" applyNumberFormat="1" applyFont="1" applyFill="1" applyAlignment="1">
      <alignment horizontal="right"/>
    </xf>
    <xf numFmtId="18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198" fontId="7" fillId="2" borderId="0" xfId="0" applyNumberFormat="1" applyFont="1" applyFill="1" applyAlignment="1">
      <alignment/>
    </xf>
    <xf numFmtId="41" fontId="7" fillId="2" borderId="6" xfId="15" applyNumberFormat="1" applyFont="1" applyFill="1" applyBorder="1" applyAlignment="1" applyProtection="1">
      <alignment/>
      <protection locked="0"/>
    </xf>
    <xf numFmtId="37" fontId="7" fillId="2" borderId="0" xfId="0" applyNumberFormat="1" applyFont="1" applyFill="1" applyBorder="1" applyAlignment="1">
      <alignment/>
    </xf>
    <xf numFmtId="184" fontId="7" fillId="2" borderId="5" xfId="0" applyNumberFormat="1" applyFont="1" applyFill="1" applyBorder="1" applyAlignment="1" applyProtection="1">
      <alignment/>
      <protection locked="0"/>
    </xf>
    <xf numFmtId="183" fontId="7" fillId="2" borderId="5" xfId="0" applyNumberFormat="1" applyFont="1" applyFill="1" applyBorder="1" applyAlignment="1" applyProtection="1">
      <alignment/>
      <protection locked="0"/>
    </xf>
    <xf numFmtId="3" fontId="7" fillId="2" borderId="0" xfId="15" applyNumberFormat="1" applyFont="1" applyFill="1" applyBorder="1" applyAlignment="1" applyProtection="1">
      <alignment/>
      <protection locked="0"/>
    </xf>
    <xf numFmtId="41" fontId="7" fillId="2" borderId="0" xfId="15" applyNumberFormat="1" applyFont="1" applyFill="1" applyAlignment="1">
      <alignment horizontal="right"/>
    </xf>
    <xf numFmtId="0" fontId="9" fillId="2" borderId="0" xfId="0" applyFont="1" applyFill="1" applyBorder="1" applyAlignment="1">
      <alignment/>
    </xf>
    <xf numFmtId="0" fontId="7" fillId="2" borderId="5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9" fontId="7" fillId="2" borderId="0" xfId="21" applyFont="1" applyFill="1" applyAlignment="1">
      <alignment horizontal="center"/>
    </xf>
    <xf numFmtId="199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41" fontId="7" fillId="2" borderId="5" xfId="15" applyNumberFormat="1" applyFont="1" applyFill="1" applyBorder="1" applyAlignment="1">
      <alignment horizontal="right"/>
    </xf>
    <xf numFmtId="42" fontId="7" fillId="2" borderId="6" xfId="0" applyNumberFormat="1" applyFont="1" applyFill="1" applyBorder="1" applyAlignment="1">
      <alignment/>
    </xf>
    <xf numFmtId="41" fontId="7" fillId="2" borderId="0" xfId="16" applyNumberFormat="1" applyFont="1" applyFill="1" applyAlignment="1" applyProtection="1">
      <alignment/>
      <protection locked="0"/>
    </xf>
    <xf numFmtId="41" fontId="7" fillId="2" borderId="0" xfId="16" applyNumberFormat="1" applyFont="1" applyFill="1" applyAlignment="1">
      <alignment/>
    </xf>
    <xf numFmtId="41" fontId="7" fillId="2" borderId="0" xfId="16" applyNumberFormat="1" applyFont="1" applyFill="1" applyAlignment="1">
      <alignment horizontal="right"/>
    </xf>
    <xf numFmtId="0" fontId="0" fillId="2" borderId="0" xfId="0" applyFill="1" applyAlignment="1">
      <alignment vertical="center"/>
    </xf>
    <xf numFmtId="41" fontId="7" fillId="2" borderId="5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 quotePrefix="1">
      <alignment horizontal="left"/>
      <protection locked="0"/>
    </xf>
    <xf numFmtId="6" fontId="7" fillId="2" borderId="0" xfId="16" applyNumberFormat="1" applyFont="1" applyFill="1" applyAlignment="1">
      <alignment vertical="top"/>
    </xf>
    <xf numFmtId="42" fontId="7" fillId="2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 quotePrefix="1">
      <alignment horizontal="left"/>
    </xf>
    <xf numFmtId="198" fontId="7" fillId="2" borderId="0" xfId="15" applyNumberFormat="1" applyFont="1" applyFill="1" applyBorder="1" applyAlignment="1">
      <alignment/>
    </xf>
    <xf numFmtId="10" fontId="7" fillId="2" borderId="0" xfId="21" applyNumberFormat="1" applyFont="1" applyFill="1" applyAlignment="1">
      <alignment vertical="center"/>
    </xf>
    <xf numFmtId="184" fontId="7" fillId="2" borderId="0" xfId="0" applyNumberFormat="1" applyFont="1" applyFill="1" applyAlignment="1" applyProtection="1">
      <alignment vertical="center"/>
      <protection locked="0"/>
    </xf>
    <xf numFmtId="247" fontId="7" fillId="2" borderId="0" xfId="0" applyNumberFormat="1" applyFont="1" applyFill="1" applyBorder="1" applyAlignment="1">
      <alignment horizontal="right"/>
    </xf>
    <xf numFmtId="37" fontId="7" fillId="2" borderId="0" xfId="15" applyNumberFormat="1" applyFont="1" applyFill="1" applyBorder="1" applyAlignment="1">
      <alignment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6" fontId="7" fillId="2" borderId="0" xfId="0" applyNumberFormat="1" applyFont="1" applyFill="1" applyAlignment="1">
      <alignment vertical="top"/>
    </xf>
    <xf numFmtId="42" fontId="7" fillId="2" borderId="2" xfId="16" applyNumberFormat="1" applyFont="1" applyFill="1" applyBorder="1" applyAlignment="1">
      <alignment/>
    </xf>
    <xf numFmtId="17" fontId="7" fillId="2" borderId="0" xfId="0" applyNumberFormat="1" applyFont="1" applyFill="1" applyAlignment="1">
      <alignment vertical="top"/>
    </xf>
    <xf numFmtId="198" fontId="11" fillId="2" borderId="0" xfId="15" applyNumberFormat="1" applyFont="1" applyFill="1" applyAlignment="1">
      <alignment vertical="top"/>
    </xf>
    <xf numFmtId="41" fontId="11" fillId="2" borderId="0" xfId="15" applyNumberFormat="1" applyFont="1" applyFill="1" applyAlignment="1">
      <alignment vertical="top"/>
    </xf>
    <xf numFmtId="41" fontId="9" fillId="2" borderId="0" xfId="0" applyNumberFormat="1" applyFont="1" applyFill="1" applyBorder="1" applyAlignment="1">
      <alignment horizontal="right" vertical="top"/>
    </xf>
    <xf numFmtId="41" fontId="9" fillId="2" borderId="0" xfId="15" applyNumberFormat="1" applyFont="1" applyFill="1" applyBorder="1" applyAlignment="1">
      <alignment vertical="top"/>
    </xf>
    <xf numFmtId="184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Alignment="1">
      <alignment horizontal="left" vertical="top"/>
    </xf>
    <xf numFmtId="42" fontId="7" fillId="2" borderId="0" xfId="16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Alignment="1">
      <alignment/>
    </xf>
    <xf numFmtId="9" fontId="7" fillId="2" borderId="0" xfId="0" applyNumberFormat="1" applyFont="1" applyFill="1" applyAlignment="1">
      <alignment/>
    </xf>
    <xf numFmtId="41" fontId="7" fillId="2" borderId="0" xfId="0" applyNumberFormat="1" applyFont="1" applyFill="1" applyAlignment="1">
      <alignment/>
    </xf>
    <xf numFmtId="168" fontId="7" fillId="2" borderId="5" xfId="21" applyNumberFormat="1" applyFont="1" applyFill="1" applyBorder="1" applyAlignment="1">
      <alignment vertical="top"/>
    </xf>
    <xf numFmtId="3" fontId="7" fillId="2" borderId="0" xfId="15" applyNumberFormat="1" applyFont="1" applyFill="1" applyBorder="1" applyAlignment="1">
      <alignment vertical="top"/>
    </xf>
    <xf numFmtId="0" fontId="7" fillId="2" borderId="0" xfId="0" applyFont="1" applyFill="1" applyAlignment="1" applyProtection="1">
      <alignment horizontal="center" vertical="top"/>
      <protection locked="0"/>
    </xf>
    <xf numFmtId="184" fontId="7" fillId="2" borderId="0" xfId="0" applyNumberFormat="1" applyFont="1" applyFill="1" applyAlignment="1">
      <alignment vertical="top"/>
    </xf>
    <xf numFmtId="0" fontId="7" fillId="2" borderId="0" xfId="0" applyFont="1" applyFill="1" applyBorder="1" applyAlignment="1" quotePrefix="1">
      <alignment horizontal="left" vertical="top"/>
    </xf>
    <xf numFmtId="198" fontId="7" fillId="2" borderId="0" xfId="15" applyNumberFormat="1" applyFont="1" applyFill="1" applyBorder="1" applyAlignment="1">
      <alignment vertical="top"/>
    </xf>
    <xf numFmtId="41" fontId="7" fillId="2" borderId="0" xfId="0" applyNumberFormat="1" applyFont="1" applyFill="1" applyAlignment="1">
      <alignment vertical="top"/>
    </xf>
    <xf numFmtId="10" fontId="7" fillId="2" borderId="0" xfId="21" applyNumberFormat="1" applyFont="1" applyFill="1" applyAlignment="1">
      <alignment horizontal="left" vertical="top"/>
    </xf>
    <xf numFmtId="184" fontId="7" fillId="2" borderId="0" xfId="0" applyNumberFormat="1" applyFont="1" applyFill="1" applyAlignment="1" applyProtection="1">
      <alignment vertical="top"/>
      <protection locked="0"/>
    </xf>
    <xf numFmtId="1" fontId="7" fillId="2" borderId="0" xfId="0" applyNumberFormat="1" applyFont="1" applyFill="1" applyAlignment="1">
      <alignment horizontal="center" vertical="top"/>
    </xf>
    <xf numFmtId="42" fontId="7" fillId="2" borderId="0" xfId="0" applyNumberFormat="1" applyFont="1" applyFill="1" applyAlignment="1">
      <alignment vertical="top"/>
    </xf>
    <xf numFmtId="184" fontId="7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9" fontId="7" fillId="2" borderId="0" xfId="21" applyNumberFormat="1" applyFont="1" applyFill="1" applyAlignment="1">
      <alignment/>
    </xf>
    <xf numFmtId="42" fontId="13" fillId="2" borderId="6" xfId="15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/>
    </xf>
    <xf numFmtId="168" fontId="7" fillId="2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10" fontId="7" fillId="2" borderId="0" xfId="21" applyNumberFormat="1" applyFont="1" applyFill="1" applyAlignment="1">
      <alignment horizontal="left"/>
    </xf>
    <xf numFmtId="171" fontId="7" fillId="2" borderId="7" xfId="21" applyNumberFormat="1" applyFont="1" applyFill="1" applyBorder="1" applyAlignment="1" applyProtection="1">
      <alignment/>
      <protection locked="0"/>
    </xf>
    <xf numFmtId="184" fontId="7" fillId="2" borderId="6" xfId="0" applyNumberFormat="1" applyFont="1" applyFill="1" applyBorder="1" applyAlignment="1">
      <alignment/>
    </xf>
    <xf numFmtId="1" fontId="7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 vertical="top"/>
    </xf>
    <xf numFmtId="184" fontId="13" fillId="2" borderId="0" xfId="0" applyNumberFormat="1" applyFont="1" applyFill="1" applyBorder="1" applyAlignment="1">
      <alignment/>
    </xf>
    <xf numFmtId="41" fontId="7" fillId="2" borderId="0" xfId="0" applyNumberFormat="1" applyFont="1" applyFill="1" applyAlignment="1">
      <alignment vertical="center"/>
    </xf>
    <xf numFmtId="42" fontId="7" fillId="2" borderId="8" xfId="16" applyNumberFormat="1" applyFont="1" applyFill="1" applyBorder="1" applyAlignment="1">
      <alignment/>
    </xf>
    <xf numFmtId="176" fontId="7" fillId="2" borderId="0" xfId="0" applyNumberFormat="1" applyFont="1" applyFill="1" applyBorder="1" applyAlignment="1">
      <alignment/>
    </xf>
    <xf numFmtId="41" fontId="7" fillId="2" borderId="0" xfId="0" applyNumberFormat="1" applyFont="1" applyFill="1" applyAlignment="1" applyProtection="1">
      <alignment vertical="center"/>
      <protection locked="0"/>
    </xf>
    <xf numFmtId="42" fontId="7" fillId="2" borderId="9" xfId="16" applyNumberFormat="1" applyFont="1" applyFill="1" applyBorder="1" applyAlignment="1">
      <alignment/>
    </xf>
    <xf numFmtId="184" fontId="7" fillId="2" borderId="0" xfId="0" applyNumberFormat="1" applyFont="1" applyFill="1" applyBorder="1" applyAlignment="1">
      <alignment vertical="center"/>
    </xf>
    <xf numFmtId="9" fontId="7" fillId="2" borderId="0" xfId="0" applyNumberFormat="1" applyFont="1" applyFill="1" applyBorder="1" applyAlignment="1">
      <alignment horizontal="center"/>
    </xf>
    <xf numFmtId="184" fontId="7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1" fontId="7" fillId="2" borderId="0" xfId="0" applyNumberFormat="1" applyFont="1" applyFill="1" applyAlignment="1">
      <alignment vertical="center"/>
    </xf>
    <xf numFmtId="41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quotePrefix="1">
      <alignment horizontal="left"/>
    </xf>
    <xf numFmtId="6" fontId="7" fillId="2" borderId="0" xfId="16" applyNumberFormat="1" applyFont="1" applyFill="1" applyBorder="1" applyAlignment="1">
      <alignment horizontal="right"/>
    </xf>
    <xf numFmtId="41" fontId="7" fillId="2" borderId="0" xfId="0" applyNumberFormat="1" applyFont="1" applyFill="1" applyBorder="1" applyAlignment="1">
      <alignment vertical="top"/>
    </xf>
    <xf numFmtId="37" fontId="13" fillId="2" borderId="0" xfId="0" applyNumberFormat="1" applyFont="1" applyFill="1" applyAlignment="1" applyProtection="1">
      <alignment horizontal="left"/>
      <protection/>
    </xf>
    <xf numFmtId="3" fontId="13" fillId="2" borderId="0" xfId="15" applyNumberFormat="1" applyFont="1" applyFill="1" applyAlignment="1" applyProtection="1">
      <alignment horizontal="left"/>
      <protection/>
    </xf>
    <xf numFmtId="176" fontId="7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38" fontId="7" fillId="2" borderId="0" xfId="15" applyNumberFormat="1" applyFont="1" applyFill="1" applyBorder="1" applyAlignment="1">
      <alignment/>
    </xf>
    <xf numFmtId="4" fontId="7" fillId="2" borderId="0" xfId="15" applyFont="1" applyFill="1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41" fontId="7" fillId="2" borderId="0" xfId="15" applyNumberFormat="1" applyFont="1" applyFill="1" applyBorder="1" applyAlignment="1">
      <alignment horizontal="center"/>
    </xf>
    <xf numFmtId="17" fontId="7" fillId="2" borderId="0" xfId="0" applyNumberFormat="1" applyFont="1" applyFill="1" applyAlignment="1">
      <alignment horizontal="right"/>
    </xf>
    <xf numFmtId="42" fontId="7" fillId="2" borderId="0" xfId="15" applyNumberFormat="1" applyFont="1" applyFill="1" applyBorder="1" applyAlignment="1">
      <alignment/>
    </xf>
    <xf numFmtId="9" fontId="7" fillId="2" borderId="0" xfId="15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2" fontId="7" fillId="2" borderId="0" xfId="0" applyNumberFormat="1" applyFont="1" applyFill="1" applyAlignment="1">
      <alignment horizontal="left"/>
    </xf>
    <xf numFmtId="42" fontId="7" fillId="2" borderId="0" xfId="16" applyNumberFormat="1" applyFont="1" applyFill="1" applyAlignment="1" applyProtection="1">
      <alignment horizontal="left"/>
      <protection locked="0"/>
    </xf>
    <xf numFmtId="42" fontId="7" fillId="2" borderId="0" xfId="16" applyNumberFormat="1" applyFont="1" applyFill="1" applyAlignment="1">
      <alignment horizontal="left"/>
    </xf>
    <xf numFmtId="37" fontId="7" fillId="2" borderId="0" xfId="0" applyNumberFormat="1" applyFont="1" applyFill="1" applyBorder="1" applyAlignment="1">
      <alignment horizontal="right"/>
    </xf>
    <xf numFmtId="42" fontId="7" fillId="2" borderId="6" xfId="15" applyNumberFormat="1" applyFont="1" applyFill="1" applyBorder="1" applyAlignment="1">
      <alignment/>
    </xf>
    <xf numFmtId="5" fontId="7" fillId="2" borderId="0" xfId="0" applyNumberFormat="1" applyFont="1" applyFill="1" applyAlignment="1">
      <alignment/>
    </xf>
    <xf numFmtId="10" fontId="7" fillId="2" borderId="0" xfId="0" applyNumberFormat="1" applyFont="1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258" fontId="7" fillId="2" borderId="0" xfId="0" applyNumberFormat="1" applyFont="1" applyFill="1" applyAlignment="1">
      <alignment/>
    </xf>
    <xf numFmtId="3" fontId="7" fillId="2" borderId="5" xfId="15" applyNumberFormat="1" applyFont="1" applyFill="1" applyBorder="1" applyAlignment="1">
      <alignment/>
    </xf>
    <xf numFmtId="42" fontId="13" fillId="2" borderId="0" xfId="16" applyNumberFormat="1" applyFont="1" applyFill="1" applyAlignment="1" applyProtection="1">
      <alignment/>
      <protection/>
    </xf>
    <xf numFmtId="3" fontId="7" fillId="2" borderId="0" xfId="0" applyNumberFormat="1" applyFont="1" applyFill="1" applyAlignment="1">
      <alignment/>
    </xf>
    <xf numFmtId="220" fontId="13" fillId="2" borderId="0" xfId="0" applyNumberFormat="1" applyFont="1" applyFill="1" applyAlignment="1" applyProtection="1">
      <alignment horizontal="left"/>
      <protection/>
    </xf>
    <xf numFmtId="42" fontId="13" fillId="2" borderId="0" xfId="16" applyNumberFormat="1" applyFont="1" applyFill="1" applyAlignment="1" applyProtection="1">
      <alignment/>
      <protection locked="0"/>
    </xf>
    <xf numFmtId="41" fontId="13" fillId="2" borderId="0" xfId="0" applyNumberFormat="1" applyFont="1" applyFill="1" applyAlignment="1" applyProtection="1">
      <alignment/>
      <protection/>
    </xf>
    <xf numFmtId="41" fontId="13" fillId="2" borderId="0" xfId="0" applyNumberFormat="1" applyFont="1" applyFill="1" applyAlignment="1" applyProtection="1">
      <alignment horizontal="left"/>
      <protection/>
    </xf>
    <xf numFmtId="41" fontId="13" fillId="2" borderId="0" xfId="0" applyNumberFormat="1" applyFont="1" applyFill="1" applyAlignment="1" applyProtection="1">
      <alignment/>
      <protection locked="0"/>
    </xf>
    <xf numFmtId="41" fontId="13" fillId="2" borderId="0" xfId="0" applyNumberFormat="1" applyFont="1" applyFill="1" applyAlignment="1" applyProtection="1">
      <alignment horizontal="left"/>
      <protection locked="0"/>
    </xf>
    <xf numFmtId="41" fontId="13" fillId="2" borderId="0" xfId="0" applyNumberFormat="1" applyFont="1" applyFill="1" applyBorder="1" applyAlignment="1" applyProtection="1">
      <alignment/>
      <protection/>
    </xf>
    <xf numFmtId="9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>
      <alignment horizontal="center"/>
    </xf>
    <xf numFmtId="41" fontId="13" fillId="2" borderId="5" xfId="0" applyNumberFormat="1" applyFont="1" applyFill="1" applyBorder="1" applyAlignment="1" applyProtection="1">
      <alignment/>
      <protection locked="0"/>
    </xf>
    <xf numFmtId="42" fontId="13" fillId="2" borderId="0" xfId="16" applyNumberFormat="1" applyFont="1" applyFill="1" applyBorder="1" applyAlignment="1" applyProtection="1">
      <alignment/>
      <protection/>
    </xf>
    <xf numFmtId="42" fontId="13" fillId="2" borderId="7" xfId="16" applyNumberFormat="1" applyFont="1" applyFill="1" applyBorder="1" applyAlignment="1" applyProtection="1">
      <alignment/>
      <protection/>
    </xf>
    <xf numFmtId="204" fontId="13" fillId="2" borderId="0" xfId="0" applyNumberFormat="1" applyFont="1" applyFill="1" applyAlignment="1" applyProtection="1">
      <alignment horizontal="left"/>
      <protection/>
    </xf>
    <xf numFmtId="10" fontId="13" fillId="2" borderId="0" xfId="0" applyNumberFormat="1" applyFont="1" applyFill="1" applyAlignment="1" applyProtection="1">
      <alignment/>
      <protection/>
    </xf>
    <xf numFmtId="0" fontId="7" fillId="2" borderId="0" xfId="0" applyFont="1" applyFill="1" applyBorder="1" applyAlignment="1">
      <alignment/>
    </xf>
    <xf numFmtId="18" fontId="7" fillId="2" borderId="0" xfId="0" applyNumberFormat="1" applyFont="1" applyFill="1" applyBorder="1" applyAlignment="1">
      <alignment horizontal="centerContinuous"/>
    </xf>
    <xf numFmtId="167" fontId="7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 applyProtection="1">
      <alignment horizontal="centerContinuous"/>
      <protection locked="0"/>
    </xf>
    <xf numFmtId="15" fontId="7" fillId="2" borderId="0" xfId="0" applyNumberFormat="1" applyFont="1" applyFill="1" applyBorder="1" applyAlignment="1">
      <alignment/>
    </xf>
    <xf numFmtId="38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 quotePrefix="1">
      <alignment/>
    </xf>
    <xf numFmtId="18" fontId="7" fillId="2" borderId="0" xfId="0" applyNumberFormat="1" applyFont="1" applyFill="1" applyAlignment="1">
      <alignment/>
    </xf>
    <xf numFmtId="37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 applyProtection="1">
      <alignment horizontal="right"/>
      <protection locked="0"/>
    </xf>
    <xf numFmtId="39" fontId="7" fillId="2" borderId="0" xfId="0" applyNumberFormat="1" applyFont="1" applyFill="1" applyAlignment="1">
      <alignment/>
    </xf>
    <xf numFmtId="171" fontId="7" fillId="2" borderId="0" xfId="0" applyNumberFormat="1" applyFont="1" applyFill="1" applyAlignment="1">
      <alignment/>
    </xf>
    <xf numFmtId="171" fontId="7" fillId="2" borderId="0" xfId="0" applyNumberFormat="1" applyFont="1" applyFill="1" applyBorder="1" applyAlignment="1">
      <alignment/>
    </xf>
    <xf numFmtId="184" fontId="7" fillId="2" borderId="0" xfId="0" applyNumberFormat="1" applyFont="1" applyFill="1" applyBorder="1" applyAlignment="1">
      <alignment horizontal="center"/>
    </xf>
    <xf numFmtId="0" fontId="7" fillId="2" borderId="0" xfId="19" applyFont="1" applyFill="1" applyAlignment="1">
      <alignment horizontal="centerContinuous"/>
      <protection/>
    </xf>
    <xf numFmtId="0" fontId="8" fillId="2" borderId="0" xfId="19" applyFont="1" applyFill="1" applyAlignment="1">
      <alignment horizontal="centerContinuous"/>
      <protection/>
    </xf>
    <xf numFmtId="0" fontId="7" fillId="2" borderId="0" xfId="19" applyFont="1" applyFill="1" applyAlignment="1">
      <alignment horizontal="center"/>
      <protection/>
    </xf>
    <xf numFmtId="0" fontId="7" fillId="2" borderId="0" xfId="19" applyFont="1" applyFill="1">
      <alignment/>
      <protection/>
    </xf>
    <xf numFmtId="0" fontId="10" fillId="2" borderId="0" xfId="19" applyFont="1" applyFill="1" applyAlignment="1">
      <alignment horizontal="centerContinuous"/>
      <protection/>
    </xf>
    <xf numFmtId="0" fontId="7" fillId="2" borderId="0" xfId="19" applyFont="1" applyFill="1" applyBorder="1" applyAlignment="1">
      <alignment horizontal="center"/>
      <protection/>
    </xf>
    <xf numFmtId="0" fontId="10" fillId="2" borderId="0" xfId="19" applyFont="1" applyFill="1" applyBorder="1" applyAlignment="1">
      <alignment horizontal="centerContinuous"/>
      <protection/>
    </xf>
    <xf numFmtId="0" fontId="7" fillId="2" borderId="0" xfId="19" applyFont="1" applyFill="1" applyBorder="1">
      <alignment/>
      <protection/>
    </xf>
    <xf numFmtId="193" fontId="7" fillId="2" borderId="0" xfId="19" applyNumberFormat="1" applyFont="1" applyFill="1" applyBorder="1" applyAlignment="1">
      <alignment horizontal="center"/>
      <protection/>
    </xf>
    <xf numFmtId="5" fontId="7" fillId="2" borderId="0" xfId="19" applyNumberFormat="1" applyFont="1" applyFill="1" applyBorder="1">
      <alignment/>
      <protection/>
    </xf>
    <xf numFmtId="37" fontId="7" fillId="2" borderId="0" xfId="19" applyNumberFormat="1" applyFont="1" applyFill="1" applyBorder="1">
      <alignment/>
      <protection/>
    </xf>
    <xf numFmtId="196" fontId="7" fillId="2" borderId="0" xfId="19" applyNumberFormat="1" applyFont="1" applyFill="1" applyBorder="1">
      <alignment/>
      <protection/>
    </xf>
    <xf numFmtId="7" fontId="7" fillId="2" borderId="0" xfId="19" applyNumberFormat="1" applyFont="1" applyFill="1" applyBorder="1">
      <alignment/>
      <protection/>
    </xf>
    <xf numFmtId="0" fontId="8" fillId="2" borderId="0" xfId="19" applyFont="1" applyFill="1" applyBorder="1" applyAlignment="1">
      <alignment horizontal="centerContinuous"/>
      <protection/>
    </xf>
    <xf numFmtId="0" fontId="7" fillId="2" borderId="0" xfId="19" applyFont="1" applyFill="1" applyBorder="1" applyAlignment="1">
      <alignment horizontal="centerContinuous"/>
      <protection/>
    </xf>
    <xf numFmtId="5" fontId="7" fillId="2" borderId="0" xfId="19" applyNumberFormat="1" applyFont="1" applyFill="1" applyBorder="1" applyAlignment="1">
      <alignment horizontal="centerContinuous"/>
      <protection/>
    </xf>
    <xf numFmtId="195" fontId="7" fillId="2" borderId="0" xfId="19" applyNumberFormat="1" applyFont="1" applyFill="1" applyBorder="1" applyAlignment="1">
      <alignment horizontal="centerContinuous"/>
      <protection/>
    </xf>
    <xf numFmtId="195" fontId="7" fillId="2" borderId="0" xfId="19" applyNumberFormat="1" applyFont="1" applyFill="1" applyBorder="1">
      <alignment/>
      <protection/>
    </xf>
    <xf numFmtId="177" fontId="7" fillId="2" borderId="0" xfId="19" applyNumberFormat="1" applyFont="1" applyFill="1" applyBorder="1" applyAlignment="1">
      <alignment horizontal="left"/>
      <protection/>
    </xf>
    <xf numFmtId="0" fontId="8" fillId="2" borderId="0" xfId="20" applyFont="1" applyFill="1" applyBorder="1" applyAlignment="1">
      <alignment horizontal="centerContinuous"/>
      <protection/>
    </xf>
    <xf numFmtId="0" fontId="7" fillId="2" borderId="0" xfId="20" applyFont="1" applyFill="1" applyBorder="1" applyAlignment="1">
      <alignment horizontal="centerContinuous"/>
      <protection/>
    </xf>
    <xf numFmtId="0" fontId="8" fillId="2" borderId="0" xfId="0" applyFont="1" applyFill="1" applyBorder="1" applyAlignment="1">
      <alignment horizontal="centerContinuous"/>
    </xf>
    <xf numFmtId="0" fontId="7" fillId="2" borderId="0" xfId="20" applyFont="1" applyFill="1" applyBorder="1" applyAlignment="1">
      <alignment horizontal="center"/>
      <protection/>
    </xf>
    <xf numFmtId="0" fontId="7" fillId="2" borderId="0" xfId="20" applyFont="1" applyFill="1" applyBorder="1">
      <alignment/>
      <protection/>
    </xf>
    <xf numFmtId="193" fontId="7" fillId="2" borderId="0" xfId="20" applyNumberFormat="1" applyFont="1" applyFill="1" applyBorder="1" applyAlignment="1">
      <alignment horizontal="center"/>
      <protection/>
    </xf>
    <xf numFmtId="5" fontId="7" fillId="2" borderId="0" xfId="20" applyNumberFormat="1" applyFont="1" applyFill="1" applyBorder="1">
      <alignment/>
      <protection/>
    </xf>
    <xf numFmtId="37" fontId="7" fillId="2" borderId="0" xfId="20" applyNumberFormat="1" applyFont="1" applyFill="1" applyBorder="1">
      <alignment/>
      <protection/>
    </xf>
    <xf numFmtId="194" fontId="7" fillId="2" borderId="0" xfId="20" applyNumberFormat="1" applyFont="1" applyFill="1" applyBorder="1">
      <alignment/>
      <protection/>
    </xf>
    <xf numFmtId="195" fontId="7" fillId="2" borderId="0" xfId="20" applyNumberFormat="1" applyFont="1" applyFill="1" applyBorder="1">
      <alignment/>
      <protection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</cellXfs>
  <cellStyles count="10">
    <cellStyle name="Normal" xfId="0"/>
    <cellStyle name="Comma" xfId="15"/>
    <cellStyle name="Currency" xfId="16"/>
    <cellStyle name="Heading1" xfId="17"/>
    <cellStyle name="Heading2" xfId="18"/>
    <cellStyle name="Normal_BASECOST" xfId="19"/>
    <cellStyle name="Normal_RESCOST" xfId="20"/>
    <cellStyle name="Percent" xfId="21"/>
    <cellStyle name="StmtTtl1" xfId="22"/>
    <cellStyle name="StmtTtl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2</xdr:row>
      <xdr:rowOff>0</xdr:rowOff>
    </xdr:from>
    <xdr:to>
      <xdr:col>48</xdr:col>
      <xdr:colOff>0</xdr:colOff>
      <xdr:row>3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54987825" y="32385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55</xdr:col>
      <xdr:colOff>0</xdr:colOff>
      <xdr:row>2</xdr:row>
      <xdr:rowOff>38100</xdr:rowOff>
    </xdr:from>
    <xdr:to>
      <xdr:col>55</xdr:col>
      <xdr:colOff>0</xdr:colOff>
      <xdr:row>3</xdr:row>
      <xdr:rowOff>19050</xdr:rowOff>
    </xdr:to>
    <xdr:sp>
      <xdr:nvSpPr>
        <xdr:cNvPr id="2" name="Rectangle 54"/>
        <xdr:cNvSpPr>
          <a:spLocks/>
        </xdr:cNvSpPr>
      </xdr:nvSpPr>
      <xdr:spPr>
        <a:xfrm>
          <a:off x="66608325" y="361950"/>
          <a:ext cx="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IS_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WC%2006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ostage%20Adjustme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CWI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Wage%20Increase%20Adjustment%20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IS_Detail"/>
      <sheetName val="Interest"/>
      <sheetName val="allocator"/>
      <sheetName val="Amort"/>
    </sheetNames>
    <sheetDataSet>
      <sheetData sheetId="0">
        <row r="11">
          <cell r="I11">
            <v>776106874.9399999</v>
          </cell>
        </row>
        <row r="17">
          <cell r="I17">
            <v>499332790.96</v>
          </cell>
        </row>
        <row r="22">
          <cell r="I22">
            <v>1127321.05</v>
          </cell>
        </row>
        <row r="23">
          <cell r="I23">
            <v>3533370.48</v>
          </cell>
        </row>
        <row r="24">
          <cell r="I24">
            <v>24072797.119999994</v>
          </cell>
        </row>
        <row r="25">
          <cell r="I25">
            <v>15844280.1</v>
          </cell>
        </row>
        <row r="26">
          <cell r="I26">
            <v>1876687.84</v>
          </cell>
        </row>
        <row r="27">
          <cell r="I27">
            <v>1070692.43</v>
          </cell>
        </row>
        <row r="28">
          <cell r="I28">
            <v>22046759.35</v>
          </cell>
        </row>
        <row r="29">
          <cell r="I29">
            <v>56452198.82</v>
          </cell>
        </row>
        <row r="30">
          <cell r="I30">
            <v>47294.45</v>
          </cell>
        </row>
        <row r="31">
          <cell r="I31">
            <v>0</v>
          </cell>
        </row>
        <row r="32">
          <cell r="I32">
            <v>71223932.45</v>
          </cell>
        </row>
        <row r="33">
          <cell r="I33">
            <v>6576888.9</v>
          </cell>
        </row>
        <row r="34">
          <cell r="I34">
            <v>2270533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enco"/>
      <sheetName val="Electric WC"/>
      <sheetName val="Gas WC"/>
      <sheetName val="Combined WC"/>
      <sheetName val="BS"/>
      <sheetName val="Electric Rate Base"/>
      <sheetName val="Gas Rate Base"/>
      <sheetName val="JulAug00"/>
      <sheetName val="SepOct00"/>
      <sheetName val="NovDec00"/>
      <sheetName val="JanFeb01"/>
      <sheetName val="MarApr01"/>
      <sheetName val="MayJun01"/>
      <sheetName val="WC comparison"/>
      <sheetName val="Extract Review"/>
      <sheetName val="Procedures"/>
    </sheetNames>
    <sheetDataSet>
      <sheetData sheetId="3">
        <row r="87">
          <cell r="C87">
            <v>0</v>
          </cell>
        </row>
      </sheetData>
      <sheetData sheetId="7">
        <row r="17">
          <cell r="E17">
            <v>1516324327</v>
          </cell>
        </row>
        <row r="19">
          <cell r="E19">
            <v>-423045339</v>
          </cell>
        </row>
        <row r="20">
          <cell r="E20">
            <v>-20211931</v>
          </cell>
        </row>
        <row r="26">
          <cell r="E26">
            <v>-88850969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Bills"/>
      <sheetName val="Corporate Mail"/>
      <sheetName val="Data from Alliance Data Systems"/>
      <sheetName val="Data from Mail Services"/>
      <sheetName val="Data from Revenue Management"/>
      <sheetName val="Sheet2"/>
      <sheetName val="Sheet3"/>
    </sheetNames>
    <sheetDataSet>
      <sheetData sheetId="0">
        <row r="41">
          <cell r="D41">
            <v>1699172.5023999999</v>
          </cell>
        </row>
        <row r="44">
          <cell r="D44">
            <v>2008135.7614214257</v>
          </cell>
        </row>
      </sheetData>
      <sheetData sheetId="1">
        <row r="45">
          <cell r="D45">
            <v>91959.58903999999</v>
          </cell>
        </row>
        <row r="48">
          <cell r="D48">
            <v>100518.02526245333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H16">
            <v>50427323.85929564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 &amp; M Payroll"/>
      <sheetName val="500s-900s FERC FORM 1"/>
      <sheetName val="Average Increase"/>
      <sheetName val="Mngt Wage Increase"/>
      <sheetName val="Union Wage Increases"/>
    </sheetNames>
    <sheetDataSet>
      <sheetData sheetId="0">
        <row r="21">
          <cell r="F21">
            <v>86942.79999999999</v>
          </cell>
        </row>
        <row r="22">
          <cell r="F22">
            <v>366979.43000000005</v>
          </cell>
        </row>
        <row r="23">
          <cell r="F23">
            <v>10386.04</v>
          </cell>
        </row>
        <row r="24">
          <cell r="F24">
            <v>257099.81</v>
          </cell>
        </row>
        <row r="25">
          <cell r="F25">
            <v>11382378.759999998</v>
          </cell>
        </row>
        <row r="26">
          <cell r="F26">
            <v>4918763.60302</v>
          </cell>
        </row>
        <row r="27">
          <cell r="F27">
            <v>479821.23946</v>
          </cell>
        </row>
        <row r="28">
          <cell r="F28">
            <v>400464.23727999994</v>
          </cell>
        </row>
        <row r="29">
          <cell r="F29">
            <v>12274998.662899999</v>
          </cell>
        </row>
      </sheetData>
      <sheetData sheetId="2">
        <row r="14">
          <cell r="D14">
            <v>0.0778</v>
          </cell>
        </row>
        <row r="15">
          <cell r="D15">
            <v>0.0815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59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2.75" customHeight="1"/>
  <cols>
    <col min="1" max="1" width="6.83203125" style="1" customWidth="1"/>
    <col min="2" max="2" width="34.16015625" style="1" customWidth="1"/>
    <col min="3" max="3" width="12.66015625" style="1" customWidth="1"/>
    <col min="4" max="4" width="17" style="1" customWidth="1"/>
    <col min="5" max="5" width="16.66015625" style="1" customWidth="1"/>
    <col min="6" max="6" width="19.83203125" style="1" customWidth="1"/>
    <col min="7" max="7" width="6.83203125" style="1" customWidth="1"/>
    <col min="8" max="8" width="54.66015625" style="1" customWidth="1"/>
    <col min="9" max="9" width="13" style="1" customWidth="1"/>
    <col min="10" max="10" width="19" style="1" customWidth="1"/>
    <col min="11" max="11" width="6.83203125" style="1" customWidth="1"/>
    <col min="12" max="12" width="45.66015625" style="1" bestFit="1" customWidth="1"/>
    <col min="13" max="13" width="13.5" style="1" customWidth="1"/>
    <col min="14" max="14" width="12.66015625" style="1" customWidth="1"/>
    <col min="15" max="15" width="15.16015625" style="1" bestFit="1" customWidth="1"/>
    <col min="16" max="16" width="6.83203125" style="1" customWidth="1"/>
    <col min="17" max="19" width="23" style="1" customWidth="1"/>
    <col min="20" max="20" width="20" style="1" customWidth="1"/>
    <col min="21" max="21" width="6.83203125" style="1" customWidth="1"/>
    <col min="22" max="22" width="42.83203125" style="1" customWidth="1"/>
    <col min="23" max="23" width="19" style="1" customWidth="1"/>
    <col min="24" max="24" width="19.16015625" style="1" customWidth="1"/>
    <col min="25" max="25" width="6.83203125" style="1" customWidth="1"/>
    <col min="26" max="26" width="35.16015625" style="1" customWidth="1"/>
    <col min="27" max="27" width="19" style="1" customWidth="1"/>
    <col min="28" max="28" width="16.66015625" style="1" customWidth="1"/>
    <col min="29" max="30" width="16.16015625" style="1" customWidth="1"/>
    <col min="31" max="31" width="6.83203125" style="1" customWidth="1"/>
    <col min="32" max="32" width="46.83203125" style="1" customWidth="1"/>
    <col min="33" max="33" width="18.33203125" style="1" customWidth="1"/>
    <col min="34" max="34" width="15.33203125" style="1" customWidth="1"/>
    <col min="35" max="35" width="6.83203125" style="1" customWidth="1"/>
    <col min="36" max="36" width="52" style="1" customWidth="1"/>
    <col min="37" max="37" width="18.16015625" style="1" customWidth="1"/>
    <col min="38" max="38" width="17.16015625" style="1" customWidth="1"/>
    <col min="39" max="39" width="18.5" style="1" customWidth="1"/>
    <col min="40" max="40" width="6.83203125" style="1" customWidth="1"/>
    <col min="41" max="41" width="45.5" style="1" bestFit="1" customWidth="1"/>
    <col min="42" max="42" width="19.66015625" style="1" customWidth="1"/>
    <col min="43" max="43" width="7.33203125" style="1" customWidth="1"/>
    <col min="44" max="44" width="14.83203125" style="1" bestFit="1" customWidth="1"/>
    <col min="45" max="45" width="6.83203125" style="1" customWidth="1"/>
    <col min="46" max="46" width="43.16015625" style="1" customWidth="1"/>
    <col min="47" max="47" width="15.5" style="1" customWidth="1"/>
    <col min="48" max="48" width="14.33203125" style="1" customWidth="1"/>
    <col min="49" max="49" width="5.83203125" style="1" bestFit="1" customWidth="1"/>
    <col min="50" max="50" width="76.16015625" style="1" bestFit="1" customWidth="1"/>
    <col min="51" max="51" width="15.33203125" style="1" customWidth="1"/>
    <col min="52" max="52" width="16.5" style="8" bestFit="1" customWidth="1"/>
    <col min="53" max="53" width="6.83203125" style="1" customWidth="1"/>
    <col min="54" max="54" width="65.33203125" style="1" customWidth="1"/>
    <col min="55" max="55" width="17.33203125" style="1" customWidth="1"/>
    <col min="56" max="56" width="6.83203125" style="1" customWidth="1"/>
    <col min="57" max="57" width="42.83203125" style="1" customWidth="1"/>
    <col min="58" max="58" width="4.83203125" style="1" customWidth="1"/>
    <col min="59" max="59" width="6.5" style="1" bestFit="1" customWidth="1"/>
    <col min="60" max="60" width="13.33203125" style="1" customWidth="1"/>
    <col min="61" max="61" width="14.5" style="1" customWidth="1"/>
    <col min="62" max="62" width="18" style="1" customWidth="1"/>
    <col min="63" max="63" width="6.83203125" style="1" customWidth="1"/>
    <col min="64" max="64" width="37" style="1" customWidth="1"/>
    <col min="65" max="65" width="17.83203125" style="1" customWidth="1"/>
    <col min="66" max="66" width="18.33203125" style="1" customWidth="1"/>
    <col min="67" max="67" width="6.83203125" style="1" customWidth="1"/>
    <col min="68" max="68" width="59.16015625" style="1" bestFit="1" customWidth="1"/>
    <col min="69" max="69" width="16.83203125" style="1" bestFit="1" customWidth="1"/>
    <col min="70" max="70" width="15.66015625" style="1" bestFit="1" customWidth="1"/>
    <col min="71" max="71" width="6.83203125" style="1" customWidth="1"/>
    <col min="72" max="72" width="53.5" style="1" customWidth="1"/>
    <col min="73" max="73" width="9" style="1" customWidth="1"/>
    <col min="74" max="74" width="20" style="1" customWidth="1"/>
    <col min="75" max="75" width="6.83203125" style="1" customWidth="1"/>
    <col min="76" max="76" width="36" style="1" customWidth="1"/>
    <col min="77" max="77" width="9" style="1" customWidth="1"/>
    <col min="78" max="79" width="15.83203125" style="1" customWidth="1"/>
    <col min="80" max="80" width="16.66015625" style="1" customWidth="1"/>
    <col min="81" max="81" width="5.83203125" style="1" bestFit="1" customWidth="1"/>
    <col min="82" max="82" width="38.33203125" style="1" customWidth="1"/>
    <col min="83" max="85" width="17.83203125" style="1" customWidth="1"/>
    <col min="86" max="86" width="5.83203125" style="1" bestFit="1" customWidth="1"/>
    <col min="87" max="87" width="47.5" style="1" customWidth="1"/>
    <col min="88" max="88" width="9" style="1" customWidth="1"/>
    <col min="89" max="89" width="17.83203125" style="1" customWidth="1"/>
    <col min="90" max="90" width="7" style="1" customWidth="1"/>
    <col min="91" max="91" width="43.83203125" style="1" bestFit="1" customWidth="1"/>
    <col min="92" max="94" width="17.83203125" style="1" customWidth="1"/>
    <col min="95" max="95" width="6.83203125" style="1" customWidth="1"/>
    <col min="96" max="96" width="52.83203125" style="1" bestFit="1" customWidth="1"/>
    <col min="97" max="97" width="14.33203125" style="1" customWidth="1"/>
    <col min="98" max="98" width="15.83203125" style="1" customWidth="1"/>
    <col min="99" max="99" width="6.83203125" style="1" customWidth="1"/>
    <col min="100" max="100" width="17" style="1" customWidth="1"/>
    <col min="101" max="101" width="17.66015625" style="1" customWidth="1"/>
    <col min="102" max="102" width="18.66015625" style="1" customWidth="1"/>
    <col min="103" max="103" width="20" style="1" customWidth="1"/>
    <col min="104" max="104" width="6.83203125" style="1" customWidth="1"/>
    <col min="105" max="105" width="50.83203125" style="1" bestFit="1" customWidth="1"/>
    <col min="106" max="106" width="22.83203125" style="1" bestFit="1" customWidth="1"/>
    <col min="107" max="107" width="19.16015625" style="1" customWidth="1"/>
    <col min="108" max="108" width="17.66015625" style="1" customWidth="1"/>
    <col min="109" max="109" width="10.5" style="1" customWidth="1"/>
    <col min="110" max="110" width="14.33203125" style="1" customWidth="1"/>
    <col min="111" max="111" width="24.33203125" style="1" bestFit="1" customWidth="1"/>
    <col min="112" max="112" width="11" style="1" bestFit="1" customWidth="1"/>
    <col min="113" max="113" width="5.83203125" style="1" bestFit="1" customWidth="1"/>
    <col min="114" max="114" width="50.83203125" style="1" bestFit="1" customWidth="1"/>
    <col min="115" max="115" width="23" style="1" bestFit="1" customWidth="1"/>
    <col min="116" max="116" width="12.83203125" style="1" customWidth="1"/>
    <col min="117" max="117" width="10.5" style="1" customWidth="1"/>
    <col min="118" max="118" width="18" style="1" customWidth="1"/>
    <col min="119" max="119" width="12.33203125" style="1" customWidth="1"/>
    <col min="120" max="120" width="12.16015625" style="1" customWidth="1"/>
    <col min="121" max="121" width="13.16015625" style="1" customWidth="1"/>
    <col min="122" max="122" width="5.83203125" style="1" bestFit="1" customWidth="1"/>
    <col min="123" max="123" width="50.83203125" style="1" bestFit="1" customWidth="1"/>
    <col min="124" max="124" width="14.5" style="1" customWidth="1"/>
    <col min="125" max="125" width="12.66015625" style="1" customWidth="1"/>
    <col min="126" max="126" width="11" style="1" customWidth="1"/>
    <col min="127" max="127" width="15.5" style="1" customWidth="1"/>
    <col min="128" max="128" width="15.66015625" style="1" customWidth="1"/>
    <col min="129" max="129" width="12.16015625" style="1" customWidth="1"/>
    <col min="130" max="130" width="16.5" style="1" customWidth="1"/>
    <col min="131" max="131" width="15" style="1" customWidth="1"/>
    <col min="132" max="132" width="6.83203125" style="1" customWidth="1"/>
    <col min="133" max="133" width="50.83203125" style="1" bestFit="1" customWidth="1"/>
    <col min="134" max="138" width="18.83203125" style="1" customWidth="1"/>
    <col min="139" max="139" width="14.66015625" style="1" customWidth="1"/>
    <col min="140" max="141" width="15.33203125" style="1" customWidth="1"/>
    <col min="142" max="207" width="10.83203125" style="1" customWidth="1"/>
    <col min="208" max="209" width="21.16015625" style="1" customWidth="1"/>
    <col min="210" max="210" width="20" style="1" customWidth="1"/>
    <col min="211" max="211" width="9.33203125" style="1" customWidth="1"/>
    <col min="212" max="214" width="21.16015625" style="1" customWidth="1"/>
    <col min="215" max="215" width="20" style="1" customWidth="1"/>
    <col min="216" max="216" width="9.33203125" style="1" customWidth="1"/>
    <col min="217" max="219" width="21.16015625" style="1" customWidth="1"/>
    <col min="220" max="220" width="20" style="1" customWidth="1"/>
    <col min="221" max="221" width="9.33203125" style="1" customWidth="1"/>
    <col min="222" max="225" width="21.16015625" style="1" customWidth="1"/>
    <col min="226" max="226" width="20" style="1" customWidth="1"/>
    <col min="227" max="227" width="9.33203125" style="1" customWidth="1"/>
    <col min="228" max="230" width="21.16015625" style="1" customWidth="1"/>
    <col min="231" max="231" width="20" style="1" customWidth="1"/>
    <col min="232" max="232" width="9.33203125" style="1" customWidth="1"/>
    <col min="233" max="236" width="21.16015625" style="1" customWidth="1"/>
    <col min="237" max="237" width="20" style="1" customWidth="1"/>
    <col min="238" max="238" width="9.33203125" style="1" customWidth="1"/>
    <col min="239" max="241" width="21.16015625" style="1" customWidth="1"/>
    <col min="242" max="242" width="20" style="1" customWidth="1"/>
    <col min="243" max="243" width="9.33203125" style="1" customWidth="1"/>
    <col min="244" max="16384" width="21.16015625" style="1" customWidth="1"/>
  </cols>
  <sheetData>
    <row r="1" spans="8:207" ht="12.75" customHeight="1" thickBot="1">
      <c r="H1" s="2"/>
      <c r="I1" s="3"/>
      <c r="J1" s="3"/>
      <c r="K1" s="4"/>
      <c r="L1" s="5"/>
      <c r="T1" s="6"/>
      <c r="AF1" s="2"/>
      <c r="AG1" s="2"/>
      <c r="AK1" s="7"/>
      <c r="BB1" s="2"/>
      <c r="DU1" s="9"/>
      <c r="DV1" s="9"/>
      <c r="DW1" s="9"/>
      <c r="DX1" s="9"/>
      <c r="DY1" s="9"/>
      <c r="DZ1" s="9"/>
      <c r="EA1" s="9"/>
      <c r="EF1" s="6"/>
      <c r="EG1" s="10" t="s">
        <v>22</v>
      </c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</row>
    <row r="2" spans="8:207" ht="12.75" customHeight="1" thickBot="1">
      <c r="H2" s="2"/>
      <c r="J2" s="3"/>
      <c r="T2" s="6"/>
      <c r="AF2" s="2"/>
      <c r="AG2" s="2"/>
      <c r="AK2" s="7"/>
      <c r="AV2" s="11"/>
      <c r="BB2" s="2"/>
      <c r="CT2" s="2"/>
      <c r="DH2" s="12" t="s">
        <v>327</v>
      </c>
      <c r="DM2" s="13"/>
      <c r="DQ2" s="12" t="s">
        <v>326</v>
      </c>
      <c r="DU2" s="9"/>
      <c r="DV2" s="9"/>
      <c r="DW2" s="9"/>
      <c r="DX2" s="9"/>
      <c r="DY2" s="9"/>
      <c r="DZ2" s="9"/>
      <c r="EA2" s="12" t="s">
        <v>325</v>
      </c>
      <c r="EB2" s="9"/>
      <c r="EC2" s="9"/>
      <c r="ED2" s="9"/>
      <c r="EE2" s="9"/>
      <c r="EF2" s="6"/>
      <c r="EG2" s="39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</row>
    <row r="3" spans="1:207" s="14" customFormat="1" ht="12.75" customHeight="1" thickBot="1" thickTop="1">
      <c r="A3" s="14" t="s">
        <v>22</v>
      </c>
      <c r="F3" s="15" t="s">
        <v>24</v>
      </c>
      <c r="H3" s="16"/>
      <c r="I3" s="17"/>
      <c r="J3" s="15" t="s">
        <v>218</v>
      </c>
      <c r="K3" s="18"/>
      <c r="L3" s="18"/>
      <c r="M3" s="18"/>
      <c r="N3" s="18"/>
      <c r="O3" s="15" t="s">
        <v>187</v>
      </c>
      <c r="T3" s="15" t="s">
        <v>29</v>
      </c>
      <c r="X3" s="15" t="s">
        <v>31</v>
      </c>
      <c r="Z3" s="13"/>
      <c r="AA3" s="13"/>
      <c r="AB3" s="13"/>
      <c r="AC3" s="19" t="s">
        <v>250</v>
      </c>
      <c r="AD3" s="20"/>
      <c r="AE3" s="11"/>
      <c r="AH3" s="19" t="s">
        <v>245</v>
      </c>
      <c r="AK3" s="21"/>
      <c r="AM3" s="19" t="s">
        <v>23</v>
      </c>
      <c r="AR3" s="19" t="s">
        <v>25</v>
      </c>
      <c r="AV3" s="19" t="s">
        <v>26</v>
      </c>
      <c r="AZ3" s="19" t="s">
        <v>27</v>
      </c>
      <c r="BC3" s="19" t="s">
        <v>28</v>
      </c>
      <c r="BJ3" s="19" t="s">
        <v>246</v>
      </c>
      <c r="BN3" s="19" t="s">
        <v>30</v>
      </c>
      <c r="BR3" s="19" t="s">
        <v>193</v>
      </c>
      <c r="BV3" s="19" t="s">
        <v>247</v>
      </c>
      <c r="CB3" s="19" t="s">
        <v>248</v>
      </c>
      <c r="CC3" s="20"/>
      <c r="CD3" s="20"/>
      <c r="CE3" s="20"/>
      <c r="CF3" s="20"/>
      <c r="CG3" s="19" t="s">
        <v>249</v>
      </c>
      <c r="CH3" s="20"/>
      <c r="CI3" s="20"/>
      <c r="CJ3" s="20"/>
      <c r="CK3" s="19" t="s">
        <v>276</v>
      </c>
      <c r="CL3" s="20"/>
      <c r="CM3" s="20"/>
      <c r="CN3" s="20"/>
      <c r="CO3" s="20"/>
      <c r="CP3" s="19" t="s">
        <v>302</v>
      </c>
      <c r="CR3" s="23"/>
      <c r="CT3" s="15" t="s">
        <v>311</v>
      </c>
      <c r="CY3" s="15" t="s">
        <v>166</v>
      </c>
      <c r="CZ3" s="24" t="s">
        <v>32</v>
      </c>
      <c r="DA3" s="13"/>
      <c r="DB3" s="13"/>
      <c r="DC3" s="13"/>
      <c r="DD3" s="13"/>
      <c r="DE3" s="13"/>
      <c r="DF3" s="13"/>
      <c r="DG3" s="13"/>
      <c r="DH3" s="13"/>
      <c r="DI3" s="24" t="s">
        <v>32</v>
      </c>
      <c r="DJ3" s="13"/>
      <c r="DK3" s="13"/>
      <c r="DL3" s="13"/>
      <c r="DM3" s="13"/>
      <c r="DN3" s="13"/>
      <c r="DO3" s="13"/>
      <c r="DP3" s="13"/>
      <c r="DQ3" s="13"/>
      <c r="DR3" s="24" t="s">
        <v>32</v>
      </c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26"/>
      <c r="EG3" s="26" t="s">
        <v>324</v>
      </c>
      <c r="EH3" s="11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</row>
    <row r="4" spans="1:207" s="14" customFormat="1" ht="12.75" customHeight="1" thickTop="1">
      <c r="A4" s="24" t="s">
        <v>33</v>
      </c>
      <c r="B4" s="13"/>
      <c r="C4" s="13"/>
      <c r="D4" s="13"/>
      <c r="E4" s="13"/>
      <c r="F4" s="13"/>
      <c r="G4" s="24" t="str">
        <f>PSPL</f>
        <v>PUGET SOUND ENERGY-GAS </v>
      </c>
      <c r="H4" s="13"/>
      <c r="I4" s="13"/>
      <c r="J4" s="13"/>
      <c r="K4" s="24" t="str">
        <f>PSPL</f>
        <v>PUGET SOUND ENERGY-GAS </v>
      </c>
      <c r="L4" s="24"/>
      <c r="M4" s="13"/>
      <c r="N4" s="24"/>
      <c r="O4" s="24"/>
      <c r="P4" s="24" t="str">
        <f>PSPL</f>
        <v>PUGET SOUND ENERGY-GAS </v>
      </c>
      <c r="Q4" s="13"/>
      <c r="R4" s="13"/>
      <c r="S4" s="13"/>
      <c r="T4" s="27"/>
      <c r="U4" s="24" t="str">
        <f>PSPL</f>
        <v>PUGET SOUND ENERGY-GAS </v>
      </c>
      <c r="V4" s="13"/>
      <c r="W4" s="13"/>
      <c r="X4" s="13"/>
      <c r="Y4" s="24" t="str">
        <f>PSPL</f>
        <v>PUGET SOUND ENERGY-GAS </v>
      </c>
      <c r="Z4" s="13"/>
      <c r="AA4" s="13"/>
      <c r="AB4" s="13"/>
      <c r="AC4" s="13"/>
      <c r="AD4" s="13"/>
      <c r="AE4" s="13" t="str">
        <f>PSPL</f>
        <v>PUGET SOUND ENERGY-GAS </v>
      </c>
      <c r="AF4" s="13"/>
      <c r="AG4" s="13"/>
      <c r="AH4" s="13"/>
      <c r="AI4" s="24" t="str">
        <f>PSPL</f>
        <v>PUGET SOUND ENERGY-GAS </v>
      </c>
      <c r="AJ4" s="13"/>
      <c r="AK4" s="28"/>
      <c r="AL4" s="13"/>
      <c r="AM4" s="13"/>
      <c r="AN4" s="24" t="str">
        <f>PSPL</f>
        <v>PUGET SOUND ENERGY-GAS </v>
      </c>
      <c r="AO4" s="13"/>
      <c r="AP4" s="13"/>
      <c r="AQ4" s="13"/>
      <c r="AR4" s="13"/>
      <c r="AS4" s="24" t="str">
        <f>PSPL</f>
        <v>PUGET SOUND ENERGY-GAS </v>
      </c>
      <c r="AT4" s="13"/>
      <c r="AU4" s="13"/>
      <c r="AV4" s="13"/>
      <c r="AW4" s="24" t="str">
        <f>PSPL</f>
        <v>PUGET SOUND ENERGY-GAS </v>
      </c>
      <c r="AX4" s="13"/>
      <c r="AY4" s="13"/>
      <c r="AZ4" s="29"/>
      <c r="BA4" s="24" t="str">
        <f>PSPL</f>
        <v>PUGET SOUND ENERGY-GAS </v>
      </c>
      <c r="BB4" s="13"/>
      <c r="BC4" s="13"/>
      <c r="BD4" s="24" t="str">
        <f>PSPL</f>
        <v>PUGET SOUND ENERGY-GAS </v>
      </c>
      <c r="BE4" s="13"/>
      <c r="BF4" s="13"/>
      <c r="BG4" s="13"/>
      <c r="BH4" s="13"/>
      <c r="BI4" s="13"/>
      <c r="BJ4" s="13"/>
      <c r="BK4" s="354" t="str">
        <f>PSPL</f>
        <v>PUGET SOUND ENERGY-GAS </v>
      </c>
      <c r="BL4" s="354"/>
      <c r="BM4" s="354"/>
      <c r="BN4" s="354"/>
      <c r="BO4" s="354" t="str">
        <f>PSPL</f>
        <v>PUGET SOUND ENERGY-GAS </v>
      </c>
      <c r="BP4" s="354"/>
      <c r="BQ4" s="354"/>
      <c r="BR4" s="13"/>
      <c r="BS4" s="24" t="str">
        <f>PSPL</f>
        <v>PUGET SOUND ENERGY-GAS </v>
      </c>
      <c r="BT4" s="13"/>
      <c r="BU4" s="13"/>
      <c r="BV4" s="13"/>
      <c r="BW4" s="24" t="str">
        <f>PSPL</f>
        <v>PUGET SOUND ENERGY-GAS </v>
      </c>
      <c r="BX4" s="13"/>
      <c r="BY4" s="13"/>
      <c r="BZ4" s="13"/>
      <c r="CA4" s="13"/>
      <c r="CB4" s="13"/>
      <c r="CC4" s="24" t="str">
        <f>PSPL</f>
        <v>PUGET SOUND ENERGY-GAS </v>
      </c>
      <c r="CD4" s="13"/>
      <c r="CE4" s="13"/>
      <c r="CF4" s="13"/>
      <c r="CG4" s="13"/>
      <c r="CH4" s="24" t="str">
        <f>PSPL</f>
        <v>PUGET SOUND ENERGY-GAS </v>
      </c>
      <c r="CI4" s="13"/>
      <c r="CJ4" s="13"/>
      <c r="CK4" s="13"/>
      <c r="CL4" s="24" t="str">
        <f>PSPL</f>
        <v>PUGET SOUND ENERGY-GAS </v>
      </c>
      <c r="CM4" s="13"/>
      <c r="CN4" s="13"/>
      <c r="CO4" s="13"/>
      <c r="CP4" s="13"/>
      <c r="CR4" s="30" t="str">
        <f>PSPL</f>
        <v>PUGET SOUND ENERGY-GAS </v>
      </c>
      <c r="CS4" s="13"/>
      <c r="CT4" s="31"/>
      <c r="CU4" s="24" t="str">
        <f>PSPL</f>
        <v>PUGET SOUND ENERGY-GAS </v>
      </c>
      <c r="CV4" s="13"/>
      <c r="CW4" s="13"/>
      <c r="CX4" s="13"/>
      <c r="CY4" s="13"/>
      <c r="CZ4" s="24" t="s">
        <v>192</v>
      </c>
      <c r="DA4" s="13"/>
      <c r="DB4" s="13"/>
      <c r="DC4" s="32"/>
      <c r="DD4" s="13"/>
      <c r="DE4" s="13"/>
      <c r="DF4" s="13"/>
      <c r="DG4" s="24"/>
      <c r="DH4" s="24"/>
      <c r="DI4" s="24" t="s">
        <v>192</v>
      </c>
      <c r="DJ4" s="24"/>
      <c r="DK4" s="32"/>
      <c r="DL4" s="24"/>
      <c r="DM4" s="13"/>
      <c r="DN4" s="13"/>
      <c r="DO4" s="13"/>
      <c r="DP4" s="13"/>
      <c r="DQ4" s="13"/>
      <c r="DR4" s="24" t="s">
        <v>192</v>
      </c>
      <c r="DS4" s="13"/>
      <c r="DT4" s="24"/>
      <c r="DU4" s="13"/>
      <c r="DV4" s="13"/>
      <c r="DW4" s="13"/>
      <c r="DX4" s="13"/>
      <c r="DY4" s="13"/>
      <c r="DZ4" s="24"/>
      <c r="EA4" s="13"/>
      <c r="EB4" s="24" t="str">
        <f>PSPL</f>
        <v>PUGET SOUND ENERGY-GAS </v>
      </c>
      <c r="EC4" s="24"/>
      <c r="ED4" s="24"/>
      <c r="EE4" s="24"/>
      <c r="EF4" s="24"/>
      <c r="EG4" s="13"/>
      <c r="EH4" s="13"/>
      <c r="EI4" s="25" t="s">
        <v>21</v>
      </c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</row>
    <row r="5" spans="1:207" s="14" customFormat="1" ht="12.75" customHeight="1">
      <c r="A5" s="24" t="s">
        <v>285</v>
      </c>
      <c r="B5" s="24"/>
      <c r="C5" s="24"/>
      <c r="D5" s="24"/>
      <c r="E5" s="13"/>
      <c r="F5" s="33"/>
      <c r="G5" s="24" t="s">
        <v>12</v>
      </c>
      <c r="H5" s="13"/>
      <c r="I5" s="24"/>
      <c r="J5" s="13"/>
      <c r="K5" s="13" t="s">
        <v>286</v>
      </c>
      <c r="L5" s="13"/>
      <c r="M5" s="13"/>
      <c r="N5" s="13"/>
      <c r="O5" s="13"/>
      <c r="P5" s="13" t="s">
        <v>142</v>
      </c>
      <c r="Q5" s="13"/>
      <c r="R5" s="13"/>
      <c r="S5" s="13"/>
      <c r="T5" s="27"/>
      <c r="U5" s="13" t="s">
        <v>287</v>
      </c>
      <c r="V5" s="13"/>
      <c r="W5" s="13"/>
      <c r="X5" s="34"/>
      <c r="Y5" s="13" t="s">
        <v>36</v>
      </c>
      <c r="Z5" s="13"/>
      <c r="AA5" s="13"/>
      <c r="AB5" s="13"/>
      <c r="AC5" s="13"/>
      <c r="AD5" s="13"/>
      <c r="AE5" s="24" t="s">
        <v>288</v>
      </c>
      <c r="AF5" s="13"/>
      <c r="AG5" s="13"/>
      <c r="AH5" s="13"/>
      <c r="AI5" s="13" t="s">
        <v>289</v>
      </c>
      <c r="AJ5" s="13"/>
      <c r="AK5" s="28"/>
      <c r="AL5" s="13"/>
      <c r="AM5" s="34"/>
      <c r="AN5" s="13" t="s">
        <v>290</v>
      </c>
      <c r="AO5" s="13"/>
      <c r="AP5" s="13"/>
      <c r="AQ5" s="13"/>
      <c r="AR5" s="34"/>
      <c r="AS5" s="13" t="s">
        <v>35</v>
      </c>
      <c r="AT5" s="13"/>
      <c r="AU5" s="13"/>
      <c r="AV5" s="34"/>
      <c r="AW5" s="13" t="s">
        <v>49</v>
      </c>
      <c r="AX5" s="13"/>
      <c r="AY5" s="34"/>
      <c r="AZ5" s="29"/>
      <c r="BA5" s="24" t="s">
        <v>292</v>
      </c>
      <c r="BB5" s="13"/>
      <c r="BC5" s="34"/>
      <c r="BD5" s="13" t="s">
        <v>291</v>
      </c>
      <c r="BE5" s="13"/>
      <c r="BF5" s="13"/>
      <c r="BG5" s="13"/>
      <c r="BH5" s="13"/>
      <c r="BI5" s="13"/>
      <c r="BJ5" s="34"/>
      <c r="BK5" s="355" t="s">
        <v>293</v>
      </c>
      <c r="BL5" s="355"/>
      <c r="BM5" s="355"/>
      <c r="BN5" s="355"/>
      <c r="BO5" s="355" t="s">
        <v>194</v>
      </c>
      <c r="BP5" s="355"/>
      <c r="BQ5" s="355"/>
      <c r="BR5" s="13"/>
      <c r="BS5" s="13" t="s">
        <v>294</v>
      </c>
      <c r="BT5" s="13"/>
      <c r="BU5" s="13"/>
      <c r="BV5" s="34"/>
      <c r="BW5" s="24" t="s">
        <v>211</v>
      </c>
      <c r="BX5" s="13"/>
      <c r="BY5" s="13"/>
      <c r="BZ5" s="13"/>
      <c r="CA5" s="13"/>
      <c r="CB5" s="34"/>
      <c r="CC5" s="24" t="s">
        <v>295</v>
      </c>
      <c r="CD5" s="34"/>
      <c r="CE5" s="34"/>
      <c r="CF5" s="34"/>
      <c r="CG5" s="34"/>
      <c r="CH5" s="24" t="s">
        <v>296</v>
      </c>
      <c r="CI5" s="34"/>
      <c r="CJ5" s="34"/>
      <c r="CK5" s="34"/>
      <c r="CL5" s="24" t="s">
        <v>303</v>
      </c>
      <c r="CM5" s="34"/>
      <c r="CN5" s="34"/>
      <c r="CO5" s="34"/>
      <c r="CP5" s="34"/>
      <c r="CR5" s="30" t="s">
        <v>173</v>
      </c>
      <c r="CS5" s="13"/>
      <c r="CT5" s="31"/>
      <c r="CU5" s="24" t="s">
        <v>313</v>
      </c>
      <c r="CV5" s="13"/>
      <c r="CW5" s="13"/>
      <c r="CX5" s="31"/>
      <c r="CY5" s="13"/>
      <c r="CZ5" s="13" t="str">
        <f>TESTYEAR</f>
        <v>FOR THE TWELVE MONTHS ENDED JUNE 30, 2001</v>
      </c>
      <c r="DA5" s="13"/>
      <c r="DB5" s="13"/>
      <c r="DC5" s="13"/>
      <c r="DD5" s="13"/>
      <c r="DE5" s="13"/>
      <c r="DF5" s="13"/>
      <c r="DG5" s="24"/>
      <c r="DH5" s="24"/>
      <c r="DI5" s="13" t="str">
        <f>TESTYEAR</f>
        <v>FOR THE TWELVE MONTHS ENDED JUNE 30, 2001</v>
      </c>
      <c r="DJ5" s="24"/>
      <c r="DK5" s="13"/>
      <c r="DL5" s="13"/>
      <c r="DM5" s="13"/>
      <c r="DN5" s="13"/>
      <c r="DO5" s="13"/>
      <c r="DP5" s="31"/>
      <c r="DQ5" s="13"/>
      <c r="DR5" s="13" t="str">
        <f>TESTYEAR</f>
        <v>FOR THE TWELVE MONTHS ENDED JUNE 30, 2001</v>
      </c>
      <c r="DS5" s="13"/>
      <c r="DT5" s="24"/>
      <c r="DU5" s="13"/>
      <c r="DV5" s="13"/>
      <c r="DW5" s="13"/>
      <c r="DX5" s="13"/>
      <c r="DY5" s="13"/>
      <c r="DZ5" s="24"/>
      <c r="EA5" s="13"/>
      <c r="EB5" s="24" t="s">
        <v>37</v>
      </c>
      <c r="EC5" s="24"/>
      <c r="ED5" s="24"/>
      <c r="EE5" s="24"/>
      <c r="EF5" s="24"/>
      <c r="EG5" s="13"/>
      <c r="EH5" s="13"/>
      <c r="EI5" s="25" t="s">
        <v>21</v>
      </c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</row>
    <row r="6" spans="1:207" s="14" customFormat="1" ht="12.75" customHeight="1">
      <c r="A6" s="13" t="s">
        <v>178</v>
      </c>
      <c r="B6" s="24"/>
      <c r="C6" s="24"/>
      <c r="D6" s="24"/>
      <c r="E6" s="13"/>
      <c r="F6" s="31"/>
      <c r="G6" s="13" t="str">
        <f>TESTYEAR</f>
        <v>FOR THE TWELVE MONTHS ENDED JUNE 30, 2001</v>
      </c>
      <c r="H6" s="13"/>
      <c r="I6" s="24"/>
      <c r="J6" s="13"/>
      <c r="K6" s="13" t="str">
        <f>TESTYEAR</f>
        <v>FOR THE TWELVE MONTHS ENDED JUNE 30, 2001</v>
      </c>
      <c r="L6" s="13"/>
      <c r="M6" s="13"/>
      <c r="N6" s="13"/>
      <c r="O6" s="13"/>
      <c r="P6" s="13" t="str">
        <f>TESTYEAR</f>
        <v>FOR THE TWELVE MONTHS ENDED JUNE 30, 2001</v>
      </c>
      <c r="Q6" s="13"/>
      <c r="R6" s="13"/>
      <c r="S6" s="13"/>
      <c r="T6" s="27"/>
      <c r="U6" s="13" t="str">
        <f>TESTYEAR</f>
        <v>FOR THE TWELVE MONTHS ENDED JUNE 30, 2001</v>
      </c>
      <c r="V6" s="13"/>
      <c r="W6" s="13"/>
      <c r="X6" s="31"/>
      <c r="Y6" s="13" t="str">
        <f>TESTYEAR</f>
        <v>FOR THE TWELVE MONTHS ENDED JUNE 30, 2001</v>
      </c>
      <c r="Z6" s="13"/>
      <c r="AA6" s="13"/>
      <c r="AB6" s="13"/>
      <c r="AC6" s="13"/>
      <c r="AD6" s="13"/>
      <c r="AE6" s="24" t="str">
        <f>TESTYEAR</f>
        <v>FOR THE TWELVE MONTHS ENDED JUNE 30, 2001</v>
      </c>
      <c r="AF6" s="13"/>
      <c r="AG6" s="13"/>
      <c r="AH6" s="13"/>
      <c r="AI6" s="13" t="str">
        <f>TESTYEAR</f>
        <v>FOR THE TWELVE MONTHS ENDED JUNE 30, 2001</v>
      </c>
      <c r="AJ6" s="13"/>
      <c r="AK6" s="28"/>
      <c r="AL6" s="13"/>
      <c r="AM6" s="31"/>
      <c r="AN6" s="13" t="str">
        <f>TESTYEAR</f>
        <v>FOR THE TWELVE MONTHS ENDED JUNE 30, 2001</v>
      </c>
      <c r="AO6" s="24"/>
      <c r="AP6" s="13"/>
      <c r="AQ6" s="13"/>
      <c r="AR6" s="36"/>
      <c r="AS6" s="13" t="str">
        <f>TESTYEAR</f>
        <v>FOR THE TWELVE MONTHS ENDED JUNE 30, 2001</v>
      </c>
      <c r="AT6" s="13"/>
      <c r="AU6" s="13"/>
      <c r="AV6" s="31"/>
      <c r="AW6" s="13" t="str">
        <f>TESTYEAR</f>
        <v>FOR THE TWELVE MONTHS ENDED JUNE 30, 2001</v>
      </c>
      <c r="AX6" s="13"/>
      <c r="AY6" s="31"/>
      <c r="AZ6" s="29"/>
      <c r="BA6" s="13" t="str">
        <f>TESTYEAR</f>
        <v>FOR THE TWELVE MONTHS ENDED JUNE 30, 2001</v>
      </c>
      <c r="BB6" s="13"/>
      <c r="BC6" s="31"/>
      <c r="BD6" s="13" t="str">
        <f>TESTYEAR</f>
        <v>FOR THE TWELVE MONTHS ENDED JUNE 30, 2001</v>
      </c>
      <c r="BE6" s="13"/>
      <c r="BF6" s="13"/>
      <c r="BG6" s="13"/>
      <c r="BH6" s="13"/>
      <c r="BI6" s="13"/>
      <c r="BJ6" s="31"/>
      <c r="BK6" s="355" t="str">
        <f>TESTYEAR</f>
        <v>FOR THE TWELVE MONTHS ENDED JUNE 30, 2001</v>
      </c>
      <c r="BL6" s="355"/>
      <c r="BM6" s="355"/>
      <c r="BN6" s="355"/>
      <c r="BO6" s="355" t="str">
        <f>TESTYEAR</f>
        <v>FOR THE TWELVE MONTHS ENDED JUNE 30, 2001</v>
      </c>
      <c r="BP6" s="355"/>
      <c r="BQ6" s="355"/>
      <c r="BR6" s="13"/>
      <c r="BS6" s="13" t="str">
        <f>TESTYEAR</f>
        <v>FOR THE TWELVE MONTHS ENDED JUNE 30, 2001</v>
      </c>
      <c r="BT6" s="24"/>
      <c r="BU6" s="13"/>
      <c r="BV6" s="31"/>
      <c r="BW6" s="13" t="str">
        <f>TESTYEAR</f>
        <v>FOR THE TWELVE MONTHS ENDED JUNE 30, 2001</v>
      </c>
      <c r="BX6" s="24"/>
      <c r="BY6" s="24"/>
      <c r="BZ6" s="13"/>
      <c r="CA6" s="13"/>
      <c r="CB6" s="31"/>
      <c r="CC6" s="13" t="str">
        <f>TESTYEAR</f>
        <v>FOR THE TWELVE MONTHS ENDED JUNE 30, 2001</v>
      </c>
      <c r="CD6" s="31"/>
      <c r="CE6" s="31"/>
      <c r="CF6" s="31"/>
      <c r="CG6" s="31"/>
      <c r="CH6" s="13" t="str">
        <f>TESTYEAR</f>
        <v>FOR THE TWELVE MONTHS ENDED JUNE 30, 2001</v>
      </c>
      <c r="CI6" s="31"/>
      <c r="CJ6" s="31"/>
      <c r="CK6" s="31"/>
      <c r="CL6" s="13" t="str">
        <f>TESTYEAR</f>
        <v>FOR THE TWELVE MONTHS ENDED JUNE 30, 2001</v>
      </c>
      <c r="CM6" s="31"/>
      <c r="CN6" s="31"/>
      <c r="CO6" s="31"/>
      <c r="CP6" s="31"/>
      <c r="CR6" s="35" t="str">
        <f>TESTYEAR</f>
        <v>FOR THE TWELVE MONTHS ENDED JUNE 30, 2001</v>
      </c>
      <c r="CS6" s="13"/>
      <c r="CT6" s="13"/>
      <c r="CU6" s="13" t="str">
        <f>TESTYEAR</f>
        <v>FOR THE TWELVE MONTHS ENDED JUNE 30, 2001</v>
      </c>
      <c r="CV6" s="13"/>
      <c r="CW6" s="13"/>
      <c r="CX6" s="13"/>
      <c r="CY6" s="13"/>
      <c r="CZ6" s="24" t="s">
        <v>301</v>
      </c>
      <c r="DA6" s="13"/>
      <c r="DB6" s="13"/>
      <c r="DC6" s="13"/>
      <c r="DD6" s="13"/>
      <c r="DE6" s="13"/>
      <c r="DF6" s="13"/>
      <c r="DG6" s="13"/>
      <c r="DH6" s="13"/>
      <c r="DI6" s="24" t="s">
        <v>301</v>
      </c>
      <c r="DJ6" s="13"/>
      <c r="DK6" s="13"/>
      <c r="DL6" s="24"/>
      <c r="DM6" s="13"/>
      <c r="DN6" s="13"/>
      <c r="DO6" s="13"/>
      <c r="DP6" s="13"/>
      <c r="DQ6" s="13"/>
      <c r="DR6" s="24" t="s">
        <v>301</v>
      </c>
      <c r="DS6" s="13"/>
      <c r="DT6" s="13"/>
      <c r="DU6" s="13"/>
      <c r="DV6" s="13"/>
      <c r="DW6" s="13"/>
      <c r="DX6" s="13"/>
      <c r="DY6" s="13"/>
      <c r="DZ6" s="13"/>
      <c r="EA6" s="13"/>
      <c r="EB6" s="13" t="str">
        <f>TESTYEAR</f>
        <v>FOR THE TWELVE MONTHS ENDED JUNE 30, 2001</v>
      </c>
      <c r="EC6" s="13"/>
      <c r="ED6" s="13"/>
      <c r="EE6" s="13"/>
      <c r="EF6" s="13"/>
      <c r="EG6" s="13"/>
      <c r="EH6" s="13"/>
      <c r="EI6" s="25" t="s">
        <v>21</v>
      </c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</row>
    <row r="7" spans="1:207" s="14" customFormat="1" ht="12.75" customHeight="1">
      <c r="A7" s="24" t="s">
        <v>173</v>
      </c>
      <c r="B7" s="24"/>
      <c r="C7" s="24"/>
      <c r="D7" s="24"/>
      <c r="E7" s="13"/>
      <c r="F7" s="13"/>
      <c r="G7" s="24" t="str">
        <f>DOCKET</f>
        <v>GENERAL RATE INCREASE</v>
      </c>
      <c r="H7" s="13"/>
      <c r="I7" s="24"/>
      <c r="J7" s="24"/>
      <c r="K7" s="24" t="str">
        <f>DOCKET</f>
        <v>GENERAL RATE INCREASE</v>
      </c>
      <c r="L7" s="24"/>
      <c r="M7" s="13"/>
      <c r="N7" s="24"/>
      <c r="O7" s="24"/>
      <c r="P7" s="13" t="str">
        <f>DOCKET</f>
        <v>GENERAL RATE INCREASE</v>
      </c>
      <c r="Q7" s="24"/>
      <c r="R7" s="13"/>
      <c r="S7" s="24"/>
      <c r="T7" s="27"/>
      <c r="U7" s="24" t="str">
        <f>DOCKET</f>
        <v>GENERAL RATE INCREASE</v>
      </c>
      <c r="V7" s="13"/>
      <c r="W7" s="13"/>
      <c r="X7" s="31"/>
      <c r="Y7" s="24" t="str">
        <f>DOCKET</f>
        <v>GENERAL RATE INCREASE</v>
      </c>
      <c r="Z7" s="13"/>
      <c r="AA7" s="13"/>
      <c r="AB7" s="13"/>
      <c r="AC7" s="13"/>
      <c r="AD7" s="13"/>
      <c r="AE7" s="24" t="str">
        <f>DOCKET</f>
        <v>GENERAL RATE INCREASE</v>
      </c>
      <c r="AF7" s="13"/>
      <c r="AG7" s="13"/>
      <c r="AH7" s="13"/>
      <c r="AI7" s="13" t="str">
        <f>DOCKET</f>
        <v>GENERAL RATE INCREASE</v>
      </c>
      <c r="AJ7" s="13"/>
      <c r="AK7" s="28"/>
      <c r="AL7" s="13"/>
      <c r="AM7" s="13"/>
      <c r="AN7" s="13" t="str">
        <f>DOCKET</f>
        <v>GENERAL RATE INCREASE</v>
      </c>
      <c r="AO7" s="24"/>
      <c r="AP7" s="24"/>
      <c r="AQ7" s="13"/>
      <c r="AR7" s="36"/>
      <c r="AS7" s="13" t="str">
        <f>DOCKET</f>
        <v>GENERAL RATE INCREASE</v>
      </c>
      <c r="AT7" s="24"/>
      <c r="AU7" s="24"/>
      <c r="AV7" s="31"/>
      <c r="AW7" s="24" t="str">
        <f>DOCKET</f>
        <v>GENERAL RATE INCREASE</v>
      </c>
      <c r="AX7" s="24"/>
      <c r="AY7" s="13"/>
      <c r="AZ7" s="29"/>
      <c r="BA7" s="24" t="str">
        <f>DOCKET</f>
        <v>GENERAL RATE INCREASE</v>
      </c>
      <c r="BB7" s="13"/>
      <c r="BC7" s="13"/>
      <c r="BD7" s="24" t="str">
        <f>DOCKET</f>
        <v>GENERAL RATE INCREASE</v>
      </c>
      <c r="BE7" s="13"/>
      <c r="BF7" s="13"/>
      <c r="BG7" s="13"/>
      <c r="BH7" s="13"/>
      <c r="BI7" s="13"/>
      <c r="BJ7" s="31"/>
      <c r="BK7" s="354" t="str">
        <f>DOCKET</f>
        <v>GENERAL RATE INCREASE</v>
      </c>
      <c r="BL7" s="354"/>
      <c r="BM7" s="354"/>
      <c r="BN7" s="354"/>
      <c r="BO7" s="355" t="str">
        <f>DOCKET</f>
        <v>GENERAL RATE INCREASE</v>
      </c>
      <c r="BP7" s="355"/>
      <c r="BQ7" s="355"/>
      <c r="BR7" s="13"/>
      <c r="BS7" s="24" t="str">
        <f>DOCKET</f>
        <v>GENERAL RATE INCREASE</v>
      </c>
      <c r="BT7" s="24"/>
      <c r="BU7" s="13"/>
      <c r="BV7" s="13"/>
      <c r="BW7" s="24" t="str">
        <f>DOCKET</f>
        <v>GENERAL RATE INCREASE</v>
      </c>
      <c r="BX7" s="24"/>
      <c r="BY7" s="24"/>
      <c r="BZ7" s="13"/>
      <c r="CA7" s="13"/>
      <c r="CB7" s="13"/>
      <c r="CC7" s="24" t="str">
        <f>DOCKET</f>
        <v>GENERAL RATE INCREASE</v>
      </c>
      <c r="CD7" s="13"/>
      <c r="CE7" s="13"/>
      <c r="CF7" s="13"/>
      <c r="CG7" s="13"/>
      <c r="CH7" s="24" t="str">
        <f>DOCKET</f>
        <v>GENERAL RATE INCREASE</v>
      </c>
      <c r="CI7" s="13"/>
      <c r="CJ7" s="13"/>
      <c r="CK7" s="13"/>
      <c r="CL7" s="24" t="str">
        <f>DOCKET</f>
        <v>GENERAL RATE INCREASE</v>
      </c>
      <c r="CM7" s="13"/>
      <c r="CN7" s="13"/>
      <c r="CO7" s="13"/>
      <c r="CP7" s="13"/>
      <c r="CR7" s="30" t="str">
        <f>DOCKET</f>
        <v>GENERAL RATE INCREASE</v>
      </c>
      <c r="CS7" s="13"/>
      <c r="CT7" s="13"/>
      <c r="CU7" s="24" t="str">
        <f>DOCKET</f>
        <v>GENERAL RATE INCREASE</v>
      </c>
      <c r="CV7" s="13"/>
      <c r="CW7" s="13"/>
      <c r="CX7" s="13"/>
      <c r="CY7" s="13"/>
      <c r="CZ7" s="37"/>
      <c r="DA7" s="13"/>
      <c r="DB7" s="13"/>
      <c r="DC7" s="13"/>
      <c r="DD7" s="13"/>
      <c r="DE7" s="13"/>
      <c r="DF7" s="13"/>
      <c r="DG7" s="24"/>
      <c r="DH7" s="24"/>
      <c r="DI7" s="24"/>
      <c r="DJ7" s="24"/>
      <c r="DK7" s="13"/>
      <c r="DL7" s="13"/>
      <c r="DM7" s="13"/>
      <c r="DN7" s="13"/>
      <c r="DO7" s="13"/>
      <c r="DT7" s="24"/>
      <c r="DU7" s="13"/>
      <c r="DV7" s="13"/>
      <c r="DW7" s="13"/>
      <c r="DX7" s="13"/>
      <c r="DY7" s="13"/>
      <c r="DZ7" s="24"/>
      <c r="EA7" s="13"/>
      <c r="EB7" s="13" t="str">
        <f>DOCKET</f>
        <v>GENERAL RATE INCREASE</v>
      </c>
      <c r="EC7" s="13"/>
      <c r="ED7" s="13"/>
      <c r="EE7" s="13"/>
      <c r="EF7" s="13"/>
      <c r="EG7" s="346"/>
      <c r="EH7" s="13"/>
      <c r="EI7" s="25" t="s">
        <v>21</v>
      </c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</row>
    <row r="8" spans="11:131" s="14" customFormat="1" ht="12.75" customHeight="1">
      <c r="K8" s="26"/>
      <c r="L8" s="26"/>
      <c r="M8" s="26"/>
      <c r="N8" s="26"/>
      <c r="O8" s="26"/>
      <c r="Q8" s="38"/>
      <c r="R8" s="38"/>
      <c r="S8" s="38"/>
      <c r="T8" s="39"/>
      <c r="V8" s="38"/>
      <c r="W8" s="26"/>
      <c r="X8" s="26"/>
      <c r="AI8" s="40"/>
      <c r="AK8" s="21"/>
      <c r="AO8" s="38"/>
      <c r="AP8" s="38"/>
      <c r="AT8" s="38"/>
      <c r="AW8" s="41"/>
      <c r="AX8" s="38"/>
      <c r="AZ8" s="42"/>
      <c r="BE8" s="38"/>
      <c r="BF8" s="38"/>
      <c r="BG8" s="38"/>
      <c r="BH8" s="38"/>
      <c r="BK8" s="43"/>
      <c r="BL8" s="38"/>
      <c r="CU8" s="38"/>
      <c r="DB8" s="35"/>
      <c r="DC8" s="44" t="s">
        <v>38</v>
      </c>
      <c r="DD8" s="44" t="s">
        <v>38</v>
      </c>
      <c r="DE8" s="44" t="s">
        <v>38</v>
      </c>
      <c r="DF8" s="44" t="s">
        <v>38</v>
      </c>
      <c r="DG8" s="44" t="s">
        <v>38</v>
      </c>
      <c r="DH8" s="44" t="s">
        <v>38</v>
      </c>
      <c r="DI8" s="25" t="s">
        <v>21</v>
      </c>
      <c r="DJ8" s="45"/>
      <c r="DK8" s="44" t="s">
        <v>38</v>
      </c>
      <c r="DL8" s="44" t="s">
        <v>38</v>
      </c>
      <c r="DM8" s="44" t="s">
        <v>38</v>
      </c>
      <c r="DN8" s="44" t="s">
        <v>38</v>
      </c>
      <c r="DO8" s="44" t="s">
        <v>38</v>
      </c>
      <c r="DP8" s="44" t="s">
        <v>38</v>
      </c>
      <c r="DQ8" s="44" t="s">
        <v>38</v>
      </c>
      <c r="DR8" s="25" t="s">
        <v>21</v>
      </c>
      <c r="DS8" s="45"/>
      <c r="DT8" s="44" t="s">
        <v>38</v>
      </c>
      <c r="DU8" s="44" t="s">
        <v>38</v>
      </c>
      <c r="DV8" s="44" t="s">
        <v>38</v>
      </c>
      <c r="DW8" s="44" t="s">
        <v>38</v>
      </c>
      <c r="DX8" s="44" t="s">
        <v>38</v>
      </c>
      <c r="DY8" s="44"/>
      <c r="DZ8" s="44" t="s">
        <v>38</v>
      </c>
      <c r="EA8" s="44" t="s">
        <v>38</v>
      </c>
    </row>
    <row r="9" spans="1:207" s="14" customFormat="1" ht="12.75" customHeight="1">
      <c r="A9" s="30" t="s">
        <v>39</v>
      </c>
      <c r="B9" s="38"/>
      <c r="C9" s="38"/>
      <c r="D9" s="38"/>
      <c r="F9" s="30"/>
      <c r="G9" s="35" t="s">
        <v>39</v>
      </c>
      <c r="H9" s="38"/>
      <c r="I9" s="43"/>
      <c r="J9" s="30"/>
      <c r="K9" s="35" t="s">
        <v>39</v>
      </c>
      <c r="L9" s="46"/>
      <c r="M9" s="46"/>
      <c r="N9" s="46"/>
      <c r="O9" s="46"/>
      <c r="P9" s="30" t="s">
        <v>39</v>
      </c>
      <c r="T9" s="39"/>
      <c r="U9" s="30" t="s">
        <v>39</v>
      </c>
      <c r="X9" s="35" t="s">
        <v>22</v>
      </c>
      <c r="Y9" s="35" t="s">
        <v>39</v>
      </c>
      <c r="AE9" s="30" t="s">
        <v>39</v>
      </c>
      <c r="AF9" s="38"/>
      <c r="AG9" s="38"/>
      <c r="AI9" s="40" t="s">
        <v>41</v>
      </c>
      <c r="AK9" s="21"/>
      <c r="AL9" s="30"/>
      <c r="AM9" s="30"/>
      <c r="AN9" s="35" t="s">
        <v>39</v>
      </c>
      <c r="AS9" s="30" t="s">
        <v>39</v>
      </c>
      <c r="AW9" s="35" t="s">
        <v>39</v>
      </c>
      <c r="AY9" s="41"/>
      <c r="AZ9" s="42"/>
      <c r="BA9" s="35" t="s">
        <v>39</v>
      </c>
      <c r="BB9" s="38"/>
      <c r="BC9" s="22"/>
      <c r="BD9" s="35" t="s">
        <v>39</v>
      </c>
      <c r="BH9" s="35"/>
      <c r="BJ9" s="35"/>
      <c r="BK9" s="35" t="s">
        <v>39</v>
      </c>
      <c r="BO9" s="35" t="s">
        <v>39</v>
      </c>
      <c r="BR9" s="35"/>
      <c r="BS9" s="35" t="s">
        <v>39</v>
      </c>
      <c r="BW9" s="35" t="s">
        <v>39</v>
      </c>
      <c r="CC9" s="30" t="s">
        <v>39</v>
      </c>
      <c r="CH9" s="30" t="s">
        <v>39</v>
      </c>
      <c r="CL9" s="30" t="s">
        <v>39</v>
      </c>
      <c r="DB9" s="35" t="s">
        <v>42</v>
      </c>
      <c r="DC9" s="26" t="s">
        <v>297</v>
      </c>
      <c r="DD9" s="26" t="s">
        <v>43</v>
      </c>
      <c r="DE9" s="26" t="s">
        <v>286</v>
      </c>
      <c r="DF9" s="26" t="s">
        <v>44</v>
      </c>
      <c r="DG9" s="26" t="s">
        <v>45</v>
      </c>
      <c r="DH9" s="26" t="s">
        <v>46</v>
      </c>
      <c r="DI9" s="26"/>
      <c r="DJ9" s="26"/>
      <c r="DK9" s="47" t="s">
        <v>47</v>
      </c>
      <c r="DL9" s="26" t="s">
        <v>48</v>
      </c>
      <c r="DM9" s="26" t="s">
        <v>35</v>
      </c>
      <c r="DN9" s="35" t="s">
        <v>49</v>
      </c>
      <c r="DO9" s="35" t="s">
        <v>50</v>
      </c>
      <c r="DP9" s="35" t="s">
        <v>251</v>
      </c>
      <c r="DQ9" s="35" t="s">
        <v>51</v>
      </c>
      <c r="DR9" s="35"/>
      <c r="DS9" s="35"/>
      <c r="DT9" s="35" t="s">
        <v>52</v>
      </c>
      <c r="DU9" s="35" t="s">
        <v>54</v>
      </c>
      <c r="DV9" s="35" t="s">
        <v>211</v>
      </c>
      <c r="DW9" s="35" t="s">
        <v>273</v>
      </c>
      <c r="DX9" s="35" t="s">
        <v>299</v>
      </c>
      <c r="DY9" s="35" t="s">
        <v>304</v>
      </c>
      <c r="DZ9" s="35" t="s">
        <v>56</v>
      </c>
      <c r="EA9" s="35" t="s">
        <v>259</v>
      </c>
      <c r="ED9" s="35" t="s">
        <v>55</v>
      </c>
      <c r="EE9" s="35"/>
      <c r="EF9" s="35" t="s">
        <v>259</v>
      </c>
      <c r="EG9" s="35" t="s">
        <v>260</v>
      </c>
      <c r="EH9" s="35" t="s">
        <v>261</v>
      </c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</row>
    <row r="10" spans="1:207" s="14" customFormat="1" ht="12.75" customHeight="1">
      <c r="A10" s="48" t="s">
        <v>57</v>
      </c>
      <c r="B10" s="49" t="s">
        <v>58</v>
      </c>
      <c r="C10" s="49"/>
      <c r="D10" s="50" t="s">
        <v>55</v>
      </c>
      <c r="E10" s="50" t="s">
        <v>59</v>
      </c>
      <c r="F10" s="50" t="s">
        <v>61</v>
      </c>
      <c r="G10" s="51" t="s">
        <v>57</v>
      </c>
      <c r="H10" s="49" t="s">
        <v>58</v>
      </c>
      <c r="I10" s="52"/>
      <c r="J10" s="48" t="s">
        <v>61</v>
      </c>
      <c r="K10" s="51" t="s">
        <v>57</v>
      </c>
      <c r="L10" s="53" t="s">
        <v>58</v>
      </c>
      <c r="M10" s="51" t="s">
        <v>189</v>
      </c>
      <c r="N10" s="51" t="s">
        <v>59</v>
      </c>
      <c r="O10" s="51" t="s">
        <v>61</v>
      </c>
      <c r="P10" s="48" t="s">
        <v>57</v>
      </c>
      <c r="Q10" s="54" t="s">
        <v>58</v>
      </c>
      <c r="R10" s="49"/>
      <c r="S10" s="49"/>
      <c r="T10" s="55" t="s">
        <v>60</v>
      </c>
      <c r="U10" s="48" t="s">
        <v>57</v>
      </c>
      <c r="V10" s="54" t="s">
        <v>58</v>
      </c>
      <c r="W10" s="51"/>
      <c r="X10" s="51" t="s">
        <v>60</v>
      </c>
      <c r="Y10" s="51" t="s">
        <v>57</v>
      </c>
      <c r="Z10" s="54" t="s">
        <v>58</v>
      </c>
      <c r="AA10" s="51" t="s">
        <v>79</v>
      </c>
      <c r="AB10" s="51" t="s">
        <v>80</v>
      </c>
      <c r="AC10" s="51" t="s">
        <v>60</v>
      </c>
      <c r="AD10" s="51"/>
      <c r="AE10" s="48" t="s">
        <v>57</v>
      </c>
      <c r="AF10" s="53" t="s">
        <v>58</v>
      </c>
      <c r="AG10" s="51"/>
      <c r="AH10" s="56" t="s">
        <v>60</v>
      </c>
      <c r="AI10" s="57" t="s">
        <v>57</v>
      </c>
      <c r="AJ10" s="54" t="s">
        <v>58</v>
      </c>
      <c r="AK10" s="58" t="s">
        <v>55</v>
      </c>
      <c r="AL10" s="48" t="s">
        <v>59</v>
      </c>
      <c r="AM10" s="48" t="s">
        <v>61</v>
      </c>
      <c r="AN10" s="51" t="s">
        <v>57</v>
      </c>
      <c r="AO10" s="54" t="s">
        <v>58</v>
      </c>
      <c r="AP10" s="56" t="s">
        <v>60</v>
      </c>
      <c r="AQ10" s="56"/>
      <c r="AR10" s="56" t="s">
        <v>56</v>
      </c>
      <c r="AS10" s="48" t="s">
        <v>57</v>
      </c>
      <c r="AT10" s="54" t="s">
        <v>58</v>
      </c>
      <c r="AU10" s="56"/>
      <c r="AV10" s="56" t="s">
        <v>60</v>
      </c>
      <c r="AW10" s="51" t="s">
        <v>57</v>
      </c>
      <c r="AX10" s="53" t="s">
        <v>58</v>
      </c>
      <c r="AY10" s="51"/>
      <c r="AZ10" s="59" t="s">
        <v>61</v>
      </c>
      <c r="BA10" s="48" t="s">
        <v>57</v>
      </c>
      <c r="BB10" s="49" t="s">
        <v>58</v>
      </c>
      <c r="BC10" s="49"/>
      <c r="BD10" s="48" t="s">
        <v>57</v>
      </c>
      <c r="BE10" s="49" t="s">
        <v>58</v>
      </c>
      <c r="BF10" s="49"/>
      <c r="BG10" s="49"/>
      <c r="BH10" s="51" t="s">
        <v>62</v>
      </c>
      <c r="BI10" s="51" t="s">
        <v>63</v>
      </c>
      <c r="BJ10" s="51" t="s">
        <v>61</v>
      </c>
      <c r="BK10" s="51" t="s">
        <v>57</v>
      </c>
      <c r="BL10" s="49" t="s">
        <v>58</v>
      </c>
      <c r="BM10" s="51"/>
      <c r="BN10" s="52" t="s">
        <v>60</v>
      </c>
      <c r="BO10" s="51" t="s">
        <v>57</v>
      </c>
      <c r="BP10" s="49" t="s">
        <v>58</v>
      </c>
      <c r="BQ10" s="51"/>
      <c r="BR10" s="52" t="s">
        <v>60</v>
      </c>
      <c r="BS10" s="51" t="s">
        <v>57</v>
      </c>
      <c r="BT10" s="53" t="s">
        <v>58</v>
      </c>
      <c r="BU10" s="54"/>
      <c r="BV10" s="56" t="s">
        <v>60</v>
      </c>
      <c r="BW10" s="51" t="s">
        <v>57</v>
      </c>
      <c r="BX10" s="53" t="s">
        <v>58</v>
      </c>
      <c r="BY10" s="53"/>
      <c r="BZ10" s="52" t="s">
        <v>55</v>
      </c>
      <c r="CA10" s="52" t="s">
        <v>59</v>
      </c>
      <c r="CB10" s="52" t="s">
        <v>40</v>
      </c>
      <c r="CC10" s="51" t="s">
        <v>57</v>
      </c>
      <c r="CD10" s="53" t="s">
        <v>58</v>
      </c>
      <c r="CE10" s="52" t="s">
        <v>55</v>
      </c>
      <c r="CF10" s="52" t="s">
        <v>53</v>
      </c>
      <c r="CG10" s="52" t="s">
        <v>61</v>
      </c>
      <c r="CH10" s="51" t="s">
        <v>57</v>
      </c>
      <c r="CI10" s="53" t="s">
        <v>58</v>
      </c>
      <c r="CJ10" s="53"/>
      <c r="CK10" s="48" t="s">
        <v>60</v>
      </c>
      <c r="CL10" s="51" t="s">
        <v>57</v>
      </c>
      <c r="CM10" s="53" t="s">
        <v>58</v>
      </c>
      <c r="CN10" s="52" t="s">
        <v>55</v>
      </c>
      <c r="CO10" s="52" t="s">
        <v>59</v>
      </c>
      <c r="CP10" s="52" t="s">
        <v>61</v>
      </c>
      <c r="CQ10" s="35" t="s">
        <v>39</v>
      </c>
      <c r="CU10" s="35" t="s">
        <v>39</v>
      </c>
      <c r="CW10" s="35" t="s">
        <v>312</v>
      </c>
      <c r="CX10" s="35"/>
      <c r="CY10" s="35" t="s">
        <v>160</v>
      </c>
      <c r="CZ10" s="35" t="s">
        <v>39</v>
      </c>
      <c r="DB10" s="35" t="s">
        <v>64</v>
      </c>
      <c r="DC10" s="26" t="s">
        <v>65</v>
      </c>
      <c r="DD10" s="26" t="s">
        <v>66</v>
      </c>
      <c r="DE10" s="11"/>
      <c r="DF10" s="26" t="s">
        <v>67</v>
      </c>
      <c r="DG10" s="26" t="s">
        <v>298</v>
      </c>
      <c r="DH10" s="26" t="s">
        <v>69</v>
      </c>
      <c r="DI10" s="35" t="s">
        <v>39</v>
      </c>
      <c r="DK10" s="47" t="s">
        <v>118</v>
      </c>
      <c r="DL10" s="26" t="s">
        <v>71</v>
      </c>
      <c r="DN10" s="35"/>
      <c r="DO10" s="35" t="s">
        <v>73</v>
      </c>
      <c r="DP10" s="35" t="s">
        <v>40</v>
      </c>
      <c r="DQ10" s="35" t="s">
        <v>74</v>
      </c>
      <c r="DR10" s="35" t="s">
        <v>39</v>
      </c>
      <c r="DT10" s="35" t="s">
        <v>75</v>
      </c>
      <c r="DU10" s="35" t="s">
        <v>76</v>
      </c>
      <c r="DV10" s="35"/>
      <c r="DW10" s="35" t="s">
        <v>274</v>
      </c>
      <c r="DX10" s="35" t="s">
        <v>300</v>
      </c>
      <c r="DY10" s="35" t="s">
        <v>75</v>
      </c>
      <c r="DZ10" s="26" t="s">
        <v>70</v>
      </c>
      <c r="EA10" s="35" t="s">
        <v>77</v>
      </c>
      <c r="EB10" s="35" t="s">
        <v>39</v>
      </c>
      <c r="ED10" s="35" t="s">
        <v>77</v>
      </c>
      <c r="EE10" s="35" t="s">
        <v>56</v>
      </c>
      <c r="EF10" s="35" t="s">
        <v>77</v>
      </c>
      <c r="EG10" s="35" t="s">
        <v>262</v>
      </c>
      <c r="EH10" s="35" t="s">
        <v>80</v>
      </c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</row>
    <row r="11" spans="1:207" ht="12.75" customHeight="1">
      <c r="A11" s="60"/>
      <c r="B11" s="61"/>
      <c r="C11" s="61"/>
      <c r="D11" s="5"/>
      <c r="G11" s="62"/>
      <c r="H11" s="63"/>
      <c r="I11" s="63"/>
      <c r="J11" s="63"/>
      <c r="K11" s="60"/>
      <c r="L11" s="64"/>
      <c r="M11" s="64"/>
      <c r="N11" s="64"/>
      <c r="O11" s="64"/>
      <c r="T11" s="6"/>
      <c r="U11" s="60"/>
      <c r="V11" s="65"/>
      <c r="W11" s="66"/>
      <c r="X11" s="67"/>
      <c r="AI11" s="68">
        <v>1</v>
      </c>
      <c r="AJ11" s="69" t="s">
        <v>78</v>
      </c>
      <c r="AK11" s="7"/>
      <c r="AW11" s="60"/>
      <c r="AX11" s="70"/>
      <c r="AY11" s="71"/>
      <c r="AZ11" s="72"/>
      <c r="BD11" s="60"/>
      <c r="BE11" s="73"/>
      <c r="BF11" s="73"/>
      <c r="BG11" s="73"/>
      <c r="BO11" s="62"/>
      <c r="BP11" s="62"/>
      <c r="BQ11" s="62"/>
      <c r="BR11" s="62"/>
      <c r="CQ11" s="51" t="s">
        <v>57</v>
      </c>
      <c r="CR11" s="53" t="s">
        <v>58</v>
      </c>
      <c r="CS11" s="49"/>
      <c r="CT11" s="49"/>
      <c r="CU11" s="74" t="s">
        <v>57</v>
      </c>
      <c r="CV11" s="75" t="s">
        <v>58</v>
      </c>
      <c r="CW11" s="74" t="s">
        <v>168</v>
      </c>
      <c r="CX11" s="74" t="s">
        <v>161</v>
      </c>
      <c r="CY11" s="74" t="s">
        <v>162</v>
      </c>
      <c r="CZ11" s="35" t="s">
        <v>57</v>
      </c>
      <c r="DA11" s="14"/>
      <c r="DB11" s="35"/>
      <c r="DC11" s="76">
        <v>2.01</v>
      </c>
      <c r="DD11" s="76">
        <v>2.02</v>
      </c>
      <c r="DE11" s="76">
        <v>2.03</v>
      </c>
      <c r="DF11" s="76">
        <v>2.04</v>
      </c>
      <c r="DG11" s="76">
        <v>2.05</v>
      </c>
      <c r="DH11" s="76">
        <v>2.06</v>
      </c>
      <c r="DI11" s="35" t="s">
        <v>57</v>
      </c>
      <c r="DJ11" s="14"/>
      <c r="DK11" s="76">
        <v>2.07</v>
      </c>
      <c r="DL11" s="76">
        <v>2.08</v>
      </c>
      <c r="DM11" s="76">
        <v>2.09</v>
      </c>
      <c r="DN11" s="77">
        <v>2.1</v>
      </c>
      <c r="DO11" s="77">
        <v>2.11</v>
      </c>
      <c r="DP11" s="77">
        <v>2.12</v>
      </c>
      <c r="DQ11" s="77">
        <v>2.13</v>
      </c>
      <c r="DR11" s="35" t="s">
        <v>57</v>
      </c>
      <c r="DS11" s="14"/>
      <c r="DT11" s="77">
        <v>2.14</v>
      </c>
      <c r="DU11" s="77">
        <v>2.15</v>
      </c>
      <c r="DV11" s="77">
        <v>2.16</v>
      </c>
      <c r="DW11" s="77">
        <v>2.17</v>
      </c>
      <c r="DX11" s="77">
        <v>2.18</v>
      </c>
      <c r="DY11" s="77">
        <v>2.19</v>
      </c>
      <c r="DZ11" s="26"/>
      <c r="EA11" s="26" t="s">
        <v>64</v>
      </c>
      <c r="EB11" s="51" t="s">
        <v>57</v>
      </c>
      <c r="EC11" s="78"/>
      <c r="ED11" s="51" t="s">
        <v>64</v>
      </c>
      <c r="EE11" s="51" t="s">
        <v>70</v>
      </c>
      <c r="EF11" s="51" t="s">
        <v>64</v>
      </c>
      <c r="EG11" s="51" t="s">
        <v>263</v>
      </c>
      <c r="EH11" s="51" t="s">
        <v>40</v>
      </c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</row>
    <row r="12" spans="1:131" ht="12.75" customHeight="1">
      <c r="A12" s="79">
        <v>1</v>
      </c>
      <c r="B12" s="80" t="s">
        <v>59</v>
      </c>
      <c r="G12" s="60">
        <v>1</v>
      </c>
      <c r="H12" s="81" t="s">
        <v>59</v>
      </c>
      <c r="K12" s="60">
        <v>1</v>
      </c>
      <c r="L12" s="64" t="s">
        <v>188</v>
      </c>
      <c r="M12" s="82">
        <v>0</v>
      </c>
      <c r="N12" s="82">
        <v>0</v>
      </c>
      <c r="O12" s="82">
        <f>N12-M12</f>
        <v>0</v>
      </c>
      <c r="P12" s="60">
        <v>1</v>
      </c>
      <c r="Q12" s="83" t="s">
        <v>83</v>
      </c>
      <c r="R12" s="83"/>
      <c r="S12" s="83"/>
      <c r="T12" s="84">
        <v>20191000</v>
      </c>
      <c r="U12" s="60">
        <v>1</v>
      </c>
      <c r="V12" s="65" t="s">
        <v>174</v>
      </c>
      <c r="W12" s="85">
        <f>+EA45</f>
        <v>974041859.23</v>
      </c>
      <c r="X12" s="67" t="s">
        <v>22</v>
      </c>
      <c r="Y12" s="60">
        <v>1</v>
      </c>
      <c r="Z12" s="73" t="s">
        <v>88</v>
      </c>
      <c r="AC12" s="86">
        <v>1</v>
      </c>
      <c r="AD12" s="87">
        <v>4000000</v>
      </c>
      <c r="AE12" s="79" t="s">
        <v>81</v>
      </c>
      <c r="AF12" s="5" t="s">
        <v>82</v>
      </c>
      <c r="AG12" s="5"/>
      <c r="AH12" s="88">
        <v>1722410.91</v>
      </c>
      <c r="AI12" s="68">
        <v>2</v>
      </c>
      <c r="AK12" s="7"/>
      <c r="AL12" s="89"/>
      <c r="AM12" s="7"/>
      <c r="AN12" s="60">
        <v>1</v>
      </c>
      <c r="AO12" s="83" t="s">
        <v>34</v>
      </c>
      <c r="AP12" s="84">
        <v>10667105</v>
      </c>
      <c r="AQ12" s="84"/>
      <c r="AR12" s="84">
        <f>+AP12+AQ12</f>
        <v>10667105</v>
      </c>
      <c r="AS12" s="60">
        <v>1</v>
      </c>
      <c r="AT12" s="1" t="s">
        <v>62</v>
      </c>
      <c r="AU12" s="90">
        <v>326628</v>
      </c>
      <c r="AW12" s="60">
        <v>1</v>
      </c>
      <c r="AX12" s="91" t="s">
        <v>72</v>
      </c>
      <c r="BA12" s="79" t="s">
        <v>81</v>
      </c>
      <c r="BB12" s="1" t="s">
        <v>226</v>
      </c>
      <c r="BC12" s="92">
        <v>19122.68</v>
      </c>
      <c r="BD12" s="60">
        <v>1</v>
      </c>
      <c r="BE12" s="1" t="s">
        <v>197</v>
      </c>
      <c r="BH12" s="93"/>
      <c r="BI12" s="94"/>
      <c r="BJ12" s="93"/>
      <c r="BK12" s="60">
        <v>1</v>
      </c>
      <c r="BL12" s="80" t="s">
        <v>195</v>
      </c>
      <c r="BM12" s="95"/>
      <c r="BN12" s="95"/>
      <c r="BO12" s="60">
        <v>1</v>
      </c>
      <c r="BP12" s="96" t="s">
        <v>314</v>
      </c>
      <c r="BR12" s="89"/>
      <c r="BS12" s="60">
        <v>1</v>
      </c>
      <c r="BT12" s="1" t="s">
        <v>179</v>
      </c>
      <c r="BV12" s="97">
        <v>1209131.45</v>
      </c>
      <c r="BW12" s="60">
        <v>1</v>
      </c>
      <c r="BX12" s="1" t="s">
        <v>216</v>
      </c>
      <c r="BZ12" s="97">
        <f>+'[3]Customer Bills'!$D$41</f>
        <v>1699172.5023999999</v>
      </c>
      <c r="CA12" s="97">
        <f>+'[3]Customer Bills'!$D$44</f>
        <v>2008135.7614214257</v>
      </c>
      <c r="CB12" s="97">
        <f>+CA12-BZ12</f>
        <v>308963.25902142585</v>
      </c>
      <c r="CC12" s="60">
        <v>1</v>
      </c>
      <c r="CD12" s="1" t="s">
        <v>270</v>
      </c>
      <c r="CE12" s="84">
        <v>364425.75</v>
      </c>
      <c r="CF12" s="84">
        <v>797292</v>
      </c>
      <c r="CG12" s="84">
        <f>+CF12-CE12</f>
        <v>432866.25</v>
      </c>
      <c r="CH12" s="60">
        <v>1</v>
      </c>
      <c r="CI12" s="98" t="s">
        <v>277</v>
      </c>
      <c r="CJ12" s="98"/>
      <c r="CK12" s="84">
        <v>31355507</v>
      </c>
      <c r="CL12" s="60">
        <v>1</v>
      </c>
      <c r="CM12" s="99" t="s">
        <v>177</v>
      </c>
      <c r="CN12" s="84">
        <v>-3146915.49</v>
      </c>
      <c r="CO12" s="84">
        <v>0</v>
      </c>
      <c r="CP12" s="84">
        <f>+CO12-CN12</f>
        <v>3146915.49</v>
      </c>
      <c r="CU12" s="62"/>
      <c r="CV12" s="62"/>
      <c r="CW12" s="62"/>
      <c r="CX12" s="62"/>
      <c r="CY12" s="62"/>
      <c r="CZ12" s="62" t="s">
        <v>85</v>
      </c>
      <c r="DA12" s="62" t="s">
        <v>85</v>
      </c>
      <c r="DB12" s="63" t="s">
        <v>85</v>
      </c>
      <c r="DC12" s="62" t="s">
        <v>85</v>
      </c>
      <c r="DD12" s="62" t="s">
        <v>85</v>
      </c>
      <c r="DE12" s="62" t="s">
        <v>85</v>
      </c>
      <c r="DF12" s="62" t="s">
        <v>85</v>
      </c>
      <c r="DG12" s="62" t="s">
        <v>85</v>
      </c>
      <c r="DH12" s="100" t="s">
        <v>85</v>
      </c>
      <c r="DI12" s="62" t="s">
        <v>85</v>
      </c>
      <c r="DJ12" s="62" t="s">
        <v>85</v>
      </c>
      <c r="DK12" s="62" t="s">
        <v>85</v>
      </c>
      <c r="DL12" s="62" t="s">
        <v>85</v>
      </c>
      <c r="DM12" s="62" t="s">
        <v>85</v>
      </c>
      <c r="DN12" s="62" t="s">
        <v>85</v>
      </c>
      <c r="DO12" s="62" t="s">
        <v>85</v>
      </c>
      <c r="DP12" s="62" t="s">
        <v>85</v>
      </c>
      <c r="DQ12" s="62" t="s">
        <v>85</v>
      </c>
      <c r="DR12" s="62" t="s">
        <v>85</v>
      </c>
      <c r="DS12" s="62" t="s">
        <v>85</v>
      </c>
      <c r="DT12" s="62" t="s">
        <v>85</v>
      </c>
      <c r="DU12" s="62" t="s">
        <v>85</v>
      </c>
      <c r="DV12" s="62" t="s">
        <v>85</v>
      </c>
      <c r="DW12" s="62"/>
      <c r="DX12" s="62"/>
      <c r="DY12" s="62"/>
      <c r="DZ12" s="62" t="s">
        <v>85</v>
      </c>
      <c r="EA12" s="62" t="s">
        <v>85</v>
      </c>
    </row>
    <row r="13" spans="1:134" ht="12.75" customHeight="1">
      <c r="A13" s="79">
        <v>2</v>
      </c>
      <c r="B13" s="101" t="s">
        <v>94</v>
      </c>
      <c r="C13" s="102"/>
      <c r="D13" s="90">
        <f>DB14</f>
        <v>737379318.9399999</v>
      </c>
      <c r="E13" s="103">
        <v>662290818</v>
      </c>
      <c r="F13" s="90">
        <f>E13-D13</f>
        <v>-75088500.93999994</v>
      </c>
      <c r="G13" s="60">
        <v>2</v>
      </c>
      <c r="H13" s="104" t="s">
        <v>212</v>
      </c>
      <c r="J13" s="90">
        <v>48510733</v>
      </c>
      <c r="K13" s="60">
        <v>2</v>
      </c>
      <c r="L13" s="64"/>
      <c r="M13" s="105"/>
      <c r="N13" s="105"/>
      <c r="O13" s="105"/>
      <c r="P13" s="60">
        <f aca="true" t="shared" si="0" ref="P13:P24">P12+1</f>
        <v>2</v>
      </c>
      <c r="Q13" s="73"/>
      <c r="R13" s="73"/>
      <c r="S13" s="73"/>
      <c r="T13" s="106"/>
      <c r="U13" s="60">
        <v>2</v>
      </c>
      <c r="V13" s="65" t="s">
        <v>284</v>
      </c>
      <c r="W13" s="107">
        <f>+'[5]Sheet1'!$H$16</f>
        <v>50427323.85929564</v>
      </c>
      <c r="X13" s="108" t="s">
        <v>22</v>
      </c>
      <c r="Y13" s="60">
        <f>+Y12+1</f>
        <v>2</v>
      </c>
      <c r="Z13" s="73"/>
      <c r="AC13" s="109"/>
      <c r="AD13" s="6"/>
      <c r="AE13" s="79">
        <f aca="true" t="shared" si="1" ref="AE13:AE20">1+AE12</f>
        <v>2</v>
      </c>
      <c r="AF13" s="3"/>
      <c r="AG13" s="3"/>
      <c r="AH13" s="8"/>
      <c r="AI13" s="68">
        <v>3</v>
      </c>
      <c r="AJ13" s="110" t="s">
        <v>95</v>
      </c>
      <c r="AK13" s="111">
        <v>2249025.72</v>
      </c>
      <c r="AL13" s="112">
        <v>1633525</v>
      </c>
      <c r="AM13" s="113">
        <f aca="true" t="shared" si="2" ref="AM13:AM18">AL13-AK13</f>
        <v>-615500.7200000002</v>
      </c>
      <c r="AN13" s="60">
        <f>AN12+1</f>
        <v>2</v>
      </c>
      <c r="AO13" s="73" t="s">
        <v>86</v>
      </c>
      <c r="AP13" s="114">
        <v>10578526.35</v>
      </c>
      <c r="AQ13" s="114"/>
      <c r="AR13" s="114">
        <f>+AP13+AQ13</f>
        <v>10578526.35</v>
      </c>
      <c r="AS13" s="60">
        <f aca="true" t="shared" si="3" ref="AS13:AS20">AS12+1</f>
        <v>2</v>
      </c>
      <c r="AT13" s="1" t="s">
        <v>53</v>
      </c>
      <c r="AU13" s="115">
        <v>373635</v>
      </c>
      <c r="AW13" s="60">
        <v>2</v>
      </c>
      <c r="AX13" s="99" t="s">
        <v>232</v>
      </c>
      <c r="AY13" s="112">
        <v>746471.27</v>
      </c>
      <c r="BA13" s="60">
        <f>+BA12+1</f>
        <v>2</v>
      </c>
      <c r="BB13" s="1" t="s">
        <v>237</v>
      </c>
      <c r="BC13" s="116">
        <v>6470.07</v>
      </c>
      <c r="BD13" s="60">
        <f aca="true" t="shared" si="4" ref="BD13:BD34">BD12+1</f>
        <v>2</v>
      </c>
      <c r="BE13" s="73" t="s">
        <v>201</v>
      </c>
      <c r="BF13" s="73"/>
      <c r="BG13" s="73"/>
      <c r="BH13" s="93">
        <f>+'[6]O &amp; M Payroll'!$F$21</f>
        <v>86942.79999999999</v>
      </c>
      <c r="BI13" s="93">
        <f>+BH13</f>
        <v>86942.79999999999</v>
      </c>
      <c r="BJ13" s="93">
        <f aca="true" t="shared" si="5" ref="BJ13:BJ21">BI13-BH13</f>
        <v>0</v>
      </c>
      <c r="BK13" s="60">
        <v>2</v>
      </c>
      <c r="BL13" s="73" t="s">
        <v>125</v>
      </c>
      <c r="BM13" s="116"/>
      <c r="BN13" s="112">
        <v>1899480</v>
      </c>
      <c r="BO13" s="60">
        <f>BO12+1</f>
        <v>2</v>
      </c>
      <c r="BP13" s="73" t="s">
        <v>206</v>
      </c>
      <c r="BR13" s="89">
        <f>1187473.7+97659.34</f>
        <v>1285133.04</v>
      </c>
      <c r="BS13" s="60">
        <f aca="true" t="shared" si="6" ref="BS13:BS21">BS12+1</f>
        <v>2</v>
      </c>
      <c r="BT13" s="73" t="s">
        <v>180</v>
      </c>
      <c r="BV13" s="117">
        <v>484056.94</v>
      </c>
      <c r="BW13" s="60">
        <f>BW12+1</f>
        <v>2</v>
      </c>
      <c r="BX13" s="1" t="s">
        <v>228</v>
      </c>
      <c r="BZ13" s="117">
        <f>+'[3]Corporate Mail'!$D$45</f>
        <v>91959.58903999999</v>
      </c>
      <c r="CA13" s="117">
        <f>+'[3]Corporate Mail'!$D$48</f>
        <v>100518.02526245333</v>
      </c>
      <c r="CB13" s="117">
        <f>+CA13-BZ13</f>
        <v>8558.43622245334</v>
      </c>
      <c r="CC13" s="60">
        <f aca="true" t="shared" si="7" ref="CC13:CC18">CC12+1</f>
        <v>2</v>
      </c>
      <c r="CD13" s="1" t="s">
        <v>271</v>
      </c>
      <c r="CE13" s="117">
        <v>214711.87</v>
      </c>
      <c r="CF13" s="117">
        <v>614567</v>
      </c>
      <c r="CG13" s="118">
        <f>+CF13-CE13</f>
        <v>399855.13</v>
      </c>
      <c r="CH13" s="60">
        <v>2</v>
      </c>
      <c r="CI13" s="119" t="s">
        <v>278</v>
      </c>
      <c r="CJ13" s="119"/>
      <c r="CK13" s="114">
        <v>30164040.22</v>
      </c>
      <c r="CL13" s="60">
        <f aca="true" t="shared" si="8" ref="CL13:CL18">CL12+1</f>
        <v>2</v>
      </c>
      <c r="CN13" s="117"/>
      <c r="CO13" s="117"/>
      <c r="CP13" s="118"/>
      <c r="CQ13" s="60">
        <v>1</v>
      </c>
      <c r="CR13" s="1" t="s">
        <v>174</v>
      </c>
      <c r="CT13" s="120">
        <f>EA45</f>
        <v>974041859.23</v>
      </c>
      <c r="CU13" s="60">
        <v>1</v>
      </c>
      <c r="CV13" s="1" t="s">
        <v>169</v>
      </c>
      <c r="CW13" s="121">
        <v>0.5757</v>
      </c>
      <c r="CX13" s="121">
        <v>0.0724</v>
      </c>
      <c r="CY13" s="121">
        <f>+CW13*CX13</f>
        <v>0.041680680000000005</v>
      </c>
      <c r="CZ13" s="60">
        <v>1</v>
      </c>
      <c r="DA13" s="73" t="s">
        <v>87</v>
      </c>
      <c r="DB13" s="93"/>
      <c r="DC13" s="89"/>
      <c r="DD13" s="89"/>
      <c r="DF13" s="89"/>
      <c r="DG13" s="89"/>
      <c r="DH13" s="89"/>
      <c r="DI13" s="60">
        <v>1</v>
      </c>
      <c r="DJ13" s="73" t="s">
        <v>87</v>
      </c>
      <c r="DL13" s="89"/>
      <c r="DM13" s="89"/>
      <c r="DO13" s="89"/>
      <c r="DP13" s="89"/>
      <c r="DR13" s="60">
        <v>1</v>
      </c>
      <c r="DS13" s="73" t="s">
        <v>87</v>
      </c>
      <c r="DZ13" s="112"/>
      <c r="EA13" s="89"/>
      <c r="EB13" s="60">
        <v>1</v>
      </c>
      <c r="EC13" s="69" t="s">
        <v>0</v>
      </c>
      <c r="ED13" s="89"/>
    </row>
    <row r="14" spans="1:207" ht="12.75" customHeight="1">
      <c r="A14" s="79">
        <v>3</v>
      </c>
      <c r="B14" s="1" t="s">
        <v>99</v>
      </c>
      <c r="C14" s="122">
        <f>AC21</f>
        <v>0.03692</v>
      </c>
      <c r="D14" s="8"/>
      <c r="E14" s="8"/>
      <c r="F14" s="123">
        <f>(F13/(1-C14))-F13</f>
        <v>-2878543.27231881</v>
      </c>
      <c r="G14" s="60">
        <v>3</v>
      </c>
      <c r="H14" s="104" t="s">
        <v>213</v>
      </c>
      <c r="I14" s="84"/>
      <c r="J14" s="124">
        <v>50524545</v>
      </c>
      <c r="K14" s="60">
        <v>3</v>
      </c>
      <c r="L14" s="72" t="s">
        <v>105</v>
      </c>
      <c r="M14" s="125">
        <f>M12</f>
        <v>0</v>
      </c>
      <c r="N14" s="125">
        <f>N12</f>
        <v>0</v>
      </c>
      <c r="O14" s="125">
        <f>O12</f>
        <v>0</v>
      </c>
      <c r="P14" s="60">
        <f aca="true" t="shared" si="9" ref="P14:P19">P13+1</f>
        <v>3</v>
      </c>
      <c r="Q14" s="73" t="s">
        <v>93</v>
      </c>
      <c r="R14" s="126"/>
      <c r="S14" s="126"/>
      <c r="T14" s="127"/>
      <c r="U14" s="60">
        <v>3</v>
      </c>
      <c r="W14" s="112">
        <f>SUM(W12:W13)</f>
        <v>1024469183.0892956</v>
      </c>
      <c r="Y14" s="60">
        <f aca="true" t="shared" si="10" ref="Y14:Y29">+Y13+1</f>
        <v>3</v>
      </c>
      <c r="Z14" s="73" t="s">
        <v>98</v>
      </c>
      <c r="AB14" s="122"/>
      <c r="AC14" s="109"/>
      <c r="AD14" s="6"/>
      <c r="AE14" s="79">
        <f t="shared" si="1"/>
        <v>3</v>
      </c>
      <c r="AF14" s="1" t="s">
        <v>91</v>
      </c>
      <c r="AH14" s="128">
        <v>1809656.77</v>
      </c>
      <c r="AI14" s="68">
        <v>4</v>
      </c>
      <c r="AJ14" s="110" t="s">
        <v>101</v>
      </c>
      <c r="AK14" s="128">
        <v>224002.96</v>
      </c>
      <c r="AL14" s="8">
        <v>162699</v>
      </c>
      <c r="AM14" s="129">
        <f t="shared" si="2"/>
        <v>-61303.95999999999</v>
      </c>
      <c r="AN14" s="60">
        <f>AN13+1</f>
        <v>3</v>
      </c>
      <c r="AO14" s="73" t="s">
        <v>92</v>
      </c>
      <c r="AP14" s="84">
        <f>-(AP13-AP12)</f>
        <v>88578.65000000037</v>
      </c>
      <c r="AQ14" s="84"/>
      <c r="AR14" s="84">
        <f>-(AR13-AR12)</f>
        <v>88578.65000000037</v>
      </c>
      <c r="AS14" s="60">
        <f t="shared" si="3"/>
        <v>3</v>
      </c>
      <c r="AW14" s="60">
        <v>3</v>
      </c>
      <c r="AX14" s="1" t="s">
        <v>231</v>
      </c>
      <c r="AY14" s="130">
        <v>0</v>
      </c>
      <c r="BA14" s="60">
        <f aca="true" t="shared" si="11" ref="BA14:BA26">+BA13+1</f>
        <v>3</v>
      </c>
      <c r="BB14" s="1" t="s">
        <v>238</v>
      </c>
      <c r="BC14" s="116">
        <v>12038.03</v>
      </c>
      <c r="BD14" s="60">
        <f t="shared" si="4"/>
        <v>3</v>
      </c>
      <c r="BE14" s="73" t="s">
        <v>202</v>
      </c>
      <c r="BF14" s="73"/>
      <c r="BG14" s="73"/>
      <c r="BH14" s="93">
        <f>+'[6]O &amp; M Payroll'!$F$22</f>
        <v>366979.43000000005</v>
      </c>
      <c r="BI14" s="93">
        <f aca="true" t="shared" si="12" ref="BI14:BI21">+BH14</f>
        <v>366979.43000000005</v>
      </c>
      <c r="BJ14" s="93">
        <f t="shared" si="5"/>
        <v>0</v>
      </c>
      <c r="BK14" s="60">
        <v>3</v>
      </c>
      <c r="BL14" s="73" t="s">
        <v>130</v>
      </c>
      <c r="BM14" s="116"/>
      <c r="BN14" s="130">
        <v>2178989</v>
      </c>
      <c r="BO14" s="60">
        <f aca="true" t="shared" si="13" ref="BO14:BO29">BO13+1</f>
        <v>3</v>
      </c>
      <c r="BP14" s="1" t="s">
        <v>104</v>
      </c>
      <c r="BQ14" s="131">
        <f>+'[6]Average Increase'!$D$14</f>
        <v>0.0778</v>
      </c>
      <c r="BR14" s="132">
        <f>+BR13*BQ14</f>
        <v>99983.35051199999</v>
      </c>
      <c r="BS14" s="60">
        <f t="shared" si="6"/>
        <v>3</v>
      </c>
      <c r="BT14" s="73" t="s">
        <v>316</v>
      </c>
      <c r="BV14" s="117">
        <v>109578.31</v>
      </c>
      <c r="BW14" s="60">
        <f>BW13+1</f>
        <v>3</v>
      </c>
      <c r="BX14" s="73" t="s">
        <v>217</v>
      </c>
      <c r="BY14" s="73"/>
      <c r="BZ14" s="133">
        <f>SUM(BZ12:BZ13)</f>
        <v>1791132.0914399999</v>
      </c>
      <c r="CA14" s="133">
        <f>SUM(CA12:CA13)</f>
        <v>2108653.786683879</v>
      </c>
      <c r="CB14" s="133">
        <f>SUM(CB12:CB13)</f>
        <v>317521.6952438792</v>
      </c>
      <c r="CC14" s="60">
        <f t="shared" si="7"/>
        <v>3</v>
      </c>
      <c r="CD14" s="73" t="s">
        <v>92</v>
      </c>
      <c r="CE14" s="134">
        <f>SUM(CE12:CE13)</f>
        <v>579137.62</v>
      </c>
      <c r="CF14" s="134">
        <f>SUM(CF12:CF13)</f>
        <v>1411859</v>
      </c>
      <c r="CG14" s="134">
        <f>SUM(CG12:CG13)</f>
        <v>832721.38</v>
      </c>
      <c r="CH14" s="60">
        <v>3</v>
      </c>
      <c r="CI14" s="135" t="s">
        <v>279</v>
      </c>
      <c r="CJ14" s="135"/>
      <c r="CK14" s="136">
        <f>CK12-CK13</f>
        <v>1191466.7800000012</v>
      </c>
      <c r="CL14" s="60">
        <f t="shared" si="8"/>
        <v>3</v>
      </c>
      <c r="CM14" s="73" t="s">
        <v>92</v>
      </c>
      <c r="CN14" s="134">
        <f>SUM(CN12:CN13)</f>
        <v>-3146915.49</v>
      </c>
      <c r="CO14" s="134">
        <f>SUM(CO12:CO13)</f>
        <v>0</v>
      </c>
      <c r="CP14" s="134">
        <f>SUM(CP12:CP13)</f>
        <v>3146915.49</v>
      </c>
      <c r="CQ14" s="60">
        <f aca="true" t="shared" si="14" ref="CQ14:CQ22">CQ13+1</f>
        <v>2</v>
      </c>
      <c r="CR14" s="73" t="s">
        <v>20</v>
      </c>
      <c r="CT14" s="137">
        <f>CY16</f>
        <v>0.08757122</v>
      </c>
      <c r="CU14" s="60">
        <f>CU13+1</f>
        <v>2</v>
      </c>
      <c r="CV14" s="1" t="s">
        <v>170</v>
      </c>
      <c r="CW14" s="121">
        <v>0.0243</v>
      </c>
      <c r="CX14" s="121">
        <v>0.0778</v>
      </c>
      <c r="CY14" s="121">
        <f>+CW14*CX14</f>
        <v>0.0018905399999999998</v>
      </c>
      <c r="CZ14" s="60">
        <f aca="true" t="shared" si="15" ref="CZ14:CZ56">+CZ13+1</f>
        <v>2</v>
      </c>
      <c r="DA14" s="73" t="s">
        <v>1</v>
      </c>
      <c r="DB14" s="84">
        <f>DB17-DB15-DB16</f>
        <v>737379318.9399999</v>
      </c>
      <c r="DC14" s="90">
        <f>F13+F16</f>
        <v>-153332391.93999994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60">
        <f aca="true" t="shared" si="16" ref="DI14:DI56">+DI13+1</f>
        <v>2</v>
      </c>
      <c r="DJ14" s="73" t="s">
        <v>1</v>
      </c>
      <c r="DK14" s="90">
        <v>0</v>
      </c>
      <c r="DL14" s="90">
        <v>0</v>
      </c>
      <c r="DM14" s="90">
        <v>0</v>
      </c>
      <c r="DN14" s="90">
        <v>0</v>
      </c>
      <c r="DO14" s="90">
        <v>0</v>
      </c>
      <c r="DP14" s="90">
        <v>0</v>
      </c>
      <c r="DQ14" s="90">
        <v>0</v>
      </c>
      <c r="DR14" s="60">
        <f aca="true" t="shared" si="17" ref="DR14:DR56">+DR13+1</f>
        <v>2</v>
      </c>
      <c r="DS14" s="73" t="s">
        <v>1</v>
      </c>
      <c r="DT14" s="112">
        <v>0</v>
      </c>
      <c r="DU14" s="112">
        <v>0</v>
      </c>
      <c r="DV14" s="112">
        <v>0</v>
      </c>
      <c r="DW14" s="112">
        <v>0</v>
      </c>
      <c r="DX14" s="112">
        <v>0</v>
      </c>
      <c r="DY14" s="112">
        <v>0</v>
      </c>
      <c r="DZ14" s="112">
        <f>SUM(DC14:DY14)-DR14-DI14</f>
        <v>-153332391.93999994</v>
      </c>
      <c r="EA14" s="112">
        <f>DB14+DZ14</f>
        <v>584046927</v>
      </c>
      <c r="EB14" s="60">
        <f aca="true" t="shared" si="18" ref="EB14:EB56">+EB13+1</f>
        <v>2</v>
      </c>
      <c r="EC14" s="73" t="s">
        <v>1</v>
      </c>
      <c r="ED14" s="90">
        <f>DB14</f>
        <v>737379318.9399999</v>
      </c>
      <c r="EE14" s="90">
        <f>DZ14</f>
        <v>-153332391.93999994</v>
      </c>
      <c r="EF14" s="138">
        <f>ED14+EE14</f>
        <v>584046927</v>
      </c>
      <c r="EG14" s="138">
        <f>+EG17-EG16-EG15</f>
        <v>31529290.20329211</v>
      </c>
      <c r="EH14" s="138">
        <f>EF14+EG14</f>
        <v>615576217.2032921</v>
      </c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</row>
    <row r="15" spans="1:207" ht="12.75" customHeight="1">
      <c r="A15" s="79">
        <v>4</v>
      </c>
      <c r="B15" s="80" t="s">
        <v>53</v>
      </c>
      <c r="D15" s="139"/>
      <c r="E15" s="139"/>
      <c r="G15" s="60">
        <v>4</v>
      </c>
      <c r="H15" s="104" t="s">
        <v>215</v>
      </c>
      <c r="J15" s="8">
        <f>J14-J13</f>
        <v>2013812</v>
      </c>
      <c r="K15" s="60">
        <v>4</v>
      </c>
      <c r="L15" s="64"/>
      <c r="M15" s="64"/>
      <c r="N15" s="64"/>
      <c r="O15" s="64"/>
      <c r="P15" s="60">
        <f t="shared" si="9"/>
        <v>4</v>
      </c>
      <c r="Q15" s="73" t="s">
        <v>96</v>
      </c>
      <c r="R15" s="140">
        <v>0.35</v>
      </c>
      <c r="S15" s="73"/>
      <c r="T15" s="141">
        <f>+T12*R15</f>
        <v>7066850</v>
      </c>
      <c r="U15" s="60">
        <v>4</v>
      </c>
      <c r="Y15" s="60">
        <f t="shared" si="10"/>
        <v>4</v>
      </c>
      <c r="Z15" s="73" t="s">
        <v>106</v>
      </c>
      <c r="AC15" s="142">
        <v>0.0022</v>
      </c>
      <c r="AD15" s="87">
        <f>-AD12*MT</f>
        <v>-8800</v>
      </c>
      <c r="AE15" s="79">
        <f t="shared" si="1"/>
        <v>4</v>
      </c>
      <c r="AH15" s="128"/>
      <c r="AI15" s="68">
        <v>5</v>
      </c>
      <c r="AJ15" s="1" t="s">
        <v>241</v>
      </c>
      <c r="AK15" s="8">
        <v>3126654.53</v>
      </c>
      <c r="AL15" s="8">
        <v>0</v>
      </c>
      <c r="AM15" s="143">
        <f t="shared" si="2"/>
        <v>-3126654.53</v>
      </c>
      <c r="AN15" s="60">
        <f>AN14+1</f>
        <v>4</v>
      </c>
      <c r="AP15" s="89"/>
      <c r="AQ15" s="89"/>
      <c r="AR15" s="89"/>
      <c r="AS15" s="60">
        <f t="shared" si="3"/>
        <v>4</v>
      </c>
      <c r="AT15" s="83" t="s">
        <v>61</v>
      </c>
      <c r="AV15" s="90">
        <f>AU13-AU12</f>
        <v>47007</v>
      </c>
      <c r="AW15" s="60">
        <v>4</v>
      </c>
      <c r="AX15" s="1" t="s">
        <v>90</v>
      </c>
      <c r="AY15" s="8">
        <f>AY14-AY13</f>
        <v>-746471.27</v>
      </c>
      <c r="BA15" s="60">
        <f t="shared" si="11"/>
        <v>4</v>
      </c>
      <c r="BB15" s="144" t="s">
        <v>90</v>
      </c>
      <c r="BC15" s="145">
        <f>-SUM(BC12:BC14)</f>
        <v>-37630.78</v>
      </c>
      <c r="BD15" s="60">
        <f t="shared" si="4"/>
        <v>4</v>
      </c>
      <c r="BE15" s="73" t="s">
        <v>203</v>
      </c>
      <c r="BF15" s="73"/>
      <c r="BG15" s="73"/>
      <c r="BH15" s="93">
        <f>+'[6]O &amp; M Payroll'!$F$23</f>
        <v>10386.04</v>
      </c>
      <c r="BI15" s="93">
        <f t="shared" si="12"/>
        <v>10386.04</v>
      </c>
      <c r="BJ15" s="93">
        <f t="shared" si="5"/>
        <v>0</v>
      </c>
      <c r="BK15" s="60">
        <v>4</v>
      </c>
      <c r="BL15" s="1" t="s">
        <v>134</v>
      </c>
      <c r="BM15" s="116"/>
      <c r="BN15" s="128">
        <f>SUM(BN13:BN14)</f>
        <v>4078469</v>
      </c>
      <c r="BO15" s="60">
        <f t="shared" si="13"/>
        <v>4</v>
      </c>
      <c r="BP15" s="146" t="s">
        <v>207</v>
      </c>
      <c r="BQ15" s="60"/>
      <c r="BR15" s="147">
        <f>SUM(BR13:BR14)</f>
        <v>1385116.390512</v>
      </c>
      <c r="BS15" s="60">
        <f t="shared" si="6"/>
        <v>4</v>
      </c>
      <c r="BT15" s="73" t="s">
        <v>181</v>
      </c>
      <c r="BV15" s="133">
        <f>SUM(BV12:BV14)</f>
        <v>1802766.7</v>
      </c>
      <c r="BW15" s="60">
        <f>BW14+1</f>
        <v>4</v>
      </c>
      <c r="BX15" s="73"/>
      <c r="BY15" s="73"/>
      <c r="CB15" s="116"/>
      <c r="CC15" s="60">
        <f t="shared" si="7"/>
        <v>4</v>
      </c>
      <c r="CD15" s="73"/>
      <c r="CG15" s="8"/>
      <c r="CH15" s="60">
        <v>4</v>
      </c>
      <c r="CI15" s="148"/>
      <c r="CJ15" s="148"/>
      <c r="CK15" s="8"/>
      <c r="CL15" s="60">
        <f t="shared" si="8"/>
        <v>4</v>
      </c>
      <c r="CM15" s="73"/>
      <c r="CP15" s="8"/>
      <c r="CQ15" s="60">
        <f t="shared" si="14"/>
        <v>3</v>
      </c>
      <c r="CR15" s="73"/>
      <c r="CU15" s="60">
        <f>CU14+1</f>
        <v>3</v>
      </c>
      <c r="CV15" s="1" t="s">
        <v>171</v>
      </c>
      <c r="CW15" s="149">
        <v>0.4</v>
      </c>
      <c r="CX15" s="137">
        <v>0.11</v>
      </c>
      <c r="CY15" s="121">
        <f>+CW15*CX15</f>
        <v>0.044000000000000004</v>
      </c>
      <c r="CZ15" s="60">
        <f t="shared" si="15"/>
        <v>3</v>
      </c>
      <c r="DA15" s="73" t="s">
        <v>97</v>
      </c>
      <c r="DB15" s="72">
        <v>28658519</v>
      </c>
      <c r="DC15" s="8">
        <f>F14+F17</f>
        <v>-5878049.497886777</v>
      </c>
      <c r="DD15" s="8"/>
      <c r="DE15" s="8"/>
      <c r="DF15" s="8"/>
      <c r="DG15" s="8"/>
      <c r="DH15" s="8"/>
      <c r="DI15" s="60">
        <f t="shared" si="16"/>
        <v>3</v>
      </c>
      <c r="DJ15" s="73" t="s">
        <v>97</v>
      </c>
      <c r="DK15" s="118"/>
      <c r="DL15" s="8"/>
      <c r="DM15" s="8"/>
      <c r="DN15" s="8"/>
      <c r="DO15" s="8"/>
      <c r="DP15" s="8"/>
      <c r="DQ15" s="8"/>
      <c r="DR15" s="60">
        <f t="shared" si="17"/>
        <v>3</v>
      </c>
      <c r="DS15" s="73" t="s">
        <v>97</v>
      </c>
      <c r="DT15" s="8"/>
      <c r="DU15" s="8"/>
      <c r="DV15" s="8"/>
      <c r="DW15" s="8"/>
      <c r="DX15" s="8"/>
      <c r="DY15" s="8"/>
      <c r="DZ15" s="8">
        <f>SUM(DC15:DY15)-DR15-DI15</f>
        <v>-5878049.497886777</v>
      </c>
      <c r="EA15" s="8">
        <f>DB15+DZ15</f>
        <v>22780469.502113223</v>
      </c>
      <c r="EB15" s="60">
        <f t="shared" si="18"/>
        <v>3</v>
      </c>
      <c r="EC15" s="73" t="str">
        <f>DA15</f>
        <v>MUNICIPAL ADDITIONS</v>
      </c>
      <c r="ED15" s="150">
        <f>DB15</f>
        <v>28658519</v>
      </c>
      <c r="EE15" s="106">
        <f>DZ15</f>
        <v>-5878049.497886777</v>
      </c>
      <c r="EF15" s="151">
        <f>+ED15+EE15</f>
        <v>22780469.502113223</v>
      </c>
      <c r="EG15" s="151">
        <f>+EG$17*(EF15/EF$17)</f>
        <v>1314029.796707892</v>
      </c>
      <c r="EH15" s="151">
        <f>+EF15+EG15</f>
        <v>24094499.298821114</v>
      </c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</row>
    <row r="16" spans="1:207" ht="12.75" customHeight="1">
      <c r="A16" s="79">
        <v>5</v>
      </c>
      <c r="B16" s="101" t="s">
        <v>94</v>
      </c>
      <c r="D16" s="152" t="s">
        <v>22</v>
      </c>
      <c r="E16" s="152"/>
      <c r="F16" s="123">
        <v>-78243891</v>
      </c>
      <c r="G16" s="60">
        <v>5</v>
      </c>
      <c r="K16" s="60">
        <v>5</v>
      </c>
      <c r="L16" s="153" t="s">
        <v>190</v>
      </c>
      <c r="M16" s="64"/>
      <c r="N16" s="64"/>
      <c r="O16" s="64">
        <f>-O14</f>
        <v>0</v>
      </c>
      <c r="P16" s="60">
        <f t="shared" si="9"/>
        <v>5</v>
      </c>
      <c r="Q16" s="73" t="s">
        <v>103</v>
      </c>
      <c r="R16" s="73"/>
      <c r="S16" s="73"/>
      <c r="T16" s="150">
        <v>24959200</v>
      </c>
      <c r="U16" s="60">
        <v>5</v>
      </c>
      <c r="V16" s="65" t="s">
        <v>219</v>
      </c>
      <c r="W16" s="154">
        <f>+CY13</f>
        <v>0.041680680000000005</v>
      </c>
      <c r="X16" s="108" t="s">
        <v>22</v>
      </c>
      <c r="Y16" s="60">
        <f t="shared" si="10"/>
        <v>5</v>
      </c>
      <c r="Z16" s="1" t="s">
        <v>111</v>
      </c>
      <c r="AC16" s="109"/>
      <c r="AD16" s="6"/>
      <c r="AE16" s="79">
        <f t="shared" si="1"/>
        <v>5</v>
      </c>
      <c r="AF16" s="1" t="s">
        <v>90</v>
      </c>
      <c r="AH16" s="155">
        <f>AH12-AH14</f>
        <v>-87245.8600000001</v>
      </c>
      <c r="AI16" s="68">
        <v>6</v>
      </c>
      <c r="AJ16" s="1" t="s">
        <v>244</v>
      </c>
      <c r="AK16" s="8">
        <v>404618.73</v>
      </c>
      <c r="AL16" s="8">
        <v>0</v>
      </c>
      <c r="AM16" s="143">
        <f t="shared" si="2"/>
        <v>-404618.73</v>
      </c>
      <c r="AN16" s="60">
        <f>AN15+1</f>
        <v>5</v>
      </c>
      <c r="AO16" s="73" t="s">
        <v>102</v>
      </c>
      <c r="AP16" s="126">
        <v>0.35</v>
      </c>
      <c r="AR16" s="114">
        <f>-AR14*AP16</f>
        <v>-31002.527500000127</v>
      </c>
      <c r="AS16" s="60">
        <f t="shared" si="3"/>
        <v>5</v>
      </c>
      <c r="AT16" s="99"/>
      <c r="AV16" s="156"/>
      <c r="AW16" s="60">
        <v>5</v>
      </c>
      <c r="AX16" s="104" t="s">
        <v>190</v>
      </c>
      <c r="AY16" s="8"/>
      <c r="AZ16" s="112">
        <f>-AY15</f>
        <v>746471.27</v>
      </c>
      <c r="BA16" s="60">
        <f t="shared" si="11"/>
        <v>5</v>
      </c>
      <c r="BD16" s="60">
        <f t="shared" si="4"/>
        <v>5</v>
      </c>
      <c r="BE16" s="73" t="s">
        <v>116</v>
      </c>
      <c r="BF16" s="73"/>
      <c r="BG16" s="73"/>
      <c r="BH16" s="93">
        <f>+'[6]O &amp; M Payroll'!$F$24</f>
        <v>257099.81</v>
      </c>
      <c r="BI16" s="93">
        <f t="shared" si="12"/>
        <v>257099.81</v>
      </c>
      <c r="BJ16" s="93">
        <f t="shared" si="5"/>
        <v>0</v>
      </c>
      <c r="BK16" s="60">
        <v>5</v>
      </c>
      <c r="BM16" s="116"/>
      <c r="BN16" s="8"/>
      <c r="BO16" s="60">
        <f t="shared" si="13"/>
        <v>5</v>
      </c>
      <c r="BS16" s="60">
        <f t="shared" si="6"/>
        <v>5</v>
      </c>
      <c r="BT16" s="73"/>
      <c r="BV16" s="116"/>
      <c r="BW16" s="60">
        <f>BW15+1</f>
        <v>5</v>
      </c>
      <c r="BX16" s="73" t="s">
        <v>100</v>
      </c>
      <c r="BY16" s="126">
        <v>0.35</v>
      </c>
      <c r="CA16" s="126"/>
      <c r="CB16" s="117">
        <f>-CB14*BY16</f>
        <v>-111132.59333535773</v>
      </c>
      <c r="CC16" s="60">
        <f t="shared" si="7"/>
        <v>5</v>
      </c>
      <c r="CD16" s="1" t="s">
        <v>272</v>
      </c>
      <c r="CG16" s="116">
        <f>-CG14</f>
        <v>-832721.38</v>
      </c>
      <c r="CH16" s="60">
        <v>5</v>
      </c>
      <c r="CI16" s="158" t="s">
        <v>281</v>
      </c>
      <c r="CJ16" s="158"/>
      <c r="CK16" s="112">
        <v>1536489</v>
      </c>
      <c r="CL16" s="60">
        <f t="shared" si="8"/>
        <v>5</v>
      </c>
      <c r="CM16" s="1" t="s">
        <v>272</v>
      </c>
      <c r="CP16" s="116">
        <f>-CP14</f>
        <v>-3146915.49</v>
      </c>
      <c r="CQ16" s="60">
        <f t="shared" si="14"/>
        <v>4</v>
      </c>
      <c r="CR16" s="1" t="s">
        <v>175</v>
      </c>
      <c r="CT16" s="89">
        <f>+CT13*CT14</f>
        <v>85298033.94383937</v>
      </c>
      <c r="CU16" s="60">
        <f>CU15+1</f>
        <v>4</v>
      </c>
      <c r="CV16" s="1" t="s">
        <v>56</v>
      </c>
      <c r="CW16" s="159">
        <f>SUM(CW13:CW15)</f>
        <v>1</v>
      </c>
      <c r="CX16" s="121"/>
      <c r="CY16" s="159">
        <f>SUM(CY13:CY15)</f>
        <v>0.08757122</v>
      </c>
      <c r="CZ16" s="60">
        <f t="shared" si="15"/>
        <v>4</v>
      </c>
      <c r="DA16" s="73" t="s">
        <v>2</v>
      </c>
      <c r="DB16" s="118">
        <v>10069037</v>
      </c>
      <c r="DC16" s="8"/>
      <c r="DD16" s="8"/>
      <c r="DE16" s="130"/>
      <c r="DF16" s="8"/>
      <c r="DG16" s="8" t="s">
        <v>22</v>
      </c>
      <c r="DH16" s="8"/>
      <c r="DI16" s="60">
        <f t="shared" si="16"/>
        <v>4</v>
      </c>
      <c r="DJ16" s="73" t="s">
        <v>2</v>
      </c>
      <c r="DK16" s="114"/>
      <c r="DL16" s="130"/>
      <c r="DM16" s="130"/>
      <c r="DN16" s="130"/>
      <c r="DO16" s="130"/>
      <c r="DP16" s="130"/>
      <c r="DQ16" s="130"/>
      <c r="DR16" s="60">
        <f t="shared" si="17"/>
        <v>4</v>
      </c>
      <c r="DS16" s="73" t="s">
        <v>2</v>
      </c>
      <c r="DT16" s="130"/>
      <c r="DU16" s="130"/>
      <c r="DV16" s="130"/>
      <c r="DW16" s="130"/>
      <c r="DX16" s="130"/>
      <c r="DY16" s="130"/>
      <c r="DZ16" s="130">
        <f>SUM(DC16:DY16)-DR16-DI16</f>
        <v>0</v>
      </c>
      <c r="EA16" s="130">
        <f>DB16+DZ16</f>
        <v>10069037</v>
      </c>
      <c r="EB16" s="60">
        <f t="shared" si="18"/>
        <v>4</v>
      </c>
      <c r="EC16" s="73" t="s">
        <v>2</v>
      </c>
      <c r="ED16" s="115">
        <f>DB16</f>
        <v>10069037</v>
      </c>
      <c r="EE16" s="160">
        <f>DZ16</f>
        <v>0</v>
      </c>
      <c r="EF16" s="161">
        <f>+ED16+EE16</f>
        <v>10069037</v>
      </c>
      <c r="EG16" s="161">
        <f>2740683</f>
        <v>2740683</v>
      </c>
      <c r="EH16" s="161">
        <f>+EF16+EG16</f>
        <v>12809720</v>
      </c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</row>
    <row r="17" spans="1:207" ht="12.75" customHeight="1">
      <c r="A17" s="79">
        <v>6</v>
      </c>
      <c r="B17" s="1" t="s">
        <v>99</v>
      </c>
      <c r="C17" s="122">
        <f>+C14</f>
        <v>0.03692</v>
      </c>
      <c r="D17" s="8"/>
      <c r="E17" s="8" t="s">
        <v>22</v>
      </c>
      <c r="F17" s="163">
        <f>(F16/(1-C17))-F16</f>
        <v>-2999506.2255679667</v>
      </c>
      <c r="G17" s="60">
        <v>6</v>
      </c>
      <c r="H17" s="3" t="s">
        <v>89</v>
      </c>
      <c r="J17" s="8">
        <f>-J15</f>
        <v>-2013812</v>
      </c>
      <c r="K17" s="60">
        <v>6</v>
      </c>
      <c r="L17" s="72"/>
      <c r="M17" s="72"/>
      <c r="N17" s="72"/>
      <c r="O17" s="72"/>
      <c r="P17" s="60">
        <f t="shared" si="9"/>
        <v>6</v>
      </c>
      <c r="Q17" s="1" t="s">
        <v>108</v>
      </c>
      <c r="T17" s="164">
        <v>-22145550</v>
      </c>
      <c r="U17" s="60">
        <v>6</v>
      </c>
      <c r="V17" s="65" t="s">
        <v>68</v>
      </c>
      <c r="W17" s="165"/>
      <c r="X17" s="85">
        <f>+W14*W16</f>
        <v>42700572.19020635</v>
      </c>
      <c r="Y17" s="60">
        <f>+Y16+1</f>
        <v>6</v>
      </c>
      <c r="Z17" s="73" t="s">
        <v>117</v>
      </c>
      <c r="AA17" s="166">
        <v>1</v>
      </c>
      <c r="AC17" s="109"/>
      <c r="AD17" s="6"/>
      <c r="AE17" s="79">
        <f>1+AE16</f>
        <v>6</v>
      </c>
      <c r="AH17" s="8"/>
      <c r="AI17" s="68">
        <v>7</v>
      </c>
      <c r="AJ17" s="1" t="s">
        <v>242</v>
      </c>
      <c r="AK17" s="8">
        <v>0</v>
      </c>
      <c r="AL17" s="8">
        <v>328685.26</v>
      </c>
      <c r="AM17" s="143">
        <f t="shared" si="2"/>
        <v>328685.26</v>
      </c>
      <c r="AN17" s="60">
        <f>AN16+1</f>
        <v>6</v>
      </c>
      <c r="AO17" s="73" t="s">
        <v>107</v>
      </c>
      <c r="AP17" s="167"/>
      <c r="AQ17" s="89"/>
      <c r="AR17" s="155">
        <f>-AR14-AR16</f>
        <v>-57576.122500000245</v>
      </c>
      <c r="AS17" s="60">
        <f t="shared" si="3"/>
        <v>6</v>
      </c>
      <c r="AT17" s="73" t="s">
        <v>109</v>
      </c>
      <c r="AV17" s="84">
        <f>-AV15+AV16</f>
        <v>-47007</v>
      </c>
      <c r="AW17" s="60">
        <v>6</v>
      </c>
      <c r="BA17" s="60">
        <f>+BA16+1</f>
        <v>6</v>
      </c>
      <c r="BB17" s="1" t="s">
        <v>164</v>
      </c>
      <c r="BC17" s="168">
        <f>-BC15*0.35</f>
        <v>13170.773</v>
      </c>
      <c r="BD17" s="60">
        <f>BD16+1</f>
        <v>6</v>
      </c>
      <c r="BE17" s="73" t="s">
        <v>121</v>
      </c>
      <c r="BF17" s="73"/>
      <c r="BG17" s="73"/>
      <c r="BH17" s="93">
        <f>+'[6]O &amp; M Payroll'!$F$25</f>
        <v>11382378.759999998</v>
      </c>
      <c r="BI17" s="93">
        <f t="shared" si="12"/>
        <v>11382378.759999998</v>
      </c>
      <c r="BJ17" s="93">
        <f t="shared" si="5"/>
        <v>0</v>
      </c>
      <c r="BK17" s="60">
        <v>6</v>
      </c>
      <c r="BL17" s="2" t="s">
        <v>140</v>
      </c>
      <c r="BM17" s="131">
        <v>0.5481</v>
      </c>
      <c r="BN17" s="8">
        <f>BN15*BM17-2235409+1917824</f>
        <v>1917823.8589000003</v>
      </c>
      <c r="BO17" s="60">
        <f>BO16+1</f>
        <v>6</v>
      </c>
      <c r="BP17" s="96" t="s">
        <v>137</v>
      </c>
      <c r="BQ17" s="169"/>
      <c r="BS17" s="60">
        <f>BS16+1</f>
        <v>6</v>
      </c>
      <c r="BT17" s="73" t="s">
        <v>182</v>
      </c>
      <c r="BV17" s="157">
        <f>+BV15/3</f>
        <v>600922.2333333333</v>
      </c>
      <c r="BW17" s="60">
        <f>BW16+1</f>
        <v>6</v>
      </c>
      <c r="BX17" s="73" t="s">
        <v>114</v>
      </c>
      <c r="BY17" s="73"/>
      <c r="CB17" s="170">
        <f>-CB14-CB16</f>
        <v>-206389.1019085215</v>
      </c>
      <c r="CC17" s="60">
        <f t="shared" si="7"/>
        <v>6</v>
      </c>
      <c r="CD17" s="73" t="s">
        <v>100</v>
      </c>
      <c r="CE17" s="171">
        <v>0.35</v>
      </c>
      <c r="CF17" s="126"/>
      <c r="CG17" s="118">
        <f>CE17*CG16</f>
        <v>-291452.483</v>
      </c>
      <c r="CH17" s="60">
        <v>6</v>
      </c>
      <c r="CI17" s="119" t="s">
        <v>278</v>
      </c>
      <c r="CJ17" s="119"/>
      <c r="CK17" s="114">
        <v>1536540</v>
      </c>
      <c r="CL17" s="60">
        <f t="shared" si="8"/>
        <v>6</v>
      </c>
      <c r="CM17" s="73" t="s">
        <v>100</v>
      </c>
      <c r="CN17" s="171">
        <v>0.35</v>
      </c>
      <c r="CO17" s="126"/>
      <c r="CP17" s="118">
        <f>CN17*CP16</f>
        <v>-1101420.4215</v>
      </c>
      <c r="CQ17" s="60">
        <f>CQ16+1</f>
        <v>5</v>
      </c>
      <c r="CT17" s="89"/>
      <c r="CZ17" s="60">
        <f>+CZ16+1</f>
        <v>5</v>
      </c>
      <c r="DA17" s="73" t="s">
        <v>3</v>
      </c>
      <c r="DB17" s="134">
        <f>'[1]actual'!$I$11</f>
        <v>776106874.9399999</v>
      </c>
      <c r="DC17" s="134">
        <f aca="true" t="shared" si="19" ref="DC17:DH17">SUM(DC14:DC16)</f>
        <v>-159210441.43788671</v>
      </c>
      <c r="DD17" s="134">
        <f t="shared" si="19"/>
        <v>0</v>
      </c>
      <c r="DE17" s="134">
        <f t="shared" si="19"/>
        <v>0</v>
      </c>
      <c r="DF17" s="134">
        <f t="shared" si="19"/>
        <v>0</v>
      </c>
      <c r="DG17" s="134">
        <f t="shared" si="19"/>
        <v>0</v>
      </c>
      <c r="DH17" s="134">
        <f t="shared" si="19"/>
        <v>0</v>
      </c>
      <c r="DI17" s="60">
        <f>+DI16+1</f>
        <v>5</v>
      </c>
      <c r="DJ17" s="73" t="s">
        <v>3</v>
      </c>
      <c r="DK17" s="134">
        <f aca="true" t="shared" si="20" ref="DK17:DQ17">SUM(DK14:DK16)</f>
        <v>0</v>
      </c>
      <c r="DL17" s="134">
        <f t="shared" si="20"/>
        <v>0</v>
      </c>
      <c r="DM17" s="134">
        <f t="shared" si="20"/>
        <v>0</v>
      </c>
      <c r="DN17" s="134">
        <f t="shared" si="20"/>
        <v>0</v>
      </c>
      <c r="DO17" s="134">
        <f t="shared" si="20"/>
        <v>0</v>
      </c>
      <c r="DP17" s="134">
        <f t="shared" si="20"/>
        <v>0</v>
      </c>
      <c r="DQ17" s="134">
        <f t="shared" si="20"/>
        <v>0</v>
      </c>
      <c r="DR17" s="60">
        <f>+DR16+1</f>
        <v>5</v>
      </c>
      <c r="DS17" s="73" t="s">
        <v>3</v>
      </c>
      <c r="DT17" s="125">
        <f aca="true" t="shared" si="21" ref="DT17:DY17">SUM(DT14:DT16)</f>
        <v>0</v>
      </c>
      <c r="DU17" s="125">
        <f t="shared" si="21"/>
        <v>0</v>
      </c>
      <c r="DV17" s="125">
        <f t="shared" si="21"/>
        <v>0</v>
      </c>
      <c r="DW17" s="125">
        <f t="shared" si="21"/>
        <v>0</v>
      </c>
      <c r="DX17" s="125">
        <f t="shared" si="21"/>
        <v>0</v>
      </c>
      <c r="DY17" s="125">
        <f t="shared" si="21"/>
        <v>0</v>
      </c>
      <c r="DZ17" s="112">
        <f>SUM(DC17:DY17)-DR17-DI17</f>
        <v>-159210441.43788671</v>
      </c>
      <c r="EA17" s="112">
        <f>DB17+DZ17</f>
        <v>616896433.5021132</v>
      </c>
      <c r="EB17" s="60">
        <f>+EB16+1</f>
        <v>5</v>
      </c>
      <c r="EC17" s="73" t="s">
        <v>3</v>
      </c>
      <c r="ED17" s="90">
        <f>SUM(ED14:ED16)</f>
        <v>776106874.9399999</v>
      </c>
      <c r="EE17" s="90">
        <f>SUM(EE14:EE16)</f>
        <v>-159210441.43788671</v>
      </c>
      <c r="EF17" s="134">
        <f>SUM(EF14:EF16)</f>
        <v>616896433.5021132</v>
      </c>
      <c r="EG17" s="134">
        <f>+CT24</f>
        <v>35584003</v>
      </c>
      <c r="EH17" s="134">
        <f>SUM(EH14:EH16)</f>
        <v>652480436.5021132</v>
      </c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</row>
    <row r="18" spans="1:137" ht="12.75" customHeight="1">
      <c r="A18" s="79">
        <v>7</v>
      </c>
      <c r="G18" s="60">
        <v>7</v>
      </c>
      <c r="J18" s="8"/>
      <c r="K18" s="60">
        <v>7</v>
      </c>
      <c r="L18" s="1" t="s">
        <v>113</v>
      </c>
      <c r="M18" s="172">
        <v>0.35</v>
      </c>
      <c r="O18" s="102">
        <f>O16*M18</f>
        <v>0</v>
      </c>
      <c r="P18" s="60">
        <f t="shared" si="9"/>
        <v>7</v>
      </c>
      <c r="Q18" s="1" t="s">
        <v>115</v>
      </c>
      <c r="T18" s="173">
        <v>-696000</v>
      </c>
      <c r="U18" s="60">
        <v>7</v>
      </c>
      <c r="V18" s="65"/>
      <c r="W18" s="174"/>
      <c r="X18" s="108" t="s">
        <v>22</v>
      </c>
      <c r="Y18" s="60">
        <f t="shared" si="10"/>
        <v>7</v>
      </c>
      <c r="AA18" s="175">
        <f>-AC15</f>
        <v>-0.0022</v>
      </c>
      <c r="AC18" s="109"/>
      <c r="AD18" s="6"/>
      <c r="AE18" s="79">
        <f t="shared" si="1"/>
        <v>7</v>
      </c>
      <c r="AF18" s="1" t="s">
        <v>113</v>
      </c>
      <c r="AG18" s="140">
        <v>0.35</v>
      </c>
      <c r="AH18" s="150">
        <f>-AH16*AG18</f>
        <v>30536.051000000032</v>
      </c>
      <c r="AI18" s="68">
        <v>8</v>
      </c>
      <c r="AJ18" s="73" t="s">
        <v>307</v>
      </c>
      <c r="AK18" s="128">
        <v>-148801.02</v>
      </c>
      <c r="AL18" s="128">
        <v>0</v>
      </c>
      <c r="AM18" s="176">
        <f t="shared" si="2"/>
        <v>148801.02</v>
      </c>
      <c r="AN18" s="89"/>
      <c r="AO18" s="89"/>
      <c r="AP18" s="89"/>
      <c r="AQ18" s="89"/>
      <c r="AR18" s="89"/>
      <c r="AS18" s="60">
        <f t="shared" si="3"/>
        <v>7</v>
      </c>
      <c r="AV18" s="106"/>
      <c r="AW18" s="60">
        <v>7</v>
      </c>
      <c r="AX18" s="110" t="s">
        <v>229</v>
      </c>
      <c r="AY18" s="177">
        <v>-81812.22</v>
      </c>
      <c r="AZ18" s="88"/>
      <c r="BA18" s="60">
        <f t="shared" si="11"/>
        <v>7</v>
      </c>
      <c r="BD18" s="60">
        <f t="shared" si="4"/>
        <v>7</v>
      </c>
      <c r="BE18" s="73" t="s">
        <v>124</v>
      </c>
      <c r="BF18" s="73"/>
      <c r="BG18" s="73"/>
      <c r="BH18" s="93">
        <f>+'[6]O &amp; M Payroll'!$F$26</f>
        <v>4918763.60302</v>
      </c>
      <c r="BI18" s="93">
        <f t="shared" si="12"/>
        <v>4918763.60302</v>
      </c>
      <c r="BJ18" s="93">
        <f t="shared" si="5"/>
        <v>0</v>
      </c>
      <c r="BK18" s="60">
        <v>7</v>
      </c>
      <c r="BL18" s="99" t="s">
        <v>196</v>
      </c>
      <c r="BM18" s="126"/>
      <c r="BN18" s="130">
        <v>1917823.58</v>
      </c>
      <c r="BO18" s="60">
        <f t="shared" si="13"/>
        <v>7</v>
      </c>
      <c r="BP18" s="73" t="s">
        <v>141</v>
      </c>
      <c r="BQ18" s="95"/>
      <c r="BR18" s="89">
        <v>977935.26</v>
      </c>
      <c r="BS18" s="60">
        <f t="shared" si="6"/>
        <v>7</v>
      </c>
      <c r="BT18" s="1" t="s">
        <v>110</v>
      </c>
      <c r="BV18" s="116">
        <v>0</v>
      </c>
      <c r="BW18" s="60" t="s">
        <v>22</v>
      </c>
      <c r="BX18" s="73"/>
      <c r="BY18" s="73"/>
      <c r="CB18" s="133"/>
      <c r="CC18" s="60">
        <f t="shared" si="7"/>
        <v>7</v>
      </c>
      <c r="CD18" s="73" t="s">
        <v>114</v>
      </c>
      <c r="CG18" s="155">
        <f>CG16-CG17</f>
        <v>-541268.897</v>
      </c>
      <c r="CH18" s="60">
        <v>7</v>
      </c>
      <c r="CI18" s="178" t="s">
        <v>280</v>
      </c>
      <c r="CJ18" s="178"/>
      <c r="CK18" s="88">
        <f>CK16-CK17</f>
        <v>-51</v>
      </c>
      <c r="CL18" s="60">
        <f t="shared" si="8"/>
        <v>7</v>
      </c>
      <c r="CM18" s="73" t="s">
        <v>114</v>
      </c>
      <c r="CP18" s="155">
        <f>CP16-CP17</f>
        <v>-2045495.0685000003</v>
      </c>
      <c r="CQ18" s="60">
        <f t="shared" si="14"/>
        <v>6</v>
      </c>
      <c r="CR18" s="73" t="s">
        <v>176</v>
      </c>
      <c r="CT18" s="132">
        <f>EA43</f>
        <v>64008512.89743626</v>
      </c>
      <c r="CZ18" s="60">
        <f t="shared" si="15"/>
        <v>6</v>
      </c>
      <c r="DI18" s="60">
        <f t="shared" si="16"/>
        <v>6</v>
      </c>
      <c r="DN18" s="179"/>
      <c r="DO18" s="179"/>
      <c r="DP18" s="179"/>
      <c r="DQ18" s="179"/>
      <c r="DR18" s="60">
        <f t="shared" si="17"/>
        <v>6</v>
      </c>
      <c r="DT18" s="179"/>
      <c r="DU18" s="179"/>
      <c r="DV18" s="179"/>
      <c r="DW18" s="179"/>
      <c r="DX18" s="179"/>
      <c r="DY18" s="179"/>
      <c r="DZ18" s="89"/>
      <c r="EA18" s="89"/>
      <c r="EB18" s="60">
        <f t="shared" si="18"/>
        <v>6</v>
      </c>
      <c r="EG18" s="1" t="s">
        <v>22</v>
      </c>
    </row>
    <row r="19" spans="1:207" ht="12.75" customHeight="1">
      <c r="A19" s="79">
        <v>8</v>
      </c>
      <c r="B19" s="1" t="s">
        <v>88</v>
      </c>
      <c r="D19" s="8"/>
      <c r="E19" s="8"/>
      <c r="F19" s="90">
        <f>SUM(F13:F17)</f>
        <v>-159210441.43788671</v>
      </c>
      <c r="G19" s="60">
        <v>8</v>
      </c>
      <c r="H19" s="81" t="s">
        <v>53</v>
      </c>
      <c r="K19" s="60">
        <v>8</v>
      </c>
      <c r="L19" s="1" t="s">
        <v>114</v>
      </c>
      <c r="O19" s="155">
        <f>O16-O18</f>
        <v>0</v>
      </c>
      <c r="P19" s="60">
        <f t="shared" si="9"/>
        <v>8</v>
      </c>
      <c r="Q19" s="1" t="s">
        <v>119</v>
      </c>
      <c r="T19" s="84">
        <f>SUM(T15:T18)</f>
        <v>9184500</v>
      </c>
      <c r="U19" s="60">
        <v>8</v>
      </c>
      <c r="V19" s="180" t="s">
        <v>84</v>
      </c>
      <c r="W19" s="174"/>
      <c r="X19" s="108" t="s">
        <v>22</v>
      </c>
      <c r="Y19" s="60">
        <f>+Y18+1</f>
        <v>8</v>
      </c>
      <c r="AD19" s="6"/>
      <c r="AE19" s="79">
        <f>1+AE18</f>
        <v>8</v>
      </c>
      <c r="AH19" s="8"/>
      <c r="AI19" s="68">
        <v>9</v>
      </c>
      <c r="AN19" s="7"/>
      <c r="AO19" s="7"/>
      <c r="AP19" s="7"/>
      <c r="AQ19" s="7"/>
      <c r="AR19" s="7"/>
      <c r="AS19" s="60">
        <f t="shared" si="3"/>
        <v>8</v>
      </c>
      <c r="AT19" s="73" t="s">
        <v>102</v>
      </c>
      <c r="AU19" s="126">
        <v>0.35</v>
      </c>
      <c r="AV19" s="173">
        <f>AV17*AU19</f>
        <v>-16452.45</v>
      </c>
      <c r="AW19" s="60">
        <v>8</v>
      </c>
      <c r="AX19" s="1" t="s">
        <v>230</v>
      </c>
      <c r="AY19" s="181">
        <v>0</v>
      </c>
      <c r="AZ19" s="123"/>
      <c r="BA19" s="60">
        <f>+BA18+1</f>
        <v>8</v>
      </c>
      <c r="BB19" s="146" t="s">
        <v>114</v>
      </c>
      <c r="BC19" s="145">
        <f>-BC15-BC17</f>
        <v>24460.006999999998</v>
      </c>
      <c r="BD19" s="60">
        <f>BD18+1</f>
        <v>8</v>
      </c>
      <c r="BE19" s="73" t="s">
        <v>129</v>
      </c>
      <c r="BF19" s="73"/>
      <c r="BG19" s="73"/>
      <c r="BH19" s="93">
        <f>+'[6]O &amp; M Payroll'!$F$27</f>
        <v>479821.23946</v>
      </c>
      <c r="BI19" s="93">
        <f t="shared" si="12"/>
        <v>479821.23946</v>
      </c>
      <c r="BJ19" s="93">
        <f t="shared" si="5"/>
        <v>0</v>
      </c>
      <c r="BK19" s="60">
        <v>8</v>
      </c>
      <c r="BL19" s="73" t="s">
        <v>109</v>
      </c>
      <c r="BM19" s="60"/>
      <c r="BN19" s="128">
        <f>BN18-BN17</f>
        <v>-0.2789000002667308</v>
      </c>
      <c r="BO19" s="60">
        <f>BO18+1</f>
        <v>8</v>
      </c>
      <c r="BP19" s="1" t="s">
        <v>144</v>
      </c>
      <c r="BQ19" s="182">
        <f>+'[6]Average Increase'!$D$15</f>
        <v>0.0815</v>
      </c>
      <c r="BR19" s="132">
        <f>+BR18*BQ19</f>
        <v>79701.72369</v>
      </c>
      <c r="BS19" s="60">
        <f>BS18+1</f>
        <v>8</v>
      </c>
      <c r="BT19" s="73" t="s">
        <v>90</v>
      </c>
      <c r="BV19" s="133">
        <f>+BV17-BV18</f>
        <v>600922.2333333333</v>
      </c>
      <c r="BW19" s="60" t="s">
        <v>22</v>
      </c>
      <c r="CH19" s="60">
        <v>8</v>
      </c>
      <c r="CI19" s="148"/>
      <c r="CJ19" s="148"/>
      <c r="CQ19" s="60">
        <f>CQ18+1</f>
        <v>7</v>
      </c>
      <c r="CR19" s="73" t="s">
        <v>265</v>
      </c>
      <c r="CT19" s="89">
        <f>+CT16-CT18</f>
        <v>21289521.04640311</v>
      </c>
      <c r="CZ19" s="60">
        <f>+CZ18+1</f>
        <v>7</v>
      </c>
      <c r="DB19" s="93"/>
      <c r="DC19" s="167"/>
      <c r="DD19" s="167" t="s">
        <v>22</v>
      </c>
      <c r="DF19" s="167" t="s">
        <v>22</v>
      </c>
      <c r="DG19" s="167" t="s">
        <v>22</v>
      </c>
      <c r="DH19" s="167" t="s">
        <v>22</v>
      </c>
      <c r="DI19" s="60">
        <f>+DI18+1</f>
        <v>7</v>
      </c>
      <c r="DK19" s="183" t="s">
        <v>22</v>
      </c>
      <c r="DL19" s="167"/>
      <c r="DM19" s="167"/>
      <c r="DN19" s="167" t="s">
        <v>22</v>
      </c>
      <c r="DO19" s="167" t="s">
        <v>22</v>
      </c>
      <c r="DP19" s="167" t="s">
        <v>22</v>
      </c>
      <c r="DQ19" s="167" t="s">
        <v>22</v>
      </c>
      <c r="DR19" s="60">
        <f>+DR18+1</f>
        <v>7</v>
      </c>
      <c r="DT19" s="184" t="s">
        <v>22</v>
      </c>
      <c r="DZ19" s="89"/>
      <c r="EA19" s="89"/>
      <c r="EB19" s="60">
        <f>+EB18+1</f>
        <v>7</v>
      </c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</row>
    <row r="20" spans="1:207" ht="12.75" customHeight="1">
      <c r="A20" s="79">
        <v>9</v>
      </c>
      <c r="B20" s="101" t="s">
        <v>118</v>
      </c>
      <c r="C20" s="102"/>
      <c r="D20" s="150"/>
      <c r="E20" s="162"/>
      <c r="F20" s="150"/>
      <c r="G20" s="60">
        <v>9</v>
      </c>
      <c r="H20" s="104" t="s">
        <v>214</v>
      </c>
      <c r="I20" s="185"/>
      <c r="J20" s="173">
        <v>-63685</v>
      </c>
      <c r="K20" s="60"/>
      <c r="P20" s="60">
        <f t="shared" si="0"/>
        <v>9</v>
      </c>
      <c r="U20" s="60">
        <v>9</v>
      </c>
      <c r="V20" s="1" t="s">
        <v>220</v>
      </c>
      <c r="W20" s="186">
        <v>49692799.36</v>
      </c>
      <c r="X20" s="108"/>
      <c r="Y20" s="60">
        <f t="shared" si="10"/>
        <v>9</v>
      </c>
      <c r="Z20" s="1" t="s">
        <v>131</v>
      </c>
      <c r="AA20" s="121">
        <f>AA17+AA18</f>
        <v>0.9978</v>
      </c>
      <c r="AB20" s="175">
        <v>0.03852</v>
      </c>
      <c r="AC20" s="175">
        <f>AA20*AB20</f>
        <v>0.038435256</v>
      </c>
      <c r="AD20" s="6">
        <f>-$AD$12*AC20</f>
        <v>-153741.024</v>
      </c>
      <c r="AE20" s="79">
        <f t="shared" si="1"/>
        <v>9</v>
      </c>
      <c r="AF20" s="1" t="s">
        <v>114</v>
      </c>
      <c r="AH20" s="155">
        <f>-AH16-AH18</f>
        <v>56709.80900000007</v>
      </c>
      <c r="AI20" s="68">
        <v>10</v>
      </c>
      <c r="AJ20" s="80" t="s">
        <v>53</v>
      </c>
      <c r="AK20" s="187" t="s">
        <v>55</v>
      </c>
      <c r="AL20" s="188" t="s">
        <v>53</v>
      </c>
      <c r="AS20" s="60">
        <f t="shared" si="3"/>
        <v>9</v>
      </c>
      <c r="AT20" s="73" t="s">
        <v>107</v>
      </c>
      <c r="AV20" s="155">
        <f>+AV17-AV19</f>
        <v>-30554.55</v>
      </c>
      <c r="AW20" s="60">
        <v>9</v>
      </c>
      <c r="AX20" s="1" t="s">
        <v>90</v>
      </c>
      <c r="AY20" s="189">
        <f>AY19-AY18</f>
        <v>81812.22</v>
      </c>
      <c r="BA20" s="60">
        <f t="shared" si="11"/>
        <v>9</v>
      </c>
      <c r="BD20" s="60">
        <f t="shared" si="4"/>
        <v>9</v>
      </c>
      <c r="BE20" s="73" t="s">
        <v>73</v>
      </c>
      <c r="BF20" s="73"/>
      <c r="BG20" s="73"/>
      <c r="BH20" s="93">
        <f>+'[6]O &amp; M Payroll'!$F$28</f>
        <v>400464.23727999994</v>
      </c>
      <c r="BI20" s="93">
        <f t="shared" si="12"/>
        <v>400464.23727999994</v>
      </c>
      <c r="BJ20" s="93">
        <f t="shared" si="5"/>
        <v>0</v>
      </c>
      <c r="BK20" s="60">
        <v>9</v>
      </c>
      <c r="BM20" s="60"/>
      <c r="BN20" s="8"/>
      <c r="BO20" s="60">
        <f t="shared" si="13"/>
        <v>9</v>
      </c>
      <c r="BP20" s="146" t="s">
        <v>147</v>
      </c>
      <c r="BQ20" s="146"/>
      <c r="BR20" s="147">
        <f>SUM(BR18:BR19)</f>
        <v>1057636.98369</v>
      </c>
      <c r="BS20" s="60">
        <f t="shared" si="6"/>
        <v>9</v>
      </c>
      <c r="BV20" s="116"/>
      <c r="BW20" s="60" t="s">
        <v>22</v>
      </c>
      <c r="CH20" s="60">
        <v>9</v>
      </c>
      <c r="CI20" s="148" t="s">
        <v>109</v>
      </c>
      <c r="CJ20" s="148"/>
      <c r="CK20" s="112">
        <f>-(CK14+CK18)</f>
        <v>-1191415.7800000012</v>
      </c>
      <c r="CL20" s="112"/>
      <c r="CM20" s="112"/>
      <c r="CN20" s="112"/>
      <c r="CO20" s="112"/>
      <c r="CP20" s="112"/>
      <c r="CQ20" s="60">
        <f t="shared" si="14"/>
        <v>8</v>
      </c>
      <c r="CT20" s="89"/>
      <c r="CZ20" s="60">
        <f t="shared" si="15"/>
        <v>8</v>
      </c>
      <c r="DA20" s="73" t="s">
        <v>4</v>
      </c>
      <c r="DB20" s="93"/>
      <c r="DC20" s="89"/>
      <c r="DD20" s="89"/>
      <c r="DF20" s="89"/>
      <c r="DG20" s="89"/>
      <c r="DH20" s="89"/>
      <c r="DI20" s="60">
        <f t="shared" si="16"/>
        <v>8</v>
      </c>
      <c r="DJ20" s="73" t="s">
        <v>4</v>
      </c>
      <c r="DK20" s="93"/>
      <c r="DL20" s="89"/>
      <c r="DM20" s="89"/>
      <c r="DN20" s="89"/>
      <c r="DO20" s="89"/>
      <c r="DP20" s="89"/>
      <c r="DQ20" s="89"/>
      <c r="DR20" s="60">
        <f t="shared" si="17"/>
        <v>8</v>
      </c>
      <c r="DS20" s="73" t="s">
        <v>4</v>
      </c>
      <c r="DT20" s="7"/>
      <c r="DZ20" s="89"/>
      <c r="EA20" s="89"/>
      <c r="EB20" s="60">
        <f t="shared" si="18"/>
        <v>8</v>
      </c>
      <c r="EC20" s="110" t="s">
        <v>4</v>
      </c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</row>
    <row r="21" spans="1:207" ht="12.75" customHeight="1">
      <c r="A21" s="79">
        <v>10</v>
      </c>
      <c r="B21" s="101" t="s">
        <v>122</v>
      </c>
      <c r="C21" s="102"/>
      <c r="D21" s="103">
        <f>DB24</f>
        <v>499332790.96</v>
      </c>
      <c r="E21" s="103">
        <v>357453453</v>
      </c>
      <c r="F21" s="90">
        <f>E21-D21</f>
        <v>-141879337.95999998</v>
      </c>
      <c r="G21" s="60">
        <v>10</v>
      </c>
      <c r="H21" s="3" t="s">
        <v>89</v>
      </c>
      <c r="I21" s="185"/>
      <c r="J21" s="190">
        <f>J17-J20</f>
        <v>-1950127</v>
      </c>
      <c r="K21" s="191"/>
      <c r="L21" s="5"/>
      <c r="P21" s="60">
        <f t="shared" si="0"/>
        <v>10</v>
      </c>
      <c r="Q21" s="1" t="s">
        <v>128</v>
      </c>
      <c r="T21" s="106"/>
      <c r="U21" s="60">
        <v>10</v>
      </c>
      <c r="V21" s="1" t="s">
        <v>221</v>
      </c>
      <c r="W21" s="165"/>
      <c r="X21" s="108" t="s">
        <v>22</v>
      </c>
      <c r="Y21" s="60">
        <f t="shared" si="10"/>
        <v>10</v>
      </c>
      <c r="Z21" s="1" t="s">
        <v>135</v>
      </c>
      <c r="AC21" s="175">
        <v>0.03692</v>
      </c>
      <c r="AD21" s="6">
        <f>-$AD$12*AC21</f>
        <v>-147680</v>
      </c>
      <c r="AE21" s="79"/>
      <c r="AI21" s="68">
        <v>11</v>
      </c>
      <c r="AJ21" s="1" t="s">
        <v>243</v>
      </c>
      <c r="AK21" s="8">
        <v>720138.89</v>
      </c>
      <c r="AL21" s="8">
        <v>980319</v>
      </c>
      <c r="AM21" s="128">
        <f aca="true" t="shared" si="22" ref="AM21:AM27">AL21-AK21</f>
        <v>260180.11</v>
      </c>
      <c r="AN21" s="89"/>
      <c r="AV21" s="5"/>
      <c r="AW21" s="60">
        <v>10</v>
      </c>
      <c r="AX21" s="104" t="s">
        <v>190</v>
      </c>
      <c r="AY21" s="189"/>
      <c r="AZ21" s="123">
        <f>-AY20</f>
        <v>-81812.22</v>
      </c>
      <c r="BA21" s="60">
        <f t="shared" si="11"/>
        <v>10</v>
      </c>
      <c r="BB21" s="146"/>
      <c r="BC21" s="146"/>
      <c r="BD21" s="60">
        <f t="shared" si="4"/>
        <v>10</v>
      </c>
      <c r="BE21" s="73" t="s">
        <v>133</v>
      </c>
      <c r="BF21" s="73"/>
      <c r="BG21" s="73"/>
      <c r="BH21" s="192">
        <f>+'[6]O &amp; M Payroll'!$F$29</f>
        <v>12274998.662899999</v>
      </c>
      <c r="BI21" s="192">
        <f t="shared" si="12"/>
        <v>12274998.662899999</v>
      </c>
      <c r="BJ21" s="192">
        <f t="shared" si="5"/>
        <v>0</v>
      </c>
      <c r="BK21" s="60">
        <v>10</v>
      </c>
      <c r="BL21" s="73" t="s">
        <v>102</v>
      </c>
      <c r="BM21" s="126">
        <v>0.35</v>
      </c>
      <c r="BN21" s="118">
        <f>BN19*BM21</f>
        <v>-0.09761500009335577</v>
      </c>
      <c r="BO21" s="60">
        <f t="shared" si="13"/>
        <v>10</v>
      </c>
      <c r="BS21" s="60">
        <f t="shared" si="6"/>
        <v>10</v>
      </c>
      <c r="BT21" s="73" t="s">
        <v>102</v>
      </c>
      <c r="BU21" s="126">
        <v>0.35</v>
      </c>
      <c r="BV21" s="117">
        <f>-ROUND(+BV19*BU21,0)</f>
        <v>-210323</v>
      </c>
      <c r="BW21" s="60" t="s">
        <v>22</v>
      </c>
      <c r="CH21" s="60">
        <v>10</v>
      </c>
      <c r="CI21" s="148"/>
      <c r="CJ21" s="148"/>
      <c r="CQ21" s="60">
        <f t="shared" si="14"/>
        <v>9</v>
      </c>
      <c r="CR21" s="1" t="s">
        <v>36</v>
      </c>
      <c r="CT21" s="193">
        <f>+AC29</f>
        <v>0.5982891</v>
      </c>
      <c r="CZ21" s="60">
        <f t="shared" si="15"/>
        <v>9</v>
      </c>
      <c r="DI21" s="60">
        <f t="shared" si="16"/>
        <v>9</v>
      </c>
      <c r="DR21" s="60">
        <f t="shared" si="17"/>
        <v>9</v>
      </c>
      <c r="DT21" s="5"/>
      <c r="DZ21" s="89"/>
      <c r="EA21" s="89"/>
      <c r="EB21" s="60">
        <f t="shared" si="18"/>
        <v>9</v>
      </c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</row>
    <row r="22" spans="1:207" ht="12.75" customHeight="1">
      <c r="A22" s="79">
        <v>11</v>
      </c>
      <c r="B22" s="101" t="s">
        <v>127</v>
      </c>
      <c r="C22" s="166">
        <f>AC15</f>
        <v>0.0022</v>
      </c>
      <c r="D22" s="150"/>
      <c r="E22" s="162"/>
      <c r="F22" s="150">
        <f>F19*C22</f>
        <v>-350262.9711633508</v>
      </c>
      <c r="G22" s="60">
        <v>11</v>
      </c>
      <c r="H22" s="3"/>
      <c r="I22" s="194"/>
      <c r="J22" s="194"/>
      <c r="K22" s="191"/>
      <c r="L22" s="5"/>
      <c r="P22" s="60">
        <f t="shared" si="0"/>
        <v>11</v>
      </c>
      <c r="Q22" s="73" t="s">
        <v>132</v>
      </c>
      <c r="R22" s="179"/>
      <c r="S22" s="93"/>
      <c r="T22" s="90">
        <v>6576889</v>
      </c>
      <c r="U22" s="60">
        <v>11</v>
      </c>
      <c r="V22" s="1" t="s">
        <v>222</v>
      </c>
      <c r="W22" s="195">
        <v>741953.08</v>
      </c>
      <c r="X22" s="108"/>
      <c r="Y22" s="60">
        <f t="shared" si="10"/>
        <v>11</v>
      </c>
      <c r="Z22" s="1" t="s">
        <v>138</v>
      </c>
      <c r="AC22" s="175">
        <v>0.002</v>
      </c>
      <c r="AD22" s="6">
        <f>-$AD$12*AC22</f>
        <v>-8000</v>
      </c>
      <c r="AE22" s="79"/>
      <c r="AI22" s="68">
        <v>12</v>
      </c>
      <c r="AJ22" s="1" t="s">
        <v>283</v>
      </c>
      <c r="AK22" s="8">
        <v>120597</v>
      </c>
      <c r="AL22" s="8">
        <v>0</v>
      </c>
      <c r="AM22" s="128">
        <f t="shared" si="22"/>
        <v>-120597</v>
      </c>
      <c r="AN22" s="7"/>
      <c r="AV22" s="5"/>
      <c r="AW22" s="60">
        <v>11</v>
      </c>
      <c r="BA22" s="60">
        <f t="shared" si="11"/>
        <v>11</v>
      </c>
      <c r="BB22" s="196" t="s">
        <v>172</v>
      </c>
      <c r="BC22" s="7"/>
      <c r="BD22" s="60">
        <f t="shared" si="4"/>
        <v>11</v>
      </c>
      <c r="BE22" s="73" t="s">
        <v>136</v>
      </c>
      <c r="BF22" s="73"/>
      <c r="BG22" s="73"/>
      <c r="BH22" s="93">
        <f>SUM(BH12:BH21)</f>
        <v>30177834.582659997</v>
      </c>
      <c r="BI22" s="93">
        <f>SUM(BI12:BI21)</f>
        <v>30177834.582659997</v>
      </c>
      <c r="BJ22" s="93">
        <f>SUM(BJ12:BJ21)</f>
        <v>0</v>
      </c>
      <c r="BK22" s="60">
        <v>11</v>
      </c>
      <c r="BN22" s="8"/>
      <c r="BO22" s="60">
        <f t="shared" si="13"/>
        <v>11</v>
      </c>
      <c r="BP22" s="197" t="s">
        <v>56</v>
      </c>
      <c r="BQ22" s="198"/>
      <c r="BR22" s="199"/>
      <c r="BS22" s="60" t="s">
        <v>22</v>
      </c>
      <c r="BT22" s="73" t="s">
        <v>107</v>
      </c>
      <c r="BV22" s="170">
        <f>-BV19-BV21</f>
        <v>-390599.2333333333</v>
      </c>
      <c r="BW22" s="60" t="s">
        <v>22</v>
      </c>
      <c r="CH22" s="60">
        <v>11</v>
      </c>
      <c r="CI22" s="148" t="s">
        <v>123</v>
      </c>
      <c r="CJ22" s="200">
        <v>0.35</v>
      </c>
      <c r="CK22" s="201">
        <f>CK20*CJ22</f>
        <v>-416995.5230000004</v>
      </c>
      <c r="CL22" s="201"/>
      <c r="CM22" s="201"/>
      <c r="CN22" s="201"/>
      <c r="CO22" s="201"/>
      <c r="CP22" s="201"/>
      <c r="CQ22" s="60">
        <f t="shared" si="14"/>
        <v>10</v>
      </c>
      <c r="CR22" s="1" t="s">
        <v>266</v>
      </c>
      <c r="CS22" s="202"/>
      <c r="CT22" s="7">
        <f>ROUND(+CT19/CT21,0)</f>
        <v>35584003</v>
      </c>
      <c r="CZ22" s="60">
        <f t="shared" si="15"/>
        <v>10</v>
      </c>
      <c r="DA22" s="73" t="s">
        <v>309</v>
      </c>
      <c r="DB22" s="84"/>
      <c r="DC22" s="90"/>
      <c r="DD22" s="90"/>
      <c r="DE22" s="90"/>
      <c r="DF22" s="90"/>
      <c r="DG22" s="90"/>
      <c r="DH22" s="90"/>
      <c r="DI22" s="60">
        <f t="shared" si="16"/>
        <v>10</v>
      </c>
      <c r="DJ22" s="73" t="s">
        <v>309</v>
      </c>
      <c r="DK22" s="93"/>
      <c r="DL22" s="89"/>
      <c r="DM22" s="89"/>
      <c r="DN22" s="89"/>
      <c r="DO22" s="89"/>
      <c r="DP22" s="89"/>
      <c r="DQ22" s="89"/>
      <c r="DR22" s="60">
        <f t="shared" si="17"/>
        <v>10</v>
      </c>
      <c r="DS22" s="73" t="s">
        <v>309</v>
      </c>
      <c r="DT22" s="7"/>
      <c r="DZ22" s="89"/>
      <c r="EA22" s="89"/>
      <c r="EB22" s="60">
        <f t="shared" si="18"/>
        <v>10</v>
      </c>
      <c r="EC22" s="73" t="s">
        <v>309</v>
      </c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</row>
    <row r="23" spans="1:207" ht="12.75" customHeight="1">
      <c r="A23" s="79">
        <v>12</v>
      </c>
      <c r="B23" s="101"/>
      <c r="C23" s="102"/>
      <c r="D23" s="150"/>
      <c r="E23" s="162"/>
      <c r="F23" s="150"/>
      <c r="G23" s="60">
        <v>12</v>
      </c>
      <c r="H23" s="99" t="s">
        <v>268</v>
      </c>
      <c r="I23" s="140">
        <v>0.5</v>
      </c>
      <c r="J23" s="162">
        <f>ROUND((0.5*J21),0)</f>
        <v>-975064</v>
      </c>
      <c r="K23" s="5"/>
      <c r="L23" s="5"/>
      <c r="P23" s="60">
        <f t="shared" si="0"/>
        <v>12</v>
      </c>
      <c r="Q23" s="73" t="s">
        <v>103</v>
      </c>
      <c r="R23" s="179"/>
      <c r="S23" s="93"/>
      <c r="T23" s="150">
        <v>25839000</v>
      </c>
      <c r="U23" s="60">
        <v>12</v>
      </c>
      <c r="V23" s="1" t="s">
        <v>223</v>
      </c>
      <c r="W23" s="203">
        <v>1748866.76</v>
      </c>
      <c r="Y23" s="60">
        <f t="shared" si="10"/>
        <v>12</v>
      </c>
      <c r="Z23" s="1" t="s">
        <v>142</v>
      </c>
      <c r="AC23" s="175"/>
      <c r="AD23" s="6">
        <f>+$AD$12*AC23</f>
        <v>0</v>
      </c>
      <c r="AE23" s="79"/>
      <c r="AI23" s="68">
        <v>13</v>
      </c>
      <c r="AJ23" s="1" t="s">
        <v>305</v>
      </c>
      <c r="AK23" s="8">
        <v>0</v>
      </c>
      <c r="AL23" s="8">
        <v>204809</v>
      </c>
      <c r="AM23" s="128">
        <f t="shared" si="22"/>
        <v>204809</v>
      </c>
      <c r="AN23" s="7"/>
      <c r="AW23" s="60">
        <v>12</v>
      </c>
      <c r="AX23" s="80" t="s">
        <v>53</v>
      </c>
      <c r="BA23" s="60">
        <f t="shared" si="11"/>
        <v>12</v>
      </c>
      <c r="BB23" s="73" t="s">
        <v>227</v>
      </c>
      <c r="BC23" s="92">
        <v>1238080.3</v>
      </c>
      <c r="BD23" s="60">
        <f t="shared" si="4"/>
        <v>12</v>
      </c>
      <c r="BH23" s="93"/>
      <c r="BI23" s="93"/>
      <c r="BJ23" s="93"/>
      <c r="BK23" s="60">
        <v>12</v>
      </c>
      <c r="BL23" s="73" t="s">
        <v>107</v>
      </c>
      <c r="BN23" s="204">
        <f>BN19-BN21</f>
        <v>-0.181285000173375</v>
      </c>
      <c r="BO23" s="60">
        <f t="shared" si="13"/>
        <v>12</v>
      </c>
      <c r="BP23" s="2" t="s">
        <v>315</v>
      </c>
      <c r="BQ23" s="60"/>
      <c r="BR23" s="89">
        <f>+BR15+BR20</f>
        <v>2442753.374202</v>
      </c>
      <c r="BS23" s="60" t="s">
        <v>22</v>
      </c>
      <c r="BW23" s="60" t="s">
        <v>22</v>
      </c>
      <c r="CH23" s="60">
        <v>12</v>
      </c>
      <c r="CI23" s="148" t="s">
        <v>107</v>
      </c>
      <c r="CJ23" s="148"/>
      <c r="CK23" s="204">
        <f>CK20-CK22</f>
        <v>-774420.2570000008</v>
      </c>
      <c r="CL23" s="111"/>
      <c r="CM23" s="111"/>
      <c r="CN23" s="111"/>
      <c r="CO23" s="111"/>
      <c r="CP23" s="111"/>
      <c r="CQ23" s="60"/>
      <c r="CR23" s="1" t="s">
        <v>322</v>
      </c>
      <c r="CT23" s="115" t="s">
        <v>22</v>
      </c>
      <c r="CZ23" s="60">
        <f t="shared" si="15"/>
        <v>11</v>
      </c>
      <c r="DA23" s="73"/>
      <c r="DB23" s="205"/>
      <c r="DC23" s="206"/>
      <c r="DD23" s="206"/>
      <c r="DE23" s="206"/>
      <c r="DF23" s="206"/>
      <c r="DG23" s="206"/>
      <c r="DH23" s="206"/>
      <c r="DI23" s="60">
        <f t="shared" si="16"/>
        <v>11</v>
      </c>
      <c r="DJ23" s="73"/>
      <c r="DK23" s="206"/>
      <c r="DL23" s="206"/>
      <c r="DM23" s="206"/>
      <c r="DN23" s="206"/>
      <c r="DO23" s="206"/>
      <c r="DP23" s="206"/>
      <c r="DQ23" s="206"/>
      <c r="DR23" s="60">
        <f t="shared" si="17"/>
        <v>11</v>
      </c>
      <c r="DS23" s="73"/>
      <c r="DT23" s="111"/>
      <c r="DU23" s="112"/>
      <c r="DV23" s="112"/>
      <c r="DW23" s="112"/>
      <c r="DX23" s="112"/>
      <c r="DY23" s="112"/>
      <c r="DZ23" s="112"/>
      <c r="EA23" s="112"/>
      <c r="EB23" s="60">
        <f t="shared" si="18"/>
        <v>11</v>
      </c>
      <c r="EC23" s="73"/>
      <c r="ED23" s="206"/>
      <c r="EE23" s="206"/>
      <c r="EF23" s="207"/>
      <c r="EG23" s="207"/>
      <c r="EH23" s="207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</row>
    <row r="24" spans="1:207" ht="12.75" customHeight="1">
      <c r="A24" s="79">
        <v>13</v>
      </c>
      <c r="B24" s="101" t="s">
        <v>71</v>
      </c>
      <c r="C24" s="102"/>
      <c r="D24" s="150"/>
      <c r="E24" s="162"/>
      <c r="F24" s="150"/>
      <c r="G24" s="60">
        <v>13</v>
      </c>
      <c r="H24" s="73"/>
      <c r="I24" s="73"/>
      <c r="K24" s="191"/>
      <c r="L24" s="5"/>
      <c r="P24" s="60">
        <f t="shared" si="0"/>
        <v>13</v>
      </c>
      <c r="Q24" s="1" t="s">
        <v>108</v>
      </c>
      <c r="R24" s="179"/>
      <c r="S24" s="93"/>
      <c r="T24" s="150">
        <v>-22872000</v>
      </c>
      <c r="U24" s="60">
        <v>13</v>
      </c>
      <c r="V24" s="146" t="s">
        <v>224</v>
      </c>
      <c r="W24" s="208"/>
      <c r="X24" s="209">
        <f>SUM(W20:W23)</f>
        <v>52183619.199999996</v>
      </c>
      <c r="Y24" s="60">
        <f t="shared" si="10"/>
        <v>13</v>
      </c>
      <c r="Z24" s="1" t="s">
        <v>145</v>
      </c>
      <c r="AA24" s="121">
        <f>AC12-AC15-AC20-AC21-AC22</f>
        <v>0.9204447440000001</v>
      </c>
      <c r="AB24" s="166">
        <v>0.35</v>
      </c>
      <c r="AC24" s="166">
        <f>AA24*AB24</f>
        <v>0.3221556604</v>
      </c>
      <c r="AD24" s="6">
        <f>+$AD$12*(-AA24+AC24)</f>
        <v>-2393156.3344000005</v>
      </c>
      <c r="AE24" s="79"/>
      <c r="AI24" s="68">
        <v>14</v>
      </c>
      <c r="AJ24" s="1" t="s">
        <v>306</v>
      </c>
      <c r="AK24" s="8">
        <v>2250347.08</v>
      </c>
      <c r="AL24" s="8">
        <v>2250347</v>
      </c>
      <c r="AM24" s="128">
        <f t="shared" si="22"/>
        <v>-0.0800000000745058</v>
      </c>
      <c r="AW24" s="60">
        <v>13</v>
      </c>
      <c r="AX24" s="210" t="s">
        <v>186</v>
      </c>
      <c r="AY24" s="189"/>
      <c r="BA24" s="60">
        <f t="shared" si="11"/>
        <v>13</v>
      </c>
      <c r="BB24" s="73" t="s">
        <v>233</v>
      </c>
      <c r="BC24" s="116">
        <v>190855.58</v>
      </c>
      <c r="BD24" s="60">
        <f t="shared" si="4"/>
        <v>13</v>
      </c>
      <c r="BE24" s="73" t="s">
        <v>143</v>
      </c>
      <c r="BF24" s="73"/>
      <c r="BG24" s="73"/>
      <c r="BH24" s="93"/>
      <c r="BI24" s="93"/>
      <c r="BJ24" s="93"/>
      <c r="BO24" s="60">
        <f t="shared" si="13"/>
        <v>13</v>
      </c>
      <c r="BP24" s="2" t="s">
        <v>208</v>
      </c>
      <c r="BQ24" s="131">
        <v>0.5438</v>
      </c>
      <c r="BR24" s="89">
        <f>+BR23*BQ24-1328369+1230656.5</f>
        <v>1230656.7848910475</v>
      </c>
      <c r="CQ24" s="60"/>
      <c r="CR24" s="199"/>
      <c r="CS24" s="199"/>
      <c r="CT24" s="211">
        <f>SUM(CT22:CT23)</f>
        <v>35584003</v>
      </c>
      <c r="CZ24" s="60">
        <f t="shared" si="15"/>
        <v>12</v>
      </c>
      <c r="DA24" s="73" t="s">
        <v>310</v>
      </c>
      <c r="DB24" s="84">
        <f>'[1]actual'!$I$17</f>
        <v>499332790.96</v>
      </c>
      <c r="DC24" s="90">
        <f>F21</f>
        <v>-141879337.95999998</v>
      </c>
      <c r="DD24" s="90">
        <v>0</v>
      </c>
      <c r="DE24" s="90">
        <v>0</v>
      </c>
      <c r="DF24" s="90">
        <v>0</v>
      </c>
      <c r="DG24" s="90">
        <v>0</v>
      </c>
      <c r="DH24" s="90">
        <v>0</v>
      </c>
      <c r="DI24" s="60">
        <f t="shared" si="16"/>
        <v>12</v>
      </c>
      <c r="DJ24" s="73" t="s">
        <v>310</v>
      </c>
      <c r="DK24" s="90">
        <v>0</v>
      </c>
      <c r="DL24" s="90">
        <v>0</v>
      </c>
      <c r="DM24" s="90">
        <v>0</v>
      </c>
      <c r="DN24" s="90">
        <v>0</v>
      </c>
      <c r="DO24" s="90">
        <v>0</v>
      </c>
      <c r="DP24" s="90">
        <v>0</v>
      </c>
      <c r="DQ24" s="90">
        <v>0</v>
      </c>
      <c r="DR24" s="60">
        <f t="shared" si="17"/>
        <v>12</v>
      </c>
      <c r="DS24" s="73" t="s">
        <v>310</v>
      </c>
      <c r="DT24" s="111">
        <v>0</v>
      </c>
      <c r="DU24" s="112">
        <v>0</v>
      </c>
      <c r="DV24" s="112">
        <v>0</v>
      </c>
      <c r="DW24" s="112">
        <v>0</v>
      </c>
      <c r="DX24" s="112">
        <v>0</v>
      </c>
      <c r="DY24" s="112">
        <v>0</v>
      </c>
      <c r="DZ24" s="112">
        <f>SUM(DC24:DY24)-DR24-DI24</f>
        <v>-141879337.95999998</v>
      </c>
      <c r="EA24" s="112">
        <f>DB24+DZ24</f>
        <v>357453453</v>
      </c>
      <c r="EB24" s="60">
        <f t="shared" si="18"/>
        <v>12</v>
      </c>
      <c r="EC24" s="73" t="s">
        <v>310</v>
      </c>
      <c r="ED24" s="90">
        <f>DB24</f>
        <v>499332790.96</v>
      </c>
      <c r="EE24" s="90">
        <f>DZ24</f>
        <v>-141879337.95999998</v>
      </c>
      <c r="EF24" s="138">
        <f>+ED24+EE24</f>
        <v>357453453</v>
      </c>
      <c r="EG24" s="138">
        <v>0</v>
      </c>
      <c r="EH24" s="138">
        <f>+EF24+EG24</f>
        <v>357453453</v>
      </c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</row>
    <row r="25" spans="1:207" ht="12.75" customHeight="1">
      <c r="A25" s="79">
        <v>14</v>
      </c>
      <c r="B25" s="101" t="s">
        <v>139</v>
      </c>
      <c r="C25" s="166">
        <f>AC20+AC21+AC22</f>
        <v>0.07735525600000001</v>
      </c>
      <c r="D25" s="150"/>
      <c r="E25" s="162"/>
      <c r="F25" s="150">
        <f>(AC20+AC21+AC22)*F19</f>
        <v>-12315764.455300737</v>
      </c>
      <c r="G25" s="60">
        <v>14</v>
      </c>
      <c r="H25" s="1" t="s">
        <v>112</v>
      </c>
      <c r="J25" s="212">
        <f>J21-J23</f>
        <v>-975063</v>
      </c>
      <c r="K25" s="5"/>
      <c r="L25" s="5"/>
      <c r="P25" s="60">
        <f>P24+1</f>
        <v>14</v>
      </c>
      <c r="Q25" s="1" t="s">
        <v>115</v>
      </c>
      <c r="R25" s="179"/>
      <c r="S25" s="179"/>
      <c r="T25" s="115">
        <v>-696467</v>
      </c>
      <c r="U25" s="60">
        <v>14</v>
      </c>
      <c r="V25" s="1" t="s">
        <v>126</v>
      </c>
      <c r="W25" s="165"/>
      <c r="X25" s="125">
        <f>-X17+X24</f>
        <v>9483047.009793647</v>
      </c>
      <c r="Y25" s="60">
        <f t="shared" si="10"/>
        <v>14</v>
      </c>
      <c r="AA25" s="121"/>
      <c r="AB25" s="166"/>
      <c r="AC25" s="175"/>
      <c r="AD25" s="6"/>
      <c r="AE25" s="79"/>
      <c r="AI25" s="68">
        <v>15</v>
      </c>
      <c r="AJ25" s="1" t="s">
        <v>323</v>
      </c>
      <c r="AK25" s="8">
        <v>0</v>
      </c>
      <c r="AL25" s="8">
        <f>-2393156-1288622.5</f>
        <v>-3681778.5</v>
      </c>
      <c r="AM25" s="128">
        <f t="shared" si="22"/>
        <v>-3681778.5</v>
      </c>
      <c r="AW25" s="60">
        <v>14</v>
      </c>
      <c r="AX25" s="213" t="s">
        <v>183</v>
      </c>
      <c r="AY25" s="214">
        <v>14637.87</v>
      </c>
      <c r="BA25" s="60">
        <f t="shared" si="11"/>
        <v>14</v>
      </c>
      <c r="BB25" s="73" t="s">
        <v>234</v>
      </c>
      <c r="BC25" s="116">
        <v>348945.52</v>
      </c>
      <c r="BD25" s="60">
        <f t="shared" si="4"/>
        <v>14</v>
      </c>
      <c r="BE25" s="146" t="s">
        <v>198</v>
      </c>
      <c r="BF25" s="146" t="s">
        <v>205</v>
      </c>
      <c r="BG25" s="215">
        <v>0.062</v>
      </c>
      <c r="BH25" s="216">
        <f>+BH22*$BG25</f>
        <v>1871025.7441249199</v>
      </c>
      <c r="BI25" s="216">
        <f>+BI22*$BG25</f>
        <v>1871025.7441249199</v>
      </c>
      <c r="BJ25" s="216">
        <f aca="true" t="shared" si="23" ref="BJ25:BJ30">BI25-BH25</f>
        <v>0</v>
      </c>
      <c r="BO25" s="60">
        <f t="shared" si="13"/>
        <v>14</v>
      </c>
      <c r="BP25" s="73" t="s">
        <v>209</v>
      </c>
      <c r="BQ25" s="126"/>
      <c r="BR25" s="132">
        <f>(+BR13+BR18)*BQ24</f>
        <v>1230656.54154</v>
      </c>
      <c r="BS25" s="68"/>
      <c r="BW25" s="68"/>
      <c r="CQ25" s="60"/>
      <c r="CT25" s="199">
        <v>35584003</v>
      </c>
      <c r="CZ25" s="60">
        <f t="shared" si="15"/>
        <v>13</v>
      </c>
      <c r="DA25" s="73"/>
      <c r="DB25" s="118"/>
      <c r="DC25" s="8"/>
      <c r="DD25" s="8"/>
      <c r="DE25" s="130"/>
      <c r="DF25" s="8"/>
      <c r="DG25" s="8"/>
      <c r="DH25" s="8"/>
      <c r="DI25" s="60">
        <f t="shared" si="16"/>
        <v>13</v>
      </c>
      <c r="DJ25" s="73"/>
      <c r="DK25" s="118"/>
      <c r="DL25" s="8"/>
      <c r="DM25" s="8"/>
      <c r="DN25" s="130"/>
      <c r="DO25" s="130"/>
      <c r="DP25" s="130"/>
      <c r="DQ25" s="130"/>
      <c r="DR25" s="60">
        <f t="shared" si="17"/>
        <v>13</v>
      </c>
      <c r="DS25" s="73"/>
      <c r="DT25" s="130"/>
      <c r="DU25" s="130"/>
      <c r="DV25" s="130"/>
      <c r="DW25" s="130"/>
      <c r="DX25" s="130"/>
      <c r="DY25" s="130"/>
      <c r="DZ25" s="130"/>
      <c r="EA25" s="130"/>
      <c r="EB25" s="60">
        <f t="shared" si="18"/>
        <v>13</v>
      </c>
      <c r="EC25" s="73"/>
      <c r="ED25" s="130"/>
      <c r="EE25" s="8"/>
      <c r="EF25" s="151"/>
      <c r="EG25" s="151"/>
      <c r="EH25" s="16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</row>
    <row r="26" spans="1:207" ht="12.75" customHeight="1">
      <c r="A26" s="79">
        <v>15</v>
      </c>
      <c r="B26" s="101"/>
      <c r="C26" s="102"/>
      <c r="D26" s="217">
        <f>+D21/D13</f>
        <v>0.6771722207747873</v>
      </c>
      <c r="E26" s="217">
        <f>+E21/E13</f>
        <v>0.5397227974252241</v>
      </c>
      <c r="F26" s="123"/>
      <c r="G26" s="60"/>
      <c r="I26" s="179"/>
      <c r="J26" s="179"/>
      <c r="K26" s="179"/>
      <c r="L26" s="179"/>
      <c r="P26" s="60"/>
      <c r="R26" s="179"/>
      <c r="S26" s="179"/>
      <c r="T26" s="218"/>
      <c r="U26" s="60">
        <v>15</v>
      </c>
      <c r="V26" s="1" t="s">
        <v>22</v>
      </c>
      <c r="X26" s="93" t="s">
        <v>22</v>
      </c>
      <c r="Y26" s="60">
        <f t="shared" si="10"/>
        <v>15</v>
      </c>
      <c r="AC26" s="122"/>
      <c r="AD26" s="6">
        <f>SUM(AD15:AD24)</f>
        <v>-2711377.3584000003</v>
      </c>
      <c r="AE26" s="79"/>
      <c r="AI26" s="68">
        <v>16</v>
      </c>
      <c r="AJ26" s="1" t="s">
        <v>308</v>
      </c>
      <c r="AK26" s="8">
        <v>6296913</v>
      </c>
      <c r="AL26" s="8">
        <v>6296913</v>
      </c>
      <c r="AM26" s="128">
        <f t="shared" si="22"/>
        <v>0</v>
      </c>
      <c r="AW26" s="60">
        <v>15</v>
      </c>
      <c r="AX26" s="213" t="s">
        <v>184</v>
      </c>
      <c r="AY26" s="214">
        <v>88300.03</v>
      </c>
      <c r="BA26" s="60">
        <f t="shared" si="11"/>
        <v>15</v>
      </c>
      <c r="BB26" s="110" t="s">
        <v>191</v>
      </c>
      <c r="BC26" s="145">
        <f>-SUM(BC23:BC25)</f>
        <v>-1777881.4000000001</v>
      </c>
      <c r="BD26" s="60">
        <f t="shared" si="4"/>
        <v>15</v>
      </c>
      <c r="BE26" s="146" t="s">
        <v>199</v>
      </c>
      <c r="BF26" s="146" t="s">
        <v>205</v>
      </c>
      <c r="BG26" s="215">
        <v>0.0145</v>
      </c>
      <c r="BH26" s="216">
        <f>+BH22*$BG26</f>
        <v>437578.60144856997</v>
      </c>
      <c r="BI26" s="216">
        <f>+BI22*$BG26</f>
        <v>437578.60144856997</v>
      </c>
      <c r="BJ26" s="216">
        <f t="shared" si="23"/>
        <v>0</v>
      </c>
      <c r="BO26" s="60">
        <f t="shared" si="13"/>
        <v>15</v>
      </c>
      <c r="BP26" s="219" t="s">
        <v>126</v>
      </c>
      <c r="BQ26" s="220"/>
      <c r="BR26" s="216">
        <f>-BR24+BR25</f>
        <v>-0.2433510476257652</v>
      </c>
      <c r="BS26" s="68"/>
      <c r="BW26" s="68"/>
      <c r="CQ26" s="60"/>
      <c r="CT26" s="221">
        <f>+CT25-CT24</f>
        <v>0</v>
      </c>
      <c r="CZ26" s="60">
        <f t="shared" si="15"/>
        <v>14</v>
      </c>
      <c r="DA26" s="73" t="s">
        <v>5</v>
      </c>
      <c r="DB26" s="222">
        <f aca="true" t="shared" si="24" ref="DB26:DH26">SUM(DB23:DB25)</f>
        <v>499332790.96</v>
      </c>
      <c r="DC26" s="222">
        <f t="shared" si="24"/>
        <v>-141879337.95999998</v>
      </c>
      <c r="DD26" s="222">
        <f t="shared" si="24"/>
        <v>0</v>
      </c>
      <c r="DE26" s="222">
        <f t="shared" si="24"/>
        <v>0</v>
      </c>
      <c r="DF26" s="222">
        <f t="shared" si="24"/>
        <v>0</v>
      </c>
      <c r="DG26" s="222">
        <f t="shared" si="24"/>
        <v>0</v>
      </c>
      <c r="DH26" s="222">
        <f t="shared" si="24"/>
        <v>0</v>
      </c>
      <c r="DI26" s="60">
        <f t="shared" si="16"/>
        <v>14</v>
      </c>
      <c r="DJ26" s="73" t="s">
        <v>5</v>
      </c>
      <c r="DK26" s="222">
        <f aca="true" t="shared" si="25" ref="DK26:DQ26">SUM(DK23:DK25)</f>
        <v>0</v>
      </c>
      <c r="DL26" s="222">
        <f t="shared" si="25"/>
        <v>0</v>
      </c>
      <c r="DM26" s="222">
        <f t="shared" si="25"/>
        <v>0</v>
      </c>
      <c r="DN26" s="222">
        <f t="shared" si="25"/>
        <v>0</v>
      </c>
      <c r="DO26" s="222">
        <f t="shared" si="25"/>
        <v>0</v>
      </c>
      <c r="DP26" s="222">
        <f t="shared" si="25"/>
        <v>0</v>
      </c>
      <c r="DQ26" s="222">
        <f t="shared" si="25"/>
        <v>0</v>
      </c>
      <c r="DR26" s="60">
        <f t="shared" si="17"/>
        <v>14</v>
      </c>
      <c r="DS26" s="73" t="s">
        <v>5</v>
      </c>
      <c r="DT26" s="112">
        <f aca="true" t="shared" si="26" ref="DT26:DY26">SUM(DT23:DT25)</f>
        <v>0</v>
      </c>
      <c r="DU26" s="112">
        <f t="shared" si="26"/>
        <v>0</v>
      </c>
      <c r="DV26" s="112">
        <f t="shared" si="26"/>
        <v>0</v>
      </c>
      <c r="DW26" s="112">
        <f t="shared" si="26"/>
        <v>0</v>
      </c>
      <c r="DX26" s="112">
        <f t="shared" si="26"/>
        <v>0</v>
      </c>
      <c r="DY26" s="112">
        <f t="shared" si="26"/>
        <v>0</v>
      </c>
      <c r="DZ26" s="112">
        <f>SUM(DC26:DY26)-DR26-DI26</f>
        <v>-141879337.95999998</v>
      </c>
      <c r="EA26" s="112">
        <f>DB26+DZ26</f>
        <v>357453453</v>
      </c>
      <c r="EB26" s="60">
        <f t="shared" si="18"/>
        <v>14</v>
      </c>
      <c r="EC26" s="73" t="s">
        <v>5</v>
      </c>
      <c r="ED26" s="222">
        <f>SUM(ED22:ED25)</f>
        <v>499332790.96</v>
      </c>
      <c r="EE26" s="222">
        <f>SUM(EE22:EE25)</f>
        <v>-141879337.95999998</v>
      </c>
      <c r="EF26" s="222">
        <f>SUM(EF22:EF25)</f>
        <v>357453453</v>
      </c>
      <c r="EG26" s="222">
        <f>SUM(EG22:EG25)</f>
        <v>0</v>
      </c>
      <c r="EH26" s="222">
        <f>SUM(EH22:EH25)</f>
        <v>357453453</v>
      </c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</row>
    <row r="27" spans="1:207" s="199" customFormat="1" ht="12.75" customHeight="1">
      <c r="A27" s="79">
        <v>16</v>
      </c>
      <c r="B27" s="223" t="s">
        <v>15</v>
      </c>
      <c r="C27" s="224"/>
      <c r="D27" s="225"/>
      <c r="E27" s="226"/>
      <c r="F27" s="227"/>
      <c r="G27" s="198"/>
      <c r="I27" s="228"/>
      <c r="J27" s="228"/>
      <c r="K27" s="228"/>
      <c r="L27" s="228"/>
      <c r="P27" s="198">
        <f>P25+1</f>
        <v>15</v>
      </c>
      <c r="Q27" s="199" t="s">
        <v>146</v>
      </c>
      <c r="R27" s="229"/>
      <c r="S27" s="229"/>
      <c r="T27" s="230">
        <f>SUM(T22:T25)</f>
        <v>8847422</v>
      </c>
      <c r="U27" s="60">
        <v>16</v>
      </c>
      <c r="V27" s="231" t="s">
        <v>225</v>
      </c>
      <c r="W27" s="232">
        <v>0.35</v>
      </c>
      <c r="X27" s="233">
        <f>+X25*0.35</f>
        <v>3319066.453427776</v>
      </c>
      <c r="Y27" s="198">
        <f t="shared" si="10"/>
        <v>16</v>
      </c>
      <c r="Z27" s="199" t="s">
        <v>149</v>
      </c>
      <c r="AC27" s="234">
        <f>AC12-AA24+AC24</f>
        <v>0.4017109163999999</v>
      </c>
      <c r="AD27" s="235">
        <f>+AD12+AD26</f>
        <v>1288622.6415999997</v>
      </c>
      <c r="AE27" s="236"/>
      <c r="AI27" s="68">
        <v>17</v>
      </c>
      <c r="AJ27" s="1" t="s">
        <v>317</v>
      </c>
      <c r="AK27" s="8">
        <v>0</v>
      </c>
      <c r="AL27" s="8">
        <f>1025000-AL48-AL49</f>
        <v>-1994439</v>
      </c>
      <c r="AM27" s="128">
        <f t="shared" si="22"/>
        <v>-1994439</v>
      </c>
      <c r="AS27" s="237"/>
      <c r="AT27" s="198"/>
      <c r="AW27" s="60">
        <v>16</v>
      </c>
      <c r="AX27" s="238" t="s">
        <v>185</v>
      </c>
      <c r="AY27" s="239">
        <v>111279.85</v>
      </c>
      <c r="AZ27" s="240"/>
      <c r="BD27" s="198">
        <f t="shared" si="4"/>
        <v>16</v>
      </c>
      <c r="BE27" s="229" t="s">
        <v>148</v>
      </c>
      <c r="BF27" s="229" t="s">
        <v>205</v>
      </c>
      <c r="BG27" s="241">
        <v>0.008</v>
      </c>
      <c r="BH27" s="242">
        <f>+BH22*$BG27</f>
        <v>241422.67666127998</v>
      </c>
      <c r="BI27" s="242">
        <f>+BI22*$BG27</f>
        <v>241422.67666127998</v>
      </c>
      <c r="BJ27" s="242">
        <f t="shared" si="23"/>
        <v>0</v>
      </c>
      <c r="BO27" s="198">
        <f t="shared" si="13"/>
        <v>16</v>
      </c>
      <c r="BP27" s="1"/>
      <c r="BQ27" s="60"/>
      <c r="BR27" s="89"/>
      <c r="BS27" s="243"/>
      <c r="BT27" s="1"/>
      <c r="BU27" s="1"/>
      <c r="BV27" s="1"/>
      <c r="BW27" s="243"/>
      <c r="CQ27" s="198"/>
      <c r="CR27" s="1"/>
      <c r="CS27" s="1"/>
      <c r="CZ27" s="198">
        <f t="shared" si="15"/>
        <v>15</v>
      </c>
      <c r="DA27" s="229"/>
      <c r="DB27" s="237"/>
      <c r="DC27" s="237"/>
      <c r="DD27" s="237"/>
      <c r="DF27" s="237"/>
      <c r="DG27" s="237"/>
      <c r="DH27" s="237"/>
      <c r="DI27" s="198">
        <f t="shared" si="16"/>
        <v>15</v>
      </c>
      <c r="DJ27" s="229"/>
      <c r="DK27" s="244"/>
      <c r="DL27" s="244"/>
      <c r="DM27" s="244"/>
      <c r="DN27" s="245"/>
      <c r="DO27" s="245"/>
      <c r="DP27" s="245"/>
      <c r="DQ27" s="245"/>
      <c r="DR27" s="198">
        <f t="shared" si="17"/>
        <v>15</v>
      </c>
      <c r="DS27" s="229"/>
      <c r="DT27" s="245"/>
      <c r="DU27" s="246"/>
      <c r="DV27" s="246"/>
      <c r="DW27" s="246"/>
      <c r="DX27" s="246"/>
      <c r="DY27" s="246"/>
      <c r="DZ27" s="237"/>
      <c r="EA27" s="237"/>
      <c r="EB27" s="198">
        <f t="shared" si="18"/>
        <v>15</v>
      </c>
      <c r="EC27" s="229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</row>
    <row r="28" spans="1:207" ht="12.75" customHeight="1">
      <c r="A28" s="79">
        <v>17</v>
      </c>
      <c r="B28" s="1" t="s">
        <v>145</v>
      </c>
      <c r="C28" s="247">
        <f>AB24</f>
        <v>0.35</v>
      </c>
      <c r="D28" s="8"/>
      <c r="E28" s="8"/>
      <c r="F28" s="8">
        <f>((F19-SUM(F21:F25))*AB24)</f>
        <v>-1632776.617997919</v>
      </c>
      <c r="G28" s="60"/>
      <c r="H28" s="3"/>
      <c r="I28" s="179"/>
      <c r="J28" s="179"/>
      <c r="K28" s="7"/>
      <c r="L28" s="7"/>
      <c r="M28" s="79"/>
      <c r="P28" s="60">
        <f>P27+1</f>
        <v>16</v>
      </c>
      <c r="T28" s="157"/>
      <c r="U28" s="60">
        <v>17</v>
      </c>
      <c r="V28" s="1" t="s">
        <v>114</v>
      </c>
      <c r="W28" s="165"/>
      <c r="X28" s="248">
        <f>-X27</f>
        <v>-3319066.453427776</v>
      </c>
      <c r="Y28" s="60">
        <f t="shared" si="10"/>
        <v>17</v>
      </c>
      <c r="Z28" s="73"/>
      <c r="AB28" s="249"/>
      <c r="AC28" s="250"/>
      <c r="AD28" s="87"/>
      <c r="AI28" s="68">
        <v>18</v>
      </c>
      <c r="AK28" s="251"/>
      <c r="AL28" s="251"/>
      <c r="AM28" s="251"/>
      <c r="AN28" s="89"/>
      <c r="AS28" s="89"/>
      <c r="AT28" s="60"/>
      <c r="AW28" s="60">
        <v>17</v>
      </c>
      <c r="AX28" s="213" t="s">
        <v>275</v>
      </c>
      <c r="AY28" s="163">
        <f>2214043.79-324221</f>
        <v>1889822.79</v>
      </c>
      <c r="BD28" s="60">
        <f t="shared" si="4"/>
        <v>17</v>
      </c>
      <c r="BE28" s="73" t="s">
        <v>151</v>
      </c>
      <c r="BF28" s="73" t="s">
        <v>205</v>
      </c>
      <c r="BG28" s="252">
        <v>0.0151</v>
      </c>
      <c r="BH28" s="192">
        <f>+BH22*$BG28</f>
        <v>455685.30219816597</v>
      </c>
      <c r="BI28" s="192">
        <f>+BI22*$BG28</f>
        <v>455685.30219816597</v>
      </c>
      <c r="BJ28" s="192">
        <f t="shared" si="23"/>
        <v>0</v>
      </c>
      <c r="BO28" s="60">
        <f t="shared" si="13"/>
        <v>17</v>
      </c>
      <c r="BP28" s="73" t="s">
        <v>100</v>
      </c>
      <c r="BQ28" s="126">
        <v>0.35</v>
      </c>
      <c r="BR28" s="192">
        <f>ROUND(+BR26*BQ28,0)</f>
        <v>0</v>
      </c>
      <c r="BT28" s="199"/>
      <c r="BU28" s="199"/>
      <c r="BV28" s="199"/>
      <c r="CQ28" s="60"/>
      <c r="CT28" s="199"/>
      <c r="CZ28" s="60">
        <f t="shared" si="15"/>
        <v>16</v>
      </c>
      <c r="DA28" s="99" t="s">
        <v>204</v>
      </c>
      <c r="DB28" s="84">
        <f>'[1]actual'!$I$22</f>
        <v>1127321.05</v>
      </c>
      <c r="DC28" s="90">
        <f>F22</f>
        <v>-350262.9711633508</v>
      </c>
      <c r="DD28" s="90">
        <v>0</v>
      </c>
      <c r="DE28" s="90">
        <v>0</v>
      </c>
      <c r="DF28" s="90">
        <v>0</v>
      </c>
      <c r="DG28" s="90">
        <v>0</v>
      </c>
      <c r="DH28" s="90">
        <f>AH16</f>
        <v>-87245.8600000001</v>
      </c>
      <c r="DI28" s="60">
        <f t="shared" si="16"/>
        <v>16</v>
      </c>
      <c r="DJ28" s="99" t="s">
        <v>204</v>
      </c>
      <c r="DK28" s="90">
        <v>0</v>
      </c>
      <c r="DL28" s="90">
        <v>0</v>
      </c>
      <c r="DM28" s="90">
        <v>0</v>
      </c>
      <c r="DN28" s="90">
        <v>0</v>
      </c>
      <c r="DO28" s="90">
        <v>0</v>
      </c>
      <c r="DP28" s="111">
        <f>+BJ14+BJ15+BJ13</f>
        <v>0</v>
      </c>
      <c r="DQ28" s="111">
        <v>0</v>
      </c>
      <c r="DR28" s="60">
        <f t="shared" si="17"/>
        <v>16</v>
      </c>
      <c r="DS28" s="99" t="s">
        <v>204</v>
      </c>
      <c r="DT28" s="111">
        <v>0</v>
      </c>
      <c r="DU28" s="111">
        <v>0</v>
      </c>
      <c r="DV28" s="111">
        <v>0</v>
      </c>
      <c r="DW28" s="111">
        <v>0</v>
      </c>
      <c r="DX28" s="111">
        <v>0</v>
      </c>
      <c r="DY28" s="111">
        <v>0</v>
      </c>
      <c r="DZ28" s="112">
        <f>SUM(DC28:DY28)-DR28-DI28</f>
        <v>-437508.8311633509</v>
      </c>
      <c r="EA28" s="112">
        <f aca="true" t="shared" si="27" ref="EA28:EA40">DB28+DZ28</f>
        <v>689812.2188366491</v>
      </c>
      <c r="EB28" s="60">
        <f t="shared" si="18"/>
        <v>16</v>
      </c>
      <c r="EC28" s="110" t="s">
        <v>155</v>
      </c>
      <c r="ED28" s="90">
        <f>DB28</f>
        <v>1127321.05</v>
      </c>
      <c r="EE28" s="90">
        <f>DZ28</f>
        <v>-437508.8311633509</v>
      </c>
      <c r="EF28" s="138">
        <f>ED28+EE28</f>
        <v>689812.2188366491</v>
      </c>
      <c r="EG28" s="138">
        <v>0</v>
      </c>
      <c r="EH28" s="138">
        <f>EF28+EG28</f>
        <v>689812.2188366491</v>
      </c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</row>
    <row r="29" spans="1:207" ht="12.75" customHeight="1" thickBot="1">
      <c r="A29" s="79">
        <v>18</v>
      </c>
      <c r="B29" s="1" t="s">
        <v>150</v>
      </c>
      <c r="C29" s="6"/>
      <c r="D29" s="150"/>
      <c r="E29" s="8"/>
      <c r="F29" s="8"/>
      <c r="G29" s="60"/>
      <c r="I29" s="7"/>
      <c r="J29" s="7"/>
      <c r="K29" s="5"/>
      <c r="L29" s="179"/>
      <c r="M29" s="79"/>
      <c r="P29" s="60">
        <f>P28+1</f>
        <v>17</v>
      </c>
      <c r="Q29" s="73" t="s">
        <v>123</v>
      </c>
      <c r="R29" s="73"/>
      <c r="S29" s="73"/>
      <c r="T29" s="90">
        <f>T15-T22</f>
        <v>489961</v>
      </c>
      <c r="U29" s="198"/>
      <c r="V29" s="199"/>
      <c r="W29" s="199"/>
      <c r="X29" s="199"/>
      <c r="Y29" s="60">
        <f t="shared" si="10"/>
        <v>18</v>
      </c>
      <c r="Z29" s="73" t="s">
        <v>18</v>
      </c>
      <c r="AB29" s="5"/>
      <c r="AC29" s="253">
        <f>ROUND(AA24-AC24,7)</f>
        <v>0.5982891</v>
      </c>
      <c r="AD29" s="194" t="s">
        <v>22</v>
      </c>
      <c r="AI29" s="68">
        <v>19</v>
      </c>
      <c r="AJ29" s="73" t="s">
        <v>105</v>
      </c>
      <c r="AK29" s="88">
        <f>SUM(AK13:AK27)</f>
        <v>15243496.89</v>
      </c>
      <c r="AL29" s="88">
        <f>SUM(AL13:AL27)</f>
        <v>6181079.76</v>
      </c>
      <c r="AM29" s="88">
        <f>SUM(AM13:AM27)</f>
        <v>-9062417.129999999</v>
      </c>
      <c r="AN29" s="7"/>
      <c r="AS29" s="89"/>
      <c r="AT29" s="60"/>
      <c r="AW29" s="60">
        <v>18</v>
      </c>
      <c r="AX29" s="99" t="s">
        <v>210</v>
      </c>
      <c r="AY29" s="214">
        <f>SUM(AY25:AY28)</f>
        <v>2104040.54</v>
      </c>
      <c r="BD29" s="60">
        <f t="shared" si="4"/>
        <v>18</v>
      </c>
      <c r="BE29" s="73" t="s">
        <v>154</v>
      </c>
      <c r="BF29" s="73"/>
      <c r="BG29" s="73"/>
      <c r="BH29" s="192">
        <f>SUM(BH25:BH28)</f>
        <v>3005712.324432936</v>
      </c>
      <c r="BI29" s="192">
        <f>SUM(BI25:BI28)</f>
        <v>3005712.324432936</v>
      </c>
      <c r="BJ29" s="192">
        <f t="shared" si="23"/>
        <v>0</v>
      </c>
      <c r="BO29" s="60">
        <f t="shared" si="13"/>
        <v>18</v>
      </c>
      <c r="BP29" s="73" t="s">
        <v>114</v>
      </c>
      <c r="BQ29" s="60"/>
      <c r="BR29" s="254">
        <f>+BR26-BR28</f>
        <v>-0.2433510476257652</v>
      </c>
      <c r="BS29" s="255"/>
      <c r="BW29" s="255"/>
      <c r="CQ29" s="60"/>
      <c r="CT29" s="256" t="s">
        <v>22</v>
      </c>
      <c r="CZ29" s="60">
        <f t="shared" si="15"/>
        <v>17</v>
      </c>
      <c r="DA29" s="73" t="s">
        <v>6</v>
      </c>
      <c r="DB29" s="118">
        <f>'[1]actual'!$I$23</f>
        <v>3533370.48</v>
      </c>
      <c r="DC29" s="8"/>
      <c r="DD29" s="8"/>
      <c r="DE29" s="8"/>
      <c r="DF29" s="8"/>
      <c r="DG29" s="8"/>
      <c r="DH29" s="8"/>
      <c r="DI29" s="60">
        <f t="shared" si="16"/>
        <v>17</v>
      </c>
      <c r="DJ29" s="73" t="s">
        <v>6</v>
      </c>
      <c r="DK29" s="118">
        <f>AM15</f>
        <v>-3126654.53</v>
      </c>
      <c r="DL29" s="8"/>
      <c r="DM29" s="8" t="s">
        <v>22</v>
      </c>
      <c r="DN29" s="8"/>
      <c r="DO29" s="8"/>
      <c r="DP29" s="8">
        <f>+BJ16</f>
        <v>0</v>
      </c>
      <c r="DQ29" s="8"/>
      <c r="DR29" s="60">
        <f t="shared" si="17"/>
        <v>17</v>
      </c>
      <c r="DS29" s="73" t="s">
        <v>6</v>
      </c>
      <c r="DT29" s="128"/>
      <c r="DU29" s="8"/>
      <c r="DV29" s="8"/>
      <c r="DW29" s="8"/>
      <c r="DX29" s="8"/>
      <c r="DY29" s="8"/>
      <c r="DZ29" s="8">
        <f>SUM(DC29:DY29)-DR29-DI29</f>
        <v>-3126654.53</v>
      </c>
      <c r="EA29" s="8">
        <f t="shared" si="27"/>
        <v>406715.9500000002</v>
      </c>
      <c r="EB29" s="60">
        <f t="shared" si="18"/>
        <v>17</v>
      </c>
      <c r="EC29" s="73" t="s">
        <v>6</v>
      </c>
      <c r="ED29" s="8">
        <f>DB29</f>
        <v>3533370.48</v>
      </c>
      <c r="EE29" s="106">
        <f aca="true" t="shared" si="28" ref="EE29:EE40">DZ29</f>
        <v>-3126654.53</v>
      </c>
      <c r="EF29" s="151">
        <f aca="true" t="shared" si="29" ref="EF29:EF40">+ED29+EE29</f>
        <v>406715.9500000002</v>
      </c>
      <c r="EG29" s="151"/>
      <c r="EH29" s="151">
        <f aca="true" t="shared" si="30" ref="EH29:EH40">+EF29+EG29</f>
        <v>406715.9500000002</v>
      </c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</row>
    <row r="30" spans="1:207" ht="12.75" customHeight="1" thickTop="1">
      <c r="A30" s="79">
        <v>19</v>
      </c>
      <c r="B30" s="73" t="s">
        <v>152</v>
      </c>
      <c r="C30" s="99"/>
      <c r="D30" s="150"/>
      <c r="E30" s="8"/>
      <c r="F30" s="115"/>
      <c r="G30" s="60"/>
      <c r="I30" s="7"/>
      <c r="J30" s="5"/>
      <c r="K30" s="179"/>
      <c r="L30" s="7"/>
      <c r="M30" s="79"/>
      <c r="P30" s="60">
        <f>P29+1</f>
        <v>18</v>
      </c>
      <c r="Q30" s="73" t="s">
        <v>153</v>
      </c>
      <c r="T30" s="141">
        <f>(T16+T17)-(T23+T24)</f>
        <v>-153350</v>
      </c>
      <c r="AD30" s="6"/>
      <c r="AI30" s="68">
        <v>20</v>
      </c>
      <c r="AJ30" s="99"/>
      <c r="AK30" s="87"/>
      <c r="AL30" s="6"/>
      <c r="AM30" s="257"/>
      <c r="AW30" s="60">
        <v>19</v>
      </c>
      <c r="AY30" s="8"/>
      <c r="BD30" s="60">
        <f t="shared" si="4"/>
        <v>19</v>
      </c>
      <c r="BE30" s="73" t="s">
        <v>200</v>
      </c>
      <c r="BF30" s="73"/>
      <c r="BG30" s="73"/>
      <c r="BH30" s="93">
        <f>+BH29+BH22</f>
        <v>33183546.907092933</v>
      </c>
      <c r="BI30" s="93">
        <f>+BI29+BI22</f>
        <v>33183546.907092933</v>
      </c>
      <c r="BJ30" s="93">
        <f t="shared" si="23"/>
        <v>0</v>
      </c>
      <c r="BS30" s="255"/>
      <c r="BT30" s="99"/>
      <c r="BW30" s="255"/>
      <c r="CQ30" s="60"/>
      <c r="CT30" s="199"/>
      <c r="CZ30" s="60">
        <f t="shared" si="15"/>
        <v>18</v>
      </c>
      <c r="DA30" s="73" t="s">
        <v>7</v>
      </c>
      <c r="DB30" s="118">
        <f>'[1]actual'!$I$24</f>
        <v>24072797.119999994</v>
      </c>
      <c r="DC30" s="8"/>
      <c r="DD30" s="8"/>
      <c r="DE30" s="8"/>
      <c r="DF30" s="8"/>
      <c r="DG30" s="8"/>
      <c r="DH30" s="8"/>
      <c r="DI30" s="60">
        <f t="shared" si="16"/>
        <v>18</v>
      </c>
      <c r="DJ30" s="73" t="s">
        <v>7</v>
      </c>
      <c r="DK30" s="118">
        <f>AM27</f>
        <v>-1994439</v>
      </c>
      <c r="DL30" s="8"/>
      <c r="DM30" s="8" t="s">
        <v>22</v>
      </c>
      <c r="DN30" s="8"/>
      <c r="DO30" s="8"/>
      <c r="DP30" s="8">
        <f>BJ17</f>
        <v>0</v>
      </c>
      <c r="DQ30" s="8"/>
      <c r="DR30" s="60">
        <f t="shared" si="17"/>
        <v>18</v>
      </c>
      <c r="DS30" s="73" t="s">
        <v>7</v>
      </c>
      <c r="DT30" s="128"/>
      <c r="DU30" s="8"/>
      <c r="DV30" s="8"/>
      <c r="DW30" s="8"/>
      <c r="DX30" s="8"/>
      <c r="DY30" s="8"/>
      <c r="DZ30" s="8">
        <f>SUM(DC30:DY30)-DR30-DI30</f>
        <v>-1994439</v>
      </c>
      <c r="EA30" s="8">
        <f t="shared" si="27"/>
        <v>22078358.119999994</v>
      </c>
      <c r="EB30" s="60">
        <f t="shared" si="18"/>
        <v>18</v>
      </c>
      <c r="EC30" s="73" t="s">
        <v>7</v>
      </c>
      <c r="ED30" s="8">
        <f aca="true" t="shared" si="31" ref="ED30:ED40">DB30</f>
        <v>24072797.119999994</v>
      </c>
      <c r="EE30" s="106">
        <f t="shared" si="28"/>
        <v>-1994439</v>
      </c>
      <c r="EF30" s="151">
        <f t="shared" si="29"/>
        <v>22078358.119999994</v>
      </c>
      <c r="EG30" s="151"/>
      <c r="EH30" s="151">
        <f t="shared" si="30"/>
        <v>22078358.119999994</v>
      </c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</row>
    <row r="31" spans="1:207" ht="12.75" customHeight="1">
      <c r="A31" s="79">
        <v>20</v>
      </c>
      <c r="B31" s="146" t="s">
        <v>156</v>
      </c>
      <c r="C31" s="99"/>
      <c r="D31" s="123"/>
      <c r="E31" s="258"/>
      <c r="F31" s="259">
        <f>SUM(F21:F30)</f>
        <v>-156178142.004462</v>
      </c>
      <c r="G31" s="60"/>
      <c r="H31" s="73"/>
      <c r="I31" s="7"/>
      <c r="J31" s="179"/>
      <c r="K31" s="7"/>
      <c r="L31" s="179"/>
      <c r="M31" s="79"/>
      <c r="P31" s="60">
        <f>P30+1</f>
        <v>19</v>
      </c>
      <c r="Q31" s="1" t="s">
        <v>157</v>
      </c>
      <c r="T31" s="8">
        <f>T18-T25</f>
        <v>467</v>
      </c>
      <c r="U31" s="60" t="s">
        <v>22</v>
      </c>
      <c r="V31" s="165"/>
      <c r="W31" s="260"/>
      <c r="X31" s="5"/>
      <c r="AC31" s="121">
        <f>+AA24-AC24</f>
        <v>0.5982890836000001</v>
      </c>
      <c r="AD31" s="6"/>
      <c r="AI31" s="68">
        <v>21</v>
      </c>
      <c r="AJ31" s="73" t="s">
        <v>109</v>
      </c>
      <c r="AK31" s="7"/>
      <c r="AL31" s="89"/>
      <c r="AM31" s="8">
        <f>-AM29</f>
        <v>9062417.129999999</v>
      </c>
      <c r="AW31" s="60">
        <v>20</v>
      </c>
      <c r="AX31" s="99" t="s">
        <v>267</v>
      </c>
      <c r="AY31" s="123">
        <f>AY29/3</f>
        <v>701346.8466666667</v>
      </c>
      <c r="BD31" s="60">
        <f t="shared" si="4"/>
        <v>20</v>
      </c>
      <c r="BE31" s="73"/>
      <c r="BF31" s="73"/>
      <c r="BG31" s="73"/>
      <c r="BH31" s="93"/>
      <c r="BI31" s="93"/>
      <c r="BJ31" s="93"/>
      <c r="BS31" s="255"/>
      <c r="BW31" s="255"/>
      <c r="CQ31" s="60"/>
      <c r="CT31" s="244">
        <v>-4000000</v>
      </c>
      <c r="CV31" s="6" t="s">
        <v>22</v>
      </c>
      <c r="CZ31" s="60">
        <f t="shared" si="15"/>
        <v>19</v>
      </c>
      <c r="DA31" s="219" t="s">
        <v>8</v>
      </c>
      <c r="DB31" s="118">
        <f>'[1]actual'!$I$25</f>
        <v>15844280.1</v>
      </c>
      <c r="DC31" s="258"/>
      <c r="DD31" s="258"/>
      <c r="DE31" s="8"/>
      <c r="DF31" s="258"/>
      <c r="DG31" s="258"/>
      <c r="DH31" s="258"/>
      <c r="DI31" s="60">
        <f t="shared" si="16"/>
        <v>19</v>
      </c>
      <c r="DJ31" s="219" t="s">
        <v>8</v>
      </c>
      <c r="DK31" s="261">
        <f>+AM24+AM26</f>
        <v>-0.0800000000745058</v>
      </c>
      <c r="DL31" s="258"/>
      <c r="DM31" s="258" t="s">
        <v>22</v>
      </c>
      <c r="DN31" s="8"/>
      <c r="DO31" s="8"/>
      <c r="DP31" s="8">
        <f>+BJ18</f>
        <v>0</v>
      </c>
      <c r="DQ31" s="8"/>
      <c r="DR31" s="60">
        <f t="shared" si="17"/>
        <v>19</v>
      </c>
      <c r="DS31" s="219" t="s">
        <v>8</v>
      </c>
      <c r="DT31" s="128"/>
      <c r="DU31" s="8"/>
      <c r="DV31" s="8">
        <f>+CB12</f>
        <v>308963.25902142585</v>
      </c>
      <c r="DW31" s="8"/>
      <c r="DX31" s="8"/>
      <c r="DY31" s="8"/>
      <c r="DZ31" s="8">
        <f>SUM(DC31:DY31)-DR31-DI31</f>
        <v>308963.1790214258</v>
      </c>
      <c r="EA31" s="8">
        <f t="shared" si="27"/>
        <v>16153243.279021425</v>
      </c>
      <c r="EB31" s="60">
        <f t="shared" si="18"/>
        <v>19</v>
      </c>
      <c r="EC31" s="219" t="s">
        <v>163</v>
      </c>
      <c r="ED31" s="8">
        <f t="shared" si="31"/>
        <v>15844280.1</v>
      </c>
      <c r="EE31" s="106">
        <f t="shared" si="28"/>
        <v>308963.1790214258</v>
      </c>
      <c r="EF31" s="151">
        <f t="shared" si="29"/>
        <v>16153243.279021425</v>
      </c>
      <c r="EG31" s="151"/>
      <c r="EH31" s="151">
        <f t="shared" si="30"/>
        <v>16153243.279021425</v>
      </c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</row>
    <row r="32" spans="1:207" ht="12.75" customHeight="1">
      <c r="A32" s="79">
        <v>21</v>
      </c>
      <c r="B32" s="1" t="s">
        <v>158</v>
      </c>
      <c r="D32" s="8"/>
      <c r="E32" s="8"/>
      <c r="F32" s="262">
        <f>F19-F31</f>
        <v>-3032299.433424711</v>
      </c>
      <c r="G32" s="60"/>
      <c r="H32" s="146"/>
      <c r="I32" s="263"/>
      <c r="J32" s="263"/>
      <c r="K32" s="264"/>
      <c r="L32" s="179"/>
      <c r="P32" s="60">
        <f>P31+1</f>
        <v>20</v>
      </c>
      <c r="Q32" s="73" t="s">
        <v>159</v>
      </c>
      <c r="R32" s="73"/>
      <c r="S32" s="73"/>
      <c r="T32" s="155">
        <f>-SUM(T29:T31)</f>
        <v>-337078</v>
      </c>
      <c r="U32" s="60"/>
      <c r="V32" s="165"/>
      <c r="W32" s="260"/>
      <c r="X32" s="108"/>
      <c r="AB32" s="5"/>
      <c r="AD32" s="6"/>
      <c r="AI32" s="68">
        <v>22</v>
      </c>
      <c r="AJ32" s="73" t="s">
        <v>102</v>
      </c>
      <c r="AK32" s="7"/>
      <c r="AL32" s="171">
        <v>0.35</v>
      </c>
      <c r="AM32" s="128">
        <f>ROUND(AL32*AM31,0)</f>
        <v>3171846</v>
      </c>
      <c r="AW32" s="60">
        <v>21</v>
      </c>
      <c r="AX32" s="104" t="s">
        <v>190</v>
      </c>
      <c r="AZ32" s="8">
        <f>-AY31</f>
        <v>-701346.8466666667</v>
      </c>
      <c r="BD32" s="60">
        <f t="shared" si="4"/>
        <v>21</v>
      </c>
      <c r="BE32" s="219" t="s">
        <v>120</v>
      </c>
      <c r="BF32" s="219"/>
      <c r="BG32" s="219"/>
      <c r="BH32" s="216"/>
      <c r="BI32" s="216"/>
      <c r="BJ32" s="216">
        <f>-BJ30</f>
        <v>0</v>
      </c>
      <c r="BS32" s="255"/>
      <c r="BW32" s="255"/>
      <c r="BX32" s="99"/>
      <c r="CQ32" s="60"/>
      <c r="CS32" s="1">
        <v>0.0022</v>
      </c>
      <c r="CT32" s="240">
        <f>+CT31*CS32</f>
        <v>-8800</v>
      </c>
      <c r="CZ32" s="60">
        <f t="shared" si="15"/>
        <v>20</v>
      </c>
      <c r="DA32" s="73" t="s">
        <v>9</v>
      </c>
      <c r="DB32" s="118">
        <f>'[1]actual'!$I$26</f>
        <v>1876687.84</v>
      </c>
      <c r="DC32" s="8"/>
      <c r="DD32" s="8"/>
      <c r="DE32" s="8"/>
      <c r="DF32" s="8"/>
      <c r="DG32" s="8"/>
      <c r="DH32" s="8"/>
      <c r="DI32" s="60">
        <f t="shared" si="16"/>
        <v>20</v>
      </c>
      <c r="DJ32" s="73" t="s">
        <v>9</v>
      </c>
      <c r="DK32" s="118">
        <f>AM23+AM22</f>
        <v>84212</v>
      </c>
      <c r="DL32" s="8"/>
      <c r="DM32" s="8" t="s">
        <v>22</v>
      </c>
      <c r="DN32" s="8"/>
      <c r="DO32" s="8"/>
      <c r="DP32" s="8">
        <f>+BJ19+BJ20</f>
        <v>0</v>
      </c>
      <c r="DQ32" s="8"/>
      <c r="DR32" s="60">
        <f t="shared" si="17"/>
        <v>20</v>
      </c>
      <c r="DS32" s="73" t="s">
        <v>9</v>
      </c>
      <c r="DT32" s="128"/>
      <c r="DU32" s="8"/>
      <c r="DV32" s="8"/>
      <c r="DW32" s="8"/>
      <c r="DX32" s="8"/>
      <c r="DY32" s="8"/>
      <c r="DZ32" s="8">
        <f>SUM(DC32:DY32)-DR32-DI32</f>
        <v>84212</v>
      </c>
      <c r="EA32" s="8">
        <f t="shared" si="27"/>
        <v>1960899.84</v>
      </c>
      <c r="EB32" s="60">
        <f t="shared" si="18"/>
        <v>20</v>
      </c>
      <c r="EC32" s="73" t="s">
        <v>9</v>
      </c>
      <c r="ED32" s="8">
        <f t="shared" si="31"/>
        <v>1876687.84</v>
      </c>
      <c r="EE32" s="106">
        <f t="shared" si="28"/>
        <v>84212</v>
      </c>
      <c r="EF32" s="151">
        <f t="shared" si="29"/>
        <v>1960899.84</v>
      </c>
      <c r="EG32" s="151"/>
      <c r="EH32" s="151">
        <f t="shared" si="30"/>
        <v>1960899.84</v>
      </c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</row>
    <row r="33" spans="1:207" s="146" customFormat="1" ht="12.75" customHeight="1">
      <c r="A33" s="79"/>
      <c r="G33" s="220"/>
      <c r="H33" s="73"/>
      <c r="I33" s="249"/>
      <c r="J33" s="179"/>
      <c r="K33" s="265"/>
      <c r="L33" s="266"/>
      <c r="P33" s="60"/>
      <c r="Q33" s="73"/>
      <c r="R33" s="126"/>
      <c r="S33" s="6"/>
      <c r="T33" s="218"/>
      <c r="U33" s="60"/>
      <c r="V33" s="1"/>
      <c r="W33" s="260"/>
      <c r="X33" s="108"/>
      <c r="Y33" s="1"/>
      <c r="Z33" s="1"/>
      <c r="AA33" s="1"/>
      <c r="AB33" s="1"/>
      <c r="AC33" s="1"/>
      <c r="AD33" s="6"/>
      <c r="AI33" s="68">
        <v>23</v>
      </c>
      <c r="AJ33" s="73"/>
      <c r="AK33" s="7"/>
      <c r="AL33" s="171"/>
      <c r="AM33" s="7"/>
      <c r="AW33" s="60">
        <v>22</v>
      </c>
      <c r="BD33" s="60">
        <f t="shared" si="4"/>
        <v>22</v>
      </c>
      <c r="BE33" s="73" t="s">
        <v>164</v>
      </c>
      <c r="BF33" s="73"/>
      <c r="BG33" s="73"/>
      <c r="BH33" s="93"/>
      <c r="BI33" s="93"/>
      <c r="BJ33" s="93">
        <f>BJ32*0.35</f>
        <v>0</v>
      </c>
      <c r="BS33" s="267"/>
      <c r="BT33" s="1"/>
      <c r="BU33" s="1"/>
      <c r="BV33" s="1"/>
      <c r="BW33" s="267"/>
      <c r="CQ33" s="60"/>
      <c r="CR33" s="1"/>
      <c r="CS33" s="1"/>
      <c r="CT33" s="240"/>
      <c r="CZ33" s="60">
        <f t="shared" si="15"/>
        <v>21</v>
      </c>
      <c r="DA33" s="73" t="s">
        <v>10</v>
      </c>
      <c r="DB33" s="118">
        <f>'[1]actual'!$I$27</f>
        <v>1070692.43</v>
      </c>
      <c r="DC33" s="8"/>
      <c r="DD33" s="8"/>
      <c r="DE33" s="8"/>
      <c r="DF33" s="8"/>
      <c r="DG33" s="8"/>
      <c r="DH33" s="8"/>
      <c r="DI33" s="60">
        <f t="shared" si="16"/>
        <v>21</v>
      </c>
      <c r="DJ33" s="73" t="s">
        <v>10</v>
      </c>
      <c r="DK33" s="118"/>
      <c r="DL33" s="8"/>
      <c r="DM33" s="8" t="s">
        <v>22</v>
      </c>
      <c r="DN33" s="258">
        <f>-AZ40</f>
        <v>-138951.54333333336</v>
      </c>
      <c r="DO33" s="258"/>
      <c r="DP33" s="258"/>
      <c r="DQ33" s="258"/>
      <c r="DR33" s="60">
        <f t="shared" si="17"/>
        <v>21</v>
      </c>
      <c r="DS33" s="73" t="s">
        <v>10</v>
      </c>
      <c r="DT33" s="268"/>
      <c r="DU33" s="258"/>
      <c r="DV33" s="258"/>
      <c r="DW33" s="258"/>
      <c r="DX33" s="258"/>
      <c r="DY33" s="258"/>
      <c r="DZ33" s="8">
        <f>SUM(DC33:DY33)-DR33-DI33</f>
        <v>-138951.54333333336</v>
      </c>
      <c r="EA33" s="8">
        <f t="shared" si="27"/>
        <v>931740.8866666666</v>
      </c>
      <c r="EB33" s="60">
        <f t="shared" si="18"/>
        <v>21</v>
      </c>
      <c r="EC33" s="73" t="s">
        <v>10</v>
      </c>
      <c r="ED33" s="8">
        <f t="shared" si="31"/>
        <v>1070692.43</v>
      </c>
      <c r="EE33" s="106">
        <f t="shared" si="28"/>
        <v>-138951.54333333336</v>
      </c>
      <c r="EF33" s="151">
        <f t="shared" si="29"/>
        <v>931740.8866666666</v>
      </c>
      <c r="EG33" s="151"/>
      <c r="EH33" s="151">
        <f t="shared" si="30"/>
        <v>931740.8866666666</v>
      </c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</row>
    <row r="34" spans="1:207" ht="12.75" customHeight="1">
      <c r="A34" s="79"/>
      <c r="G34" s="60"/>
      <c r="H34" s="73"/>
      <c r="I34" s="7"/>
      <c r="J34" s="179"/>
      <c r="K34" s="5"/>
      <c r="L34" s="5"/>
      <c r="P34" s="60"/>
      <c r="Q34" s="73"/>
      <c r="R34" s="6"/>
      <c r="S34" s="6"/>
      <c r="T34" s="218"/>
      <c r="U34" s="220"/>
      <c r="V34" s="146"/>
      <c r="W34" s="260"/>
      <c r="X34" s="265"/>
      <c r="AD34" s="6"/>
      <c r="AI34" s="68">
        <v>24</v>
      </c>
      <c r="AJ34" s="73" t="s">
        <v>107</v>
      </c>
      <c r="AK34" s="7"/>
      <c r="AL34" s="89"/>
      <c r="AM34" s="145">
        <f>ROUND(+AM31-AM32,0)</f>
        <v>5890571</v>
      </c>
      <c r="AW34" s="60">
        <v>23</v>
      </c>
      <c r="AX34" s="99" t="s">
        <v>235</v>
      </c>
      <c r="AY34" s="8">
        <v>175639.34</v>
      </c>
      <c r="BD34" s="60">
        <f t="shared" si="4"/>
        <v>23</v>
      </c>
      <c r="BE34" s="73" t="s">
        <v>114</v>
      </c>
      <c r="BF34" s="73"/>
      <c r="BG34" s="73"/>
      <c r="BJ34" s="254">
        <f>BJ32-BJ33</f>
        <v>0</v>
      </c>
      <c r="BS34" s="255"/>
      <c r="BT34" s="146"/>
      <c r="BU34" s="146"/>
      <c r="BV34" s="146"/>
      <c r="BW34" s="255"/>
      <c r="CQ34" s="60"/>
      <c r="CR34" s="73"/>
      <c r="CT34" s="240"/>
      <c r="CZ34" s="60">
        <f t="shared" si="15"/>
        <v>22</v>
      </c>
      <c r="DA34" s="73" t="s">
        <v>11</v>
      </c>
      <c r="DB34" s="118">
        <f>'[1]actual'!$I$28</f>
        <v>22046759.35</v>
      </c>
      <c r="DC34" s="8"/>
      <c r="DD34" s="8"/>
      <c r="DE34" s="8"/>
      <c r="DF34" s="8"/>
      <c r="DG34" s="8"/>
      <c r="DH34" s="8"/>
      <c r="DI34" s="60">
        <f t="shared" si="16"/>
        <v>22</v>
      </c>
      <c r="DJ34" s="73" t="s">
        <v>11</v>
      </c>
      <c r="DK34" s="118">
        <f>AM13+AM16+AM18+AM21+AM25</f>
        <v>-4292916.82</v>
      </c>
      <c r="DL34" s="8"/>
      <c r="DM34" s="8">
        <f>-AV17</f>
        <v>47007</v>
      </c>
      <c r="DN34" s="8"/>
      <c r="DO34" s="8"/>
      <c r="DP34" s="8">
        <f>+BJ21</f>
        <v>0</v>
      </c>
      <c r="DQ34" s="8">
        <f>-BN19</f>
        <v>0.2789000002667308</v>
      </c>
      <c r="DR34" s="60">
        <f t="shared" si="17"/>
        <v>22</v>
      </c>
      <c r="DS34" s="73" t="s">
        <v>11</v>
      </c>
      <c r="DT34" s="8">
        <f>-BR26</f>
        <v>0.2433510476257652</v>
      </c>
      <c r="DU34" s="8">
        <f>+BV19</f>
        <v>600922.2333333333</v>
      </c>
      <c r="DV34" s="8">
        <f>+CB13</f>
        <v>8558.43622245334</v>
      </c>
      <c r="DW34" s="8">
        <f>CG14</f>
        <v>832721.38</v>
      </c>
      <c r="DX34" s="8">
        <f>CK18</f>
        <v>-51</v>
      </c>
      <c r="DY34" s="8">
        <f>CP14</f>
        <v>3146915.49</v>
      </c>
      <c r="DZ34" s="8">
        <f>SUM(DC34:DY34)-DR34-DI34</f>
        <v>343157.24180683447</v>
      </c>
      <c r="EA34" s="8">
        <f t="shared" si="27"/>
        <v>22389916.591806836</v>
      </c>
      <c r="EB34" s="60">
        <f t="shared" si="18"/>
        <v>22</v>
      </c>
      <c r="EC34" s="73" t="s">
        <v>11</v>
      </c>
      <c r="ED34" s="8">
        <f t="shared" si="31"/>
        <v>22046759.35</v>
      </c>
      <c r="EE34" s="106">
        <f>DZ34</f>
        <v>343157.24180683447</v>
      </c>
      <c r="EF34" s="151">
        <f t="shared" si="29"/>
        <v>22389916.591806836</v>
      </c>
      <c r="EG34" s="151">
        <f>+CT22*(AC15+AC22)</f>
        <v>149452.81260000003</v>
      </c>
      <c r="EH34" s="151">
        <f t="shared" si="30"/>
        <v>22539369.404406838</v>
      </c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</row>
    <row r="35" spans="1:207" ht="12.75" customHeight="1">
      <c r="A35" s="269"/>
      <c r="B35" s="5"/>
      <c r="C35" s="5"/>
      <c r="D35" s="128"/>
      <c r="E35" s="128"/>
      <c r="F35" s="128"/>
      <c r="G35" s="60"/>
      <c r="K35" s="5"/>
      <c r="L35" s="5"/>
      <c r="P35" s="60"/>
      <c r="U35" s="60"/>
      <c r="W35" s="260"/>
      <c r="X35" s="108"/>
      <c r="AD35" s="6"/>
      <c r="AI35" s="68">
        <v>25</v>
      </c>
      <c r="AK35" s="7"/>
      <c r="AW35" s="60">
        <v>24</v>
      </c>
      <c r="AX35" s="99" t="s">
        <v>236</v>
      </c>
      <c r="AY35" s="130">
        <v>0</v>
      </c>
      <c r="BL35" s="61"/>
      <c r="BM35" s="5"/>
      <c r="BO35" s="60"/>
      <c r="CQ35" s="60"/>
      <c r="CR35" s="73"/>
      <c r="CT35" s="240"/>
      <c r="CZ35" s="60">
        <f t="shared" si="15"/>
        <v>23</v>
      </c>
      <c r="DA35" s="73" t="s">
        <v>12</v>
      </c>
      <c r="DB35" s="118">
        <f>'[1]actual'!$I$29</f>
        <v>56452198.82</v>
      </c>
      <c r="DC35" s="8"/>
      <c r="DD35" s="8">
        <f>-J21</f>
        <v>1950127</v>
      </c>
      <c r="DE35" s="8"/>
      <c r="DF35" s="8"/>
      <c r="DG35" s="8"/>
      <c r="DH35" s="8"/>
      <c r="DI35" s="60">
        <f t="shared" si="16"/>
        <v>23</v>
      </c>
      <c r="DJ35" s="73" t="s">
        <v>12</v>
      </c>
      <c r="DK35" s="118">
        <f>AM17</f>
        <v>328685.26</v>
      </c>
      <c r="DL35" s="8"/>
      <c r="DM35" s="8" t="s">
        <v>22</v>
      </c>
      <c r="DN35" s="8"/>
      <c r="DO35" s="8">
        <f>+BC15</f>
        <v>-37630.78</v>
      </c>
      <c r="DP35" s="8"/>
      <c r="DQ35" s="8"/>
      <c r="DR35" s="60">
        <f t="shared" si="17"/>
        <v>23</v>
      </c>
      <c r="DS35" s="73" t="s">
        <v>12</v>
      </c>
      <c r="DT35" s="128"/>
      <c r="DU35" s="8"/>
      <c r="DV35" s="8"/>
      <c r="DW35" s="8"/>
      <c r="DX35" s="8"/>
      <c r="DY35" s="8"/>
      <c r="DZ35" s="8">
        <f>SUM(DC35:DY35)-DR35-DI35</f>
        <v>2241181.48</v>
      </c>
      <c r="EA35" s="8">
        <f t="shared" si="27"/>
        <v>58693380.3</v>
      </c>
      <c r="EB35" s="60">
        <f t="shared" si="18"/>
        <v>23</v>
      </c>
      <c r="EC35" s="73" t="s">
        <v>12</v>
      </c>
      <c r="ED35" s="8">
        <f t="shared" si="31"/>
        <v>56452198.82</v>
      </c>
      <c r="EE35" s="106">
        <f t="shared" si="28"/>
        <v>2241181.48</v>
      </c>
      <c r="EF35" s="151">
        <f t="shared" si="29"/>
        <v>58693380.3</v>
      </c>
      <c r="EG35" s="151"/>
      <c r="EH35" s="151">
        <f t="shared" si="30"/>
        <v>58693380.3</v>
      </c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</row>
    <row r="36" spans="1:207" ht="12.75" customHeight="1">
      <c r="A36" s="269"/>
      <c r="B36" s="270"/>
      <c r="C36" s="270"/>
      <c r="D36" s="69"/>
      <c r="E36" s="5"/>
      <c r="F36" s="191"/>
      <c r="G36" s="60"/>
      <c r="K36" s="5"/>
      <c r="L36" s="5"/>
      <c r="U36" s="60"/>
      <c r="W36" s="260"/>
      <c r="X36" s="108"/>
      <c r="AD36" s="6"/>
      <c r="AE36" s="1" t="s">
        <v>165</v>
      </c>
      <c r="AI36" s="68">
        <v>26</v>
      </c>
      <c r="AJ36" s="61" t="s">
        <v>172</v>
      </c>
      <c r="AK36" s="7"/>
      <c r="AW36" s="60">
        <v>25</v>
      </c>
      <c r="AX36" s="1" t="s">
        <v>90</v>
      </c>
      <c r="AY36" s="8">
        <f>AY35-AY34</f>
        <v>-175639.34</v>
      </c>
      <c r="BO36" s="60"/>
      <c r="CQ36" s="60"/>
      <c r="CT36" s="240"/>
      <c r="CZ36" s="60">
        <f t="shared" si="15"/>
        <v>24</v>
      </c>
      <c r="DA36" s="73" t="s">
        <v>167</v>
      </c>
      <c r="DB36" s="118">
        <f>'[1]actual'!$I$30</f>
        <v>47294.45</v>
      </c>
      <c r="DC36" s="8"/>
      <c r="DD36" s="8"/>
      <c r="DE36" s="8"/>
      <c r="DF36" s="8"/>
      <c r="DG36" s="8"/>
      <c r="DH36" s="8"/>
      <c r="DI36" s="60">
        <f t="shared" si="16"/>
        <v>24</v>
      </c>
      <c r="DJ36" s="73" t="s">
        <v>167</v>
      </c>
      <c r="DK36" s="118"/>
      <c r="DL36" s="8"/>
      <c r="DM36" s="8"/>
      <c r="DN36" s="8"/>
      <c r="DO36" s="8"/>
      <c r="DP36" s="8"/>
      <c r="DQ36" s="8"/>
      <c r="DR36" s="60">
        <f t="shared" si="17"/>
        <v>24</v>
      </c>
      <c r="DS36" s="73" t="s">
        <v>167</v>
      </c>
      <c r="DT36" s="128"/>
      <c r="DU36" s="8"/>
      <c r="DV36" s="8"/>
      <c r="DW36" s="8"/>
      <c r="DX36" s="8"/>
      <c r="DY36" s="8"/>
      <c r="DZ36" s="8">
        <f>SUM(DC36:DY36)-DR36-DI36</f>
        <v>0</v>
      </c>
      <c r="EA36" s="8">
        <f t="shared" si="27"/>
        <v>47294.45</v>
      </c>
      <c r="EB36" s="60">
        <f t="shared" si="18"/>
        <v>24</v>
      </c>
      <c r="EC36" s="73" t="s">
        <v>167</v>
      </c>
      <c r="ED36" s="8">
        <f t="shared" si="31"/>
        <v>47294.45</v>
      </c>
      <c r="EE36" s="106">
        <f t="shared" si="28"/>
        <v>0</v>
      </c>
      <c r="EF36" s="151">
        <f t="shared" si="29"/>
        <v>47294.45</v>
      </c>
      <c r="EG36" s="151"/>
      <c r="EH36" s="151">
        <f t="shared" si="30"/>
        <v>47294.45</v>
      </c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</row>
    <row r="37" spans="1:207" ht="12.75" customHeight="1">
      <c r="A37" s="269"/>
      <c r="B37" s="5"/>
      <c r="C37" s="5"/>
      <c r="D37" s="110"/>
      <c r="E37" s="5"/>
      <c r="F37" s="271"/>
      <c r="G37" s="60"/>
      <c r="K37" s="5"/>
      <c r="L37" s="5"/>
      <c r="U37" s="60"/>
      <c r="W37" s="260"/>
      <c r="X37" s="108"/>
      <c r="AD37" s="6"/>
      <c r="AI37" s="68">
        <v>27</v>
      </c>
      <c r="AJ37" s="99" t="s">
        <v>239</v>
      </c>
      <c r="AK37" s="7"/>
      <c r="AM37" s="272">
        <v>-310235.08</v>
      </c>
      <c r="AW37" s="60">
        <v>26</v>
      </c>
      <c r="AX37" s="104" t="s">
        <v>190</v>
      </c>
      <c r="AY37" s="8"/>
      <c r="AZ37" s="8">
        <f>-AY36</f>
        <v>175639.34</v>
      </c>
      <c r="CQ37" s="60"/>
      <c r="CS37" s="1">
        <v>0.038435256</v>
      </c>
      <c r="CT37" s="240">
        <f>+CT31*CS37</f>
        <v>-153741.024</v>
      </c>
      <c r="CZ37" s="60">
        <f t="shared" si="15"/>
        <v>25</v>
      </c>
      <c r="DA37" s="73" t="s">
        <v>13</v>
      </c>
      <c r="DB37" s="118">
        <f>'[1]actual'!$I$31</f>
        <v>0</v>
      </c>
      <c r="DC37" s="8"/>
      <c r="DD37" s="8"/>
      <c r="DE37" s="8">
        <f>-O16</f>
        <v>0</v>
      </c>
      <c r="DF37" s="8"/>
      <c r="DG37" s="8"/>
      <c r="DH37" s="8"/>
      <c r="DI37" s="60">
        <f t="shared" si="16"/>
        <v>25</v>
      </c>
      <c r="DJ37" s="73" t="s">
        <v>13</v>
      </c>
      <c r="DK37" s="8"/>
      <c r="DL37" s="8"/>
      <c r="DM37" s="8"/>
      <c r="DN37" s="8"/>
      <c r="DO37" s="8"/>
      <c r="DP37" s="8"/>
      <c r="DQ37" s="8"/>
      <c r="DR37" s="60">
        <f t="shared" si="17"/>
        <v>25</v>
      </c>
      <c r="DS37" s="73" t="s">
        <v>13</v>
      </c>
      <c r="DT37" s="128"/>
      <c r="DU37" s="8"/>
      <c r="DV37" s="8"/>
      <c r="DW37" s="8"/>
      <c r="DX37" s="8"/>
      <c r="DY37" s="8"/>
      <c r="DZ37" s="8">
        <f>SUM(DC37:DY37)-DR37-DI37</f>
        <v>0</v>
      </c>
      <c r="EA37" s="8">
        <f t="shared" si="27"/>
        <v>0</v>
      </c>
      <c r="EB37" s="60">
        <f t="shared" si="18"/>
        <v>25</v>
      </c>
      <c r="EC37" s="73" t="s">
        <v>13</v>
      </c>
      <c r="ED37" s="8">
        <f t="shared" si="31"/>
        <v>0</v>
      </c>
      <c r="EE37" s="106">
        <f t="shared" si="28"/>
        <v>0</v>
      </c>
      <c r="EF37" s="151">
        <f t="shared" si="29"/>
        <v>0</v>
      </c>
      <c r="EG37" s="151"/>
      <c r="EH37" s="151">
        <f t="shared" si="30"/>
        <v>0</v>
      </c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</row>
    <row r="38" spans="1:207" ht="12.75" customHeight="1">
      <c r="A38" s="269"/>
      <c r="B38" s="213"/>
      <c r="C38" s="5"/>
      <c r="D38" s="5"/>
      <c r="E38" s="5"/>
      <c r="F38" s="271"/>
      <c r="G38" s="60"/>
      <c r="K38" s="5"/>
      <c r="L38" s="5"/>
      <c r="U38" s="60"/>
      <c r="W38" s="260"/>
      <c r="X38" s="108"/>
      <c r="Y38" s="273"/>
      <c r="Z38" s="273"/>
      <c r="AA38" s="273"/>
      <c r="AB38" s="273"/>
      <c r="AC38" s="273"/>
      <c r="AD38" s="274"/>
      <c r="AI38" s="68">
        <v>28</v>
      </c>
      <c r="AJ38" s="1" t="s">
        <v>240</v>
      </c>
      <c r="AK38" s="275"/>
      <c r="AL38" s="246"/>
      <c r="AM38" s="8">
        <v>1132313.53</v>
      </c>
      <c r="AW38" s="60">
        <v>27</v>
      </c>
      <c r="BM38" s="276"/>
      <c r="BN38" s="276"/>
      <c r="BO38" s="276"/>
      <c r="CQ38" s="60"/>
      <c r="CS38" s="1">
        <v>0.03692</v>
      </c>
      <c r="CT38" s="240">
        <f>+CT31*CS38</f>
        <v>-147680</v>
      </c>
      <c r="CZ38" s="60">
        <f t="shared" si="15"/>
        <v>26</v>
      </c>
      <c r="DA38" s="73" t="s">
        <v>14</v>
      </c>
      <c r="DB38" s="118">
        <f>'[1]actual'!$I$32</f>
        <v>71223932.45</v>
      </c>
      <c r="DC38" s="8">
        <f>F25</f>
        <v>-12315764.455300737</v>
      </c>
      <c r="DD38" s="8"/>
      <c r="DE38" s="8"/>
      <c r="DF38" s="8"/>
      <c r="DG38" s="8"/>
      <c r="DH38" s="8"/>
      <c r="DI38" s="60">
        <f t="shared" si="16"/>
        <v>26</v>
      </c>
      <c r="DJ38" s="73" t="s">
        <v>14</v>
      </c>
      <c r="DK38" s="118">
        <f>AM14</f>
        <v>-61303.95999999999</v>
      </c>
      <c r="DL38" s="8">
        <f>AR14</f>
        <v>88578.65000000037</v>
      </c>
      <c r="DM38" s="8"/>
      <c r="DN38" s="8"/>
      <c r="DO38" s="8"/>
      <c r="DP38" s="8">
        <f>+BJ29</f>
        <v>0</v>
      </c>
      <c r="DQ38" s="8"/>
      <c r="DR38" s="60">
        <f t="shared" si="17"/>
        <v>26</v>
      </c>
      <c r="DS38" s="73" t="s">
        <v>14</v>
      </c>
      <c r="DT38" s="128"/>
      <c r="DU38" s="8"/>
      <c r="DV38" s="8"/>
      <c r="DW38" s="8"/>
      <c r="DX38" s="8">
        <f>CK14</f>
        <v>1191466.7800000012</v>
      </c>
      <c r="DY38" s="8"/>
      <c r="DZ38" s="8">
        <f>SUM(DC38:DY38)-DR38-DI38</f>
        <v>-11097022.985300737</v>
      </c>
      <c r="EA38" s="8">
        <f t="shared" si="27"/>
        <v>60126909.46469927</v>
      </c>
      <c r="EB38" s="60">
        <f t="shared" si="18"/>
        <v>26</v>
      </c>
      <c r="EC38" s="73" t="s">
        <v>14</v>
      </c>
      <c r="ED38" s="8">
        <f t="shared" si="31"/>
        <v>71223932.45</v>
      </c>
      <c r="EE38" s="106">
        <f>DZ38</f>
        <v>-11097022.985300737</v>
      </c>
      <c r="EF38" s="151">
        <f t="shared" si="29"/>
        <v>60126909.46469927</v>
      </c>
      <c r="EG38" s="151">
        <f>+CT22*(AC20+AC21)</f>
        <v>2681441.6555697685</v>
      </c>
      <c r="EH38" s="151">
        <f t="shared" si="30"/>
        <v>62808351.12026904</v>
      </c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</row>
    <row r="39" spans="1:207" ht="12.75" customHeight="1">
      <c r="A39" s="269"/>
      <c r="B39" s="213"/>
      <c r="C39" s="5"/>
      <c r="D39" s="5"/>
      <c r="E39" s="5"/>
      <c r="F39" s="277"/>
      <c r="G39" s="60"/>
      <c r="I39" s="278"/>
      <c r="K39" s="5"/>
      <c r="L39" s="5"/>
      <c r="U39" s="60"/>
      <c r="W39" s="260"/>
      <c r="X39" s="108"/>
      <c r="AD39" s="6"/>
      <c r="AI39" s="68">
        <v>29</v>
      </c>
      <c r="AJ39" s="1" t="s">
        <v>242</v>
      </c>
      <c r="AK39" s="146"/>
      <c r="AL39" s="146"/>
      <c r="AM39" s="258">
        <v>-328685</v>
      </c>
      <c r="AW39" s="60">
        <v>28</v>
      </c>
      <c r="AX39" s="279"/>
      <c r="AY39" s="280"/>
      <c r="AZ39" s="123"/>
      <c r="BL39" s="281"/>
      <c r="BM39" s="191"/>
      <c r="BN39" s="191"/>
      <c r="BO39" s="191"/>
      <c r="CQ39" s="60"/>
      <c r="CS39" s="1">
        <v>0.002</v>
      </c>
      <c r="CT39" s="240">
        <f>+CT31*CS39</f>
        <v>-8000</v>
      </c>
      <c r="CZ39" s="60">
        <f t="shared" si="15"/>
        <v>27</v>
      </c>
      <c r="DA39" s="73" t="s">
        <v>15</v>
      </c>
      <c r="DB39" s="118">
        <f>'[1]actual'!$I$33</f>
        <v>6576888.9</v>
      </c>
      <c r="DC39" s="8">
        <f>F28</f>
        <v>-1632776.617997919</v>
      </c>
      <c r="DD39" s="8"/>
      <c r="DE39" s="8">
        <f>O18</f>
        <v>0</v>
      </c>
      <c r="DF39" s="8">
        <f>T29</f>
        <v>489961</v>
      </c>
      <c r="DG39" s="8">
        <f>+X27</f>
        <v>3319066.453427776</v>
      </c>
      <c r="DH39" s="8">
        <f>AH18</f>
        <v>30536.051000000032</v>
      </c>
      <c r="DI39" s="60">
        <f t="shared" si="16"/>
        <v>27</v>
      </c>
      <c r="DJ39" s="73" t="s">
        <v>15</v>
      </c>
      <c r="DK39" s="118">
        <f>AM32</f>
        <v>3171846</v>
      </c>
      <c r="DL39" s="8">
        <f>AR16</f>
        <v>-31002.527500000127</v>
      </c>
      <c r="DM39" s="8">
        <f>AV19</f>
        <v>-16452.45</v>
      </c>
      <c r="DN39" s="8">
        <f>AZ41</f>
        <v>48633.04016666667</v>
      </c>
      <c r="DO39" s="8">
        <f>+BC17</f>
        <v>13170.773</v>
      </c>
      <c r="DP39" s="8">
        <f>BJ33</f>
        <v>0</v>
      </c>
      <c r="DQ39" s="8">
        <f>BN21</f>
        <v>-0.09761500009335577</v>
      </c>
      <c r="DR39" s="60">
        <f t="shared" si="17"/>
        <v>27</v>
      </c>
      <c r="DS39" s="73" t="s">
        <v>15</v>
      </c>
      <c r="DT39" s="8">
        <f>BR28</f>
        <v>0</v>
      </c>
      <c r="DU39" s="8">
        <f>+BV21</f>
        <v>-210323</v>
      </c>
      <c r="DV39" s="8">
        <f>+CB16</f>
        <v>-111132.59333535773</v>
      </c>
      <c r="DW39" s="8">
        <f>CG17</f>
        <v>-291452.483</v>
      </c>
      <c r="DX39" s="8">
        <f>CK22</f>
        <v>-416995.5230000004</v>
      </c>
      <c r="DY39" s="8">
        <f>CP17</f>
        <v>-1101420.4215</v>
      </c>
      <c r="DZ39" s="8">
        <f>SUM(DC39:DY39)-DR39-DI39</f>
        <v>3261657.6036461666</v>
      </c>
      <c r="EA39" s="8">
        <f t="shared" si="27"/>
        <v>9838546.503646167</v>
      </c>
      <c r="EB39" s="60">
        <f t="shared" si="18"/>
        <v>27</v>
      </c>
      <c r="EC39" s="73" t="s">
        <v>15</v>
      </c>
      <c r="ED39" s="8">
        <f t="shared" si="31"/>
        <v>6576888.9</v>
      </c>
      <c r="EE39" s="106">
        <f>DZ39</f>
        <v>3261657.6036461666</v>
      </c>
      <c r="EF39" s="151">
        <f t="shared" si="29"/>
        <v>9838546.503646167</v>
      </c>
      <c r="EG39" s="151">
        <f>+CT22*AC24</f>
        <v>11463587.98614058</v>
      </c>
      <c r="EH39" s="151">
        <f t="shared" si="30"/>
        <v>21302134.489786748</v>
      </c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</row>
    <row r="40" spans="1:207" ht="12.75" customHeight="1">
      <c r="A40" s="269"/>
      <c r="B40" s="5"/>
      <c r="C40" s="213"/>
      <c r="D40" s="5"/>
      <c r="E40" s="5"/>
      <c r="F40" s="271"/>
      <c r="G40" s="60"/>
      <c r="I40" s="278"/>
      <c r="K40" s="5"/>
      <c r="L40" s="5"/>
      <c r="U40" s="60"/>
      <c r="W40" s="260"/>
      <c r="X40" s="108"/>
      <c r="AD40" s="6"/>
      <c r="AI40" s="68">
        <v>30</v>
      </c>
      <c r="AJ40" s="1" t="s">
        <v>269</v>
      </c>
      <c r="AK40" s="146"/>
      <c r="AL40" s="146"/>
      <c r="AM40" s="258">
        <v>488532.18</v>
      </c>
      <c r="AW40" s="60">
        <v>29</v>
      </c>
      <c r="AX40" s="99" t="s">
        <v>126</v>
      </c>
      <c r="AY40" s="280"/>
      <c r="AZ40" s="282">
        <f>AZ16+AZ21+AZ32+AZ37</f>
        <v>138951.54333333336</v>
      </c>
      <c r="BL40" s="281"/>
      <c r="BM40" s="191"/>
      <c r="BN40" s="191"/>
      <c r="BO40" s="191"/>
      <c r="CQ40" s="60"/>
      <c r="CR40" s="14"/>
      <c r="CT40" s="240"/>
      <c r="CZ40" s="60">
        <f t="shared" si="15"/>
        <v>28</v>
      </c>
      <c r="DA40" s="1" t="s">
        <v>16</v>
      </c>
      <c r="DB40" s="114">
        <f>'[1]actual'!$I$34</f>
        <v>2270533</v>
      </c>
      <c r="DC40" s="8"/>
      <c r="DD40" s="8"/>
      <c r="DE40" s="8"/>
      <c r="DF40" s="8">
        <f>T30+T31</f>
        <v>-152883</v>
      </c>
      <c r="DG40" s="8"/>
      <c r="DH40" s="8"/>
      <c r="DI40" s="60">
        <f t="shared" si="16"/>
        <v>28</v>
      </c>
      <c r="DJ40" s="1" t="s">
        <v>16</v>
      </c>
      <c r="DK40" s="8"/>
      <c r="DL40" s="118"/>
      <c r="DM40" s="8"/>
      <c r="DN40" s="130"/>
      <c r="DO40" s="130"/>
      <c r="DP40" s="130"/>
      <c r="DQ40" s="130"/>
      <c r="DR40" s="60">
        <f t="shared" si="17"/>
        <v>28</v>
      </c>
      <c r="DS40" s="1" t="s">
        <v>16</v>
      </c>
      <c r="DT40" s="130"/>
      <c r="DU40" s="130"/>
      <c r="DV40" s="130"/>
      <c r="DW40" s="130"/>
      <c r="DX40" s="130"/>
      <c r="DY40" s="130"/>
      <c r="DZ40" s="130">
        <f>SUM(DC40:DY40)-DR40-DI40</f>
        <v>-152883</v>
      </c>
      <c r="EA40" s="130">
        <f t="shared" si="27"/>
        <v>2117650</v>
      </c>
      <c r="EB40" s="60">
        <f t="shared" si="18"/>
        <v>28</v>
      </c>
      <c r="EC40" s="1" t="s">
        <v>16</v>
      </c>
      <c r="ED40" s="130">
        <f t="shared" si="31"/>
        <v>2270533</v>
      </c>
      <c r="EE40" s="160">
        <f t="shared" si="28"/>
        <v>-152883</v>
      </c>
      <c r="EF40" s="161">
        <f t="shared" si="29"/>
        <v>2117650</v>
      </c>
      <c r="EG40" s="161"/>
      <c r="EH40" s="161">
        <f t="shared" si="30"/>
        <v>2117650</v>
      </c>
      <c r="EI40" s="162"/>
      <c r="EJ40" s="162"/>
      <c r="EK40" s="162" t="s">
        <v>22</v>
      </c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</row>
    <row r="41" spans="1:207" ht="12.75" customHeight="1">
      <c r="A41" s="269"/>
      <c r="B41" s="5"/>
      <c r="C41" s="5"/>
      <c r="D41" s="5"/>
      <c r="E41" s="5"/>
      <c r="F41" s="5"/>
      <c r="G41" s="60"/>
      <c r="I41" s="278"/>
      <c r="K41" s="5"/>
      <c r="L41" s="5"/>
      <c r="U41" s="60"/>
      <c r="W41" s="260"/>
      <c r="X41" s="108"/>
      <c r="AD41" s="6"/>
      <c r="AI41" s="68">
        <v>31</v>
      </c>
      <c r="AJ41" s="1" t="s">
        <v>318</v>
      </c>
      <c r="AM41" s="8">
        <v>-8403210</v>
      </c>
      <c r="AW41" s="60">
        <v>30</v>
      </c>
      <c r="AX41" s="99" t="s">
        <v>282</v>
      </c>
      <c r="AY41" s="283">
        <v>0.35</v>
      </c>
      <c r="AZ41" s="123">
        <f>AZ40*AY41</f>
        <v>48633.04016666667</v>
      </c>
      <c r="BL41" s="281"/>
      <c r="BM41" s="191"/>
      <c r="BN41" s="191"/>
      <c r="BO41" s="191"/>
      <c r="CQ41" s="60"/>
      <c r="CS41" s="1">
        <v>0.3221556604</v>
      </c>
      <c r="CT41" s="240">
        <f>+CT31*CS41</f>
        <v>-1288622.6416</v>
      </c>
      <c r="CZ41" s="60">
        <f t="shared" si="15"/>
        <v>29</v>
      </c>
      <c r="DA41" s="73" t="s">
        <v>17</v>
      </c>
      <c r="DB41" s="222">
        <f aca="true" t="shared" si="32" ref="DB41:DG41">SUM(DB26:DB40)</f>
        <v>705475546.9500002</v>
      </c>
      <c r="DC41" s="222">
        <f t="shared" si="32"/>
        <v>-156178142.004462</v>
      </c>
      <c r="DD41" s="222">
        <f t="shared" si="32"/>
        <v>1950127</v>
      </c>
      <c r="DE41" s="222">
        <f t="shared" si="32"/>
        <v>0</v>
      </c>
      <c r="DF41" s="222">
        <f t="shared" si="32"/>
        <v>337078</v>
      </c>
      <c r="DG41" s="222">
        <f t="shared" si="32"/>
        <v>3319066.453427776</v>
      </c>
      <c r="DH41" s="222">
        <f>SUM(DH26:DH40)</f>
        <v>-56709.80900000007</v>
      </c>
      <c r="DI41" s="60">
        <f t="shared" si="16"/>
        <v>29</v>
      </c>
      <c r="DJ41" s="73" t="s">
        <v>17</v>
      </c>
      <c r="DK41" s="222">
        <f aca="true" t="shared" si="33" ref="DK41:DQ41">SUM(DK26:DK40)</f>
        <v>-5890571.130000001</v>
      </c>
      <c r="DL41" s="222">
        <f t="shared" si="33"/>
        <v>57576.122500000245</v>
      </c>
      <c r="DM41" s="222">
        <f t="shared" si="33"/>
        <v>30554.55</v>
      </c>
      <c r="DN41" s="222">
        <f t="shared" si="33"/>
        <v>-90318.50316666669</v>
      </c>
      <c r="DO41" s="222">
        <f t="shared" si="33"/>
        <v>-24460.006999999998</v>
      </c>
      <c r="DP41" s="222">
        <f>SUM(DP26:DP40)</f>
        <v>0</v>
      </c>
      <c r="DQ41" s="222">
        <f t="shared" si="33"/>
        <v>0.181285000173375</v>
      </c>
      <c r="DR41" s="60">
        <f t="shared" si="17"/>
        <v>29</v>
      </c>
      <c r="DS41" s="73" t="s">
        <v>17</v>
      </c>
      <c r="DT41" s="112">
        <f aca="true" t="shared" si="34" ref="DT41:EA41">SUM(DT26:DT40)</f>
        <v>0.2433510476257652</v>
      </c>
      <c r="DU41" s="112">
        <f t="shared" si="34"/>
        <v>390599.2333333333</v>
      </c>
      <c r="DV41" s="112">
        <f t="shared" si="34"/>
        <v>206389.1019085215</v>
      </c>
      <c r="DW41" s="112">
        <f t="shared" si="34"/>
        <v>541268.897</v>
      </c>
      <c r="DX41" s="112">
        <f t="shared" si="34"/>
        <v>774420.2570000008</v>
      </c>
      <c r="DY41" s="112">
        <f t="shared" si="34"/>
        <v>2045495.0685000003</v>
      </c>
      <c r="DZ41" s="112">
        <f t="shared" si="34"/>
        <v>-152587626.345323</v>
      </c>
      <c r="EA41" s="112">
        <f t="shared" si="34"/>
        <v>552887920.604677</v>
      </c>
      <c r="EB41" s="60">
        <f t="shared" si="18"/>
        <v>29</v>
      </c>
      <c r="EC41" s="73" t="s">
        <v>17</v>
      </c>
      <c r="ED41" s="222">
        <f>SUM(ED26:ED40)</f>
        <v>705475546.9500002</v>
      </c>
      <c r="EE41" s="222">
        <f>SUM(EE26:EE40)</f>
        <v>-152587626.345323</v>
      </c>
      <c r="EF41" s="222">
        <f>SUM(EF26:EF40)</f>
        <v>552887920.604677</v>
      </c>
      <c r="EG41" s="222">
        <f>SUM(EG26:EG40)</f>
        <v>14294482.45431035</v>
      </c>
      <c r="EH41" s="222">
        <f>SUM(EH26:EH40)</f>
        <v>567182403.0589874</v>
      </c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</row>
    <row r="42" spans="1:207" ht="12.75" customHeight="1">
      <c r="A42" s="269"/>
      <c r="B42" s="5"/>
      <c r="C42" s="5"/>
      <c r="D42" s="5"/>
      <c r="E42" s="5"/>
      <c r="F42" s="5"/>
      <c r="K42" s="5"/>
      <c r="L42" s="5"/>
      <c r="U42" s="60"/>
      <c r="W42" s="260"/>
      <c r="X42" s="108"/>
      <c r="AD42" s="6"/>
      <c r="AI42" s="68">
        <v>32</v>
      </c>
      <c r="AJ42" s="284" t="s">
        <v>191</v>
      </c>
      <c r="AK42" s="250"/>
      <c r="AL42" s="5"/>
      <c r="AM42" s="204">
        <f>SUM(AM37:AM41)</f>
        <v>-7421284.37</v>
      </c>
      <c r="AW42" s="60">
        <v>31</v>
      </c>
      <c r="BL42" s="281"/>
      <c r="BM42" s="191"/>
      <c r="BN42" s="191"/>
      <c r="BO42" s="191"/>
      <c r="CQ42" s="60"/>
      <c r="CT42" s="240" t="s">
        <v>22</v>
      </c>
      <c r="CZ42" s="60">
        <f t="shared" si="15"/>
        <v>30</v>
      </c>
      <c r="DB42" s="112"/>
      <c r="DC42" s="285" t="s">
        <v>22</v>
      </c>
      <c r="DD42" s="285" t="s">
        <v>22</v>
      </c>
      <c r="DE42" s="112"/>
      <c r="DF42" s="285" t="s">
        <v>22</v>
      </c>
      <c r="DG42" s="285" t="s">
        <v>22</v>
      </c>
      <c r="DH42" s="285" t="s">
        <v>22</v>
      </c>
      <c r="DI42" s="60">
        <f t="shared" si="16"/>
        <v>30</v>
      </c>
      <c r="DK42" s="286"/>
      <c r="DL42" s="287"/>
      <c r="DM42" s="287" t="s">
        <v>22</v>
      </c>
      <c r="DN42" s="7"/>
      <c r="DO42" s="7"/>
      <c r="DP42" s="7"/>
      <c r="DQ42" s="7"/>
      <c r="DR42" s="60">
        <f t="shared" si="17"/>
        <v>30</v>
      </c>
      <c r="DT42" s="7"/>
      <c r="DU42" s="167" t="s">
        <v>22</v>
      </c>
      <c r="DV42" s="167" t="s">
        <v>22</v>
      </c>
      <c r="DW42" s="167"/>
      <c r="DX42" s="167"/>
      <c r="DY42" s="167"/>
      <c r="DZ42" s="89"/>
      <c r="EA42" s="89"/>
      <c r="EB42" s="60">
        <f t="shared" si="18"/>
        <v>30</v>
      </c>
      <c r="ED42" s="112"/>
      <c r="EE42" s="112"/>
      <c r="EF42" s="112" t="s">
        <v>22</v>
      </c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</row>
    <row r="43" spans="1:207" ht="12.75" customHeight="1">
      <c r="A43" s="269"/>
      <c r="B43" s="110"/>
      <c r="C43" s="110"/>
      <c r="D43" s="110"/>
      <c r="E43" s="260"/>
      <c r="F43" s="288"/>
      <c r="K43" s="5"/>
      <c r="L43" s="5"/>
      <c r="U43" s="60"/>
      <c r="W43" s="260"/>
      <c r="X43" s="108"/>
      <c r="AD43" s="6"/>
      <c r="AW43" s="60">
        <v>32</v>
      </c>
      <c r="AX43" s="73" t="s">
        <v>114</v>
      </c>
      <c r="AY43" s="280"/>
      <c r="AZ43" s="289">
        <f>AZ40-AZ41</f>
        <v>90318.50316666669</v>
      </c>
      <c r="BL43" s="281"/>
      <c r="BM43" s="191"/>
      <c r="BN43" s="191"/>
      <c r="BO43" s="191"/>
      <c r="CQ43" s="60"/>
      <c r="CR43" s="73"/>
      <c r="CT43" s="240">
        <v>-2393156</v>
      </c>
      <c r="CZ43" s="60">
        <f t="shared" si="15"/>
        <v>31</v>
      </c>
      <c r="DA43" s="73" t="s">
        <v>18</v>
      </c>
      <c r="DB43" s="84">
        <f aca="true" t="shared" si="35" ref="DB43:DH43">DB17-DB41</f>
        <v>70631327.98999977</v>
      </c>
      <c r="DC43" s="84">
        <f t="shared" si="35"/>
        <v>-3032299.433424711</v>
      </c>
      <c r="DD43" s="84">
        <f t="shared" si="35"/>
        <v>-1950127</v>
      </c>
      <c r="DE43" s="84">
        <f t="shared" si="35"/>
        <v>0</v>
      </c>
      <c r="DF43" s="84">
        <f t="shared" si="35"/>
        <v>-337078</v>
      </c>
      <c r="DG43" s="84">
        <f t="shared" si="35"/>
        <v>-3319066.453427776</v>
      </c>
      <c r="DH43" s="84">
        <f t="shared" si="35"/>
        <v>56709.80900000007</v>
      </c>
      <c r="DI43" s="60">
        <f t="shared" si="16"/>
        <v>31</v>
      </c>
      <c r="DJ43" s="73" t="s">
        <v>18</v>
      </c>
      <c r="DK43" s="90">
        <f aca="true" t="shared" si="36" ref="DK43:DQ43">DK17-DK41</f>
        <v>5890571.130000001</v>
      </c>
      <c r="DL43" s="90">
        <f t="shared" si="36"/>
        <v>-57576.122500000245</v>
      </c>
      <c r="DM43" s="90">
        <f t="shared" si="36"/>
        <v>-30554.55</v>
      </c>
      <c r="DN43" s="90">
        <f t="shared" si="36"/>
        <v>90318.50316666669</v>
      </c>
      <c r="DO43" s="90">
        <f t="shared" si="36"/>
        <v>24460.006999999998</v>
      </c>
      <c r="DP43" s="90">
        <f t="shared" si="36"/>
        <v>0</v>
      </c>
      <c r="DQ43" s="90">
        <f t="shared" si="36"/>
        <v>-0.181285000173375</v>
      </c>
      <c r="DR43" s="60">
        <f t="shared" si="17"/>
        <v>31</v>
      </c>
      <c r="DS43" s="73" t="s">
        <v>18</v>
      </c>
      <c r="DT43" s="111">
        <f aca="true" t="shared" si="37" ref="DT43:EA43">DT17-DT41</f>
        <v>-0.2433510476257652</v>
      </c>
      <c r="DU43" s="111">
        <f t="shared" si="37"/>
        <v>-390599.2333333333</v>
      </c>
      <c r="DV43" s="111">
        <f t="shared" si="37"/>
        <v>-206389.1019085215</v>
      </c>
      <c r="DW43" s="111">
        <f t="shared" si="37"/>
        <v>-541268.897</v>
      </c>
      <c r="DX43" s="111">
        <f t="shared" si="37"/>
        <v>-774420.2570000008</v>
      </c>
      <c r="DY43" s="111">
        <f t="shared" si="37"/>
        <v>-2045495.0685000003</v>
      </c>
      <c r="DZ43" s="111">
        <f t="shared" si="37"/>
        <v>-6622815.092563719</v>
      </c>
      <c r="EA43" s="111">
        <f t="shared" si="37"/>
        <v>64008512.89743626</v>
      </c>
      <c r="EB43" s="60">
        <f t="shared" si="18"/>
        <v>31</v>
      </c>
      <c r="EC43" s="1" t="str">
        <f>DA43</f>
        <v>NET OPERATING INCOME</v>
      </c>
      <c r="ED43" s="84">
        <f>ED17-ED41</f>
        <v>70631327.98999977</v>
      </c>
      <c r="EE43" s="84">
        <f>EE17-EE41</f>
        <v>-6622815.092563719</v>
      </c>
      <c r="EF43" s="84">
        <f>EF17-EF41</f>
        <v>64008512.89743626</v>
      </c>
      <c r="EG43" s="84">
        <f>EG17-EG41</f>
        <v>21289520.54568965</v>
      </c>
      <c r="EH43" s="84">
        <f>EH17-EH41</f>
        <v>85298033.44312584</v>
      </c>
      <c r="EI43" s="84" t="s">
        <v>22</v>
      </c>
      <c r="EJ43" s="84" t="s">
        <v>22</v>
      </c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</row>
    <row r="44" spans="1:207" ht="12.75" customHeight="1">
      <c r="A44" s="269"/>
      <c r="B44" s="110"/>
      <c r="C44" s="110"/>
      <c r="D44" s="110"/>
      <c r="E44" s="260"/>
      <c r="F44" s="288"/>
      <c r="G44" s="9"/>
      <c r="K44" s="5"/>
      <c r="L44" s="5"/>
      <c r="U44" s="60"/>
      <c r="W44" s="260"/>
      <c r="X44" s="108"/>
      <c r="AD44" s="6"/>
      <c r="BL44" s="281"/>
      <c r="BM44" s="191"/>
      <c r="BN44" s="191"/>
      <c r="BO44" s="191"/>
      <c r="CQ44" s="60"/>
      <c r="CR44" s="73"/>
      <c r="CS44" s="89"/>
      <c r="CT44" s="8" t="s">
        <v>22</v>
      </c>
      <c r="CZ44" s="60">
        <f t="shared" si="15"/>
        <v>32</v>
      </c>
      <c r="DB44" s="112"/>
      <c r="DC44" s="112"/>
      <c r="DD44" s="112"/>
      <c r="DE44" s="112"/>
      <c r="DF44" s="112"/>
      <c r="DG44" s="112"/>
      <c r="DH44" s="112"/>
      <c r="DI44" s="60">
        <f t="shared" si="16"/>
        <v>32</v>
      </c>
      <c r="DK44" s="112"/>
      <c r="DL44" s="112"/>
      <c r="DM44" s="112"/>
      <c r="DN44" s="184" t="s">
        <v>22</v>
      </c>
      <c r="DO44" s="184" t="s">
        <v>22</v>
      </c>
      <c r="DP44" s="184" t="s">
        <v>22</v>
      </c>
      <c r="DQ44" s="184" t="s">
        <v>22</v>
      </c>
      <c r="DR44" s="60">
        <f t="shared" si="17"/>
        <v>32</v>
      </c>
      <c r="DT44" s="184" t="s">
        <v>22</v>
      </c>
      <c r="DZ44" s="89"/>
      <c r="EA44" s="89"/>
      <c r="EB44" s="60">
        <f t="shared" si="18"/>
        <v>32</v>
      </c>
      <c r="EC44" s="73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285"/>
      <c r="FG44" s="285"/>
      <c r="FH44" s="285"/>
      <c r="FI44" s="285"/>
      <c r="FJ44" s="285"/>
      <c r="FK44" s="285"/>
      <c r="FL44" s="285"/>
      <c r="FM44" s="285"/>
      <c r="FN44" s="285"/>
      <c r="FO44" s="285"/>
      <c r="FP44" s="285"/>
      <c r="FQ44" s="285"/>
      <c r="FR44" s="285"/>
      <c r="FS44" s="285"/>
      <c r="FT44" s="285"/>
      <c r="FU44" s="285"/>
      <c r="FV44" s="285"/>
      <c r="FW44" s="285"/>
      <c r="FX44" s="285"/>
      <c r="FY44" s="285"/>
      <c r="FZ44" s="285"/>
      <c r="GA44" s="285"/>
      <c r="GB44" s="285"/>
      <c r="GC44" s="285"/>
      <c r="GD44" s="285"/>
      <c r="GE44" s="285"/>
      <c r="GF44" s="285"/>
      <c r="GG44" s="285"/>
      <c r="GH44" s="285"/>
      <c r="GI44" s="285"/>
      <c r="GJ44" s="285"/>
      <c r="GK44" s="285"/>
      <c r="GL44" s="285"/>
      <c r="GM44" s="285"/>
      <c r="GN44" s="285"/>
      <c r="GO44" s="285"/>
      <c r="GP44" s="285"/>
      <c r="GQ44" s="285"/>
      <c r="GR44" s="285"/>
      <c r="GS44" s="285"/>
      <c r="GT44" s="285"/>
      <c r="GU44" s="285"/>
      <c r="GV44" s="285"/>
      <c r="GW44" s="285"/>
      <c r="GX44" s="285"/>
      <c r="GY44" s="285"/>
    </row>
    <row r="45" spans="1:207" ht="12.75" customHeight="1">
      <c r="A45" s="269"/>
      <c r="B45" s="110"/>
      <c r="C45" s="110"/>
      <c r="D45" s="110"/>
      <c r="E45" s="260"/>
      <c r="F45" s="191"/>
      <c r="G45" s="9"/>
      <c r="K45" s="5"/>
      <c r="L45" s="5"/>
      <c r="U45" s="60"/>
      <c r="W45" s="260"/>
      <c r="X45" s="108"/>
      <c r="AD45" s="6"/>
      <c r="AW45" s="60"/>
      <c r="AX45" s="110"/>
      <c r="AY45" s="5"/>
      <c r="AZ45" s="128"/>
      <c r="BL45" s="281"/>
      <c r="BM45" s="191"/>
      <c r="BN45" s="191"/>
      <c r="BO45" s="191"/>
      <c r="CQ45" s="60"/>
      <c r="CT45" s="8"/>
      <c r="CZ45" s="60">
        <f t="shared" si="15"/>
        <v>33</v>
      </c>
      <c r="DA45" s="73" t="s">
        <v>19</v>
      </c>
      <c r="DB45" s="84">
        <f>ED56</f>
        <v>984216088</v>
      </c>
      <c r="DC45" s="112"/>
      <c r="DD45" s="112">
        <f>J25</f>
        <v>-975063</v>
      </c>
      <c r="DE45" s="112"/>
      <c r="DF45" s="112"/>
      <c r="DG45" s="112"/>
      <c r="DH45" s="112"/>
      <c r="DI45" s="60">
        <f t="shared" si="16"/>
        <v>33</v>
      </c>
      <c r="DJ45" s="73" t="s">
        <v>19</v>
      </c>
      <c r="DK45" s="112">
        <f>AM42</f>
        <v>-7421284.37</v>
      </c>
      <c r="DL45" s="112"/>
      <c r="DM45" s="112"/>
      <c r="DN45" s="125"/>
      <c r="DO45" s="112">
        <f>+BC26</f>
        <v>-1777881.4000000001</v>
      </c>
      <c r="DP45" s="125"/>
      <c r="DQ45" s="111"/>
      <c r="DR45" s="60">
        <f t="shared" si="17"/>
        <v>33</v>
      </c>
      <c r="DS45" s="73" t="s">
        <v>19</v>
      </c>
      <c r="DT45" s="7"/>
      <c r="DU45" s="89"/>
      <c r="DV45" s="89"/>
      <c r="DW45" s="89"/>
      <c r="DX45" s="89"/>
      <c r="DY45" s="89"/>
      <c r="DZ45" s="112">
        <f>SUM(DC45:DY45)-DR45-DI45</f>
        <v>-10174228.770000001</v>
      </c>
      <c r="EA45" s="112">
        <f>DB45+DZ45</f>
        <v>974041859.23</v>
      </c>
      <c r="EB45" s="60">
        <f t="shared" si="18"/>
        <v>33</v>
      </c>
      <c r="EC45" s="73" t="s">
        <v>19</v>
      </c>
      <c r="ED45" s="112">
        <f>DB45</f>
        <v>984216088</v>
      </c>
      <c r="EE45" s="290">
        <f>DZ45</f>
        <v>-10174228.770000001</v>
      </c>
      <c r="EF45" s="112">
        <f>+ED45+EE45</f>
        <v>974041859.23</v>
      </c>
      <c r="EG45" s="112">
        <v>0</v>
      </c>
      <c r="EH45" s="112">
        <f>+EF45+EG45</f>
        <v>974041859.23</v>
      </c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</row>
    <row r="46" spans="1:132" ht="12.75" customHeight="1">
      <c r="A46" s="269"/>
      <c r="B46" s="110"/>
      <c r="C46" s="110"/>
      <c r="D46" s="110"/>
      <c r="E46" s="260"/>
      <c r="F46" s="191"/>
      <c r="G46" s="9"/>
      <c r="K46" s="5"/>
      <c r="L46" s="5"/>
      <c r="U46" s="60"/>
      <c r="W46" s="260"/>
      <c r="X46" s="108"/>
      <c r="AD46" s="6"/>
      <c r="AW46" s="60"/>
      <c r="BL46" s="281"/>
      <c r="BM46" s="191"/>
      <c r="BN46" s="191"/>
      <c r="BO46" s="191"/>
      <c r="CQ46" s="60"/>
      <c r="CT46" s="8"/>
      <c r="CZ46" s="60">
        <f t="shared" si="15"/>
        <v>34</v>
      </c>
      <c r="DI46" s="60">
        <f t="shared" si="16"/>
        <v>34</v>
      </c>
      <c r="DN46" s="7"/>
      <c r="DO46" s="7"/>
      <c r="DP46" s="5"/>
      <c r="DQ46" s="5"/>
      <c r="DR46" s="60">
        <f t="shared" si="17"/>
        <v>34</v>
      </c>
      <c r="DT46" s="5"/>
      <c r="DZ46" s="89"/>
      <c r="EA46" s="89"/>
      <c r="EB46" s="60">
        <f t="shared" si="18"/>
        <v>34</v>
      </c>
    </row>
    <row r="47" spans="1:207" ht="12.75" customHeight="1">
      <c r="A47" s="269"/>
      <c r="B47" s="110"/>
      <c r="C47" s="110"/>
      <c r="D47" s="110"/>
      <c r="E47" s="260"/>
      <c r="F47" s="191"/>
      <c r="G47" s="9"/>
      <c r="K47" s="5"/>
      <c r="L47" s="5"/>
      <c r="U47" s="60"/>
      <c r="W47" s="260"/>
      <c r="X47" s="108"/>
      <c r="AD47" s="6"/>
      <c r="AW47" s="60"/>
      <c r="BL47" s="281"/>
      <c r="BM47" s="191"/>
      <c r="BN47" s="191"/>
      <c r="BO47" s="191"/>
      <c r="CT47" s="8"/>
      <c r="CZ47" s="60">
        <f t="shared" si="15"/>
        <v>35</v>
      </c>
      <c r="DA47" s="73" t="s">
        <v>20</v>
      </c>
      <c r="DB47" s="291">
        <f>DB43/DB45</f>
        <v>0.07176404536683388</v>
      </c>
      <c r="DD47" s="292"/>
      <c r="DI47" s="60">
        <f t="shared" si="16"/>
        <v>35</v>
      </c>
      <c r="DJ47" s="73" t="s">
        <v>20</v>
      </c>
      <c r="DN47" s="5"/>
      <c r="DO47" s="5"/>
      <c r="DP47" s="5"/>
      <c r="DQ47" s="5"/>
      <c r="DR47" s="60">
        <f t="shared" si="17"/>
        <v>35</v>
      </c>
      <c r="DS47" s="73" t="s">
        <v>20</v>
      </c>
      <c r="DT47" s="5"/>
      <c r="EA47" s="121">
        <f>EA43/EA45</f>
        <v>0.06571433485213489</v>
      </c>
      <c r="EB47" s="60">
        <f t="shared" si="18"/>
        <v>35</v>
      </c>
      <c r="EC47" s="73" t="s">
        <v>20</v>
      </c>
      <c r="ED47" s="121">
        <f>DB47</f>
        <v>0.07176404536683388</v>
      </c>
      <c r="EF47" s="121">
        <f>EF43/EF45</f>
        <v>0.06571433485213489</v>
      </c>
      <c r="EG47" s="121"/>
      <c r="EH47" s="121">
        <f>EH43/EH45</f>
        <v>0.0875712194859425</v>
      </c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</row>
    <row r="48" spans="1:138" ht="12.75" customHeight="1">
      <c r="A48" s="269"/>
      <c r="B48" s="213"/>
      <c r="C48" s="213"/>
      <c r="D48" s="110"/>
      <c r="E48" s="5"/>
      <c r="F48" s="191"/>
      <c r="K48" s="5"/>
      <c r="L48" s="5"/>
      <c r="U48" s="60"/>
      <c r="W48" s="260"/>
      <c r="X48" s="108"/>
      <c r="AD48" s="6"/>
      <c r="AJ48" s="1" t="s">
        <v>319</v>
      </c>
      <c r="AK48" s="6"/>
      <c r="AL48" s="6">
        <v>120634</v>
      </c>
      <c r="AW48" s="60"/>
      <c r="BL48" s="281"/>
      <c r="BM48" s="191"/>
      <c r="BN48" s="191"/>
      <c r="BO48" s="191"/>
      <c r="CT48" s="8"/>
      <c r="CZ48" s="60">
        <f t="shared" si="15"/>
        <v>36</v>
      </c>
      <c r="DI48" s="60">
        <f t="shared" si="16"/>
        <v>36</v>
      </c>
      <c r="DR48" s="60">
        <f t="shared" si="17"/>
        <v>36</v>
      </c>
      <c r="EB48" s="60">
        <f t="shared" si="18"/>
        <v>36</v>
      </c>
      <c r="ED48" s="293"/>
      <c r="EF48" s="293"/>
      <c r="EG48" s="293"/>
      <c r="EH48" s="293"/>
    </row>
    <row r="49" spans="1:207" ht="12.75" customHeight="1">
      <c r="A49" s="269"/>
      <c r="B49" s="110"/>
      <c r="C49" s="110"/>
      <c r="D49" s="110"/>
      <c r="E49" s="5"/>
      <c r="F49" s="191"/>
      <c r="K49" s="5"/>
      <c r="L49" s="5"/>
      <c r="U49" s="60"/>
      <c r="W49" s="260"/>
      <c r="X49" s="108"/>
      <c r="AD49" s="6"/>
      <c r="AJ49" s="1" t="s">
        <v>320</v>
      </c>
      <c r="AL49" s="294">
        <v>2898805</v>
      </c>
      <c r="AW49" s="60"/>
      <c r="BL49" s="281"/>
      <c r="BM49" s="191"/>
      <c r="BN49" s="191"/>
      <c r="BO49" s="191"/>
      <c r="CZ49" s="60">
        <f t="shared" si="15"/>
        <v>37</v>
      </c>
      <c r="DA49" s="1" t="s">
        <v>252</v>
      </c>
      <c r="DI49" s="60">
        <f t="shared" si="16"/>
        <v>37</v>
      </c>
      <c r="DJ49" s="1" t="s">
        <v>252</v>
      </c>
      <c r="DN49" s="5"/>
      <c r="DO49" s="5"/>
      <c r="DP49" s="5"/>
      <c r="DQ49" s="5"/>
      <c r="DR49" s="60">
        <f t="shared" si="17"/>
        <v>37</v>
      </c>
      <c r="DS49" s="1" t="s">
        <v>252</v>
      </c>
      <c r="DT49" s="5"/>
      <c r="EA49" s="89"/>
      <c r="EB49" s="60">
        <f t="shared" si="18"/>
        <v>37</v>
      </c>
      <c r="EC49" s="1" t="s">
        <v>252</v>
      </c>
      <c r="EI49" s="295"/>
      <c r="EJ49" s="295"/>
      <c r="EK49" s="295"/>
      <c r="EL49" s="295"/>
      <c r="EM49" s="295"/>
      <c r="EN49" s="295"/>
      <c r="EO49" s="295"/>
      <c r="EP49" s="295"/>
      <c r="EQ49" s="295"/>
      <c r="ER49" s="295"/>
      <c r="ES49" s="295"/>
      <c r="ET49" s="295"/>
      <c r="EU49" s="295"/>
      <c r="EV49" s="295"/>
      <c r="EW49" s="295"/>
      <c r="EX49" s="295"/>
      <c r="EY49" s="295"/>
      <c r="EZ49" s="295"/>
      <c r="FA49" s="295"/>
      <c r="FB49" s="295"/>
      <c r="FC49" s="295"/>
      <c r="FD49" s="295"/>
      <c r="FE49" s="295"/>
      <c r="FF49" s="295"/>
      <c r="FG49" s="295"/>
      <c r="FH49" s="295"/>
      <c r="FI49" s="295"/>
      <c r="FJ49" s="295"/>
      <c r="FK49" s="295"/>
      <c r="FL49" s="295"/>
      <c r="FM49" s="295"/>
      <c r="FN49" s="295"/>
      <c r="FO49" s="295"/>
      <c r="FP49" s="295"/>
      <c r="FQ49" s="295"/>
      <c r="FR49" s="295"/>
      <c r="FS49" s="295"/>
      <c r="FT49" s="295"/>
      <c r="FU49" s="295"/>
      <c r="FV49" s="295"/>
      <c r="FW49" s="295"/>
      <c r="FX49" s="295"/>
      <c r="FY49" s="295"/>
      <c r="FZ49" s="295"/>
      <c r="GA49" s="295"/>
      <c r="GB49" s="295"/>
      <c r="GC49" s="295"/>
      <c r="GD49" s="295"/>
      <c r="GE49" s="295"/>
      <c r="GF49" s="295"/>
      <c r="GG49" s="295"/>
      <c r="GH49" s="295"/>
      <c r="GI49" s="295"/>
      <c r="GJ49" s="295"/>
      <c r="GK49" s="295"/>
      <c r="GL49" s="295"/>
      <c r="GM49" s="295"/>
      <c r="GN49" s="295"/>
      <c r="GO49" s="295"/>
      <c r="GP49" s="295"/>
      <c r="GQ49" s="295"/>
      <c r="GR49" s="295"/>
      <c r="GS49" s="295"/>
      <c r="GT49" s="295"/>
      <c r="GU49" s="295"/>
      <c r="GV49" s="295"/>
      <c r="GW49" s="295"/>
      <c r="GX49" s="295"/>
      <c r="GY49" s="295"/>
    </row>
    <row r="50" spans="1:207" ht="12.75" customHeight="1">
      <c r="A50" s="269"/>
      <c r="B50" s="110"/>
      <c r="C50" s="110"/>
      <c r="D50" s="110"/>
      <c r="E50" s="5"/>
      <c r="F50" s="5"/>
      <c r="K50" s="5"/>
      <c r="L50" s="5"/>
      <c r="U50" s="60"/>
      <c r="W50" s="260"/>
      <c r="X50" s="108"/>
      <c r="AD50" s="6"/>
      <c r="AJ50" s="1" t="s">
        <v>321</v>
      </c>
      <c r="AL50" s="296">
        <f>SUM(AL48:AL49)</f>
        <v>3019439</v>
      </c>
      <c r="AW50" s="60"/>
      <c r="BL50" s="281"/>
      <c r="BM50" s="191"/>
      <c r="BN50" s="191"/>
      <c r="BO50" s="191"/>
      <c r="CZ50" s="60">
        <f t="shared" si="15"/>
        <v>38</v>
      </c>
      <c r="DA50" s="297" t="s">
        <v>253</v>
      </c>
      <c r="DB50" s="298">
        <f>'[2]Gas Rate Base'!$E$17</f>
        <v>1516324327</v>
      </c>
      <c r="DC50" s="298">
        <v>0</v>
      </c>
      <c r="DD50" s="298">
        <f>+DD45</f>
        <v>-975063</v>
      </c>
      <c r="DE50" s="298">
        <v>0</v>
      </c>
      <c r="DF50" s="298">
        <v>0</v>
      </c>
      <c r="DG50" s="298">
        <v>0</v>
      </c>
      <c r="DH50" s="298">
        <v>0</v>
      </c>
      <c r="DI50" s="60">
        <f t="shared" si="16"/>
        <v>38</v>
      </c>
      <c r="DJ50" s="297" t="s">
        <v>253</v>
      </c>
      <c r="DK50" s="298">
        <f>+DK45</f>
        <v>-7421284.37</v>
      </c>
      <c r="DL50" s="298">
        <v>0</v>
      </c>
      <c r="DM50" s="298">
        <v>0</v>
      </c>
      <c r="DN50" s="298">
        <v>0</v>
      </c>
      <c r="DO50" s="298">
        <f>+DO45</f>
        <v>-1777881.4000000001</v>
      </c>
      <c r="DP50" s="298">
        <v>0</v>
      </c>
      <c r="DQ50" s="298">
        <v>0</v>
      </c>
      <c r="DR50" s="60">
        <f t="shared" si="17"/>
        <v>38</v>
      </c>
      <c r="DS50" s="297" t="s">
        <v>253</v>
      </c>
      <c r="DT50" s="298">
        <v>0</v>
      </c>
      <c r="DU50" s="298">
        <v>0</v>
      </c>
      <c r="DV50" s="298">
        <v>0</v>
      </c>
      <c r="DW50" s="298">
        <v>0</v>
      </c>
      <c r="DX50" s="298">
        <v>0</v>
      </c>
      <c r="DY50" s="298">
        <v>0</v>
      </c>
      <c r="DZ50" s="298">
        <f>SUM(DC50:DY50)-DR50-DI50</f>
        <v>-10174228.770000001</v>
      </c>
      <c r="EA50" s="298">
        <f>+DZ50+DB50</f>
        <v>1506150098.23</v>
      </c>
      <c r="EB50" s="60">
        <f t="shared" si="18"/>
        <v>38</v>
      </c>
      <c r="EC50" s="297" t="s">
        <v>253</v>
      </c>
      <c r="ED50" s="298">
        <f>'[2]Gas Rate Base'!$E$17</f>
        <v>1516324327</v>
      </c>
      <c r="EE50" s="295">
        <f>+DZ50</f>
        <v>-10174228.770000001</v>
      </c>
      <c r="EF50" s="298">
        <f>+EE50+ED50</f>
        <v>1506150098.23</v>
      </c>
      <c r="EI50" s="299"/>
      <c r="EJ50" s="299"/>
      <c r="EK50" s="299"/>
      <c r="EL50" s="299"/>
      <c r="EM50" s="299"/>
      <c r="EN50" s="299"/>
      <c r="EO50" s="299"/>
      <c r="EP50" s="299"/>
      <c r="EQ50" s="299"/>
      <c r="ER50" s="299"/>
      <c r="ES50" s="299"/>
      <c r="ET50" s="299"/>
      <c r="EU50" s="299"/>
      <c r="EV50" s="299"/>
      <c r="EW50" s="299"/>
      <c r="EX50" s="299"/>
      <c r="EY50" s="299"/>
      <c r="EZ50" s="299"/>
      <c r="FA50" s="299"/>
      <c r="FB50" s="299"/>
      <c r="FC50" s="299"/>
      <c r="FD50" s="299"/>
      <c r="FE50" s="299"/>
      <c r="FF50" s="299"/>
      <c r="FG50" s="299"/>
      <c r="FH50" s="299"/>
      <c r="FI50" s="299"/>
      <c r="FJ50" s="299"/>
      <c r="FK50" s="299"/>
      <c r="FL50" s="299"/>
      <c r="FM50" s="299"/>
      <c r="FN50" s="299"/>
      <c r="FO50" s="299"/>
      <c r="FP50" s="299"/>
      <c r="FQ50" s="299"/>
      <c r="FR50" s="299"/>
      <c r="FS50" s="299"/>
      <c r="FT50" s="299"/>
      <c r="FU50" s="299"/>
      <c r="FV50" s="299"/>
      <c r="FW50" s="299"/>
      <c r="FX50" s="299"/>
      <c r="FY50" s="299"/>
      <c r="FZ50" s="299"/>
      <c r="GA50" s="299"/>
      <c r="GB50" s="299"/>
      <c r="GC50" s="299"/>
      <c r="GD50" s="299"/>
      <c r="GE50" s="299"/>
      <c r="GF50" s="299"/>
      <c r="GG50" s="299"/>
      <c r="GH50" s="299"/>
      <c r="GI50" s="299"/>
      <c r="GJ50" s="299"/>
      <c r="GK50" s="299"/>
      <c r="GL50" s="299"/>
      <c r="GM50" s="299"/>
      <c r="GN50" s="299"/>
      <c r="GO50" s="299"/>
      <c r="GP50" s="299"/>
      <c r="GQ50" s="299"/>
      <c r="GR50" s="299"/>
      <c r="GS50" s="299"/>
      <c r="GT50" s="299"/>
      <c r="GU50" s="299"/>
      <c r="GV50" s="299"/>
      <c r="GW50" s="299"/>
      <c r="GX50" s="299"/>
      <c r="GY50" s="299"/>
    </row>
    <row r="51" spans="1:207" ht="12.75" customHeight="1">
      <c r="A51" s="269"/>
      <c r="B51" s="110"/>
      <c r="C51" s="110"/>
      <c r="D51" s="110"/>
      <c r="E51" s="5"/>
      <c r="F51" s="191"/>
      <c r="G51" s="276" t="s">
        <v>22</v>
      </c>
      <c r="K51" s="5"/>
      <c r="L51" s="5"/>
      <c r="U51" s="60"/>
      <c r="W51" s="260"/>
      <c r="X51" s="108"/>
      <c r="AD51" s="6"/>
      <c r="AW51" s="60"/>
      <c r="BL51" s="281"/>
      <c r="BM51" s="191"/>
      <c r="BN51" s="191"/>
      <c r="BO51" s="191"/>
      <c r="CZ51" s="60">
        <f t="shared" si="15"/>
        <v>39</v>
      </c>
      <c r="DA51" s="300" t="s">
        <v>254</v>
      </c>
      <c r="DB51" s="301">
        <f>'[2]Gas Rate Base'!$E$19+'[2]Gas Rate Base'!$E$20</f>
        <v>-443257270</v>
      </c>
      <c r="DC51" s="301"/>
      <c r="DD51" s="301"/>
      <c r="DE51" s="301"/>
      <c r="DF51" s="301"/>
      <c r="DG51" s="301"/>
      <c r="DH51" s="301"/>
      <c r="DI51" s="60">
        <f t="shared" si="16"/>
        <v>39</v>
      </c>
      <c r="DJ51" s="300" t="s">
        <v>254</v>
      </c>
      <c r="DK51" s="301"/>
      <c r="DL51" s="301"/>
      <c r="DM51" s="301"/>
      <c r="DN51" s="301"/>
      <c r="DO51" s="301"/>
      <c r="DP51" s="301"/>
      <c r="DQ51" s="301"/>
      <c r="DR51" s="60">
        <f t="shared" si="17"/>
        <v>39</v>
      </c>
      <c r="DS51" s="300" t="s">
        <v>254</v>
      </c>
      <c r="DT51" s="301"/>
      <c r="DU51" s="301"/>
      <c r="DV51" s="301"/>
      <c r="DW51" s="301"/>
      <c r="DX51" s="301"/>
      <c r="DY51" s="301"/>
      <c r="DZ51" s="301">
        <f>SUM(DC51:DY51)-DR51-DI51</f>
        <v>0</v>
      </c>
      <c r="EA51" s="301">
        <f>+DZ51+DB51</f>
        <v>-443257270</v>
      </c>
      <c r="EB51" s="60">
        <f t="shared" si="18"/>
        <v>39</v>
      </c>
      <c r="EC51" s="300" t="s">
        <v>254</v>
      </c>
      <c r="ED51" s="301">
        <f>'[2]Gas Rate Base'!$E$19+'[2]Gas Rate Base'!$E$20</f>
        <v>-443257270</v>
      </c>
      <c r="EE51" s="301">
        <f>+DZ51</f>
        <v>0</v>
      </c>
      <c r="EF51" s="301">
        <f>+EE51+ED51</f>
        <v>-443257270</v>
      </c>
      <c r="EG51" s="300"/>
      <c r="EH51" s="300"/>
      <c r="EI51" s="300"/>
      <c r="EJ51" s="300"/>
      <c r="EK51" s="300"/>
      <c r="EL51" s="300"/>
      <c r="EM51" s="300"/>
      <c r="EN51" s="300"/>
      <c r="EO51" s="300"/>
      <c r="EP51" s="300"/>
      <c r="EQ51" s="300"/>
      <c r="ER51" s="300"/>
      <c r="ES51" s="300"/>
      <c r="ET51" s="300"/>
      <c r="EU51" s="300"/>
      <c r="EV51" s="300"/>
      <c r="EW51" s="300"/>
      <c r="EX51" s="300"/>
      <c r="EY51" s="300"/>
      <c r="EZ51" s="300"/>
      <c r="FA51" s="300"/>
      <c r="FB51" s="300"/>
      <c r="FC51" s="300"/>
      <c r="FD51" s="300"/>
      <c r="FE51" s="300"/>
      <c r="FF51" s="300"/>
      <c r="FG51" s="300"/>
      <c r="FH51" s="300"/>
      <c r="FI51" s="300"/>
      <c r="FJ51" s="300"/>
      <c r="FK51" s="300"/>
      <c r="FL51" s="300"/>
      <c r="FM51" s="300"/>
      <c r="FN51" s="300"/>
      <c r="FO51" s="300"/>
      <c r="FP51" s="300"/>
      <c r="FQ51" s="300"/>
      <c r="FR51" s="300"/>
      <c r="FS51" s="300"/>
      <c r="FT51" s="300"/>
      <c r="FU51" s="300"/>
      <c r="FV51" s="300"/>
      <c r="FW51" s="300"/>
      <c r="FX51" s="300"/>
      <c r="FY51" s="300"/>
      <c r="FZ51" s="300"/>
      <c r="GA51" s="300"/>
      <c r="GB51" s="300"/>
      <c r="GC51" s="300"/>
      <c r="GD51" s="300"/>
      <c r="GE51" s="300"/>
      <c r="GF51" s="300"/>
      <c r="GG51" s="300"/>
      <c r="GH51" s="300"/>
      <c r="GI51" s="300"/>
      <c r="GJ51" s="300"/>
      <c r="GK51" s="300"/>
      <c r="GL51" s="300"/>
      <c r="GM51" s="300"/>
      <c r="GN51" s="300"/>
      <c r="GO51" s="300"/>
      <c r="GP51" s="300"/>
      <c r="GQ51" s="300"/>
      <c r="GR51" s="300"/>
      <c r="GS51" s="300"/>
      <c r="GT51" s="300"/>
      <c r="GU51" s="300"/>
      <c r="GV51" s="300"/>
      <c r="GW51" s="300"/>
      <c r="GX51" s="300"/>
      <c r="GY51" s="300"/>
    </row>
    <row r="52" spans="1:207" ht="12.75" customHeight="1">
      <c r="A52" s="269"/>
      <c r="B52" s="110"/>
      <c r="C52" s="110"/>
      <c r="D52" s="110"/>
      <c r="E52" s="5"/>
      <c r="F52" s="191"/>
      <c r="G52" s="5"/>
      <c r="K52" s="5"/>
      <c r="L52" s="5"/>
      <c r="U52" s="60"/>
      <c r="W52" s="260"/>
      <c r="X52" s="108"/>
      <c r="AD52" s="6"/>
      <c r="AW52" s="60"/>
      <c r="AX52" s="5"/>
      <c r="AY52" s="5"/>
      <c r="AZ52" s="128"/>
      <c r="BL52" s="281"/>
      <c r="BM52" s="191"/>
      <c r="BN52" s="191"/>
      <c r="BO52" s="191"/>
      <c r="CZ52" s="60">
        <f t="shared" si="15"/>
        <v>40</v>
      </c>
      <c r="DA52" s="300" t="s">
        <v>255</v>
      </c>
      <c r="DB52" s="302">
        <v>0</v>
      </c>
      <c r="DC52" s="302"/>
      <c r="DD52" s="302"/>
      <c r="DE52" s="302"/>
      <c r="DF52" s="302"/>
      <c r="DG52" s="302"/>
      <c r="DH52" s="302"/>
      <c r="DI52" s="60">
        <f t="shared" si="16"/>
        <v>40</v>
      </c>
      <c r="DJ52" s="300" t="s">
        <v>255</v>
      </c>
      <c r="DK52" s="302"/>
      <c r="DL52" s="302"/>
      <c r="DM52" s="302"/>
      <c r="DN52" s="302"/>
      <c r="DO52" s="302"/>
      <c r="DP52" s="302"/>
      <c r="DQ52" s="302"/>
      <c r="DR52" s="60">
        <f t="shared" si="17"/>
        <v>40</v>
      </c>
      <c r="DS52" s="300" t="s">
        <v>255</v>
      </c>
      <c r="DT52" s="302"/>
      <c r="DU52" s="302"/>
      <c r="DV52" s="302"/>
      <c r="DW52" s="302"/>
      <c r="DX52" s="302"/>
      <c r="DY52" s="302"/>
      <c r="DZ52" s="301">
        <f>SUM(DC52:DY52)-DR52-DI52</f>
        <v>0</v>
      </c>
      <c r="EA52" s="301">
        <f>+DZ52+DB52</f>
        <v>0</v>
      </c>
      <c r="EB52" s="60">
        <f t="shared" si="18"/>
        <v>40</v>
      </c>
      <c r="EC52" s="300" t="s">
        <v>255</v>
      </c>
      <c r="ED52" s="302">
        <v>0</v>
      </c>
      <c r="EE52" s="302">
        <f>+DZ52</f>
        <v>0</v>
      </c>
      <c r="EF52" s="302">
        <f>+EE52+ED52</f>
        <v>0</v>
      </c>
      <c r="EG52" s="303"/>
      <c r="EH52" s="303"/>
      <c r="EI52" s="303"/>
      <c r="EJ52" s="303"/>
      <c r="EK52" s="303"/>
      <c r="EL52" s="303"/>
      <c r="EM52" s="303"/>
      <c r="EN52" s="303"/>
      <c r="EO52" s="303"/>
      <c r="EP52" s="303"/>
      <c r="EQ52" s="303"/>
      <c r="ER52" s="303"/>
      <c r="ES52" s="303"/>
      <c r="ET52" s="303"/>
      <c r="EU52" s="303"/>
      <c r="EV52" s="303"/>
      <c r="EW52" s="303"/>
      <c r="EX52" s="303"/>
      <c r="EY52" s="303"/>
      <c r="EZ52" s="303"/>
      <c r="FA52" s="303"/>
      <c r="FB52" s="303"/>
      <c r="FC52" s="303"/>
      <c r="FD52" s="303"/>
      <c r="FE52" s="303"/>
      <c r="FF52" s="303"/>
      <c r="FG52" s="303"/>
      <c r="FH52" s="303"/>
      <c r="FI52" s="303"/>
      <c r="FJ52" s="303"/>
      <c r="FK52" s="303"/>
      <c r="FL52" s="303"/>
      <c r="FM52" s="303"/>
      <c r="FN52" s="303"/>
      <c r="FO52" s="303"/>
      <c r="FP52" s="303"/>
      <c r="FQ52" s="303"/>
      <c r="FR52" s="303"/>
      <c r="FS52" s="303"/>
      <c r="FT52" s="303"/>
      <c r="FU52" s="303"/>
      <c r="FV52" s="303"/>
      <c r="FW52" s="303"/>
      <c r="FX52" s="303"/>
      <c r="FY52" s="303"/>
      <c r="FZ52" s="303"/>
      <c r="GA52" s="303"/>
      <c r="GB52" s="303"/>
      <c r="GC52" s="303"/>
      <c r="GD52" s="303"/>
      <c r="GE52" s="303"/>
      <c r="GF52" s="303"/>
      <c r="GG52" s="303"/>
      <c r="GH52" s="303"/>
      <c r="GI52" s="303"/>
      <c r="GJ52" s="303"/>
      <c r="GK52" s="303"/>
      <c r="GL52" s="303"/>
      <c r="GM52" s="303"/>
      <c r="GN52" s="303"/>
      <c r="GO52" s="303"/>
      <c r="GP52" s="303"/>
      <c r="GQ52" s="303"/>
      <c r="GR52" s="303"/>
      <c r="GS52" s="303"/>
      <c r="GT52" s="303"/>
      <c r="GU52" s="303"/>
      <c r="GV52" s="303"/>
      <c r="GW52" s="303"/>
      <c r="GX52" s="303"/>
      <c r="GY52" s="303"/>
    </row>
    <row r="53" spans="1:207" ht="12.75" customHeight="1">
      <c r="A53" s="269"/>
      <c r="B53" s="110"/>
      <c r="C53" s="110"/>
      <c r="D53" s="110"/>
      <c r="E53" s="304"/>
      <c r="F53" s="191"/>
      <c r="G53" s="5"/>
      <c r="K53" s="5"/>
      <c r="L53" s="5"/>
      <c r="U53" s="60"/>
      <c r="W53" s="260"/>
      <c r="X53" s="108"/>
      <c r="AD53" s="6"/>
      <c r="AW53" s="60"/>
      <c r="AX53" s="5"/>
      <c r="AY53" s="305"/>
      <c r="AZ53" s="128"/>
      <c r="BM53" s="191"/>
      <c r="BN53" s="191"/>
      <c r="BO53" s="191"/>
      <c r="CZ53" s="60">
        <f t="shared" si="15"/>
        <v>41</v>
      </c>
      <c r="DA53" s="300" t="s">
        <v>264</v>
      </c>
      <c r="DB53" s="306">
        <f>'[2]Gas Rate Base'!$E$26</f>
        <v>-88850969</v>
      </c>
      <c r="DC53" s="306"/>
      <c r="DD53" s="306"/>
      <c r="DE53" s="306"/>
      <c r="DF53" s="306"/>
      <c r="DG53" s="306"/>
      <c r="DH53" s="306"/>
      <c r="DI53" s="60">
        <f t="shared" si="16"/>
        <v>41</v>
      </c>
      <c r="DJ53" s="300" t="s">
        <v>264</v>
      </c>
      <c r="DK53" s="306"/>
      <c r="DL53" s="306"/>
      <c r="DM53" s="306"/>
      <c r="DN53" s="306"/>
      <c r="DO53" s="306"/>
      <c r="DP53" s="306"/>
      <c r="DQ53" s="306"/>
      <c r="DR53" s="60">
        <f t="shared" si="17"/>
        <v>41</v>
      </c>
      <c r="DS53" s="300" t="s">
        <v>264</v>
      </c>
      <c r="DT53" s="306"/>
      <c r="DU53" s="306"/>
      <c r="DV53" s="306"/>
      <c r="DW53" s="306"/>
      <c r="DX53" s="306"/>
      <c r="DY53" s="306"/>
      <c r="DZ53" s="306">
        <f>SUM(DC53:DY53)-DR53-DI53</f>
        <v>0</v>
      </c>
      <c r="EA53" s="306">
        <f>+DZ53+DB53</f>
        <v>-88850969</v>
      </c>
      <c r="EB53" s="60">
        <f t="shared" si="18"/>
        <v>41</v>
      </c>
      <c r="EC53" s="300" t="s">
        <v>264</v>
      </c>
      <c r="ED53" s="306">
        <f>'[2]Gas Rate Base'!$E$26</f>
        <v>-88850969</v>
      </c>
      <c r="EE53" s="306">
        <f>+DZ53</f>
        <v>0</v>
      </c>
      <c r="EF53" s="306">
        <f>+EE53+ED53</f>
        <v>-88850969</v>
      </c>
      <c r="EG53" s="295"/>
      <c r="EH53" s="295"/>
      <c r="EI53" s="295"/>
      <c r="EJ53" s="295"/>
      <c r="EK53" s="295"/>
      <c r="EL53" s="295"/>
      <c r="EM53" s="295"/>
      <c r="EN53" s="295"/>
      <c r="EO53" s="295"/>
      <c r="EP53" s="295"/>
      <c r="EQ53" s="295"/>
      <c r="ER53" s="295"/>
      <c r="ES53" s="295"/>
      <c r="ET53" s="295"/>
      <c r="EU53" s="295"/>
      <c r="EV53" s="295"/>
      <c r="EW53" s="295"/>
      <c r="EX53" s="295"/>
      <c r="EY53" s="295"/>
      <c r="EZ53" s="295"/>
      <c r="FA53" s="295"/>
      <c r="FB53" s="295"/>
      <c r="FC53" s="295"/>
      <c r="FD53" s="295"/>
      <c r="FE53" s="295"/>
      <c r="FF53" s="295"/>
      <c r="FG53" s="295"/>
      <c r="FH53" s="295"/>
      <c r="FI53" s="295"/>
      <c r="FJ53" s="295"/>
      <c r="FK53" s="295"/>
      <c r="FL53" s="295"/>
      <c r="FM53" s="295"/>
      <c r="FN53" s="295"/>
      <c r="FO53" s="295"/>
      <c r="FP53" s="295"/>
      <c r="FQ53" s="295"/>
      <c r="FR53" s="295"/>
      <c r="FS53" s="295"/>
      <c r="FT53" s="295"/>
      <c r="FU53" s="295"/>
      <c r="FV53" s="295"/>
      <c r="FW53" s="295"/>
      <c r="FX53" s="295"/>
      <c r="FY53" s="295"/>
      <c r="FZ53" s="295"/>
      <c r="GA53" s="295"/>
      <c r="GB53" s="295"/>
      <c r="GC53" s="295"/>
      <c r="GD53" s="295"/>
      <c r="GE53" s="295"/>
      <c r="GF53" s="295"/>
      <c r="GG53" s="295"/>
      <c r="GH53" s="295"/>
      <c r="GI53" s="295"/>
      <c r="GJ53" s="295"/>
      <c r="GK53" s="295"/>
      <c r="GL53" s="295"/>
      <c r="GM53" s="295"/>
      <c r="GN53" s="295"/>
      <c r="GO53" s="295"/>
      <c r="GP53" s="295"/>
      <c r="GQ53" s="295"/>
      <c r="GR53" s="295"/>
      <c r="GS53" s="295"/>
      <c r="GT53" s="295"/>
      <c r="GU53" s="295"/>
      <c r="GV53" s="295"/>
      <c r="GW53" s="295"/>
      <c r="GX53" s="295"/>
      <c r="GY53" s="295"/>
    </row>
    <row r="54" spans="1:207" ht="12.75" customHeight="1">
      <c r="A54" s="269"/>
      <c r="B54" s="110"/>
      <c r="C54" s="110"/>
      <c r="D54" s="110"/>
      <c r="E54" s="5"/>
      <c r="F54" s="191"/>
      <c r="K54" s="5"/>
      <c r="L54" s="5"/>
      <c r="AD54" s="6"/>
      <c r="AW54" s="60"/>
      <c r="AX54" s="5"/>
      <c r="AY54" s="5"/>
      <c r="AZ54" s="128"/>
      <c r="BM54" s="191"/>
      <c r="BN54" s="191"/>
      <c r="BO54" s="191"/>
      <c r="CZ54" s="60">
        <f t="shared" si="15"/>
        <v>42</v>
      </c>
      <c r="DA54" s="300" t="s">
        <v>258</v>
      </c>
      <c r="DB54" s="295">
        <f aca="true" t="shared" si="38" ref="DB54:DH54">SUM(DB50:DB53)</f>
        <v>984216088</v>
      </c>
      <c r="DC54" s="295">
        <f t="shared" si="38"/>
        <v>0</v>
      </c>
      <c r="DD54" s="295">
        <f t="shared" si="38"/>
        <v>-975063</v>
      </c>
      <c r="DE54" s="295">
        <f t="shared" si="38"/>
        <v>0</v>
      </c>
      <c r="DF54" s="295">
        <f t="shared" si="38"/>
        <v>0</v>
      </c>
      <c r="DG54" s="295">
        <f t="shared" si="38"/>
        <v>0</v>
      </c>
      <c r="DH54" s="295">
        <f t="shared" si="38"/>
        <v>0</v>
      </c>
      <c r="DI54" s="60">
        <f t="shared" si="16"/>
        <v>42</v>
      </c>
      <c r="DJ54" s="300" t="s">
        <v>258</v>
      </c>
      <c r="DK54" s="295">
        <f aca="true" t="shared" si="39" ref="DK54:DQ54">SUM(DK50:DK53)</f>
        <v>-7421284.37</v>
      </c>
      <c r="DL54" s="295">
        <f t="shared" si="39"/>
        <v>0</v>
      </c>
      <c r="DM54" s="295">
        <f t="shared" si="39"/>
        <v>0</v>
      </c>
      <c r="DN54" s="295">
        <f t="shared" si="39"/>
        <v>0</v>
      </c>
      <c r="DO54" s="295">
        <f t="shared" si="39"/>
        <v>-1777881.4000000001</v>
      </c>
      <c r="DP54" s="295">
        <f t="shared" si="39"/>
        <v>0</v>
      </c>
      <c r="DQ54" s="295">
        <f t="shared" si="39"/>
        <v>0</v>
      </c>
      <c r="DR54" s="60">
        <f t="shared" si="17"/>
        <v>42</v>
      </c>
      <c r="DS54" s="300" t="s">
        <v>258</v>
      </c>
      <c r="DT54" s="295">
        <f aca="true" t="shared" si="40" ref="DT54:EA54">SUM(DT50:DT53)</f>
        <v>0</v>
      </c>
      <c r="DU54" s="295">
        <f t="shared" si="40"/>
        <v>0</v>
      </c>
      <c r="DV54" s="295">
        <f t="shared" si="40"/>
        <v>0</v>
      </c>
      <c r="DW54" s="295">
        <f t="shared" si="40"/>
        <v>0</v>
      </c>
      <c r="DX54" s="295">
        <f>SUM(DX50:DX53)</f>
        <v>0</v>
      </c>
      <c r="DY54" s="295">
        <f>SUM(DY50:DY53)</f>
        <v>0</v>
      </c>
      <c r="DZ54" s="295">
        <f t="shared" si="40"/>
        <v>-10174228.770000001</v>
      </c>
      <c r="EA54" s="295">
        <f t="shared" si="40"/>
        <v>974041859.23</v>
      </c>
      <c r="EB54" s="60">
        <f t="shared" si="18"/>
        <v>42</v>
      </c>
      <c r="EC54" s="300" t="s">
        <v>258</v>
      </c>
      <c r="ED54" s="295">
        <f>SUM(ED50:ED53)</f>
        <v>984216088</v>
      </c>
      <c r="EE54" s="295">
        <f>SUM(EE50:EE53)</f>
        <v>-10174228.770000001</v>
      </c>
      <c r="EF54" s="295">
        <f>SUM(EF50:EF53)</f>
        <v>974041859.23</v>
      </c>
      <c r="EG54" s="303"/>
      <c r="EH54" s="303"/>
      <c r="EI54" s="303"/>
      <c r="EJ54" s="303"/>
      <c r="EK54" s="303"/>
      <c r="EL54" s="303"/>
      <c r="EM54" s="303"/>
      <c r="EN54" s="303"/>
      <c r="EO54" s="303"/>
      <c r="EP54" s="303"/>
      <c r="EQ54" s="303"/>
      <c r="ER54" s="303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3"/>
      <c r="FF54" s="303"/>
      <c r="FG54" s="303"/>
      <c r="FH54" s="303"/>
      <c r="FI54" s="303"/>
      <c r="FJ54" s="303"/>
      <c r="FK54" s="303"/>
      <c r="FL54" s="303"/>
      <c r="FM54" s="303"/>
      <c r="FN54" s="303"/>
      <c r="FO54" s="303"/>
      <c r="FP54" s="303"/>
      <c r="FQ54" s="303"/>
      <c r="FR54" s="303"/>
      <c r="FS54" s="303"/>
      <c r="FT54" s="303"/>
      <c r="FU54" s="303"/>
      <c r="FV54" s="303"/>
      <c r="FW54" s="303"/>
      <c r="FX54" s="303"/>
      <c r="FY54" s="303"/>
      <c r="FZ54" s="303"/>
      <c r="GA54" s="303"/>
      <c r="GB54" s="303"/>
      <c r="GC54" s="303"/>
      <c r="GD54" s="303"/>
      <c r="GE54" s="303"/>
      <c r="GF54" s="303"/>
      <c r="GG54" s="303"/>
      <c r="GH54" s="303"/>
      <c r="GI54" s="303"/>
      <c r="GJ54" s="303"/>
      <c r="GK54" s="303"/>
      <c r="GL54" s="303"/>
      <c r="GM54" s="303"/>
      <c r="GN54" s="303"/>
      <c r="GO54" s="303"/>
      <c r="GP54" s="303"/>
      <c r="GQ54" s="303"/>
      <c r="GR54" s="303"/>
      <c r="GS54" s="303"/>
      <c r="GT54" s="303"/>
      <c r="GU54" s="303"/>
      <c r="GV54" s="303"/>
      <c r="GW54" s="303"/>
      <c r="GX54" s="303"/>
      <c r="GY54" s="303"/>
    </row>
    <row r="55" spans="1:207" ht="12.75" customHeight="1">
      <c r="A55" s="5"/>
      <c r="B55" s="5"/>
      <c r="C55" s="5"/>
      <c r="D55" s="5"/>
      <c r="E55" s="5"/>
      <c r="F55" s="5"/>
      <c r="K55" s="5"/>
      <c r="L55" s="5"/>
      <c r="AD55" s="6"/>
      <c r="AW55" s="60"/>
      <c r="AX55" s="279"/>
      <c r="AY55" s="305"/>
      <c r="AZ55" s="128"/>
      <c r="BM55" s="5"/>
      <c r="BN55" s="5"/>
      <c r="BO55" s="5"/>
      <c r="CZ55" s="60">
        <f t="shared" si="15"/>
        <v>43</v>
      </c>
      <c r="DA55" s="300" t="s">
        <v>256</v>
      </c>
      <c r="DB55" s="306">
        <f>'[2]Gas WC'!$C$87</f>
        <v>0</v>
      </c>
      <c r="DC55" s="306"/>
      <c r="DD55" s="306"/>
      <c r="DE55" s="306"/>
      <c r="DF55" s="306"/>
      <c r="DG55" s="306"/>
      <c r="DH55" s="306"/>
      <c r="DI55" s="60">
        <f t="shared" si="16"/>
        <v>43</v>
      </c>
      <c r="DJ55" s="300" t="s">
        <v>256</v>
      </c>
      <c r="DK55" s="306"/>
      <c r="DL55" s="306"/>
      <c r="DM55" s="306"/>
      <c r="DN55" s="306"/>
      <c r="DO55" s="306"/>
      <c r="DP55" s="306"/>
      <c r="DQ55" s="306"/>
      <c r="DR55" s="60">
        <f t="shared" si="17"/>
        <v>43</v>
      </c>
      <c r="DS55" s="300" t="s">
        <v>256</v>
      </c>
      <c r="DT55" s="306"/>
      <c r="DU55" s="306"/>
      <c r="DV55" s="306"/>
      <c r="DW55" s="306"/>
      <c r="DX55" s="306"/>
      <c r="DY55" s="306"/>
      <c r="DZ55" s="306">
        <f>SUM(DC55:DY55)-DR55-DI55</f>
        <v>0</v>
      </c>
      <c r="EA55" s="306">
        <f>+DZ55+DB55</f>
        <v>0</v>
      </c>
      <c r="EB55" s="60">
        <f t="shared" si="18"/>
        <v>43</v>
      </c>
      <c r="EC55" s="300" t="s">
        <v>256</v>
      </c>
      <c r="ED55" s="306">
        <f>'[2]Gas WC'!$C$87</f>
        <v>0</v>
      </c>
      <c r="EE55" s="306">
        <f>+DZ55</f>
        <v>0</v>
      </c>
      <c r="EF55" s="306">
        <f>+EE55+ED55</f>
        <v>0</v>
      </c>
      <c r="EG55" s="307"/>
      <c r="EH55" s="307"/>
      <c r="EI55" s="307"/>
      <c r="EJ55" s="307"/>
      <c r="EK55" s="307"/>
      <c r="EL55" s="307"/>
      <c r="EM55" s="307"/>
      <c r="EN55" s="307"/>
      <c r="EO55" s="307"/>
      <c r="EP55" s="307"/>
      <c r="EQ55" s="307"/>
      <c r="ER55" s="307"/>
      <c r="ES55" s="307"/>
      <c r="ET55" s="307"/>
      <c r="EU55" s="307"/>
      <c r="EV55" s="307"/>
      <c r="EW55" s="307"/>
      <c r="EX55" s="307"/>
      <c r="EY55" s="307"/>
      <c r="EZ55" s="307"/>
      <c r="FA55" s="307"/>
      <c r="FB55" s="307"/>
      <c r="FC55" s="307"/>
      <c r="FD55" s="307"/>
      <c r="FE55" s="307"/>
      <c r="FF55" s="307"/>
      <c r="FG55" s="307"/>
      <c r="FH55" s="307"/>
      <c r="FI55" s="307"/>
      <c r="FJ55" s="307"/>
      <c r="FK55" s="307"/>
      <c r="FL55" s="307"/>
      <c r="FM55" s="307"/>
      <c r="FN55" s="307"/>
      <c r="FO55" s="307"/>
      <c r="FP55" s="307"/>
      <c r="FQ55" s="307"/>
      <c r="FR55" s="307"/>
      <c r="FS55" s="307"/>
      <c r="FT55" s="307"/>
      <c r="FU55" s="307"/>
      <c r="FV55" s="307"/>
      <c r="FW55" s="307"/>
      <c r="FX55" s="307"/>
      <c r="FY55" s="307"/>
      <c r="FZ55" s="307"/>
      <c r="GA55" s="307"/>
      <c r="GB55" s="307"/>
      <c r="GC55" s="307"/>
      <c r="GD55" s="307"/>
      <c r="GE55" s="307"/>
      <c r="GF55" s="307"/>
      <c r="GG55" s="307"/>
      <c r="GH55" s="307"/>
      <c r="GI55" s="307"/>
      <c r="GJ55" s="307"/>
      <c r="GK55" s="307"/>
      <c r="GL55" s="307"/>
      <c r="GM55" s="307"/>
      <c r="GN55" s="307"/>
      <c r="GO55" s="307"/>
      <c r="GP55" s="307"/>
      <c r="GQ55" s="307"/>
      <c r="GR55" s="307"/>
      <c r="GS55" s="307"/>
      <c r="GT55" s="307"/>
      <c r="GU55" s="307"/>
      <c r="GV55" s="307"/>
      <c r="GW55" s="307"/>
      <c r="GX55" s="307"/>
      <c r="GY55" s="307"/>
    </row>
    <row r="56" spans="1:207" ht="12.75" customHeight="1" thickBot="1">
      <c r="A56" s="269"/>
      <c r="B56" s="110"/>
      <c r="C56" s="110"/>
      <c r="D56" s="110"/>
      <c r="E56" s="5"/>
      <c r="F56" s="191"/>
      <c r="K56" s="5"/>
      <c r="L56" s="5"/>
      <c r="AD56" s="6"/>
      <c r="AW56" s="60"/>
      <c r="AX56" s="279"/>
      <c r="AY56" s="305"/>
      <c r="AZ56" s="128"/>
      <c r="BM56" s="5"/>
      <c r="BN56" s="5"/>
      <c r="BO56" s="5"/>
      <c r="CZ56" s="60">
        <f t="shared" si="15"/>
        <v>44</v>
      </c>
      <c r="DA56" s="297" t="s">
        <v>257</v>
      </c>
      <c r="DB56" s="308">
        <f aca="true" t="shared" si="41" ref="DB56:DH56">SUM(DB54:DB55)</f>
        <v>984216088</v>
      </c>
      <c r="DC56" s="308">
        <f t="shared" si="41"/>
        <v>0</v>
      </c>
      <c r="DD56" s="308">
        <f t="shared" si="41"/>
        <v>-975063</v>
      </c>
      <c r="DE56" s="308">
        <f t="shared" si="41"/>
        <v>0</v>
      </c>
      <c r="DF56" s="308">
        <f t="shared" si="41"/>
        <v>0</v>
      </c>
      <c r="DG56" s="308">
        <f t="shared" si="41"/>
        <v>0</v>
      </c>
      <c r="DH56" s="308">
        <f t="shared" si="41"/>
        <v>0</v>
      </c>
      <c r="DI56" s="60">
        <f t="shared" si="16"/>
        <v>44</v>
      </c>
      <c r="DJ56" s="297" t="s">
        <v>257</v>
      </c>
      <c r="DK56" s="308">
        <f aca="true" t="shared" si="42" ref="DK56:DQ56">SUM(DK54:DK55)</f>
        <v>-7421284.37</v>
      </c>
      <c r="DL56" s="308">
        <f t="shared" si="42"/>
        <v>0</v>
      </c>
      <c r="DM56" s="308">
        <f t="shared" si="42"/>
        <v>0</v>
      </c>
      <c r="DN56" s="308">
        <f t="shared" si="42"/>
        <v>0</v>
      </c>
      <c r="DO56" s="308">
        <f t="shared" si="42"/>
        <v>-1777881.4000000001</v>
      </c>
      <c r="DP56" s="308">
        <f t="shared" si="42"/>
        <v>0</v>
      </c>
      <c r="DQ56" s="308">
        <f t="shared" si="42"/>
        <v>0</v>
      </c>
      <c r="DR56" s="60">
        <f t="shared" si="17"/>
        <v>44</v>
      </c>
      <c r="DS56" s="297" t="s">
        <v>257</v>
      </c>
      <c r="DT56" s="308">
        <f aca="true" t="shared" si="43" ref="DT56:EA56">SUM(DT54:DT55)</f>
        <v>0</v>
      </c>
      <c r="DU56" s="308">
        <f t="shared" si="43"/>
        <v>0</v>
      </c>
      <c r="DV56" s="308">
        <f t="shared" si="43"/>
        <v>0</v>
      </c>
      <c r="DW56" s="308">
        <f t="shared" si="43"/>
        <v>0</v>
      </c>
      <c r="DX56" s="308">
        <f>SUM(DX54:DX55)</f>
        <v>0</v>
      </c>
      <c r="DY56" s="308">
        <f>SUM(DY54:DY55)</f>
        <v>0</v>
      </c>
      <c r="DZ56" s="308">
        <f t="shared" si="43"/>
        <v>-10174228.770000001</v>
      </c>
      <c r="EA56" s="308">
        <f t="shared" si="43"/>
        <v>974041859.23</v>
      </c>
      <c r="EB56" s="60">
        <f t="shared" si="18"/>
        <v>44</v>
      </c>
      <c r="EC56" s="297" t="s">
        <v>257</v>
      </c>
      <c r="ED56" s="308">
        <f>SUM(ED54:ED55)</f>
        <v>984216088</v>
      </c>
      <c r="EE56" s="308">
        <f>SUM(EE54:EE55)</f>
        <v>-10174228.770000001</v>
      </c>
      <c r="EF56" s="308">
        <f>SUM(EF54:EF55)</f>
        <v>974041859.23</v>
      </c>
      <c r="EG56" s="309"/>
      <c r="EH56" s="309"/>
      <c r="EI56" s="309"/>
      <c r="EJ56" s="309"/>
      <c r="EK56" s="309"/>
      <c r="EL56" s="309"/>
      <c r="EM56" s="309"/>
      <c r="EN56" s="309"/>
      <c r="EO56" s="309"/>
      <c r="EP56" s="309"/>
      <c r="EQ56" s="309"/>
      <c r="ER56" s="309"/>
      <c r="ES56" s="309"/>
      <c r="ET56" s="309"/>
      <c r="EU56" s="309"/>
      <c r="EV56" s="309"/>
      <c r="EW56" s="309"/>
      <c r="EX56" s="309"/>
      <c r="EY56" s="309"/>
      <c r="EZ56" s="309"/>
      <c r="FA56" s="309"/>
      <c r="FB56" s="309"/>
      <c r="FC56" s="309"/>
      <c r="FD56" s="309"/>
      <c r="FE56" s="309"/>
      <c r="FF56" s="309"/>
      <c r="FG56" s="309"/>
      <c r="FH56" s="309"/>
      <c r="FI56" s="309"/>
      <c r="FJ56" s="309"/>
      <c r="FK56" s="309"/>
      <c r="FL56" s="309"/>
      <c r="FM56" s="309"/>
      <c r="FN56" s="309"/>
      <c r="FO56" s="309"/>
      <c r="FP56" s="309"/>
      <c r="FQ56" s="309"/>
      <c r="FR56" s="309"/>
      <c r="FS56" s="309"/>
      <c r="FT56" s="309"/>
      <c r="FU56" s="309"/>
      <c r="FV56" s="309"/>
      <c r="FW56" s="309"/>
      <c r="FX56" s="309"/>
      <c r="FY56" s="309"/>
      <c r="FZ56" s="309"/>
      <c r="GA56" s="309"/>
      <c r="GB56" s="309"/>
      <c r="GC56" s="309"/>
      <c r="GD56" s="309"/>
      <c r="GE56" s="309"/>
      <c r="GF56" s="309"/>
      <c r="GG56" s="309"/>
      <c r="GH56" s="309"/>
      <c r="GI56" s="309"/>
      <c r="GJ56" s="309"/>
      <c r="GK56" s="309"/>
      <c r="GL56" s="309"/>
      <c r="GM56" s="309"/>
      <c r="GN56" s="309"/>
      <c r="GO56" s="309"/>
      <c r="GP56" s="309"/>
      <c r="GQ56" s="309"/>
      <c r="GR56" s="309"/>
      <c r="GS56" s="309"/>
      <c r="GT56" s="309"/>
      <c r="GU56" s="309"/>
      <c r="GV56" s="309"/>
      <c r="GW56" s="309"/>
      <c r="GX56" s="309"/>
      <c r="GY56" s="309"/>
    </row>
    <row r="57" spans="1:207" ht="12.75" customHeight="1" thickTop="1">
      <c r="A57" s="79"/>
      <c r="B57" s="73"/>
      <c r="C57" s="73"/>
      <c r="D57" s="73"/>
      <c r="F57" s="116"/>
      <c r="K57" s="5"/>
      <c r="L57" s="5"/>
      <c r="U57" s="60"/>
      <c r="W57" s="260"/>
      <c r="X57" s="108"/>
      <c r="AD57" s="6"/>
      <c r="AW57" s="60"/>
      <c r="AX57" s="279"/>
      <c r="AY57" s="305"/>
      <c r="AZ57" s="128"/>
      <c r="BM57" s="5"/>
      <c r="BN57" s="5"/>
      <c r="BO57" s="5"/>
      <c r="DT57" s="5"/>
      <c r="EB57" s="60"/>
      <c r="EG57" s="310"/>
      <c r="EH57" s="310"/>
      <c r="EI57" s="310"/>
      <c r="EJ57" s="310"/>
      <c r="EK57" s="310"/>
      <c r="EL57" s="310"/>
      <c r="EM57" s="310"/>
      <c r="EN57" s="310"/>
      <c r="EO57" s="310"/>
      <c r="EP57" s="310"/>
      <c r="EQ57" s="310"/>
      <c r="ER57" s="310"/>
      <c r="ES57" s="310"/>
      <c r="ET57" s="310"/>
      <c r="EU57" s="310"/>
      <c r="EV57" s="310"/>
      <c r="EW57" s="310"/>
      <c r="EX57" s="310"/>
      <c r="EY57" s="310"/>
      <c r="EZ57" s="310"/>
      <c r="FA57" s="310"/>
      <c r="FB57" s="310"/>
      <c r="FC57" s="310"/>
      <c r="FD57" s="310"/>
      <c r="FE57" s="310"/>
      <c r="FF57" s="310"/>
      <c r="FG57" s="310"/>
      <c r="FH57" s="310"/>
      <c r="FI57" s="310"/>
      <c r="FJ57" s="310"/>
      <c r="FK57" s="310"/>
      <c r="FL57" s="310"/>
      <c r="FM57" s="310"/>
      <c r="FN57" s="310"/>
      <c r="FO57" s="310"/>
      <c r="FP57" s="310"/>
      <c r="FQ57" s="310"/>
      <c r="FR57" s="310"/>
      <c r="FS57" s="310"/>
      <c r="FT57" s="310"/>
      <c r="FU57" s="310"/>
      <c r="FV57" s="310"/>
      <c r="FW57" s="310"/>
      <c r="FX57" s="310"/>
      <c r="FY57" s="310"/>
      <c r="FZ57" s="310"/>
      <c r="GA57" s="310"/>
      <c r="GB57" s="310"/>
      <c r="GC57" s="310"/>
      <c r="GD57" s="310"/>
      <c r="GE57" s="310"/>
      <c r="GF57" s="310"/>
      <c r="GG57" s="310"/>
      <c r="GH57" s="310"/>
      <c r="GI57" s="310"/>
      <c r="GJ57" s="310"/>
      <c r="GK57" s="310"/>
      <c r="GL57" s="310"/>
      <c r="GM57" s="310"/>
      <c r="GN57" s="310"/>
      <c r="GO57" s="310"/>
      <c r="GP57" s="310"/>
      <c r="GQ57" s="310"/>
      <c r="GR57" s="310"/>
      <c r="GS57" s="310"/>
      <c r="GT57" s="310"/>
      <c r="GU57" s="310"/>
      <c r="GV57" s="310"/>
      <c r="GW57" s="310"/>
      <c r="GX57" s="310"/>
      <c r="GY57" s="310"/>
    </row>
    <row r="58" spans="1:69" ht="12.75" customHeight="1">
      <c r="A58" s="5"/>
      <c r="G58" s="5"/>
      <c r="H58" s="311"/>
      <c r="I58" s="4"/>
      <c r="J58" s="4"/>
      <c r="K58" s="312"/>
      <c r="U58" s="60"/>
      <c r="W58" s="260"/>
      <c r="X58" s="108"/>
      <c r="AD58" s="6"/>
      <c r="AW58" s="95"/>
      <c r="AX58" s="279"/>
      <c r="AY58" s="313"/>
      <c r="BM58" s="116"/>
      <c r="BN58" s="116"/>
      <c r="BO58" s="171"/>
      <c r="BP58" s="116"/>
      <c r="BQ58" s="116"/>
    </row>
    <row r="59" spans="1:69" ht="12.75" customHeight="1">
      <c r="A59" s="5"/>
      <c r="G59" s="5"/>
      <c r="H59" s="311"/>
      <c r="I59" s="314"/>
      <c r="J59" s="4"/>
      <c r="K59" s="4"/>
      <c r="U59" s="5"/>
      <c r="V59" s="5"/>
      <c r="W59" s="5"/>
      <c r="X59" s="5"/>
      <c r="AD59" s="6"/>
      <c r="AW59" s="95"/>
      <c r="AX59" s="279"/>
      <c r="AY59" s="313"/>
      <c r="BM59" s="116"/>
      <c r="BN59" s="116"/>
      <c r="BO59" s="171"/>
      <c r="BP59" s="116"/>
      <c r="BQ59" s="116"/>
    </row>
    <row r="60" spans="1:69" ht="12.75" customHeight="1">
      <c r="A60" s="5"/>
      <c r="G60" s="5"/>
      <c r="H60" s="311"/>
      <c r="I60" s="314"/>
      <c r="J60" s="4"/>
      <c r="K60" s="4"/>
      <c r="U60" s="5"/>
      <c r="V60" s="5"/>
      <c r="W60" s="5"/>
      <c r="X60" s="5"/>
      <c r="AD60" s="6"/>
      <c r="AW60" s="95"/>
      <c r="AX60" s="279"/>
      <c r="AY60" s="313"/>
      <c r="BM60" s="116"/>
      <c r="BN60" s="116"/>
      <c r="BO60" s="171"/>
      <c r="BP60" s="116"/>
      <c r="BQ60" s="116"/>
    </row>
    <row r="61" spans="1:69" ht="12.75" customHeight="1">
      <c r="A61" s="5"/>
      <c r="G61" s="5"/>
      <c r="H61" s="315"/>
      <c r="I61" s="5"/>
      <c r="J61" s="269"/>
      <c r="K61" s="5"/>
      <c r="AD61" s="6"/>
      <c r="AW61" s="95"/>
      <c r="AX61" s="279"/>
      <c r="AY61" s="313"/>
      <c r="BM61" s="116"/>
      <c r="BN61" s="116"/>
      <c r="BO61" s="171"/>
      <c r="BP61" s="116"/>
      <c r="BQ61" s="116"/>
    </row>
    <row r="62" spans="1:70" ht="12.75" customHeight="1">
      <c r="A62" s="5"/>
      <c r="G62" s="5"/>
      <c r="H62" s="315"/>
      <c r="I62" s="5"/>
      <c r="J62" s="5"/>
      <c r="K62" s="5"/>
      <c r="AD62" s="6"/>
      <c r="AW62" s="95"/>
      <c r="AX62" s="279"/>
      <c r="AY62" s="313"/>
      <c r="BM62" s="116"/>
      <c r="BN62" s="116"/>
      <c r="BO62" s="171"/>
      <c r="BP62" s="116"/>
      <c r="BQ62" s="116"/>
      <c r="BR62" s="2"/>
    </row>
    <row r="63" spans="1:69" ht="12.75" customHeight="1">
      <c r="A63" s="5"/>
      <c r="G63" s="5"/>
      <c r="H63" s="315"/>
      <c r="I63" s="269"/>
      <c r="J63" s="5"/>
      <c r="K63" s="5"/>
      <c r="AD63" s="6"/>
      <c r="AW63" s="95"/>
      <c r="AX63" s="279"/>
      <c r="AY63" s="313"/>
      <c r="BM63" s="116"/>
      <c r="BN63" s="116"/>
      <c r="BO63" s="171"/>
      <c r="BP63" s="116"/>
      <c r="BQ63" s="116"/>
    </row>
    <row r="64" spans="1:69" ht="12.75" customHeight="1">
      <c r="A64" s="279"/>
      <c r="G64" s="5"/>
      <c r="H64" s="276"/>
      <c r="I64" s="269"/>
      <c r="J64" s="5"/>
      <c r="K64" s="5"/>
      <c r="AD64" s="6"/>
      <c r="AW64" s="95"/>
      <c r="AX64" s="279"/>
      <c r="AY64" s="313"/>
      <c r="BM64" s="116"/>
      <c r="BN64" s="116"/>
      <c r="BO64" s="171"/>
      <c r="BP64" s="116"/>
      <c r="BQ64" s="116"/>
    </row>
    <row r="65" spans="1:69" ht="12.75" customHeight="1">
      <c r="A65" s="279"/>
      <c r="G65" s="5"/>
      <c r="H65" s="316"/>
      <c r="I65" s="95"/>
      <c r="J65" s="5"/>
      <c r="K65" s="5"/>
      <c r="AD65" s="6"/>
      <c r="AW65" s="95"/>
      <c r="AX65" s="279"/>
      <c r="AY65" s="313"/>
      <c r="BL65" s="116"/>
      <c r="BM65" s="116"/>
      <c r="BN65" s="116"/>
      <c r="BO65" s="116"/>
      <c r="BP65" s="116"/>
      <c r="BQ65" s="116"/>
    </row>
    <row r="66" spans="1:69" ht="12.75" customHeight="1">
      <c r="A66" s="269"/>
      <c r="G66" s="5"/>
      <c r="H66" s="316"/>
      <c r="I66" s="269"/>
      <c r="J66" s="61"/>
      <c r="K66" s="288"/>
      <c r="AW66" s="95"/>
      <c r="AX66" s="279"/>
      <c r="AY66" s="313"/>
      <c r="BL66" s="116"/>
      <c r="BM66" s="116"/>
      <c r="BN66" s="116"/>
      <c r="BO66" s="116"/>
      <c r="BP66" s="116"/>
      <c r="BQ66" s="116"/>
    </row>
    <row r="67" spans="1:69" ht="12.75" customHeight="1">
      <c r="A67" s="269"/>
      <c r="G67" s="5"/>
      <c r="H67" s="316"/>
      <c r="I67" s="269"/>
      <c r="J67" s="5"/>
      <c r="K67" s="288"/>
      <c r="AW67" s="95"/>
      <c r="AX67" s="279"/>
      <c r="AY67" s="313"/>
      <c r="BK67" s="5"/>
      <c r="BL67" s="116"/>
      <c r="BM67" s="116"/>
      <c r="BN67" s="116"/>
      <c r="BO67" s="116"/>
      <c r="BP67" s="116"/>
      <c r="BQ67" s="116"/>
    </row>
    <row r="68" spans="1:69" ht="12.75" customHeight="1">
      <c r="A68" s="269"/>
      <c r="G68" s="5"/>
      <c r="H68" s="316"/>
      <c r="I68" s="269"/>
      <c r="J68" s="5"/>
      <c r="K68" s="288"/>
      <c r="AW68" s="95"/>
      <c r="AX68" s="279"/>
      <c r="AY68" s="313"/>
      <c r="BL68" s="116"/>
      <c r="BM68" s="116"/>
      <c r="BN68" s="116"/>
      <c r="BO68" s="116"/>
      <c r="BP68" s="116"/>
      <c r="BQ68" s="116"/>
    </row>
    <row r="69" spans="1:69" ht="12.75" customHeight="1">
      <c r="A69" s="269"/>
      <c r="G69" s="5"/>
      <c r="H69" s="316"/>
      <c r="I69" s="269"/>
      <c r="J69" s="5"/>
      <c r="K69" s="288"/>
      <c r="BL69" s="116"/>
      <c r="BM69" s="116"/>
      <c r="BN69" s="116"/>
      <c r="BO69" s="116"/>
      <c r="BP69" s="116"/>
      <c r="BQ69" s="116"/>
    </row>
    <row r="70" spans="1:69" ht="12.75" customHeight="1">
      <c r="A70" s="269"/>
      <c r="G70" s="5"/>
      <c r="H70" s="316"/>
      <c r="I70" s="269"/>
      <c r="J70" s="5"/>
      <c r="K70" s="288"/>
      <c r="BL70" s="116"/>
      <c r="BM70" s="116"/>
      <c r="BN70" s="116"/>
      <c r="BO70" s="116"/>
      <c r="BP70" s="116"/>
      <c r="BQ70" s="116"/>
    </row>
    <row r="71" spans="1:104" ht="12.75" customHeight="1">
      <c r="A71" s="5"/>
      <c r="G71" s="5"/>
      <c r="H71" s="316"/>
      <c r="I71" s="269"/>
      <c r="J71" s="61"/>
      <c r="K71" s="288"/>
      <c r="BL71" s="116"/>
      <c r="BM71" s="116"/>
      <c r="BN71" s="116"/>
      <c r="BO71" s="116"/>
      <c r="BP71" s="116"/>
      <c r="BQ71" s="116"/>
      <c r="CZ71" s="60"/>
    </row>
    <row r="72" spans="1:104" ht="12.75" customHeight="1">
      <c r="A72" s="5"/>
      <c r="G72" s="5"/>
      <c r="H72" s="316"/>
      <c r="I72" s="269"/>
      <c r="J72" s="5"/>
      <c r="K72" s="288"/>
      <c r="BL72" s="116"/>
      <c r="BM72" s="116"/>
      <c r="BN72" s="116"/>
      <c r="BO72" s="116"/>
      <c r="BP72" s="116"/>
      <c r="BQ72" s="116"/>
      <c r="CZ72" s="60"/>
    </row>
    <row r="73" spans="1:119" ht="12.75" customHeight="1">
      <c r="A73" s="314"/>
      <c r="G73" s="5"/>
      <c r="H73" s="316"/>
      <c r="I73" s="95"/>
      <c r="J73" s="5"/>
      <c r="K73" s="191"/>
      <c r="BL73" s="116"/>
      <c r="BM73" s="116"/>
      <c r="BN73" s="116"/>
      <c r="BO73" s="116"/>
      <c r="BP73" s="116"/>
      <c r="BQ73" s="116"/>
      <c r="CZ73" s="62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N73" s="60"/>
      <c r="DO73" s="60"/>
    </row>
    <row r="74" spans="1:130" ht="12.75" customHeight="1">
      <c r="A74" s="314"/>
      <c r="G74" s="5"/>
      <c r="H74" s="316"/>
      <c r="I74" s="95"/>
      <c r="J74" s="5"/>
      <c r="K74" s="5"/>
      <c r="BL74" s="116"/>
      <c r="BM74" s="116"/>
      <c r="BN74" s="116"/>
      <c r="BO74" s="116"/>
      <c r="BP74" s="116"/>
      <c r="BQ74" s="116"/>
      <c r="DD74" s="292"/>
      <c r="DE74" s="60"/>
      <c r="DF74" s="60"/>
      <c r="DG74" s="60"/>
      <c r="DH74" s="60"/>
      <c r="DI74" s="60"/>
      <c r="DJ74" s="60"/>
      <c r="DK74" s="60"/>
      <c r="DL74" s="60"/>
      <c r="DM74" s="60"/>
      <c r="DO74" s="62"/>
      <c r="DP74" s="60"/>
      <c r="DQ74" s="60"/>
      <c r="DR74" s="60"/>
      <c r="DS74" s="60"/>
      <c r="DU74" s="60"/>
      <c r="DV74" s="60"/>
      <c r="DW74" s="60"/>
      <c r="DX74" s="60"/>
      <c r="DY74" s="60"/>
      <c r="DZ74" s="62"/>
    </row>
    <row r="75" spans="1:130" ht="12.75" customHeight="1">
      <c r="A75" s="269"/>
      <c r="B75" s="60"/>
      <c r="C75" s="64"/>
      <c r="D75" s="64"/>
      <c r="E75" s="64"/>
      <c r="F75" s="64"/>
      <c r="G75" s="5"/>
      <c r="H75" s="316"/>
      <c r="I75" s="269"/>
      <c r="J75" s="5"/>
      <c r="K75" s="191"/>
      <c r="BL75" s="116"/>
      <c r="BM75" s="116"/>
      <c r="BN75" s="116"/>
      <c r="BO75" s="116"/>
      <c r="BP75" s="116"/>
      <c r="BQ75" s="116"/>
      <c r="DD75" s="292"/>
      <c r="DE75" s="60"/>
      <c r="DF75" s="62"/>
      <c r="DG75" s="62"/>
      <c r="DH75" s="62"/>
      <c r="DI75" s="62"/>
      <c r="DJ75" s="62"/>
      <c r="DK75" s="62"/>
      <c r="DL75" s="62"/>
      <c r="DM75" s="62"/>
      <c r="DO75" s="60"/>
      <c r="DP75" s="62"/>
      <c r="DQ75" s="62"/>
      <c r="DR75" s="62"/>
      <c r="DS75" s="62"/>
      <c r="DU75" s="62"/>
      <c r="DV75" s="62"/>
      <c r="DW75" s="62"/>
      <c r="DX75" s="62"/>
      <c r="DY75" s="62"/>
      <c r="DZ75" s="60"/>
    </row>
    <row r="76" spans="1:130" ht="12.75" customHeight="1">
      <c r="A76" s="269"/>
      <c r="B76" s="60"/>
      <c r="C76" s="64"/>
      <c r="D76" s="64"/>
      <c r="E76" s="64"/>
      <c r="F76" s="64"/>
      <c r="G76" s="5"/>
      <c r="H76" s="316"/>
      <c r="I76" s="269"/>
      <c r="J76" s="5"/>
      <c r="K76" s="191"/>
      <c r="BL76" s="116"/>
      <c r="BM76" s="116"/>
      <c r="BN76" s="116"/>
      <c r="BO76" s="116"/>
      <c r="BP76" s="116"/>
      <c r="BQ76" s="116"/>
      <c r="DD76" s="292"/>
      <c r="DE76" s="60"/>
      <c r="DF76" s="60"/>
      <c r="DG76" s="60"/>
      <c r="DH76" s="60"/>
      <c r="DI76" s="60"/>
      <c r="DJ76" s="60"/>
      <c r="DK76" s="60"/>
      <c r="DL76" s="60"/>
      <c r="DM76" s="60"/>
      <c r="DO76" s="60"/>
      <c r="DP76" s="60"/>
      <c r="DQ76" s="60"/>
      <c r="DR76" s="60"/>
      <c r="DS76" s="60"/>
      <c r="DU76" s="60"/>
      <c r="DV76" s="60"/>
      <c r="DW76" s="60"/>
      <c r="DX76" s="60"/>
      <c r="DY76" s="60"/>
      <c r="DZ76" s="60"/>
    </row>
    <row r="77" spans="1:130" ht="12.75" customHeight="1">
      <c r="A77" s="95"/>
      <c r="B77" s="60"/>
      <c r="C77" s="64"/>
      <c r="D77" s="64"/>
      <c r="E77" s="64"/>
      <c r="F77" s="64"/>
      <c r="G77" s="5"/>
      <c r="H77" s="316"/>
      <c r="I77" s="269"/>
      <c r="J77" s="304"/>
      <c r="K77" s="191"/>
      <c r="BL77" s="116"/>
      <c r="BM77" s="116"/>
      <c r="BN77" s="116"/>
      <c r="BO77" s="116"/>
      <c r="BP77" s="116"/>
      <c r="BQ77" s="116"/>
      <c r="DD77" s="292"/>
      <c r="DE77" s="60"/>
      <c r="DF77" s="60"/>
      <c r="DG77" s="60"/>
      <c r="DH77" s="60"/>
      <c r="DI77" s="60"/>
      <c r="DJ77" s="60"/>
      <c r="DK77" s="60"/>
      <c r="DL77" s="60"/>
      <c r="DM77" s="60"/>
      <c r="DO77" s="60"/>
      <c r="DP77" s="60"/>
      <c r="DQ77" s="60"/>
      <c r="DR77" s="60"/>
      <c r="DS77" s="60"/>
      <c r="DU77" s="60"/>
      <c r="DV77" s="60"/>
      <c r="DW77" s="60"/>
      <c r="DX77" s="60"/>
      <c r="DY77" s="60"/>
      <c r="DZ77" s="60"/>
    </row>
    <row r="78" spans="1:130" ht="12.75" customHeight="1">
      <c r="A78" s="269"/>
      <c r="B78" s="60"/>
      <c r="C78" s="64"/>
      <c r="D78" s="64"/>
      <c r="E78" s="64"/>
      <c r="F78" s="64"/>
      <c r="G78" s="5"/>
      <c r="H78" s="316"/>
      <c r="I78" s="269"/>
      <c r="J78" s="5"/>
      <c r="K78" s="191"/>
      <c r="BL78" s="116"/>
      <c r="BM78" s="116"/>
      <c r="BN78" s="116"/>
      <c r="BO78" s="116"/>
      <c r="BP78" s="116"/>
      <c r="BQ78" s="116"/>
      <c r="DD78" s="292"/>
      <c r="DE78" s="60"/>
      <c r="DF78" s="60"/>
      <c r="DG78" s="60"/>
      <c r="DH78" s="60"/>
      <c r="DI78" s="60"/>
      <c r="DJ78" s="60"/>
      <c r="DK78" s="60"/>
      <c r="DL78" s="60"/>
      <c r="DM78" s="60"/>
      <c r="DO78" s="60"/>
      <c r="DP78" s="60"/>
      <c r="DQ78" s="60"/>
      <c r="DR78" s="60"/>
      <c r="DS78" s="60"/>
      <c r="DU78" s="60"/>
      <c r="DV78" s="60"/>
      <c r="DW78" s="60"/>
      <c r="DX78" s="60"/>
      <c r="DY78" s="60"/>
      <c r="DZ78" s="60"/>
    </row>
    <row r="79" spans="1:130" ht="12.75" customHeight="1">
      <c r="A79" s="269"/>
      <c r="B79" s="317"/>
      <c r="C79" s="317"/>
      <c r="D79" s="317"/>
      <c r="E79" s="316"/>
      <c r="F79" s="316"/>
      <c r="G79" s="5"/>
      <c r="H79" s="316"/>
      <c r="I79" s="269"/>
      <c r="J79" s="5"/>
      <c r="K79" s="191"/>
      <c r="BL79" s="116"/>
      <c r="BM79" s="116"/>
      <c r="BN79" s="116"/>
      <c r="BO79" s="116"/>
      <c r="BP79" s="116"/>
      <c r="BQ79" s="116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DD79" s="292"/>
      <c r="DE79" s="60"/>
      <c r="DF79" s="60"/>
      <c r="DG79" s="60"/>
      <c r="DH79" s="60"/>
      <c r="DI79" s="60"/>
      <c r="DJ79" s="60"/>
      <c r="DK79" s="60"/>
      <c r="DL79" s="60"/>
      <c r="DM79" s="60"/>
      <c r="DO79" s="60"/>
      <c r="DP79" s="60"/>
      <c r="DQ79" s="60"/>
      <c r="DR79" s="60"/>
      <c r="DS79" s="60"/>
      <c r="DU79" s="60"/>
      <c r="DV79" s="60"/>
      <c r="DW79" s="60"/>
      <c r="DX79" s="60"/>
      <c r="DY79" s="60"/>
      <c r="DZ79" s="60"/>
    </row>
    <row r="80" spans="1:130" ht="12.75" customHeight="1">
      <c r="A80" s="269"/>
      <c r="B80" s="317"/>
      <c r="C80" s="317"/>
      <c r="D80" s="317"/>
      <c r="E80" s="316"/>
      <c r="F80" s="316"/>
      <c r="G80" s="316"/>
      <c r="H80" s="316"/>
      <c r="I80" s="269"/>
      <c r="J80" s="5"/>
      <c r="K80" s="5"/>
      <c r="BL80" s="116"/>
      <c r="BM80" s="116"/>
      <c r="BN80" s="116"/>
      <c r="BO80" s="116"/>
      <c r="BP80" s="116"/>
      <c r="BQ80" s="116"/>
      <c r="BT80" s="2"/>
      <c r="BU80" s="2"/>
      <c r="BV80" s="2"/>
      <c r="BX80" s="318"/>
      <c r="BY80" s="318"/>
      <c r="BZ80" s="318"/>
      <c r="CA80" s="318"/>
      <c r="CB80" s="318"/>
      <c r="CC80" s="318"/>
      <c r="CD80" s="318"/>
      <c r="CE80" s="318"/>
      <c r="CF80" s="318"/>
      <c r="CG80" s="318"/>
      <c r="CH80" s="318"/>
      <c r="CI80" s="318"/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DD80" s="292"/>
      <c r="DE80" s="60"/>
      <c r="DF80" s="60"/>
      <c r="DG80" s="60"/>
      <c r="DH80" s="60"/>
      <c r="DI80" s="60"/>
      <c r="DJ80" s="60"/>
      <c r="DK80" s="60"/>
      <c r="DL80" s="60"/>
      <c r="DM80" s="60"/>
      <c r="DO80" s="60"/>
      <c r="DP80" s="60"/>
      <c r="DQ80" s="60"/>
      <c r="DR80" s="60"/>
      <c r="DS80" s="60"/>
      <c r="DU80" s="60"/>
      <c r="DV80" s="60"/>
      <c r="DW80" s="60"/>
      <c r="DX80" s="60"/>
      <c r="DY80" s="60"/>
      <c r="DZ80" s="60"/>
    </row>
    <row r="81" spans="1:130" ht="12.75" customHeight="1">
      <c r="A81" s="269"/>
      <c r="B81" s="317"/>
      <c r="C81" s="317"/>
      <c r="D81" s="317"/>
      <c r="E81" s="316"/>
      <c r="F81" s="316"/>
      <c r="G81" s="316"/>
      <c r="H81" s="316"/>
      <c r="I81" s="269"/>
      <c r="J81" s="5"/>
      <c r="K81" s="191"/>
      <c r="L81" s="191"/>
      <c r="M81" s="5"/>
      <c r="Y81" s="73"/>
      <c r="Z81" s="73"/>
      <c r="AA81" s="73"/>
      <c r="AB81" s="73"/>
      <c r="AC81" s="73"/>
      <c r="AD81" s="73"/>
      <c r="BL81" s="116"/>
      <c r="BM81" s="116"/>
      <c r="BN81" s="116"/>
      <c r="BO81" s="116"/>
      <c r="BP81" s="116"/>
      <c r="BQ81" s="116"/>
      <c r="BT81" s="318"/>
      <c r="BU81" s="318"/>
      <c r="BV81" s="318"/>
      <c r="DD81" s="292"/>
      <c r="DE81" s="60"/>
      <c r="DF81" s="60"/>
      <c r="DG81" s="60"/>
      <c r="DH81" s="60"/>
      <c r="DI81" s="60"/>
      <c r="DJ81" s="60"/>
      <c r="DK81" s="60"/>
      <c r="DL81" s="60"/>
      <c r="DM81" s="60"/>
      <c r="DO81" s="60"/>
      <c r="DP81" s="60"/>
      <c r="DQ81" s="60"/>
      <c r="DR81" s="60"/>
      <c r="DS81" s="60"/>
      <c r="DU81" s="60"/>
      <c r="DV81" s="60"/>
      <c r="DW81" s="60"/>
      <c r="DX81" s="60"/>
      <c r="DY81" s="60"/>
      <c r="DZ81" s="60"/>
    </row>
    <row r="82" spans="1:130" ht="12.75" customHeight="1">
      <c r="A82" s="269"/>
      <c r="B82" s="317"/>
      <c r="C82" s="317"/>
      <c r="D82" s="317"/>
      <c r="E82" s="316"/>
      <c r="F82" s="316"/>
      <c r="G82" s="5"/>
      <c r="H82" s="5"/>
      <c r="I82" s="269"/>
      <c r="J82" s="5"/>
      <c r="K82" s="319"/>
      <c r="L82" s="191"/>
      <c r="M82" s="5"/>
      <c r="BL82" s="116"/>
      <c r="BM82" s="116"/>
      <c r="BN82" s="116"/>
      <c r="BO82" s="116"/>
      <c r="BP82" s="116"/>
      <c r="BQ82" s="116"/>
      <c r="DD82" s="292"/>
      <c r="DE82" s="60"/>
      <c r="DF82" s="60"/>
      <c r="DG82" s="60"/>
      <c r="DH82" s="60"/>
      <c r="DI82" s="60"/>
      <c r="DJ82" s="60"/>
      <c r="DK82" s="60"/>
      <c r="DL82" s="60"/>
      <c r="DM82" s="60"/>
      <c r="DO82" s="60"/>
      <c r="DP82" s="60"/>
      <c r="DQ82" s="60"/>
      <c r="DR82" s="60"/>
      <c r="DS82" s="60"/>
      <c r="DU82" s="60"/>
      <c r="DV82" s="60"/>
      <c r="DW82" s="60"/>
      <c r="DX82" s="60"/>
      <c r="DY82" s="60"/>
      <c r="DZ82" s="60"/>
    </row>
    <row r="83" spans="1:130" ht="12.75" customHeight="1">
      <c r="A83" s="269"/>
      <c r="B83" s="317"/>
      <c r="C83" s="317"/>
      <c r="D83" s="317"/>
      <c r="E83" s="316"/>
      <c r="F83" s="316"/>
      <c r="G83" s="5"/>
      <c r="H83" s="5"/>
      <c r="I83" s="269"/>
      <c r="J83" s="260"/>
      <c r="K83" s="288"/>
      <c r="L83" s="191"/>
      <c r="M83" s="5"/>
      <c r="BD83" s="202"/>
      <c r="BE83" s="202"/>
      <c r="BF83" s="202"/>
      <c r="BG83" s="202"/>
      <c r="BH83" s="202"/>
      <c r="BI83" s="202"/>
      <c r="BJ83" s="202"/>
      <c r="BL83" s="116"/>
      <c r="BM83" s="116"/>
      <c r="BN83" s="116"/>
      <c r="BO83" s="116"/>
      <c r="BP83" s="116"/>
      <c r="BQ83" s="116"/>
      <c r="DD83" s="292"/>
      <c r="DE83" s="60"/>
      <c r="DF83" s="60"/>
      <c r="DG83" s="60"/>
      <c r="DH83" s="60"/>
      <c r="DI83" s="60"/>
      <c r="DJ83" s="60"/>
      <c r="DK83" s="60"/>
      <c r="DL83" s="60"/>
      <c r="DM83" s="60"/>
      <c r="DO83" s="60"/>
      <c r="DP83" s="60"/>
      <c r="DQ83" s="60"/>
      <c r="DR83" s="60"/>
      <c r="DS83" s="60"/>
      <c r="DU83" s="60"/>
      <c r="DV83" s="60"/>
      <c r="DW83" s="60"/>
      <c r="DX83" s="60"/>
      <c r="DY83" s="60"/>
      <c r="DZ83" s="60"/>
    </row>
    <row r="84" spans="1:130" ht="12.75" customHeight="1">
      <c r="A84" s="269"/>
      <c r="B84" s="317"/>
      <c r="C84" s="317"/>
      <c r="D84" s="317"/>
      <c r="E84" s="316"/>
      <c r="F84" s="316"/>
      <c r="G84" s="5"/>
      <c r="H84" s="5"/>
      <c r="I84" s="269"/>
      <c r="J84" s="260"/>
      <c r="K84" s="288"/>
      <c r="L84" s="191"/>
      <c r="M84" s="5"/>
      <c r="BD84" s="202"/>
      <c r="BE84" s="202"/>
      <c r="BF84" s="202"/>
      <c r="BG84" s="202"/>
      <c r="BH84" s="202"/>
      <c r="BI84" s="202"/>
      <c r="BJ84" s="202"/>
      <c r="BL84" s="116"/>
      <c r="BM84" s="116"/>
      <c r="BN84" s="116"/>
      <c r="BO84" s="116"/>
      <c r="BP84" s="116"/>
      <c r="BQ84" s="116"/>
      <c r="CZ84" s="2"/>
      <c r="DA84" s="2"/>
      <c r="DB84" s="2"/>
      <c r="DC84" s="2"/>
      <c r="DD84" s="292"/>
      <c r="DE84" s="60"/>
      <c r="DF84" s="60"/>
      <c r="DG84" s="60"/>
      <c r="DH84" s="60"/>
      <c r="DI84" s="60"/>
      <c r="DJ84" s="60"/>
      <c r="DK84" s="60"/>
      <c r="DL84" s="60"/>
      <c r="DM84" s="60"/>
      <c r="DO84" s="60"/>
      <c r="DP84" s="60"/>
      <c r="DQ84" s="60"/>
      <c r="DR84" s="60"/>
      <c r="DS84" s="60"/>
      <c r="DU84" s="60"/>
      <c r="DV84" s="60"/>
      <c r="DW84" s="60"/>
      <c r="DX84" s="60"/>
      <c r="DY84" s="60"/>
      <c r="DZ84" s="60"/>
    </row>
    <row r="85" spans="1:130" ht="12.75" customHeight="1">
      <c r="A85" s="269"/>
      <c r="B85" s="317"/>
      <c r="C85" s="317"/>
      <c r="D85" s="317"/>
      <c r="E85" s="316"/>
      <c r="F85" s="316"/>
      <c r="G85" s="5"/>
      <c r="H85" s="5"/>
      <c r="I85" s="269"/>
      <c r="J85" s="260"/>
      <c r="K85" s="191"/>
      <c r="L85" s="191"/>
      <c r="M85" s="5"/>
      <c r="BD85" s="320"/>
      <c r="BE85" s="320"/>
      <c r="BF85" s="320"/>
      <c r="BG85" s="320"/>
      <c r="BH85" s="320"/>
      <c r="BI85" s="320"/>
      <c r="BJ85" s="320"/>
      <c r="BL85" s="116"/>
      <c r="BM85" s="116"/>
      <c r="BN85" s="116"/>
      <c r="BO85" s="116"/>
      <c r="BP85" s="116"/>
      <c r="BQ85" s="116"/>
      <c r="CZ85" s="318"/>
      <c r="DA85" s="318"/>
      <c r="DB85" s="318"/>
      <c r="DC85" s="318"/>
      <c r="DD85" s="292"/>
      <c r="DE85" s="60"/>
      <c r="DF85" s="60"/>
      <c r="DG85" s="60"/>
      <c r="DH85" s="60"/>
      <c r="DI85" s="60"/>
      <c r="DJ85" s="60"/>
      <c r="DK85" s="60"/>
      <c r="DL85" s="60"/>
      <c r="DM85" s="60"/>
      <c r="DO85" s="60"/>
      <c r="DP85" s="60"/>
      <c r="DQ85" s="60"/>
      <c r="DR85" s="60"/>
      <c r="DS85" s="60"/>
      <c r="DU85" s="60"/>
      <c r="DV85" s="60"/>
      <c r="DW85" s="60"/>
      <c r="DX85" s="60"/>
      <c r="DY85" s="60"/>
      <c r="DZ85" s="60"/>
    </row>
    <row r="86" spans="1:130" ht="12.75" customHeight="1">
      <c r="A86" s="269"/>
      <c r="B86" s="317"/>
      <c r="C86" s="317"/>
      <c r="D86" s="317"/>
      <c r="E86" s="316"/>
      <c r="F86" s="316"/>
      <c r="G86" s="5"/>
      <c r="H86" s="5"/>
      <c r="I86" s="269"/>
      <c r="J86" s="260"/>
      <c r="K86" s="191"/>
      <c r="L86" s="191"/>
      <c r="M86" s="5"/>
      <c r="BD86" s="202"/>
      <c r="BE86" s="202"/>
      <c r="BF86" s="202"/>
      <c r="BG86" s="202"/>
      <c r="BH86" s="202"/>
      <c r="BI86" s="202"/>
      <c r="BJ86" s="202"/>
      <c r="BM86" s="321"/>
      <c r="BO86" s="116"/>
      <c r="BP86" s="116"/>
      <c r="BQ86" s="116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U86" s="60"/>
      <c r="DV86" s="60"/>
      <c r="DW86" s="60"/>
      <c r="DX86" s="60"/>
      <c r="DY86" s="60"/>
      <c r="DZ86" s="60"/>
    </row>
    <row r="87" spans="1:129" ht="12.75" customHeight="1">
      <c r="A87" s="269"/>
      <c r="B87" s="317"/>
      <c r="C87" s="317"/>
      <c r="D87" s="317"/>
      <c r="E87" s="316"/>
      <c r="F87" s="316"/>
      <c r="G87" s="5"/>
      <c r="H87" s="5"/>
      <c r="I87" s="269"/>
      <c r="J87" s="260"/>
      <c r="K87" s="191"/>
      <c r="L87" s="191"/>
      <c r="M87" s="5"/>
      <c r="BD87" s="202"/>
      <c r="BE87" s="202"/>
      <c r="BF87" s="202"/>
      <c r="BG87" s="202"/>
      <c r="BH87" s="202"/>
      <c r="BI87" s="202"/>
      <c r="BJ87" s="202"/>
      <c r="BO87" s="116"/>
      <c r="BP87" s="116"/>
      <c r="BQ87" s="116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U87" s="60"/>
      <c r="DV87" s="60"/>
      <c r="DW87" s="60"/>
      <c r="DX87" s="60"/>
      <c r="DY87" s="60"/>
    </row>
    <row r="88" spans="1:131" ht="12.75" customHeight="1">
      <c r="A88" s="269"/>
      <c r="B88" s="317"/>
      <c r="C88" s="317"/>
      <c r="D88" s="317"/>
      <c r="E88" s="316"/>
      <c r="F88" s="316"/>
      <c r="G88" s="5"/>
      <c r="H88" s="5"/>
      <c r="I88" s="269"/>
      <c r="J88" s="5"/>
      <c r="K88" s="191"/>
      <c r="L88" s="191"/>
      <c r="M88" s="5"/>
      <c r="BD88" s="202"/>
      <c r="BE88" s="202"/>
      <c r="BF88" s="202"/>
      <c r="BG88" s="202"/>
      <c r="BH88" s="202"/>
      <c r="BI88" s="202"/>
      <c r="BJ88" s="202"/>
      <c r="BO88" s="116"/>
      <c r="BP88" s="116"/>
      <c r="BQ88" s="116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Z88" s="60"/>
      <c r="EA88" s="60"/>
    </row>
    <row r="89" spans="1:131" ht="12.75" customHeight="1">
      <c r="A89" s="269"/>
      <c r="B89" s="5"/>
      <c r="C89" s="5"/>
      <c r="D89" s="5"/>
      <c r="E89" s="316"/>
      <c r="F89" s="316"/>
      <c r="G89" s="5"/>
      <c r="H89" s="5"/>
      <c r="I89" s="269"/>
      <c r="J89" s="5"/>
      <c r="K89" s="191"/>
      <c r="L89" s="191"/>
      <c r="M89" s="5"/>
      <c r="Y89" s="292"/>
      <c r="Z89" s="292"/>
      <c r="AA89" s="292"/>
      <c r="AB89" s="292"/>
      <c r="AC89" s="292"/>
      <c r="AD89" s="292"/>
      <c r="BD89" s="202"/>
      <c r="BE89" s="202"/>
      <c r="BF89" s="202"/>
      <c r="BG89" s="202"/>
      <c r="BH89" s="202"/>
      <c r="BI89" s="202"/>
      <c r="BJ89" s="202"/>
      <c r="BO89" s="116"/>
      <c r="BP89" s="116"/>
      <c r="BQ89" s="116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Z89" s="60"/>
      <c r="EA89" s="60"/>
    </row>
    <row r="90" spans="1:207" ht="12.75" customHeight="1">
      <c r="A90" s="269"/>
      <c r="B90" s="5"/>
      <c r="C90" s="5"/>
      <c r="D90" s="5"/>
      <c r="E90" s="316"/>
      <c r="F90" s="316"/>
      <c r="G90" s="5"/>
      <c r="H90" s="5"/>
      <c r="I90" s="269"/>
      <c r="J90" s="5"/>
      <c r="K90" s="5"/>
      <c r="L90" s="5"/>
      <c r="M90" s="5"/>
      <c r="Y90" s="292"/>
      <c r="Z90" s="292"/>
      <c r="AA90" s="292"/>
      <c r="AB90" s="292"/>
      <c r="AC90" s="292"/>
      <c r="AD90" s="292"/>
      <c r="BD90" s="202"/>
      <c r="BE90" s="202"/>
      <c r="BF90" s="202"/>
      <c r="BG90" s="202"/>
      <c r="BH90" s="202"/>
      <c r="BI90" s="202"/>
      <c r="BJ90" s="202"/>
      <c r="BO90" s="116"/>
      <c r="BP90" s="116"/>
      <c r="BQ90" s="116"/>
      <c r="DH90" s="60"/>
      <c r="DI90" s="60"/>
      <c r="DJ90" s="60"/>
      <c r="DK90" s="60"/>
      <c r="DL90" s="60"/>
      <c r="DM90" s="60"/>
      <c r="DN90" s="60"/>
      <c r="DQ90" s="60"/>
      <c r="DR90" s="60"/>
      <c r="DS90" s="60"/>
      <c r="DT90" s="60"/>
      <c r="DZ90" s="60"/>
      <c r="EA90" s="60"/>
      <c r="EG90" s="322"/>
      <c r="EH90" s="322"/>
      <c r="EI90" s="322"/>
      <c r="EJ90" s="322"/>
      <c r="EK90" s="322"/>
      <c r="EL90" s="322"/>
      <c r="EM90" s="322"/>
      <c r="EN90" s="322"/>
      <c r="EO90" s="322"/>
      <c r="EP90" s="322"/>
      <c r="EQ90" s="322"/>
      <c r="ER90" s="322"/>
      <c r="ES90" s="322"/>
      <c r="ET90" s="322"/>
      <c r="EU90" s="322"/>
      <c r="EV90" s="322"/>
      <c r="EW90" s="322"/>
      <c r="EX90" s="322"/>
      <c r="EY90" s="322"/>
      <c r="EZ90" s="322"/>
      <c r="FA90" s="322"/>
      <c r="FB90" s="322"/>
      <c r="FC90" s="322"/>
      <c r="FD90" s="322"/>
      <c r="FE90" s="322"/>
      <c r="FF90" s="322"/>
      <c r="FG90" s="322"/>
      <c r="FH90" s="322"/>
      <c r="FI90" s="322"/>
      <c r="FJ90" s="322"/>
      <c r="FK90" s="322"/>
      <c r="FL90" s="322"/>
      <c r="FM90" s="322"/>
      <c r="FN90" s="322"/>
      <c r="FO90" s="322"/>
      <c r="FP90" s="322"/>
      <c r="FQ90" s="322"/>
      <c r="FR90" s="322"/>
      <c r="FS90" s="322"/>
      <c r="FT90" s="322"/>
      <c r="FU90" s="322"/>
      <c r="FV90" s="322"/>
      <c r="FW90" s="322"/>
      <c r="FX90" s="322"/>
      <c r="FY90" s="322"/>
      <c r="FZ90" s="322"/>
      <c r="GA90" s="322"/>
      <c r="GB90" s="322"/>
      <c r="GC90" s="322"/>
      <c r="GD90" s="322"/>
      <c r="GE90" s="322"/>
      <c r="GF90" s="322"/>
      <c r="GG90" s="322"/>
      <c r="GH90" s="322"/>
      <c r="GI90" s="322"/>
      <c r="GJ90" s="322"/>
      <c r="GK90" s="322"/>
      <c r="GL90" s="322"/>
      <c r="GM90" s="322"/>
      <c r="GN90" s="322"/>
      <c r="GO90" s="322"/>
      <c r="GP90" s="322"/>
      <c r="GQ90" s="322"/>
      <c r="GR90" s="322"/>
      <c r="GS90" s="322"/>
      <c r="GT90" s="322"/>
      <c r="GU90" s="322"/>
      <c r="GV90" s="322"/>
      <c r="GW90" s="322"/>
      <c r="GX90" s="322"/>
      <c r="GY90" s="322"/>
    </row>
    <row r="91" spans="1:207" ht="12.75" customHeight="1">
      <c r="A91" s="5"/>
      <c r="B91" s="5"/>
      <c r="C91" s="5"/>
      <c r="D91" s="5"/>
      <c r="E91" s="5"/>
      <c r="F91" s="5"/>
      <c r="G91" s="5"/>
      <c r="H91" s="5"/>
      <c r="I91" s="269"/>
      <c r="J91" s="5"/>
      <c r="K91" s="5"/>
      <c r="L91" s="5"/>
      <c r="M91" s="5"/>
      <c r="Y91" s="292"/>
      <c r="Z91" s="292"/>
      <c r="AA91" s="292"/>
      <c r="AB91" s="292"/>
      <c r="AC91" s="292"/>
      <c r="AD91" s="292"/>
      <c r="AE91" s="60"/>
      <c r="BD91" s="202"/>
      <c r="BE91" s="202"/>
      <c r="BF91" s="202"/>
      <c r="BG91" s="202"/>
      <c r="BH91" s="202"/>
      <c r="BI91" s="202"/>
      <c r="BJ91" s="202"/>
      <c r="BO91" s="116"/>
      <c r="BP91" s="116"/>
      <c r="BQ91" s="116"/>
      <c r="DH91" s="60"/>
      <c r="DI91" s="60"/>
      <c r="DJ91" s="60"/>
      <c r="DK91" s="60"/>
      <c r="DL91" s="60"/>
      <c r="DM91" s="60"/>
      <c r="DN91" s="60"/>
      <c r="DQ91" s="60"/>
      <c r="DR91" s="60"/>
      <c r="DS91" s="60"/>
      <c r="DT91" s="60"/>
      <c r="DZ91" s="60"/>
      <c r="EA91" s="60"/>
      <c r="EG91" s="322"/>
      <c r="EH91" s="322"/>
      <c r="EI91" s="322"/>
      <c r="EJ91" s="322"/>
      <c r="EK91" s="322"/>
      <c r="EL91" s="322"/>
      <c r="EM91" s="322"/>
      <c r="EN91" s="322"/>
      <c r="EO91" s="322"/>
      <c r="EP91" s="322"/>
      <c r="EQ91" s="322"/>
      <c r="ER91" s="322"/>
      <c r="ES91" s="322"/>
      <c r="ET91" s="322"/>
      <c r="EU91" s="322"/>
      <c r="EV91" s="322"/>
      <c r="EW91" s="322"/>
      <c r="EX91" s="322"/>
      <c r="EY91" s="322"/>
      <c r="EZ91" s="322"/>
      <c r="FA91" s="322"/>
      <c r="FB91" s="322"/>
      <c r="FC91" s="322"/>
      <c r="FD91" s="322"/>
      <c r="FE91" s="322"/>
      <c r="FF91" s="322"/>
      <c r="FG91" s="322"/>
      <c r="FH91" s="322"/>
      <c r="FI91" s="322"/>
      <c r="FJ91" s="322"/>
      <c r="FK91" s="322"/>
      <c r="FL91" s="322"/>
      <c r="FM91" s="322"/>
      <c r="FN91" s="322"/>
      <c r="FO91" s="322"/>
      <c r="FP91" s="322"/>
      <c r="FQ91" s="322"/>
      <c r="FR91" s="322"/>
      <c r="FS91" s="322"/>
      <c r="FT91" s="322"/>
      <c r="FU91" s="322"/>
      <c r="FV91" s="322"/>
      <c r="FW91" s="322"/>
      <c r="FX91" s="322"/>
      <c r="FY91" s="322"/>
      <c r="FZ91" s="322"/>
      <c r="GA91" s="322"/>
      <c r="GB91" s="322"/>
      <c r="GC91" s="322"/>
      <c r="GD91" s="322"/>
      <c r="GE91" s="322"/>
      <c r="GF91" s="322"/>
      <c r="GG91" s="322"/>
      <c r="GH91" s="322"/>
      <c r="GI91" s="322"/>
      <c r="GJ91" s="322"/>
      <c r="GK91" s="322"/>
      <c r="GL91" s="322"/>
      <c r="GM91" s="322"/>
      <c r="GN91" s="322"/>
      <c r="GO91" s="322"/>
      <c r="GP91" s="322"/>
      <c r="GQ91" s="322"/>
      <c r="GR91" s="322"/>
      <c r="GS91" s="322"/>
      <c r="GT91" s="322"/>
      <c r="GU91" s="322"/>
      <c r="GV91" s="322"/>
      <c r="GW91" s="322"/>
      <c r="GX91" s="322"/>
      <c r="GY91" s="322"/>
    </row>
    <row r="92" spans="1:207" ht="12.75" customHeight="1">
      <c r="A92" s="5"/>
      <c r="B92" s="5"/>
      <c r="C92" s="5"/>
      <c r="D92" s="5"/>
      <c r="E92" s="316"/>
      <c r="F92" s="5"/>
      <c r="G92" s="5"/>
      <c r="H92" s="5"/>
      <c r="I92" s="269"/>
      <c r="J92" s="5"/>
      <c r="K92" s="5"/>
      <c r="L92" s="5"/>
      <c r="M92" s="5"/>
      <c r="Y92" s="292"/>
      <c r="Z92" s="292"/>
      <c r="AA92" s="292"/>
      <c r="AB92" s="292"/>
      <c r="AC92" s="292"/>
      <c r="AD92" s="292"/>
      <c r="AE92" s="60"/>
      <c r="BD92" s="202"/>
      <c r="BE92" s="202"/>
      <c r="BF92" s="202"/>
      <c r="BG92" s="202"/>
      <c r="BH92" s="202"/>
      <c r="BI92" s="202"/>
      <c r="BJ92" s="202"/>
      <c r="DH92" s="60"/>
      <c r="DI92" s="60"/>
      <c r="DJ92" s="60"/>
      <c r="DK92" s="60"/>
      <c r="DL92" s="60"/>
      <c r="DM92" s="60"/>
      <c r="DN92" s="60"/>
      <c r="DQ92" s="60"/>
      <c r="DR92" s="60"/>
      <c r="DS92" s="60"/>
      <c r="DT92" s="60"/>
      <c r="DZ92" s="60"/>
      <c r="EA92" s="60"/>
      <c r="EG92" s="323"/>
      <c r="EH92" s="323"/>
      <c r="EI92" s="323"/>
      <c r="EJ92" s="323"/>
      <c r="EK92" s="323"/>
      <c r="EL92" s="323"/>
      <c r="EM92" s="323"/>
      <c r="EN92" s="323"/>
      <c r="EO92" s="323"/>
      <c r="EP92" s="323"/>
      <c r="EQ92" s="323"/>
      <c r="ER92" s="323"/>
      <c r="ES92" s="323"/>
      <c r="ET92" s="323"/>
      <c r="EU92" s="323"/>
      <c r="EV92" s="323"/>
      <c r="EW92" s="323"/>
      <c r="EX92" s="323"/>
      <c r="EY92" s="323"/>
      <c r="EZ92" s="323"/>
      <c r="FA92" s="323"/>
      <c r="FB92" s="323"/>
      <c r="FC92" s="323"/>
      <c r="FD92" s="323"/>
      <c r="FE92" s="323"/>
      <c r="FF92" s="323"/>
      <c r="FG92" s="323"/>
      <c r="FH92" s="323"/>
      <c r="FI92" s="323"/>
      <c r="FJ92" s="323"/>
      <c r="FK92" s="323"/>
      <c r="FL92" s="323"/>
      <c r="FM92" s="323"/>
      <c r="FN92" s="323"/>
      <c r="FO92" s="323"/>
      <c r="FP92" s="323"/>
      <c r="FQ92" s="323"/>
      <c r="FR92" s="323"/>
      <c r="FS92" s="323"/>
      <c r="FT92" s="323"/>
      <c r="FU92" s="323"/>
      <c r="FV92" s="323"/>
      <c r="FW92" s="323"/>
      <c r="FX92" s="323"/>
      <c r="FY92" s="323"/>
      <c r="FZ92" s="323"/>
      <c r="GA92" s="323"/>
      <c r="GB92" s="323"/>
      <c r="GC92" s="323"/>
      <c r="GD92" s="323"/>
      <c r="GE92" s="323"/>
      <c r="GF92" s="323"/>
      <c r="GG92" s="323"/>
      <c r="GH92" s="323"/>
      <c r="GI92" s="323"/>
      <c r="GJ92" s="323"/>
      <c r="GK92" s="323"/>
      <c r="GL92" s="323"/>
      <c r="GM92" s="323"/>
      <c r="GN92" s="323"/>
      <c r="GO92" s="323"/>
      <c r="GP92" s="323"/>
      <c r="GQ92" s="323"/>
      <c r="GR92" s="323"/>
      <c r="GS92" s="323"/>
      <c r="GT92" s="323"/>
      <c r="GU92" s="323"/>
      <c r="GV92" s="323"/>
      <c r="GW92" s="323"/>
      <c r="GX92" s="323"/>
      <c r="GY92" s="323"/>
    </row>
    <row r="93" spans="1:207" ht="12.75" customHeight="1">
      <c r="A93" s="5"/>
      <c r="B93" s="5"/>
      <c r="C93" s="5"/>
      <c r="D93" s="5"/>
      <c r="E93" s="5"/>
      <c r="F93" s="5"/>
      <c r="G93" s="5"/>
      <c r="H93" s="5"/>
      <c r="I93" s="269"/>
      <c r="J93" s="5"/>
      <c r="K93" s="5"/>
      <c r="L93" s="5"/>
      <c r="M93" s="5"/>
      <c r="Y93" s="292"/>
      <c r="Z93" s="292"/>
      <c r="AA93" s="292"/>
      <c r="AB93" s="292"/>
      <c r="AC93" s="292"/>
      <c r="AD93" s="292"/>
      <c r="AE93" s="60"/>
      <c r="BD93" s="202"/>
      <c r="BE93" s="202"/>
      <c r="BF93" s="202"/>
      <c r="BG93" s="202"/>
      <c r="BH93" s="202"/>
      <c r="BI93" s="202"/>
      <c r="BJ93" s="202"/>
      <c r="DH93" s="60"/>
      <c r="DI93" s="60"/>
      <c r="DJ93" s="60"/>
      <c r="DK93" s="60"/>
      <c r="DL93" s="60"/>
      <c r="DM93" s="60"/>
      <c r="DN93" s="60"/>
      <c r="DQ93" s="60"/>
      <c r="DR93" s="60"/>
      <c r="DS93" s="60"/>
      <c r="DT93" s="60"/>
      <c r="DZ93" s="60"/>
      <c r="EA93" s="60"/>
      <c r="EG93" s="322"/>
      <c r="EH93" s="322"/>
      <c r="EI93" s="322"/>
      <c r="EJ93" s="322"/>
      <c r="EK93" s="322"/>
      <c r="EL93" s="322"/>
      <c r="EM93" s="322"/>
      <c r="EN93" s="322"/>
      <c r="EO93" s="322"/>
      <c r="EP93" s="322"/>
      <c r="EQ93" s="322"/>
      <c r="ER93" s="322"/>
      <c r="ES93" s="322"/>
      <c r="ET93" s="322"/>
      <c r="EU93" s="322"/>
      <c r="EV93" s="322"/>
      <c r="EW93" s="322"/>
      <c r="EX93" s="322"/>
      <c r="EY93" s="322"/>
      <c r="EZ93" s="322"/>
      <c r="FA93" s="322"/>
      <c r="FB93" s="322"/>
      <c r="FC93" s="322"/>
      <c r="FD93" s="322"/>
      <c r="FE93" s="322"/>
      <c r="FF93" s="322"/>
      <c r="FG93" s="322"/>
      <c r="FH93" s="322"/>
      <c r="FI93" s="322"/>
      <c r="FJ93" s="322"/>
      <c r="FK93" s="322"/>
      <c r="FL93" s="322"/>
      <c r="FM93" s="322"/>
      <c r="FN93" s="322"/>
      <c r="FO93" s="322"/>
      <c r="FP93" s="322"/>
      <c r="FQ93" s="322"/>
      <c r="FR93" s="322"/>
      <c r="FS93" s="322"/>
      <c r="FT93" s="322"/>
      <c r="FU93" s="322"/>
      <c r="FV93" s="322"/>
      <c r="FW93" s="322"/>
      <c r="FX93" s="322"/>
      <c r="FY93" s="322"/>
      <c r="FZ93" s="322"/>
      <c r="GA93" s="322"/>
      <c r="GB93" s="322"/>
      <c r="GC93" s="322"/>
      <c r="GD93" s="322"/>
      <c r="GE93" s="322"/>
      <c r="GF93" s="322"/>
      <c r="GG93" s="322"/>
      <c r="GH93" s="322"/>
      <c r="GI93" s="322"/>
      <c r="GJ93" s="322"/>
      <c r="GK93" s="322"/>
      <c r="GL93" s="322"/>
      <c r="GM93" s="322"/>
      <c r="GN93" s="322"/>
      <c r="GO93" s="322"/>
      <c r="GP93" s="322"/>
      <c r="GQ93" s="322"/>
      <c r="GR93" s="322"/>
      <c r="GS93" s="322"/>
      <c r="GT93" s="322"/>
      <c r="GU93" s="322"/>
      <c r="GV93" s="322"/>
      <c r="GW93" s="322"/>
      <c r="GX93" s="322"/>
      <c r="GY93" s="322"/>
    </row>
    <row r="94" spans="1:207" ht="12.75" customHeight="1">
      <c r="A94" s="5"/>
      <c r="B94" s="5"/>
      <c r="C94" s="5"/>
      <c r="D94" s="5"/>
      <c r="E94" s="5"/>
      <c r="F94" s="5"/>
      <c r="G94" s="5"/>
      <c r="H94" s="5"/>
      <c r="I94" s="269"/>
      <c r="J94" s="5"/>
      <c r="K94" s="5"/>
      <c r="L94" s="5"/>
      <c r="M94" s="5"/>
      <c r="Y94" s="292"/>
      <c r="Z94" s="292"/>
      <c r="AA94" s="292"/>
      <c r="AB94" s="292"/>
      <c r="AC94" s="292"/>
      <c r="AD94" s="292"/>
      <c r="AE94" s="60"/>
      <c r="BD94" s="202"/>
      <c r="BE94" s="202"/>
      <c r="BF94" s="202"/>
      <c r="BG94" s="202"/>
      <c r="BH94" s="202"/>
      <c r="BI94" s="202"/>
      <c r="BJ94" s="202"/>
      <c r="DH94" s="60"/>
      <c r="DI94" s="60"/>
      <c r="DJ94" s="60"/>
      <c r="DK94" s="60"/>
      <c r="DL94" s="60"/>
      <c r="DM94" s="60"/>
      <c r="DN94" s="60"/>
      <c r="DQ94" s="60"/>
      <c r="DR94" s="60"/>
      <c r="DS94" s="60"/>
      <c r="DT94" s="60"/>
      <c r="DZ94" s="60"/>
      <c r="EA94" s="60"/>
      <c r="EG94" s="322"/>
      <c r="EH94" s="322"/>
      <c r="EI94" s="322"/>
      <c r="EJ94" s="322"/>
      <c r="EK94" s="322"/>
      <c r="EL94" s="322"/>
      <c r="EM94" s="322"/>
      <c r="EN94" s="322"/>
      <c r="EO94" s="322"/>
      <c r="EP94" s="322"/>
      <c r="EQ94" s="322"/>
      <c r="ER94" s="322"/>
      <c r="ES94" s="322"/>
      <c r="ET94" s="322"/>
      <c r="EU94" s="322"/>
      <c r="EV94" s="322"/>
      <c r="EW94" s="322"/>
      <c r="EX94" s="322"/>
      <c r="EY94" s="322"/>
      <c r="EZ94" s="322"/>
      <c r="FA94" s="322"/>
      <c r="FB94" s="322"/>
      <c r="FC94" s="322"/>
      <c r="FD94" s="322"/>
      <c r="FE94" s="322"/>
      <c r="FF94" s="322"/>
      <c r="FG94" s="322"/>
      <c r="FH94" s="322"/>
      <c r="FI94" s="322"/>
      <c r="FJ94" s="322"/>
      <c r="FK94" s="322"/>
      <c r="FL94" s="322"/>
      <c r="FM94" s="322"/>
      <c r="FN94" s="322"/>
      <c r="FO94" s="322"/>
      <c r="FP94" s="322"/>
      <c r="FQ94" s="322"/>
      <c r="FR94" s="322"/>
      <c r="FS94" s="322"/>
      <c r="FT94" s="322"/>
      <c r="FU94" s="322"/>
      <c r="FV94" s="322"/>
      <c r="FW94" s="322"/>
      <c r="FX94" s="322"/>
      <c r="FY94" s="322"/>
      <c r="FZ94" s="322"/>
      <c r="GA94" s="322"/>
      <c r="GB94" s="322"/>
      <c r="GC94" s="322"/>
      <c r="GD94" s="322"/>
      <c r="GE94" s="322"/>
      <c r="GF94" s="322"/>
      <c r="GG94" s="322"/>
      <c r="GH94" s="322"/>
      <c r="GI94" s="322"/>
      <c r="GJ94" s="322"/>
      <c r="GK94" s="322"/>
      <c r="GL94" s="322"/>
      <c r="GM94" s="322"/>
      <c r="GN94" s="322"/>
      <c r="GO94" s="322"/>
      <c r="GP94" s="322"/>
      <c r="GQ94" s="322"/>
      <c r="GR94" s="322"/>
      <c r="GS94" s="322"/>
      <c r="GT94" s="322"/>
      <c r="GU94" s="322"/>
      <c r="GV94" s="322"/>
      <c r="GW94" s="322"/>
      <c r="GX94" s="322"/>
      <c r="GY94" s="322"/>
    </row>
    <row r="95" spans="1:131" ht="12.75" customHeight="1">
      <c r="A95" s="5"/>
      <c r="B95" s="5"/>
      <c r="C95" s="5"/>
      <c r="D95" s="5"/>
      <c r="E95" s="5"/>
      <c r="F95" s="5"/>
      <c r="I95" s="79"/>
      <c r="Y95" s="292"/>
      <c r="Z95" s="292"/>
      <c r="AA95" s="292"/>
      <c r="AB95" s="292"/>
      <c r="AC95" s="292"/>
      <c r="AD95" s="292"/>
      <c r="AE95" s="60"/>
      <c r="BD95" s="202"/>
      <c r="BE95" s="202"/>
      <c r="BF95" s="202"/>
      <c r="BG95" s="202"/>
      <c r="BH95" s="202"/>
      <c r="BI95" s="202"/>
      <c r="BJ95" s="202"/>
      <c r="DH95" s="60"/>
      <c r="DI95" s="60"/>
      <c r="DJ95" s="60"/>
      <c r="DK95" s="60"/>
      <c r="DL95" s="60"/>
      <c r="DM95" s="60"/>
      <c r="DN95" s="60"/>
      <c r="DQ95" s="60"/>
      <c r="DR95" s="60"/>
      <c r="DS95" s="60"/>
      <c r="DT95" s="60"/>
      <c r="DZ95" s="60"/>
      <c r="EA95" s="60"/>
    </row>
    <row r="96" spans="1:131" ht="12.75" customHeight="1">
      <c r="A96" s="5"/>
      <c r="B96" s="5"/>
      <c r="C96" s="5"/>
      <c r="D96" s="5"/>
      <c r="E96" s="5"/>
      <c r="F96" s="5"/>
      <c r="I96" s="79"/>
      <c r="Y96" s="292"/>
      <c r="Z96" s="292"/>
      <c r="AA96" s="292"/>
      <c r="AB96" s="292"/>
      <c r="AC96" s="292"/>
      <c r="AD96" s="292"/>
      <c r="BD96" s="202"/>
      <c r="BE96" s="202"/>
      <c r="BF96" s="202"/>
      <c r="BG96" s="202"/>
      <c r="BH96" s="202"/>
      <c r="BI96" s="202"/>
      <c r="BJ96" s="202"/>
      <c r="DH96" s="60"/>
      <c r="DI96" s="60"/>
      <c r="DJ96" s="60"/>
      <c r="DK96" s="60"/>
      <c r="DL96" s="60"/>
      <c r="DM96" s="60"/>
      <c r="DN96" s="60"/>
      <c r="DQ96" s="60"/>
      <c r="DR96" s="60"/>
      <c r="DS96" s="60"/>
      <c r="DT96" s="60"/>
      <c r="DZ96" s="60"/>
      <c r="EA96" s="60"/>
    </row>
    <row r="97" spans="1:131" ht="12.75" customHeight="1">
      <c r="A97" s="5"/>
      <c r="B97" s="5"/>
      <c r="C97" s="5"/>
      <c r="D97" s="5"/>
      <c r="E97" s="5"/>
      <c r="F97" s="5"/>
      <c r="Y97" s="292"/>
      <c r="Z97" s="292"/>
      <c r="AA97" s="292"/>
      <c r="AB97" s="292"/>
      <c r="AC97" s="292"/>
      <c r="AD97" s="292"/>
      <c r="BD97" s="202"/>
      <c r="BE97" s="202"/>
      <c r="BF97" s="202"/>
      <c r="BG97" s="202"/>
      <c r="BH97" s="202"/>
      <c r="BI97" s="202"/>
      <c r="BJ97" s="202"/>
      <c r="DH97" s="60"/>
      <c r="DI97" s="60"/>
      <c r="DJ97" s="60"/>
      <c r="DK97" s="60"/>
      <c r="DL97" s="60"/>
      <c r="DM97" s="60"/>
      <c r="DN97" s="60"/>
      <c r="DQ97" s="60"/>
      <c r="DR97" s="60"/>
      <c r="DS97" s="60"/>
      <c r="DT97" s="60"/>
      <c r="DZ97" s="60"/>
      <c r="EA97" s="60"/>
    </row>
    <row r="98" spans="1:207" ht="12.75" customHeight="1">
      <c r="A98" s="5"/>
      <c r="B98" s="5"/>
      <c r="C98" s="5"/>
      <c r="D98" s="5"/>
      <c r="E98" s="5"/>
      <c r="F98" s="5"/>
      <c r="Y98" s="292"/>
      <c r="Z98" s="292"/>
      <c r="AA98" s="292"/>
      <c r="AB98" s="292"/>
      <c r="AC98" s="292"/>
      <c r="AD98" s="292"/>
      <c r="BD98" s="202"/>
      <c r="BE98" s="202"/>
      <c r="BF98" s="202"/>
      <c r="BG98" s="202"/>
      <c r="BH98" s="202"/>
      <c r="BI98" s="202"/>
      <c r="BJ98" s="202"/>
      <c r="DH98" s="60"/>
      <c r="DI98" s="60"/>
      <c r="DJ98" s="60"/>
      <c r="DK98" s="60"/>
      <c r="DL98" s="60"/>
      <c r="DM98" s="60"/>
      <c r="DN98" s="60"/>
      <c r="DQ98" s="60"/>
      <c r="DR98" s="60"/>
      <c r="DS98" s="60"/>
      <c r="DT98" s="60"/>
      <c r="DZ98" s="60"/>
      <c r="EA98" s="60"/>
      <c r="EG98" s="171"/>
      <c r="EH98" s="171"/>
      <c r="EI98" s="171"/>
      <c r="EJ98" s="171"/>
      <c r="EK98" s="171"/>
      <c r="EL98" s="171"/>
      <c r="EM98" s="171"/>
      <c r="EN98" s="171"/>
      <c r="EO98" s="171"/>
      <c r="EP98" s="171"/>
      <c r="EQ98" s="171"/>
      <c r="ER98" s="171"/>
      <c r="ES98" s="171"/>
      <c r="ET98" s="171"/>
      <c r="EU98" s="171"/>
      <c r="EV98" s="171"/>
      <c r="EW98" s="171"/>
      <c r="EX98" s="171"/>
      <c r="EY98" s="171"/>
      <c r="EZ98" s="171"/>
      <c r="FA98" s="171"/>
      <c r="FB98" s="171"/>
      <c r="FC98" s="171"/>
      <c r="FD98" s="171"/>
      <c r="FE98" s="171"/>
      <c r="FF98" s="171"/>
      <c r="FG98" s="171"/>
      <c r="FH98" s="171"/>
      <c r="FI98" s="171"/>
      <c r="FJ98" s="171"/>
      <c r="FK98" s="171"/>
      <c r="FL98" s="171"/>
      <c r="FM98" s="171"/>
      <c r="FN98" s="171"/>
      <c r="FO98" s="171"/>
      <c r="FP98" s="171"/>
      <c r="FQ98" s="171"/>
      <c r="FR98" s="171"/>
      <c r="FS98" s="171"/>
      <c r="FT98" s="171"/>
      <c r="FU98" s="171"/>
      <c r="FV98" s="171"/>
      <c r="FW98" s="171"/>
      <c r="FX98" s="171"/>
      <c r="FY98" s="171"/>
      <c r="FZ98" s="171"/>
      <c r="GA98" s="171"/>
      <c r="GB98" s="171"/>
      <c r="GC98" s="171"/>
      <c r="GD98" s="171"/>
      <c r="GE98" s="171"/>
      <c r="GF98" s="171"/>
      <c r="GG98" s="171"/>
      <c r="GH98" s="171"/>
      <c r="GI98" s="171"/>
      <c r="GJ98" s="171"/>
      <c r="GK98" s="171"/>
      <c r="GL98" s="171"/>
      <c r="GM98" s="171"/>
      <c r="GN98" s="171"/>
      <c r="GO98" s="171"/>
      <c r="GP98" s="171"/>
      <c r="GQ98" s="171"/>
      <c r="GR98" s="171"/>
      <c r="GS98" s="171"/>
      <c r="GT98" s="171"/>
      <c r="GU98" s="171"/>
      <c r="GV98" s="171"/>
      <c r="GW98" s="171"/>
      <c r="GX98" s="171"/>
      <c r="GY98" s="171"/>
    </row>
    <row r="99" spans="1:131" ht="12.75" customHeight="1">
      <c r="A99" s="5"/>
      <c r="B99" s="5"/>
      <c r="C99" s="5"/>
      <c r="D99" s="5"/>
      <c r="E99" s="5"/>
      <c r="F99" s="5"/>
      <c r="Y99" s="292"/>
      <c r="Z99" s="292"/>
      <c r="AA99" s="292"/>
      <c r="AB99" s="292"/>
      <c r="AC99" s="292"/>
      <c r="AD99" s="292"/>
      <c r="BD99" s="202"/>
      <c r="BE99" s="202"/>
      <c r="BF99" s="202"/>
      <c r="BG99" s="202"/>
      <c r="BH99" s="202"/>
      <c r="BI99" s="202"/>
      <c r="BJ99" s="202"/>
      <c r="DH99" s="60"/>
      <c r="DI99" s="60"/>
      <c r="DJ99" s="60"/>
      <c r="DK99" s="60"/>
      <c r="DL99" s="60"/>
      <c r="DM99" s="60"/>
      <c r="DN99" s="60"/>
      <c r="DQ99" s="60"/>
      <c r="DR99" s="60"/>
      <c r="DS99" s="60"/>
      <c r="DT99" s="60"/>
      <c r="DZ99" s="60"/>
      <c r="EA99" s="60"/>
    </row>
    <row r="100" spans="1:131" ht="12.75" customHeight="1">
      <c r="A100" s="5"/>
      <c r="B100" s="5"/>
      <c r="C100" s="5"/>
      <c r="D100" s="5"/>
      <c r="E100" s="5"/>
      <c r="F100" s="5"/>
      <c r="Y100" s="292"/>
      <c r="Z100" s="292"/>
      <c r="AA100" s="292"/>
      <c r="AB100" s="292"/>
      <c r="AC100" s="292"/>
      <c r="AD100" s="292"/>
      <c r="BD100" s="202"/>
      <c r="BE100" s="202"/>
      <c r="BF100" s="202"/>
      <c r="BG100" s="202"/>
      <c r="BH100" s="202"/>
      <c r="BI100" s="202"/>
      <c r="BJ100" s="202"/>
      <c r="DH100" s="60"/>
      <c r="DI100" s="60"/>
      <c r="DJ100" s="60"/>
      <c r="DK100" s="60"/>
      <c r="DL100" s="60"/>
      <c r="DM100" s="60"/>
      <c r="DN100" s="60"/>
      <c r="DQ100" s="60"/>
      <c r="DR100" s="60"/>
      <c r="DS100" s="60"/>
      <c r="DT100" s="60"/>
      <c r="DZ100" s="60"/>
      <c r="EA100" s="60"/>
    </row>
    <row r="101" spans="1:131" ht="12.75" customHeight="1">
      <c r="A101" s="5"/>
      <c r="B101" s="5"/>
      <c r="C101" s="5"/>
      <c r="D101" s="5"/>
      <c r="E101" s="5"/>
      <c r="F101" s="5"/>
      <c r="DK101" s="60"/>
      <c r="DL101" s="60"/>
      <c r="DM101" s="60"/>
      <c r="DN101" s="60"/>
      <c r="DQ101" s="60"/>
      <c r="DR101" s="60"/>
      <c r="DS101" s="60"/>
      <c r="DT101" s="60"/>
      <c r="DZ101" s="60"/>
      <c r="EA101" s="60"/>
    </row>
    <row r="102" spans="1:24" ht="12.75" customHeight="1">
      <c r="A102" s="5"/>
      <c r="B102" s="5"/>
      <c r="C102" s="5"/>
      <c r="D102" s="5"/>
      <c r="E102" s="5"/>
      <c r="F102" s="5"/>
      <c r="U102" s="5"/>
      <c r="V102" s="5"/>
      <c r="W102" s="5"/>
      <c r="X102" s="5"/>
    </row>
    <row r="103" spans="1:24" ht="12.75" customHeight="1">
      <c r="A103" s="5"/>
      <c r="B103" s="5"/>
      <c r="C103" s="5"/>
      <c r="D103" s="5"/>
      <c r="E103" s="5"/>
      <c r="F103" s="5"/>
      <c r="U103" s="5"/>
      <c r="V103" s="5"/>
      <c r="W103" s="5"/>
      <c r="X103" s="5"/>
    </row>
    <row r="104" spans="1:24" ht="12.75" customHeight="1">
      <c r="A104" s="5"/>
      <c r="B104" s="5"/>
      <c r="C104" s="5"/>
      <c r="D104" s="5"/>
      <c r="E104" s="5"/>
      <c r="F104" s="5"/>
      <c r="U104" s="5"/>
      <c r="V104" s="5"/>
      <c r="W104" s="5"/>
      <c r="X104" s="5"/>
    </row>
    <row r="105" spans="1:24" ht="12.75" customHeight="1">
      <c r="A105" s="5"/>
      <c r="B105" s="5"/>
      <c r="C105" s="5"/>
      <c r="D105" s="5"/>
      <c r="E105" s="5"/>
      <c r="F105" s="5"/>
      <c r="U105" s="5"/>
      <c r="V105" s="5"/>
      <c r="W105" s="5"/>
      <c r="X105" s="5"/>
    </row>
    <row r="106" spans="1:24" ht="12.75" customHeight="1">
      <c r="A106" s="5"/>
      <c r="B106" s="5"/>
      <c r="C106" s="5"/>
      <c r="D106" s="5"/>
      <c r="E106" s="5"/>
      <c r="F106" s="5"/>
      <c r="U106" s="5"/>
      <c r="V106" s="5"/>
      <c r="W106" s="5"/>
      <c r="X106" s="5"/>
    </row>
    <row r="107" spans="1:24" ht="12.75" customHeight="1">
      <c r="A107" s="5"/>
      <c r="B107" s="5"/>
      <c r="C107" s="5"/>
      <c r="D107" s="5"/>
      <c r="E107" s="5"/>
      <c r="F107" s="5"/>
      <c r="U107" s="5"/>
      <c r="V107" s="5"/>
      <c r="W107" s="5"/>
      <c r="X107" s="5"/>
    </row>
    <row r="108" spans="1:24" ht="12.75" customHeight="1">
      <c r="A108" s="5"/>
      <c r="B108" s="5"/>
      <c r="C108" s="5"/>
      <c r="D108" s="5"/>
      <c r="E108" s="5"/>
      <c r="F108" s="5"/>
      <c r="U108" s="5"/>
      <c r="V108" s="5"/>
      <c r="W108" s="5"/>
      <c r="X108" s="5"/>
    </row>
    <row r="109" spans="1:24" ht="12.75" customHeight="1">
      <c r="A109" s="5"/>
      <c r="B109" s="5"/>
      <c r="C109" s="5"/>
      <c r="D109" s="5"/>
      <c r="E109" s="5"/>
      <c r="F109" s="5"/>
      <c r="U109" s="5"/>
      <c r="V109" s="5"/>
      <c r="W109" s="5"/>
      <c r="X109" s="5"/>
    </row>
    <row r="110" spans="1:24" ht="12.75" customHeight="1">
      <c r="A110" s="5"/>
      <c r="B110" s="5"/>
      <c r="C110" s="5"/>
      <c r="D110" s="5"/>
      <c r="E110" s="5"/>
      <c r="F110" s="5"/>
      <c r="U110" s="5"/>
      <c r="V110" s="5"/>
      <c r="W110" s="5"/>
      <c r="X110" s="5"/>
    </row>
    <row r="111" spans="1:24" ht="12.75" customHeight="1">
      <c r="A111" s="5"/>
      <c r="B111" s="5"/>
      <c r="C111" s="5"/>
      <c r="D111" s="5"/>
      <c r="E111" s="5"/>
      <c r="F111" s="5"/>
      <c r="U111" s="5"/>
      <c r="V111" s="5"/>
      <c r="W111" s="5"/>
      <c r="X111" s="5"/>
    </row>
    <row r="112" spans="1:24" ht="12.75" customHeight="1">
      <c r="A112" s="5"/>
      <c r="B112" s="5"/>
      <c r="C112" s="5"/>
      <c r="D112" s="5"/>
      <c r="E112" s="5"/>
      <c r="F112" s="5"/>
      <c r="U112" s="5"/>
      <c r="V112" s="5"/>
      <c r="W112" s="5"/>
      <c r="X112" s="5"/>
    </row>
    <row r="113" spans="1:24" ht="12.75" customHeight="1">
      <c r="A113" s="5"/>
      <c r="B113" s="5"/>
      <c r="C113" s="5"/>
      <c r="D113" s="5"/>
      <c r="E113" s="5"/>
      <c r="F113" s="5"/>
      <c r="U113" s="5"/>
      <c r="V113" s="5"/>
      <c r="W113" s="5"/>
      <c r="X113" s="5"/>
    </row>
    <row r="114" spans="1:24" ht="12.75" customHeight="1">
      <c r="A114" s="5"/>
      <c r="B114" s="5"/>
      <c r="C114" s="5"/>
      <c r="D114" s="5"/>
      <c r="E114" s="5"/>
      <c r="F114" s="5"/>
      <c r="U114" s="5"/>
      <c r="V114" s="5"/>
      <c r="W114" s="5"/>
      <c r="X114" s="5"/>
    </row>
    <row r="115" spans="1:24" ht="12.75" customHeight="1">
      <c r="A115" s="5"/>
      <c r="B115" s="5"/>
      <c r="C115" s="5"/>
      <c r="D115" s="5"/>
      <c r="E115" s="5"/>
      <c r="F115" s="5"/>
      <c r="U115" s="5"/>
      <c r="V115" s="5"/>
      <c r="W115" s="5"/>
      <c r="X115" s="5"/>
    </row>
    <row r="116" spans="1:24" ht="12.75" customHeight="1">
      <c r="A116" s="5"/>
      <c r="B116" s="5"/>
      <c r="C116" s="5"/>
      <c r="D116" s="5"/>
      <c r="E116" s="5"/>
      <c r="F116" s="5"/>
      <c r="U116" s="324"/>
      <c r="V116" s="5"/>
      <c r="W116" s="5"/>
      <c r="X116" s="5"/>
    </row>
    <row r="117" spans="1:53" ht="12.75" customHeight="1">
      <c r="A117" s="5"/>
      <c r="B117" s="5"/>
      <c r="C117" s="5"/>
      <c r="D117" s="5"/>
      <c r="E117" s="5"/>
      <c r="F117" s="5"/>
      <c r="M117" s="169"/>
      <c r="U117" s="324"/>
      <c r="V117" s="5"/>
      <c r="W117" s="5"/>
      <c r="X117" s="5"/>
      <c r="BA117" s="169"/>
    </row>
    <row r="118" spans="1:53" ht="12.75" customHeight="1">
      <c r="A118" s="5"/>
      <c r="B118" s="5"/>
      <c r="C118" s="5"/>
      <c r="D118" s="5"/>
      <c r="E118" s="5"/>
      <c r="F118" s="5"/>
      <c r="M118" s="169"/>
      <c r="U118" s="324"/>
      <c r="V118" s="5"/>
      <c r="W118" s="5"/>
      <c r="X118" s="5"/>
      <c r="BA118" s="169"/>
    </row>
    <row r="119" spans="1:53" ht="12.75" customHeight="1">
      <c r="A119" s="5"/>
      <c r="B119" s="5"/>
      <c r="C119" s="5"/>
      <c r="D119" s="5"/>
      <c r="E119" s="5"/>
      <c r="F119" s="5"/>
      <c r="M119" s="169"/>
      <c r="U119" s="5"/>
      <c r="V119" s="5"/>
      <c r="W119" s="5"/>
      <c r="X119" s="5"/>
      <c r="BA119" s="169"/>
    </row>
    <row r="120" spans="1:108" ht="12.75" customHeight="1">
      <c r="A120" s="5"/>
      <c r="B120" s="5"/>
      <c r="C120" s="5"/>
      <c r="D120" s="5"/>
      <c r="E120" s="5"/>
      <c r="F120" s="5"/>
      <c r="U120" s="5"/>
      <c r="V120" s="5"/>
      <c r="W120" s="5"/>
      <c r="X120" s="5"/>
      <c r="DC120" s="73"/>
      <c r="DD120" s="73"/>
    </row>
    <row r="121" spans="21:24" ht="12.75" customHeight="1">
      <c r="U121" s="5"/>
      <c r="V121" s="5"/>
      <c r="W121" s="5"/>
      <c r="X121" s="5"/>
    </row>
    <row r="122" spans="21:24" ht="12.75" customHeight="1">
      <c r="U122" s="5"/>
      <c r="V122" s="5"/>
      <c r="W122" s="5"/>
      <c r="X122" s="5"/>
    </row>
    <row r="123" spans="21:24" ht="12.75" customHeight="1">
      <c r="U123" s="5"/>
      <c r="V123" s="5"/>
      <c r="W123" s="5"/>
      <c r="X123" s="5"/>
    </row>
    <row r="124" spans="21:24" ht="12.75" customHeight="1">
      <c r="U124" s="5"/>
      <c r="V124" s="5"/>
      <c r="W124" s="5"/>
      <c r="X124" s="5"/>
    </row>
    <row r="125" spans="21:24" ht="12.75" customHeight="1">
      <c r="U125" s="5"/>
      <c r="V125" s="5"/>
      <c r="W125" s="5"/>
      <c r="X125" s="5"/>
    </row>
    <row r="126" spans="21:24" ht="12.75" customHeight="1">
      <c r="U126" s="5"/>
      <c r="V126" s="5"/>
      <c r="W126" s="5"/>
      <c r="X126" s="5"/>
    </row>
    <row r="127" spans="21:24" ht="12.75" customHeight="1">
      <c r="U127" s="5"/>
      <c r="V127" s="5"/>
      <c r="W127" s="5"/>
      <c r="X127" s="5"/>
    </row>
    <row r="128" spans="21:24" ht="12.75" customHeight="1">
      <c r="U128" s="5"/>
      <c r="V128" s="5"/>
      <c r="W128" s="5"/>
      <c r="X128" s="5"/>
    </row>
    <row r="129" spans="21:24" ht="12.75" customHeight="1">
      <c r="U129" s="5"/>
      <c r="V129" s="5"/>
      <c r="W129" s="5"/>
      <c r="X129" s="5"/>
    </row>
    <row r="130" spans="21:24" ht="12.75" customHeight="1">
      <c r="U130" s="5"/>
      <c r="V130" s="5"/>
      <c r="W130" s="5"/>
      <c r="X130" s="5"/>
    </row>
    <row r="131" spans="21:24" ht="12.75" customHeight="1">
      <c r="U131" s="5"/>
      <c r="V131" s="5"/>
      <c r="W131" s="5"/>
      <c r="X131" s="5"/>
    </row>
    <row r="132" spans="21:24" ht="12.75" customHeight="1">
      <c r="U132" s="5"/>
      <c r="V132" s="5"/>
      <c r="W132" s="5"/>
      <c r="X132" s="5"/>
    </row>
    <row r="133" spans="21:24" ht="12.75" customHeight="1">
      <c r="U133" s="5"/>
      <c r="V133" s="5"/>
      <c r="W133" s="5"/>
      <c r="X133" s="5"/>
    </row>
    <row r="134" spans="21:24" ht="12.75" customHeight="1">
      <c r="U134" s="5"/>
      <c r="V134" s="5"/>
      <c r="W134" s="5"/>
      <c r="X134" s="5"/>
    </row>
    <row r="135" spans="21:24" ht="12.75" customHeight="1">
      <c r="U135" s="5"/>
      <c r="V135" s="5"/>
      <c r="W135" s="5"/>
      <c r="X135" s="5"/>
    </row>
    <row r="136" spans="21:24" ht="12.75" customHeight="1">
      <c r="U136" s="5"/>
      <c r="V136" s="5"/>
      <c r="W136" s="5"/>
      <c r="X136" s="5"/>
    </row>
    <row r="137" spans="21:24" ht="12.75" customHeight="1">
      <c r="U137" s="5"/>
      <c r="V137" s="5"/>
      <c r="W137" s="5"/>
      <c r="X137" s="5"/>
    </row>
    <row r="138" spans="21:24" ht="12.75" customHeight="1">
      <c r="U138" s="5"/>
      <c r="V138" s="5"/>
      <c r="W138" s="5"/>
      <c r="X138" s="5"/>
    </row>
    <row r="139" spans="21:24" ht="12.75" customHeight="1">
      <c r="U139" s="5"/>
      <c r="V139" s="5"/>
      <c r="W139" s="5"/>
      <c r="X139" s="5"/>
    </row>
    <row r="140" spans="21:24" ht="12.75" customHeight="1">
      <c r="U140" s="5"/>
      <c r="V140" s="5"/>
      <c r="W140" s="5"/>
      <c r="X140" s="5"/>
    </row>
    <row r="141" spans="21:24" ht="12.75" customHeight="1">
      <c r="U141" s="5"/>
      <c r="V141" s="5"/>
      <c r="W141" s="5"/>
      <c r="X141" s="5"/>
    </row>
    <row r="142" spans="21:24" ht="12.75" customHeight="1">
      <c r="U142" s="5"/>
      <c r="V142" s="5"/>
      <c r="W142" s="5"/>
      <c r="X142" s="5"/>
    </row>
    <row r="143" spans="21:24" ht="12.75" customHeight="1">
      <c r="U143" s="5"/>
      <c r="V143" s="5"/>
      <c r="W143" s="5"/>
      <c r="X143" s="5"/>
    </row>
    <row r="144" spans="21:24" ht="12.75" customHeight="1">
      <c r="U144" s="5"/>
      <c r="V144" s="5"/>
      <c r="W144" s="5"/>
      <c r="X144" s="5"/>
    </row>
    <row r="145" spans="21:24" ht="12.75" customHeight="1">
      <c r="U145" s="5"/>
      <c r="V145" s="5"/>
      <c r="W145" s="5"/>
      <c r="X145" s="5"/>
    </row>
    <row r="146" spans="21:24" ht="12.75" customHeight="1">
      <c r="U146" s="5"/>
      <c r="V146" s="5"/>
      <c r="W146" s="5"/>
      <c r="X146" s="5"/>
    </row>
    <row r="147" spans="21:24" ht="12.75" customHeight="1">
      <c r="U147" s="5"/>
      <c r="V147" s="5"/>
      <c r="W147" s="5"/>
      <c r="X147" s="5"/>
    </row>
    <row r="148" spans="21:24" ht="12.75" customHeight="1">
      <c r="U148" s="5"/>
      <c r="V148" s="5"/>
      <c r="W148" s="5"/>
      <c r="X148" s="5"/>
    </row>
    <row r="149" spans="21:24" ht="12.75" customHeight="1">
      <c r="U149" s="5"/>
      <c r="V149" s="5"/>
      <c r="W149" s="5"/>
      <c r="X149" s="5"/>
    </row>
    <row r="150" spans="21:24" ht="12.75" customHeight="1">
      <c r="U150" s="5"/>
      <c r="V150" s="5"/>
      <c r="W150" s="5"/>
      <c r="X150" s="5"/>
    </row>
    <row r="151" spans="21:24" ht="12.75" customHeight="1">
      <c r="U151" s="5"/>
      <c r="V151" s="5"/>
      <c r="W151" s="5"/>
      <c r="X151" s="5"/>
    </row>
    <row r="152" spans="21:24" ht="12.75" customHeight="1">
      <c r="U152" s="5"/>
      <c r="V152" s="5"/>
      <c r="W152" s="5"/>
      <c r="X152" s="5"/>
    </row>
    <row r="153" spans="21:24" ht="12.75" customHeight="1">
      <c r="U153" s="5"/>
      <c r="V153" s="5"/>
      <c r="W153" s="5"/>
      <c r="X153" s="5"/>
    </row>
    <row r="154" spans="21:24" ht="12.75" customHeight="1">
      <c r="U154" s="5"/>
      <c r="V154" s="5"/>
      <c r="W154" s="5"/>
      <c r="X154" s="5"/>
    </row>
    <row r="155" spans="21:24" ht="12.75" customHeight="1">
      <c r="U155" s="5"/>
      <c r="V155" s="5"/>
      <c r="W155" s="5"/>
      <c r="X155" s="5"/>
    </row>
    <row r="156" spans="21:24" ht="12.75" customHeight="1">
      <c r="U156" s="5"/>
      <c r="V156" s="5"/>
      <c r="W156" s="5"/>
      <c r="X156" s="5"/>
    </row>
    <row r="157" spans="21:24" ht="12.75" customHeight="1">
      <c r="U157" s="5"/>
      <c r="V157" s="5"/>
      <c r="W157" s="5"/>
      <c r="X157" s="5"/>
    </row>
    <row r="158" spans="21:24" ht="12.75" customHeight="1">
      <c r="U158" s="5"/>
      <c r="V158" s="5"/>
      <c r="W158" s="5"/>
      <c r="X158" s="5"/>
    </row>
    <row r="159" spans="21:24" ht="12.75" customHeight="1">
      <c r="U159" s="5"/>
      <c r="V159" s="5"/>
      <c r="W159" s="5"/>
      <c r="X159" s="5"/>
    </row>
    <row r="160" spans="21:24" ht="12.75" customHeight="1">
      <c r="U160" s="5"/>
      <c r="V160" s="5"/>
      <c r="W160" s="5"/>
      <c r="X160" s="5"/>
    </row>
    <row r="161" spans="21:24" ht="12.75" customHeight="1">
      <c r="U161" s="5"/>
      <c r="V161" s="5"/>
      <c r="W161" s="5"/>
      <c r="X161" s="5"/>
    </row>
    <row r="162" spans="21:24" ht="12.75" customHeight="1">
      <c r="U162" s="5"/>
      <c r="V162" s="5"/>
      <c r="W162" s="5"/>
      <c r="X162" s="5"/>
    </row>
    <row r="163" spans="21:24" ht="12.75" customHeight="1">
      <c r="U163" s="5"/>
      <c r="V163" s="5"/>
      <c r="W163" s="5"/>
      <c r="X163" s="5"/>
    </row>
    <row r="164" spans="1:24" ht="12.75" customHeight="1">
      <c r="A164" s="325"/>
      <c r="E164" s="326"/>
      <c r="F164" s="325"/>
      <c r="U164" s="5"/>
      <c r="V164" s="5"/>
      <c r="W164" s="5"/>
      <c r="X164" s="5"/>
    </row>
    <row r="165" spans="1:24" ht="12.75" customHeight="1">
      <c r="A165" s="325"/>
      <c r="E165" s="326"/>
      <c r="F165" s="325"/>
      <c r="U165" s="5"/>
      <c r="V165" s="5"/>
      <c r="W165" s="5"/>
      <c r="X165" s="5"/>
    </row>
    <row r="166" spans="1:24" ht="12.75" customHeight="1">
      <c r="A166" s="325"/>
      <c r="E166" s="326"/>
      <c r="F166" s="325"/>
      <c r="U166" s="5"/>
      <c r="V166" s="5"/>
      <c r="W166" s="5"/>
      <c r="X166" s="5"/>
    </row>
    <row r="167" spans="1:24" ht="12.75" customHeight="1">
      <c r="A167" s="325"/>
      <c r="E167" s="326"/>
      <c r="F167" s="325"/>
      <c r="U167" s="5"/>
      <c r="V167" s="5"/>
      <c r="W167" s="5"/>
      <c r="X167" s="5"/>
    </row>
    <row r="168" spans="1:24" ht="12.75" customHeight="1">
      <c r="A168" s="327"/>
      <c r="B168" s="325"/>
      <c r="C168" s="325"/>
      <c r="D168" s="325"/>
      <c r="E168" s="325"/>
      <c r="F168" s="328"/>
      <c r="U168" s="5"/>
      <c r="V168" s="5"/>
      <c r="W168" s="5"/>
      <c r="X168" s="5"/>
    </row>
    <row r="169" spans="1:24" ht="12.75" customHeight="1">
      <c r="A169" s="327"/>
      <c r="B169" s="329"/>
      <c r="C169" s="329"/>
      <c r="D169" s="329"/>
      <c r="E169" s="329"/>
      <c r="F169" s="328"/>
      <c r="U169" s="5"/>
      <c r="V169" s="5"/>
      <c r="W169" s="5"/>
      <c r="X169" s="5"/>
    </row>
    <row r="170" spans="1:24" ht="12.75" customHeight="1">
      <c r="A170" s="330"/>
      <c r="B170" s="331"/>
      <c r="C170" s="331"/>
      <c r="D170" s="331"/>
      <c r="E170" s="331"/>
      <c r="F170" s="332"/>
      <c r="G170" s="5"/>
      <c r="U170" s="5"/>
      <c r="V170" s="5"/>
      <c r="W170" s="5"/>
      <c r="X170" s="5"/>
    </row>
    <row r="171" spans="1:24" ht="12.75" customHeight="1">
      <c r="A171" s="333"/>
      <c r="B171" s="332"/>
      <c r="C171" s="332"/>
      <c r="D171" s="332"/>
      <c r="E171" s="332"/>
      <c r="F171" s="334"/>
      <c r="G171" s="5"/>
      <c r="U171" s="5"/>
      <c r="V171" s="5"/>
      <c r="W171" s="5"/>
      <c r="X171" s="5"/>
    </row>
    <row r="172" spans="1:24" ht="12.75" customHeight="1">
      <c r="A172" s="333"/>
      <c r="B172" s="332"/>
      <c r="C172" s="332"/>
      <c r="D172" s="332"/>
      <c r="E172" s="332"/>
      <c r="F172" s="332"/>
      <c r="G172" s="5"/>
      <c r="U172" s="5"/>
      <c r="V172" s="5"/>
      <c r="W172" s="5"/>
      <c r="X172" s="5"/>
    </row>
    <row r="173" spans="1:24" ht="12.75" customHeight="1">
      <c r="A173" s="333"/>
      <c r="B173" s="332"/>
      <c r="C173" s="332"/>
      <c r="D173" s="332"/>
      <c r="E173" s="332"/>
      <c r="F173" s="335"/>
      <c r="G173" s="5"/>
      <c r="U173" s="5"/>
      <c r="V173" s="5"/>
      <c r="W173" s="5"/>
      <c r="X173" s="5"/>
    </row>
    <row r="174" spans="1:24" ht="12.75" customHeight="1">
      <c r="A174" s="333"/>
      <c r="B174" s="332"/>
      <c r="C174" s="332"/>
      <c r="D174" s="332"/>
      <c r="E174" s="332"/>
      <c r="F174" s="332"/>
      <c r="G174" s="5"/>
      <c r="U174" s="5"/>
      <c r="V174" s="5"/>
      <c r="W174" s="5"/>
      <c r="X174" s="5"/>
    </row>
    <row r="175" spans="1:24" ht="12.75" customHeight="1">
      <c r="A175" s="333"/>
      <c r="B175" s="332"/>
      <c r="C175" s="332"/>
      <c r="D175" s="332"/>
      <c r="E175" s="332"/>
      <c r="F175" s="336"/>
      <c r="G175" s="5"/>
      <c r="U175" s="5"/>
      <c r="V175" s="5"/>
      <c r="W175" s="5"/>
      <c r="X175" s="5"/>
    </row>
    <row r="176" spans="1:24" ht="12.75" customHeight="1">
      <c r="A176" s="333"/>
      <c r="B176" s="332"/>
      <c r="C176" s="332"/>
      <c r="D176" s="332"/>
      <c r="E176" s="332"/>
      <c r="F176" s="332"/>
      <c r="G176" s="5"/>
      <c r="U176" s="5"/>
      <c r="V176" s="5"/>
      <c r="W176" s="5"/>
      <c r="X176" s="5"/>
    </row>
    <row r="177" spans="1:24" ht="12.75" customHeight="1">
      <c r="A177" s="333"/>
      <c r="B177" s="332"/>
      <c r="C177" s="332"/>
      <c r="D177" s="332"/>
      <c r="E177" s="332"/>
      <c r="F177" s="337"/>
      <c r="G177" s="5"/>
      <c r="U177" s="5"/>
      <c r="V177" s="5"/>
      <c r="W177" s="5"/>
      <c r="X177" s="5"/>
    </row>
    <row r="178" spans="1:24" ht="12.75" customHeight="1">
      <c r="A178" s="333"/>
      <c r="B178" s="332"/>
      <c r="C178" s="332"/>
      <c r="D178" s="332"/>
      <c r="E178" s="332"/>
      <c r="F178" s="332"/>
      <c r="G178" s="5"/>
      <c r="U178" s="5"/>
      <c r="V178" s="5"/>
      <c r="W178" s="5"/>
      <c r="X178" s="5"/>
    </row>
    <row r="179" spans="1:24" ht="12.75" customHeight="1">
      <c r="A179" s="333"/>
      <c r="B179" s="332"/>
      <c r="C179" s="332"/>
      <c r="D179" s="332"/>
      <c r="E179" s="332"/>
      <c r="F179" s="332"/>
      <c r="G179" s="5"/>
      <c r="U179" s="5"/>
      <c r="V179" s="5"/>
      <c r="W179" s="5"/>
      <c r="X179" s="5"/>
    </row>
    <row r="180" spans="1:24" ht="12.75" customHeight="1">
      <c r="A180" s="333"/>
      <c r="B180" s="332"/>
      <c r="C180" s="332"/>
      <c r="D180" s="332"/>
      <c r="E180" s="332"/>
      <c r="F180" s="335"/>
      <c r="G180" s="5"/>
      <c r="U180" s="5"/>
      <c r="V180" s="5"/>
      <c r="W180" s="5"/>
      <c r="X180" s="5"/>
    </row>
    <row r="181" spans="1:24" ht="12.75" customHeight="1">
      <c r="A181" s="333"/>
      <c r="B181" s="338"/>
      <c r="C181" s="338"/>
      <c r="D181" s="338"/>
      <c r="E181" s="339"/>
      <c r="F181" s="339"/>
      <c r="G181" s="5"/>
      <c r="U181" s="5"/>
      <c r="V181" s="5"/>
      <c r="W181" s="5"/>
      <c r="X181" s="5"/>
    </row>
    <row r="182" spans="1:24" ht="12.75" customHeight="1">
      <c r="A182" s="333"/>
      <c r="B182" s="338"/>
      <c r="C182" s="338"/>
      <c r="D182" s="338"/>
      <c r="E182" s="339"/>
      <c r="F182" s="340"/>
      <c r="G182" s="5"/>
      <c r="U182" s="5"/>
      <c r="V182" s="5"/>
      <c r="W182" s="5"/>
      <c r="X182" s="5"/>
    </row>
    <row r="183" spans="1:24" ht="12.75" customHeight="1">
      <c r="A183" s="333"/>
      <c r="B183" s="338"/>
      <c r="C183" s="338"/>
      <c r="D183" s="338"/>
      <c r="E183" s="339"/>
      <c r="F183" s="339"/>
      <c r="G183" s="5"/>
      <c r="U183" s="5"/>
      <c r="V183" s="5"/>
      <c r="W183" s="5"/>
      <c r="X183" s="5"/>
    </row>
    <row r="184" spans="1:24" ht="12.75" customHeight="1">
      <c r="A184" s="330"/>
      <c r="B184" s="338"/>
      <c r="C184" s="338"/>
      <c r="D184" s="338"/>
      <c r="E184" s="339"/>
      <c r="F184" s="339"/>
      <c r="G184" s="5"/>
      <c r="U184" s="5"/>
      <c r="V184" s="5"/>
      <c r="W184" s="5"/>
      <c r="X184" s="5"/>
    </row>
    <row r="185" spans="1:24" ht="12.75" customHeight="1">
      <c r="A185" s="333"/>
      <c r="B185" s="339"/>
      <c r="C185" s="339"/>
      <c r="D185" s="339"/>
      <c r="E185" s="339"/>
      <c r="F185" s="341"/>
      <c r="G185" s="5"/>
      <c r="U185" s="5"/>
      <c r="V185" s="5"/>
      <c r="W185" s="5"/>
      <c r="X185" s="5"/>
    </row>
    <row r="186" spans="1:24" ht="12.75" customHeight="1">
      <c r="A186" s="333"/>
      <c r="B186" s="332"/>
      <c r="C186" s="332"/>
      <c r="D186" s="332"/>
      <c r="E186" s="332"/>
      <c r="F186" s="342"/>
      <c r="G186" s="5"/>
      <c r="U186" s="5"/>
      <c r="V186" s="5"/>
      <c r="W186" s="5"/>
      <c r="X186" s="5"/>
    </row>
    <row r="187" spans="1:24" ht="12.75" customHeight="1">
      <c r="A187" s="330"/>
      <c r="B187" s="331"/>
      <c r="C187" s="331"/>
      <c r="D187" s="331"/>
      <c r="E187" s="331"/>
      <c r="F187" s="332"/>
      <c r="G187" s="5"/>
      <c r="U187" s="5"/>
      <c r="V187" s="5"/>
      <c r="W187" s="5"/>
      <c r="X187" s="5"/>
    </row>
    <row r="188" spans="1:24" ht="12.75" customHeight="1">
      <c r="A188" s="330"/>
      <c r="B188" s="331"/>
      <c r="C188" s="331"/>
      <c r="D188" s="331"/>
      <c r="E188" s="331"/>
      <c r="F188" s="332"/>
      <c r="G188" s="5"/>
      <c r="U188" s="5"/>
      <c r="V188" s="5"/>
      <c r="W188" s="5"/>
      <c r="X188" s="5"/>
    </row>
    <row r="189" spans="1:24" ht="12.75" customHeight="1">
      <c r="A189" s="333"/>
      <c r="B189" s="332"/>
      <c r="C189" s="332"/>
      <c r="D189" s="332"/>
      <c r="E189" s="332"/>
      <c r="F189" s="334"/>
      <c r="G189" s="5"/>
      <c r="U189" s="5"/>
      <c r="V189" s="5"/>
      <c r="W189" s="5"/>
      <c r="X189" s="5"/>
    </row>
    <row r="190" spans="1:24" ht="12.75" customHeight="1">
      <c r="A190" s="333"/>
      <c r="B190" s="332"/>
      <c r="C190" s="332"/>
      <c r="D190" s="332"/>
      <c r="E190" s="332"/>
      <c r="F190" s="332"/>
      <c r="G190" s="5"/>
      <c r="U190" s="5"/>
      <c r="V190" s="5"/>
      <c r="W190" s="5"/>
      <c r="X190" s="5"/>
    </row>
    <row r="191" spans="1:24" ht="12.75" customHeight="1">
      <c r="A191" s="333"/>
      <c r="B191" s="332"/>
      <c r="C191" s="332"/>
      <c r="D191" s="332"/>
      <c r="E191" s="332"/>
      <c r="F191" s="335"/>
      <c r="G191" s="5"/>
      <c r="U191" s="5"/>
      <c r="V191" s="5"/>
      <c r="W191" s="5"/>
      <c r="X191" s="5"/>
    </row>
    <row r="192" spans="1:24" ht="12.75" customHeight="1">
      <c r="A192" s="333"/>
      <c r="B192" s="332"/>
      <c r="C192" s="332"/>
      <c r="D192" s="332"/>
      <c r="E192" s="332"/>
      <c r="F192" s="332"/>
      <c r="G192" s="5"/>
      <c r="U192" s="5"/>
      <c r="V192" s="5"/>
      <c r="W192" s="5"/>
      <c r="X192" s="5"/>
    </row>
    <row r="193" spans="1:24" ht="12.75" customHeight="1">
      <c r="A193" s="333"/>
      <c r="B193" s="332"/>
      <c r="C193" s="332"/>
      <c r="D193" s="332"/>
      <c r="E193" s="332"/>
      <c r="F193" s="336"/>
      <c r="G193" s="5"/>
      <c r="U193" s="5"/>
      <c r="V193" s="5"/>
      <c r="W193" s="5"/>
      <c r="X193" s="5"/>
    </row>
    <row r="194" spans="1:24" ht="12.75" customHeight="1">
      <c r="A194" s="333"/>
      <c r="B194" s="332"/>
      <c r="C194" s="332"/>
      <c r="D194" s="332"/>
      <c r="E194" s="332"/>
      <c r="F194" s="332"/>
      <c r="G194" s="5"/>
      <c r="U194" s="5"/>
      <c r="V194" s="5"/>
      <c r="W194" s="5"/>
      <c r="X194" s="5"/>
    </row>
    <row r="195" spans="1:24" ht="12.75" customHeight="1">
      <c r="A195" s="333"/>
      <c r="B195" s="332"/>
      <c r="C195" s="332"/>
      <c r="D195" s="332"/>
      <c r="E195" s="332"/>
      <c r="F195" s="337"/>
      <c r="G195" s="5"/>
      <c r="U195" s="5"/>
      <c r="V195" s="5"/>
      <c r="W195" s="5"/>
      <c r="X195" s="5"/>
    </row>
    <row r="196" spans="1:24" ht="12.75" customHeight="1">
      <c r="A196" s="333"/>
      <c r="B196" s="332"/>
      <c r="C196" s="332"/>
      <c r="D196" s="332"/>
      <c r="E196" s="332"/>
      <c r="F196" s="332"/>
      <c r="G196" s="5"/>
      <c r="U196" s="5"/>
      <c r="V196" s="5"/>
      <c r="W196" s="5"/>
      <c r="X196" s="5"/>
    </row>
    <row r="197" spans="1:24" ht="12.75" customHeight="1">
      <c r="A197" s="333"/>
      <c r="B197" s="332"/>
      <c r="C197" s="332"/>
      <c r="D197" s="332"/>
      <c r="E197" s="332"/>
      <c r="F197" s="332"/>
      <c r="G197" s="5"/>
      <c r="U197" s="5"/>
      <c r="V197" s="5"/>
      <c r="W197" s="5"/>
      <c r="X197" s="5"/>
    </row>
    <row r="198" spans="1:24" ht="12.75" customHeight="1">
      <c r="A198" s="333"/>
      <c r="B198" s="332"/>
      <c r="C198" s="332"/>
      <c r="D198" s="332"/>
      <c r="E198" s="332"/>
      <c r="F198" s="335"/>
      <c r="G198" s="5"/>
      <c r="U198" s="5"/>
      <c r="V198" s="5"/>
      <c r="W198" s="5"/>
      <c r="X198" s="5"/>
    </row>
    <row r="199" spans="1:24" ht="12.75" customHeight="1">
      <c r="A199" s="333"/>
      <c r="B199" s="332"/>
      <c r="C199" s="332"/>
      <c r="D199" s="332"/>
      <c r="E199" s="332"/>
      <c r="F199" s="332"/>
      <c r="G199" s="5"/>
      <c r="U199" s="5"/>
      <c r="V199" s="5"/>
      <c r="W199" s="5"/>
      <c r="X199" s="5"/>
    </row>
    <row r="200" spans="1:24" ht="12.75" customHeight="1">
      <c r="A200" s="333"/>
      <c r="B200" s="332"/>
      <c r="C200" s="332"/>
      <c r="D200" s="332"/>
      <c r="E200" s="332"/>
      <c r="F200" s="334"/>
      <c r="G200" s="5"/>
      <c r="U200" s="5"/>
      <c r="V200" s="5"/>
      <c r="W200" s="5"/>
      <c r="X200" s="5"/>
    </row>
    <row r="201" spans="1:24" ht="12.75" customHeight="1">
      <c r="A201" s="333"/>
      <c r="B201" s="332"/>
      <c r="C201" s="332"/>
      <c r="D201" s="332"/>
      <c r="E201" s="332"/>
      <c r="F201" s="332"/>
      <c r="G201" s="5"/>
      <c r="U201" s="5"/>
      <c r="V201" s="5"/>
      <c r="W201" s="5"/>
      <c r="X201" s="5"/>
    </row>
    <row r="202" spans="1:24" ht="12.75" customHeight="1">
      <c r="A202" s="333"/>
      <c r="B202" s="332"/>
      <c r="C202" s="332"/>
      <c r="D202" s="332"/>
      <c r="E202" s="332"/>
      <c r="F202" s="332"/>
      <c r="G202" s="5"/>
      <c r="U202" s="5"/>
      <c r="V202" s="5"/>
      <c r="W202" s="5"/>
      <c r="X202" s="5"/>
    </row>
    <row r="203" spans="1:24" ht="12.75" customHeight="1">
      <c r="A203" s="333"/>
      <c r="B203" s="332"/>
      <c r="C203" s="332"/>
      <c r="D203" s="332"/>
      <c r="E203" s="343"/>
      <c r="F203" s="342"/>
      <c r="G203" s="5"/>
      <c r="U203" s="5"/>
      <c r="V203" s="5"/>
      <c r="W203" s="5"/>
      <c r="X203" s="5"/>
    </row>
    <row r="204" spans="1:24" ht="12.75" customHeight="1">
      <c r="A204" s="333"/>
      <c r="B204" s="332"/>
      <c r="C204" s="332"/>
      <c r="D204" s="332"/>
      <c r="E204" s="332"/>
      <c r="F204" s="332"/>
      <c r="G204" s="5"/>
      <c r="U204" s="5"/>
      <c r="V204" s="5"/>
      <c r="W204" s="5"/>
      <c r="X204" s="5"/>
    </row>
    <row r="205" spans="1:24" ht="12.75" customHeight="1">
      <c r="A205" s="333"/>
      <c r="B205" s="332"/>
      <c r="C205" s="332"/>
      <c r="D205" s="332"/>
      <c r="E205" s="332"/>
      <c r="F205" s="342"/>
      <c r="G205" s="5"/>
      <c r="U205" s="5"/>
      <c r="V205" s="5"/>
      <c r="W205" s="5"/>
      <c r="X205" s="5"/>
    </row>
    <row r="206" spans="1:24" ht="12.75" customHeight="1">
      <c r="A206" s="330"/>
      <c r="B206" s="332"/>
      <c r="C206" s="332"/>
      <c r="D206" s="332"/>
      <c r="E206" s="332"/>
      <c r="F206" s="332"/>
      <c r="G206" s="5"/>
      <c r="U206" s="5"/>
      <c r="V206" s="5"/>
      <c r="W206" s="5"/>
      <c r="X206" s="5"/>
    </row>
    <row r="207" spans="1:24" ht="12.75" customHeight="1">
      <c r="A207" s="330"/>
      <c r="B207" s="332"/>
      <c r="C207" s="332"/>
      <c r="D207" s="332"/>
      <c r="E207" s="332"/>
      <c r="F207" s="332"/>
      <c r="G207" s="5"/>
      <c r="U207" s="5"/>
      <c r="V207" s="5"/>
      <c r="W207" s="5"/>
      <c r="X207" s="5"/>
    </row>
    <row r="208" spans="1:24" ht="12.75" customHeight="1">
      <c r="A208" s="5"/>
      <c r="B208" s="5"/>
      <c r="C208" s="5"/>
      <c r="D208" s="5"/>
      <c r="E208" s="5"/>
      <c r="F208" s="5"/>
      <c r="G208" s="5"/>
      <c r="U208" s="5"/>
      <c r="V208" s="5"/>
      <c r="W208" s="5"/>
      <c r="X208" s="5"/>
    </row>
    <row r="209" spans="1:24" ht="12.75" customHeight="1">
      <c r="A209" s="5"/>
      <c r="B209" s="5"/>
      <c r="C209" s="5"/>
      <c r="D209" s="5"/>
      <c r="E209" s="5"/>
      <c r="F209" s="5"/>
      <c r="G209" s="5"/>
      <c r="U209" s="5"/>
      <c r="V209" s="5"/>
      <c r="W209" s="5"/>
      <c r="X209" s="5"/>
    </row>
    <row r="210" spans="1:24" ht="12.75" customHeight="1">
      <c r="A210" s="5"/>
      <c r="B210" s="5"/>
      <c r="C210" s="5"/>
      <c r="D210" s="5"/>
      <c r="E210" s="5"/>
      <c r="F210" s="5"/>
      <c r="G210" s="5"/>
      <c r="U210" s="5"/>
      <c r="V210" s="5"/>
      <c r="W210" s="5"/>
      <c r="X210" s="5"/>
    </row>
    <row r="211" spans="1:24" ht="12.75" customHeight="1">
      <c r="A211" s="5"/>
      <c r="B211" s="5"/>
      <c r="C211" s="5"/>
      <c r="D211" s="5"/>
      <c r="E211" s="5"/>
      <c r="F211" s="5"/>
      <c r="G211" s="5"/>
      <c r="U211" s="5"/>
      <c r="V211" s="5"/>
      <c r="W211" s="5"/>
      <c r="X211" s="5"/>
    </row>
    <row r="212" spans="1:24" ht="12.75" customHeight="1">
      <c r="A212" s="5"/>
      <c r="B212" s="5"/>
      <c r="C212" s="5"/>
      <c r="D212" s="5"/>
      <c r="E212" s="5"/>
      <c r="F212" s="5"/>
      <c r="G212" s="5"/>
      <c r="U212" s="5"/>
      <c r="V212" s="5"/>
      <c r="W212" s="5"/>
      <c r="X212" s="5"/>
    </row>
    <row r="213" spans="1:24" ht="12.75" customHeight="1">
      <c r="A213" s="5"/>
      <c r="B213" s="5"/>
      <c r="C213" s="5"/>
      <c r="D213" s="5"/>
      <c r="E213" s="5"/>
      <c r="F213" s="5"/>
      <c r="G213" s="5"/>
      <c r="U213" s="5"/>
      <c r="V213" s="5"/>
      <c r="W213" s="5"/>
      <c r="X213" s="5"/>
    </row>
    <row r="214" spans="1:24" ht="12.75" customHeight="1">
      <c r="A214" s="344"/>
      <c r="B214" s="345"/>
      <c r="C214" s="345"/>
      <c r="D214" s="345"/>
      <c r="E214" s="344"/>
      <c r="F214" s="4"/>
      <c r="G214" s="5"/>
      <c r="U214" s="5"/>
      <c r="V214" s="5"/>
      <c r="W214" s="5"/>
      <c r="X214" s="5"/>
    </row>
    <row r="215" spans="1:24" ht="12.75" customHeight="1">
      <c r="A215" s="344"/>
      <c r="B215" s="345"/>
      <c r="C215" s="345"/>
      <c r="D215" s="345"/>
      <c r="E215" s="344"/>
      <c r="F215" s="4"/>
      <c r="G215" s="5"/>
      <c r="U215" s="5"/>
      <c r="V215" s="5"/>
      <c r="W215" s="5"/>
      <c r="X215" s="5"/>
    </row>
    <row r="216" spans="1:24" ht="12.75" customHeight="1">
      <c r="A216" s="344"/>
      <c r="B216" s="346"/>
      <c r="C216" s="346"/>
      <c r="D216" s="346"/>
      <c r="E216" s="344"/>
      <c r="F216" s="4"/>
      <c r="G216" s="5"/>
      <c r="U216" s="5"/>
      <c r="V216" s="5"/>
      <c r="W216" s="5"/>
      <c r="X216" s="5"/>
    </row>
    <row r="217" spans="1:24" ht="12.75" customHeight="1">
      <c r="A217" s="344"/>
      <c r="B217" s="346"/>
      <c r="C217" s="346"/>
      <c r="D217" s="346"/>
      <c r="E217" s="344"/>
      <c r="F217" s="4"/>
      <c r="G217" s="5"/>
      <c r="U217" s="5"/>
      <c r="V217" s="5"/>
      <c r="W217" s="5"/>
      <c r="X217" s="5"/>
    </row>
    <row r="218" spans="1:24" ht="12.75" customHeight="1">
      <c r="A218" s="347"/>
      <c r="B218" s="348"/>
      <c r="C218" s="348"/>
      <c r="D218" s="348"/>
      <c r="E218" s="348"/>
      <c r="F218" s="5"/>
      <c r="G218" s="5"/>
      <c r="U218" s="5"/>
      <c r="V218" s="5"/>
      <c r="W218" s="5"/>
      <c r="X218" s="5"/>
    </row>
    <row r="219" spans="1:24" ht="12.75" customHeight="1">
      <c r="A219" s="347"/>
      <c r="B219" s="331"/>
      <c r="C219" s="331"/>
      <c r="D219" s="331"/>
      <c r="E219" s="348"/>
      <c r="F219" s="5"/>
      <c r="G219" s="5"/>
      <c r="U219" s="5"/>
      <c r="V219" s="5"/>
      <c r="W219" s="5"/>
      <c r="X219" s="5"/>
    </row>
    <row r="220" spans="1:24" ht="12.75" customHeight="1">
      <c r="A220" s="330"/>
      <c r="B220" s="331"/>
      <c r="C220" s="331"/>
      <c r="D220" s="331"/>
      <c r="E220" s="331"/>
      <c r="F220" s="5"/>
      <c r="G220" s="5"/>
      <c r="U220" s="5"/>
      <c r="V220" s="5"/>
      <c r="W220" s="5"/>
      <c r="X220" s="5"/>
    </row>
    <row r="221" spans="1:24" ht="12.75" customHeight="1">
      <c r="A221" s="349"/>
      <c r="B221" s="348"/>
      <c r="C221" s="348"/>
      <c r="D221" s="348"/>
      <c r="E221" s="350"/>
      <c r="F221" s="5"/>
      <c r="G221" s="5"/>
      <c r="U221" s="5"/>
      <c r="V221" s="5"/>
      <c r="W221" s="5"/>
      <c r="X221" s="5"/>
    </row>
    <row r="222" spans="1:24" ht="12.75" customHeight="1">
      <c r="A222" s="349"/>
      <c r="B222" s="348"/>
      <c r="C222" s="348"/>
      <c r="D222" s="348"/>
      <c r="E222" s="348"/>
      <c r="F222" s="5"/>
      <c r="G222" s="5"/>
      <c r="U222" s="5"/>
      <c r="V222" s="5"/>
      <c r="W222" s="5"/>
      <c r="X222" s="5"/>
    </row>
    <row r="223" spans="1:24" ht="12.75" customHeight="1">
      <c r="A223" s="349"/>
      <c r="B223" s="348"/>
      <c r="C223" s="348"/>
      <c r="D223" s="348"/>
      <c r="E223" s="351"/>
      <c r="F223" s="5"/>
      <c r="G223" s="5"/>
      <c r="U223" s="5"/>
      <c r="V223" s="5"/>
      <c r="W223" s="5"/>
      <c r="X223" s="5"/>
    </row>
    <row r="224" spans="1:24" ht="12.75" customHeight="1">
      <c r="A224" s="5"/>
      <c r="B224" s="348"/>
      <c r="C224" s="348"/>
      <c r="D224" s="348"/>
      <c r="E224" s="348"/>
      <c r="F224" s="5"/>
      <c r="G224" s="5"/>
      <c r="U224" s="5"/>
      <c r="V224" s="5"/>
      <c r="W224" s="5"/>
      <c r="X224" s="5"/>
    </row>
    <row r="225" spans="1:24" ht="12.75" customHeight="1">
      <c r="A225" s="349"/>
      <c r="B225" s="348"/>
      <c r="C225" s="348"/>
      <c r="D225" s="348"/>
      <c r="E225" s="351"/>
      <c r="F225" s="5"/>
      <c r="G225" s="5"/>
      <c r="U225" s="5"/>
      <c r="V225" s="5"/>
      <c r="W225" s="5"/>
      <c r="X225" s="5"/>
    </row>
    <row r="226" spans="1:24" ht="12.75" customHeight="1">
      <c r="A226" s="349"/>
      <c r="B226" s="348"/>
      <c r="C226" s="348"/>
      <c r="D226" s="348"/>
      <c r="E226" s="351"/>
      <c r="F226" s="5"/>
      <c r="G226" s="5"/>
      <c r="U226" s="5"/>
      <c r="V226" s="5"/>
      <c r="W226" s="5"/>
      <c r="X226" s="5"/>
    </row>
    <row r="227" spans="1:24" ht="12.75" customHeight="1">
      <c r="A227" s="349"/>
      <c r="B227" s="348"/>
      <c r="C227" s="348"/>
      <c r="D227" s="348"/>
      <c r="E227" s="351"/>
      <c r="F227" s="5"/>
      <c r="G227" s="5"/>
      <c r="U227" s="5"/>
      <c r="V227" s="5"/>
      <c r="W227" s="5"/>
      <c r="X227" s="5"/>
    </row>
    <row r="228" spans="1:24" ht="12.75" customHeight="1">
      <c r="A228" s="349"/>
      <c r="B228" s="348"/>
      <c r="C228" s="348"/>
      <c r="D228" s="348"/>
      <c r="E228" s="348"/>
      <c r="F228" s="5"/>
      <c r="G228" s="5"/>
      <c r="U228" s="5"/>
      <c r="V228" s="5"/>
      <c r="W228" s="5"/>
      <c r="X228" s="5"/>
    </row>
    <row r="229" spans="1:24" ht="12.75" customHeight="1">
      <c r="A229" s="349"/>
      <c r="B229" s="348"/>
      <c r="C229" s="348"/>
      <c r="D229" s="348"/>
      <c r="E229" s="350"/>
      <c r="F229" s="5"/>
      <c r="G229" s="5"/>
      <c r="U229" s="5"/>
      <c r="V229" s="5"/>
      <c r="W229" s="5"/>
      <c r="X229" s="5"/>
    </row>
    <row r="230" spans="1:24" ht="12.75" customHeight="1">
      <c r="A230" s="349"/>
      <c r="B230" s="348"/>
      <c r="C230" s="348"/>
      <c r="D230" s="348"/>
      <c r="E230" s="348"/>
      <c r="F230" s="5"/>
      <c r="G230" s="5"/>
      <c r="U230" s="5"/>
      <c r="V230" s="5"/>
      <c r="W230" s="5"/>
      <c r="X230" s="5"/>
    </row>
    <row r="231" spans="1:24" ht="12.75" customHeight="1">
      <c r="A231" s="349"/>
      <c r="B231" s="348"/>
      <c r="C231" s="348"/>
      <c r="D231" s="348"/>
      <c r="E231" s="352"/>
      <c r="F231" s="5"/>
      <c r="G231" s="5"/>
      <c r="U231" s="5"/>
      <c r="V231" s="5"/>
      <c r="W231" s="5"/>
      <c r="X231" s="5"/>
    </row>
    <row r="232" spans="1:24" ht="12.75" customHeight="1">
      <c r="A232" s="349"/>
      <c r="B232" s="348"/>
      <c r="C232" s="348"/>
      <c r="D232" s="348"/>
      <c r="E232" s="348"/>
      <c r="F232" s="5"/>
      <c r="G232" s="5"/>
      <c r="U232" s="5"/>
      <c r="V232" s="5"/>
      <c r="W232" s="5"/>
      <c r="X232" s="5"/>
    </row>
    <row r="233" spans="1:24" ht="12.75" customHeight="1">
      <c r="A233" s="349"/>
      <c r="B233" s="348"/>
      <c r="C233" s="348"/>
      <c r="D233" s="348"/>
      <c r="E233" s="350"/>
      <c r="F233" s="5"/>
      <c r="G233" s="5"/>
      <c r="U233" s="5"/>
      <c r="V233" s="5"/>
      <c r="W233" s="5"/>
      <c r="X233" s="5"/>
    </row>
    <row r="234" spans="1:24" ht="12.75" customHeight="1">
      <c r="A234" s="349"/>
      <c r="B234" s="348"/>
      <c r="C234" s="348"/>
      <c r="D234" s="348"/>
      <c r="E234" s="348"/>
      <c r="F234" s="5"/>
      <c r="G234" s="5"/>
      <c r="U234" s="5"/>
      <c r="V234" s="5"/>
      <c r="W234" s="5"/>
      <c r="X234" s="5"/>
    </row>
    <row r="235" spans="1:24" ht="12.75" customHeight="1">
      <c r="A235" s="349"/>
      <c r="B235" s="348"/>
      <c r="C235" s="348"/>
      <c r="D235" s="348"/>
      <c r="E235" s="353"/>
      <c r="F235" s="5"/>
      <c r="G235" s="5"/>
      <c r="U235" s="5"/>
      <c r="V235" s="5"/>
      <c r="W235" s="5"/>
      <c r="X235" s="5"/>
    </row>
    <row r="236" spans="1:24" ht="12.75" customHeight="1">
      <c r="A236" s="347"/>
      <c r="B236" s="348"/>
      <c r="C236" s="348"/>
      <c r="D236" s="348"/>
      <c r="E236" s="348"/>
      <c r="F236" s="5"/>
      <c r="G236" s="5"/>
      <c r="U236" s="5"/>
      <c r="V236" s="5"/>
      <c r="W236" s="5"/>
      <c r="X236" s="5"/>
    </row>
    <row r="237" spans="1:24" ht="12.75" customHeight="1">
      <c r="A237" s="5"/>
      <c r="B237" s="5"/>
      <c r="C237" s="5"/>
      <c r="D237" s="5"/>
      <c r="E237" s="5"/>
      <c r="F237" s="5"/>
      <c r="G237" s="5"/>
      <c r="U237" s="5"/>
      <c r="V237" s="5"/>
      <c r="W237" s="5"/>
      <c r="X237" s="5"/>
    </row>
    <row r="238" spans="1:24" ht="12.75" customHeight="1">
      <c r="A238" s="5"/>
      <c r="B238" s="5"/>
      <c r="C238" s="5"/>
      <c r="D238" s="5"/>
      <c r="E238" s="5"/>
      <c r="F238" s="5"/>
      <c r="G238" s="5"/>
      <c r="U238" s="5"/>
      <c r="V238" s="5"/>
      <c r="W238" s="5"/>
      <c r="X238" s="5"/>
    </row>
    <row r="239" spans="1:24" ht="12.75" customHeight="1">
      <c r="A239" s="5"/>
      <c r="B239" s="5"/>
      <c r="C239" s="5"/>
      <c r="D239" s="5"/>
      <c r="E239" s="5"/>
      <c r="F239" s="5"/>
      <c r="G239" s="5"/>
      <c r="U239" s="5"/>
      <c r="V239" s="5"/>
      <c r="W239" s="5"/>
      <c r="X239" s="5"/>
    </row>
    <row r="240" spans="1:24" ht="12.75" customHeight="1">
      <c r="A240" s="5"/>
      <c r="B240" s="5"/>
      <c r="C240" s="5"/>
      <c r="D240" s="5"/>
      <c r="E240" s="5"/>
      <c r="F240" s="5"/>
      <c r="G240" s="5"/>
      <c r="U240" s="5"/>
      <c r="V240" s="5"/>
      <c r="W240" s="5"/>
      <c r="X240" s="5"/>
    </row>
    <row r="241" spans="1:24" ht="12.75" customHeight="1">
      <c r="A241" s="5"/>
      <c r="B241" s="5"/>
      <c r="C241" s="5"/>
      <c r="D241" s="5"/>
      <c r="E241" s="5"/>
      <c r="F241" s="5"/>
      <c r="G241" s="5"/>
      <c r="U241" s="5"/>
      <c r="V241" s="5"/>
      <c r="W241" s="5"/>
      <c r="X241" s="5"/>
    </row>
    <row r="242" spans="1:24" ht="12.75" customHeight="1">
      <c r="A242" s="5"/>
      <c r="B242" s="5"/>
      <c r="C242" s="5"/>
      <c r="D242" s="5"/>
      <c r="E242" s="5"/>
      <c r="F242" s="5"/>
      <c r="G242" s="5"/>
      <c r="U242" s="5"/>
      <c r="V242" s="5"/>
      <c r="W242" s="5"/>
      <c r="X242" s="5"/>
    </row>
    <row r="243" spans="1:24" ht="12.75" customHeight="1">
      <c r="A243" s="5"/>
      <c r="B243" s="5"/>
      <c r="C243" s="5"/>
      <c r="D243" s="5"/>
      <c r="E243" s="5"/>
      <c r="F243" s="5"/>
      <c r="G243" s="5"/>
      <c r="U243" s="5"/>
      <c r="V243" s="5"/>
      <c r="W243" s="5"/>
      <c r="X243" s="5"/>
    </row>
    <row r="244" spans="1:24" ht="12.75" customHeight="1">
      <c r="A244" s="5"/>
      <c r="B244" s="5"/>
      <c r="C244" s="5"/>
      <c r="D244" s="5"/>
      <c r="E244" s="5"/>
      <c r="F244" s="5"/>
      <c r="G244" s="5"/>
      <c r="U244" s="5"/>
      <c r="V244" s="5"/>
      <c r="W244" s="5"/>
      <c r="X244" s="5"/>
    </row>
    <row r="245" spans="1:24" ht="12.75" customHeight="1">
      <c r="A245" s="5"/>
      <c r="B245" s="5"/>
      <c r="C245" s="5"/>
      <c r="D245" s="5"/>
      <c r="E245" s="5"/>
      <c r="F245" s="5"/>
      <c r="G245" s="5"/>
      <c r="U245" s="5"/>
      <c r="V245" s="5"/>
      <c r="W245" s="5"/>
      <c r="X245" s="5"/>
    </row>
    <row r="246" spans="1:24" ht="12.75" customHeight="1">
      <c r="A246" s="5"/>
      <c r="B246" s="5"/>
      <c r="C246" s="5"/>
      <c r="D246" s="5"/>
      <c r="E246" s="5"/>
      <c r="F246" s="5"/>
      <c r="G246" s="5"/>
      <c r="U246" s="5"/>
      <c r="V246" s="5"/>
      <c r="W246" s="5"/>
      <c r="X246" s="5"/>
    </row>
    <row r="247" spans="1:24" ht="12.75" customHeight="1">
      <c r="A247" s="5"/>
      <c r="B247" s="5"/>
      <c r="C247" s="5"/>
      <c r="D247" s="5"/>
      <c r="E247" s="5"/>
      <c r="F247" s="5"/>
      <c r="G247" s="5"/>
      <c r="U247" s="5"/>
      <c r="V247" s="5"/>
      <c r="W247" s="5"/>
      <c r="X247" s="5"/>
    </row>
    <row r="248" spans="1:24" ht="12.75" customHeight="1">
      <c r="A248" s="5"/>
      <c r="B248" s="5"/>
      <c r="C248" s="5"/>
      <c r="D248" s="5"/>
      <c r="E248" s="5"/>
      <c r="F248" s="5"/>
      <c r="G248" s="5"/>
      <c r="U248" s="5"/>
      <c r="V248" s="5"/>
      <c r="W248" s="5"/>
      <c r="X248" s="5"/>
    </row>
    <row r="249" spans="1:24" ht="12.75" customHeight="1">
      <c r="A249" s="5"/>
      <c r="B249" s="5"/>
      <c r="C249" s="5"/>
      <c r="D249" s="5"/>
      <c r="E249" s="5"/>
      <c r="F249" s="5"/>
      <c r="G249" s="5"/>
      <c r="U249" s="5"/>
      <c r="V249" s="5"/>
      <c r="W249" s="5"/>
      <c r="X249" s="5"/>
    </row>
    <row r="250" spans="1:24" ht="12.75" customHeight="1">
      <c r="A250" s="5"/>
      <c r="B250" s="5"/>
      <c r="C250" s="5"/>
      <c r="D250" s="5"/>
      <c r="E250" s="5"/>
      <c r="F250" s="5"/>
      <c r="G250" s="5"/>
      <c r="U250" s="5"/>
      <c r="V250" s="5"/>
      <c r="W250" s="5"/>
      <c r="X250" s="5"/>
    </row>
    <row r="251" spans="1:24" ht="12.75" customHeight="1">
      <c r="A251" s="5"/>
      <c r="B251" s="5"/>
      <c r="C251" s="5"/>
      <c r="D251" s="5"/>
      <c r="E251" s="5"/>
      <c r="F251" s="5"/>
      <c r="G251" s="5"/>
      <c r="U251" s="5"/>
      <c r="V251" s="5"/>
      <c r="W251" s="5"/>
      <c r="X251" s="5"/>
    </row>
    <row r="252" spans="1:24" ht="12.75" customHeight="1">
      <c r="A252" s="5"/>
      <c r="B252" s="5"/>
      <c r="C252" s="5"/>
      <c r="D252" s="5"/>
      <c r="E252" s="5"/>
      <c r="F252" s="5"/>
      <c r="G252" s="5"/>
      <c r="U252" s="5"/>
      <c r="V252" s="5"/>
      <c r="W252" s="5"/>
      <c r="X252" s="5"/>
    </row>
    <row r="253" spans="1:24" ht="12.75" customHeight="1">
      <c r="A253" s="5"/>
      <c r="B253" s="5"/>
      <c r="C253" s="5"/>
      <c r="D253" s="5"/>
      <c r="E253" s="5"/>
      <c r="F253" s="5"/>
      <c r="G253" s="5"/>
      <c r="U253" s="5"/>
      <c r="V253" s="5"/>
      <c r="W253" s="5"/>
      <c r="X253" s="5"/>
    </row>
    <row r="254" spans="1:24" ht="12.75" customHeight="1">
      <c r="A254" s="5"/>
      <c r="B254" s="5"/>
      <c r="C254" s="5"/>
      <c r="D254" s="5"/>
      <c r="E254" s="5"/>
      <c r="F254" s="5"/>
      <c r="G254" s="5"/>
      <c r="U254" s="5"/>
      <c r="V254" s="5"/>
      <c r="W254" s="5"/>
      <c r="X254" s="5"/>
    </row>
    <row r="255" spans="1:24" ht="12.75" customHeight="1">
      <c r="A255" s="5"/>
      <c r="B255" s="5"/>
      <c r="C255" s="5"/>
      <c r="D255" s="5"/>
      <c r="E255" s="5"/>
      <c r="F255" s="5"/>
      <c r="G255" s="5"/>
      <c r="U255" s="5"/>
      <c r="V255" s="5"/>
      <c r="W255" s="5"/>
      <c r="X255" s="5"/>
    </row>
    <row r="256" spans="1:24" ht="12.75" customHeight="1">
      <c r="A256" s="5"/>
      <c r="B256" s="5"/>
      <c r="C256" s="5"/>
      <c r="D256" s="5"/>
      <c r="E256" s="5"/>
      <c r="F256" s="5"/>
      <c r="G256" s="5"/>
      <c r="U256" s="5"/>
      <c r="V256" s="5"/>
      <c r="W256" s="5"/>
      <c r="X256" s="5"/>
    </row>
    <row r="257" spans="1:24" ht="12.75" customHeight="1">
      <c r="A257" s="5"/>
      <c r="B257" s="5"/>
      <c r="C257" s="5"/>
      <c r="D257" s="5"/>
      <c r="E257" s="5"/>
      <c r="F257" s="5"/>
      <c r="G257" s="5"/>
      <c r="U257" s="5"/>
      <c r="V257" s="5"/>
      <c r="W257" s="5"/>
      <c r="X257" s="5"/>
    </row>
    <row r="258" spans="1:24" ht="12.75" customHeight="1">
      <c r="A258" s="5"/>
      <c r="B258" s="5"/>
      <c r="C258" s="5"/>
      <c r="D258" s="5"/>
      <c r="E258" s="5"/>
      <c r="F258" s="5"/>
      <c r="G258" s="5"/>
      <c r="U258" s="5"/>
      <c r="V258" s="5"/>
      <c r="W258" s="5"/>
      <c r="X258" s="5"/>
    </row>
    <row r="259" spans="1:24" ht="12.75" customHeight="1">
      <c r="A259" s="5"/>
      <c r="B259" s="5"/>
      <c r="C259" s="5"/>
      <c r="D259" s="5"/>
      <c r="E259" s="5"/>
      <c r="F259" s="5"/>
      <c r="G259" s="5"/>
      <c r="U259" s="5"/>
      <c r="V259" s="5"/>
      <c r="W259" s="5"/>
      <c r="X259" s="5"/>
    </row>
    <row r="260" spans="1:24" ht="12.75" customHeight="1">
      <c r="A260" s="5"/>
      <c r="B260" s="5"/>
      <c r="C260" s="5"/>
      <c r="D260" s="5"/>
      <c r="E260" s="5"/>
      <c r="F260" s="5"/>
      <c r="G260" s="5"/>
      <c r="U260" s="5"/>
      <c r="V260" s="5"/>
      <c r="W260" s="5"/>
      <c r="X260" s="5"/>
    </row>
    <row r="261" spans="1:24" ht="12.75" customHeight="1">
      <c r="A261" s="5"/>
      <c r="B261" s="5"/>
      <c r="C261" s="5"/>
      <c r="D261" s="5"/>
      <c r="E261" s="5"/>
      <c r="F261" s="5"/>
      <c r="G261" s="5"/>
      <c r="U261" s="5"/>
      <c r="V261" s="5"/>
      <c r="W261" s="5"/>
      <c r="X261" s="5"/>
    </row>
    <row r="262" spans="1:24" ht="12.75" customHeight="1">
      <c r="A262" s="5"/>
      <c r="B262" s="5"/>
      <c r="C262" s="5"/>
      <c r="D262" s="5"/>
      <c r="E262" s="5"/>
      <c r="F262" s="5"/>
      <c r="G262" s="5"/>
      <c r="U262" s="5"/>
      <c r="V262" s="5"/>
      <c r="W262" s="5"/>
      <c r="X262" s="5"/>
    </row>
    <row r="263" spans="1:24" ht="12.75" customHeight="1">
      <c r="A263" s="5"/>
      <c r="B263" s="5"/>
      <c r="C263" s="5"/>
      <c r="D263" s="5"/>
      <c r="E263" s="5"/>
      <c r="F263" s="5"/>
      <c r="G263" s="5"/>
      <c r="U263" s="5"/>
      <c r="V263" s="5"/>
      <c r="W263" s="5"/>
      <c r="X263" s="5"/>
    </row>
    <row r="264" spans="1:24" ht="12.75" customHeight="1">
      <c r="A264" s="5"/>
      <c r="B264" s="5"/>
      <c r="C264" s="5"/>
      <c r="D264" s="5"/>
      <c r="E264" s="5"/>
      <c r="F264" s="5"/>
      <c r="G264" s="5"/>
      <c r="U264" s="5"/>
      <c r="V264" s="5"/>
      <c r="W264" s="5"/>
      <c r="X264" s="5"/>
    </row>
    <row r="265" spans="1:24" ht="12.75" customHeight="1">
      <c r="A265" s="5"/>
      <c r="B265" s="5"/>
      <c r="C265" s="5"/>
      <c r="D265" s="5"/>
      <c r="E265" s="5"/>
      <c r="F265" s="5"/>
      <c r="G265" s="5"/>
      <c r="U265" s="5"/>
      <c r="V265" s="5"/>
      <c r="W265" s="5"/>
      <c r="X265" s="5"/>
    </row>
    <row r="266" spans="1:24" ht="12.75" customHeight="1">
      <c r="A266" s="5"/>
      <c r="B266" s="5"/>
      <c r="C266" s="5"/>
      <c r="D266" s="5"/>
      <c r="E266" s="5"/>
      <c r="F266" s="5"/>
      <c r="G266" s="5"/>
      <c r="U266" s="5"/>
      <c r="V266" s="5"/>
      <c r="W266" s="5"/>
      <c r="X266" s="5"/>
    </row>
    <row r="267" spans="1:24" ht="12.75" customHeight="1">
      <c r="A267" s="5"/>
      <c r="B267" s="5"/>
      <c r="C267" s="5"/>
      <c r="D267" s="5"/>
      <c r="E267" s="5"/>
      <c r="F267" s="5"/>
      <c r="G267" s="5"/>
      <c r="U267" s="5"/>
      <c r="V267" s="5"/>
      <c r="W267" s="5"/>
      <c r="X267" s="5"/>
    </row>
    <row r="268" spans="1:24" ht="12.75" customHeight="1">
      <c r="A268" s="5"/>
      <c r="B268" s="5"/>
      <c r="C268" s="5"/>
      <c r="D268" s="5"/>
      <c r="E268" s="5"/>
      <c r="F268" s="5"/>
      <c r="G268" s="5"/>
      <c r="U268" s="5"/>
      <c r="V268" s="5"/>
      <c r="W268" s="5"/>
      <c r="X268" s="5"/>
    </row>
    <row r="269" spans="1:24" ht="12.75" customHeight="1">
      <c r="A269" s="5"/>
      <c r="B269" s="5"/>
      <c r="C269" s="5"/>
      <c r="D269" s="5"/>
      <c r="E269" s="5"/>
      <c r="F269" s="5"/>
      <c r="G269" s="5"/>
      <c r="U269" s="5"/>
      <c r="V269" s="5"/>
      <c r="W269" s="5"/>
      <c r="X269" s="5"/>
    </row>
    <row r="270" spans="1:24" ht="12.75" customHeight="1">
      <c r="A270" s="5"/>
      <c r="B270" s="5"/>
      <c r="C270" s="5"/>
      <c r="D270" s="5"/>
      <c r="E270" s="5"/>
      <c r="F270" s="5"/>
      <c r="G270" s="5"/>
      <c r="U270" s="5"/>
      <c r="V270" s="5"/>
      <c r="W270" s="5"/>
      <c r="X270" s="5"/>
    </row>
    <row r="271" spans="21:24" ht="12.75" customHeight="1">
      <c r="U271" s="5"/>
      <c r="V271" s="5"/>
      <c r="W271" s="5"/>
      <c r="X271" s="5"/>
    </row>
    <row r="272" spans="21:24" ht="12.75" customHeight="1">
      <c r="U272" s="5"/>
      <c r="V272" s="5"/>
      <c r="W272" s="5"/>
      <c r="X272" s="5"/>
    </row>
    <row r="273" spans="21:24" ht="12.75" customHeight="1">
      <c r="U273" s="5"/>
      <c r="V273" s="5"/>
      <c r="W273" s="5"/>
      <c r="X273" s="5"/>
    </row>
    <row r="274" spans="21:24" ht="12.75" customHeight="1">
      <c r="U274" s="5"/>
      <c r="V274" s="5"/>
      <c r="W274" s="5"/>
      <c r="X274" s="5"/>
    </row>
    <row r="275" spans="21:24" ht="12.75" customHeight="1">
      <c r="U275" s="5"/>
      <c r="V275" s="5"/>
      <c r="W275" s="5"/>
      <c r="X275" s="5"/>
    </row>
    <row r="276" spans="21:24" ht="12.75" customHeight="1">
      <c r="U276" s="5"/>
      <c r="V276" s="5"/>
      <c r="W276" s="5"/>
      <c r="X276" s="5"/>
    </row>
    <row r="277" spans="21:24" ht="12.75" customHeight="1">
      <c r="U277" s="5"/>
      <c r="V277" s="5"/>
      <c r="W277" s="5"/>
      <c r="X277" s="5"/>
    </row>
    <row r="278" spans="21:24" ht="12.75" customHeight="1">
      <c r="U278" s="5"/>
      <c r="V278" s="5"/>
      <c r="W278" s="5"/>
      <c r="X278" s="5"/>
    </row>
    <row r="279" spans="21:24" ht="12.75" customHeight="1">
      <c r="U279" s="5"/>
      <c r="V279" s="5"/>
      <c r="W279" s="5"/>
      <c r="X279" s="5"/>
    </row>
    <row r="280" spans="21:24" ht="12.75" customHeight="1">
      <c r="U280" s="5"/>
      <c r="V280" s="5"/>
      <c r="W280" s="5"/>
      <c r="X280" s="5"/>
    </row>
    <row r="281" spans="21:24" ht="12.75" customHeight="1">
      <c r="U281" s="5"/>
      <c r="V281" s="5"/>
      <c r="W281" s="5"/>
      <c r="X281" s="5"/>
    </row>
    <row r="282" spans="21:24" ht="12.75" customHeight="1">
      <c r="U282" s="5"/>
      <c r="V282" s="5"/>
      <c r="W282" s="5"/>
      <c r="X282" s="5"/>
    </row>
    <row r="283" spans="21:24" ht="12.75" customHeight="1">
      <c r="U283" s="5"/>
      <c r="V283" s="5"/>
      <c r="W283" s="5"/>
      <c r="X283" s="5"/>
    </row>
    <row r="284" spans="21:24" ht="12.75" customHeight="1">
      <c r="U284" s="5"/>
      <c r="V284" s="5"/>
      <c r="W284" s="5"/>
      <c r="X284" s="5"/>
    </row>
    <row r="285" spans="21:24" ht="12.75" customHeight="1">
      <c r="U285" s="5"/>
      <c r="V285" s="5"/>
      <c r="W285" s="5"/>
      <c r="X285" s="5"/>
    </row>
    <row r="286" spans="21:24" ht="12.75" customHeight="1">
      <c r="U286" s="5"/>
      <c r="V286" s="5"/>
      <c r="W286" s="5"/>
      <c r="X286" s="5"/>
    </row>
    <row r="287" spans="21:24" ht="12.75" customHeight="1">
      <c r="U287" s="5"/>
      <c r="V287" s="5"/>
      <c r="W287" s="5"/>
      <c r="X287" s="5"/>
    </row>
    <row r="288" spans="21:24" ht="12.75" customHeight="1">
      <c r="U288" s="5"/>
      <c r="V288" s="5"/>
      <c r="W288" s="5"/>
      <c r="X288" s="5"/>
    </row>
    <row r="289" spans="21:24" ht="12.75" customHeight="1">
      <c r="U289" s="5"/>
      <c r="V289" s="5"/>
      <c r="W289" s="5"/>
      <c r="X289" s="5"/>
    </row>
    <row r="290" spans="21:24" ht="12.75" customHeight="1">
      <c r="U290" s="5"/>
      <c r="V290" s="5"/>
      <c r="W290" s="5"/>
      <c r="X290" s="5"/>
    </row>
    <row r="291" spans="21:24" ht="12.75" customHeight="1">
      <c r="U291" s="5"/>
      <c r="V291" s="5"/>
      <c r="W291" s="5"/>
      <c r="X291" s="5"/>
    </row>
    <row r="292" spans="21:24" ht="12.75" customHeight="1">
      <c r="U292" s="5"/>
      <c r="V292" s="5"/>
      <c r="W292" s="5"/>
      <c r="X292" s="5"/>
    </row>
    <row r="293" spans="21:24" ht="12.75" customHeight="1">
      <c r="U293" s="5"/>
      <c r="V293" s="5"/>
      <c r="W293" s="5"/>
      <c r="X293" s="5"/>
    </row>
    <row r="294" spans="21:24" ht="12.75" customHeight="1">
      <c r="U294" s="5"/>
      <c r="V294" s="5"/>
      <c r="W294" s="5"/>
      <c r="X294" s="5"/>
    </row>
    <row r="295" spans="21:24" ht="12.75" customHeight="1">
      <c r="U295" s="5"/>
      <c r="V295" s="5"/>
      <c r="W295" s="5"/>
      <c r="X295" s="5"/>
    </row>
    <row r="296" spans="21:24" ht="12.75" customHeight="1">
      <c r="U296" s="5"/>
      <c r="V296" s="5"/>
      <c r="W296" s="5"/>
      <c r="X296" s="5"/>
    </row>
    <row r="297" spans="21:24" ht="12.75" customHeight="1">
      <c r="U297" s="5"/>
      <c r="V297" s="5"/>
      <c r="W297" s="5"/>
      <c r="X297" s="5"/>
    </row>
    <row r="298" spans="21:24" ht="12.75" customHeight="1">
      <c r="U298" s="5"/>
      <c r="V298" s="5"/>
      <c r="W298" s="5"/>
      <c r="X298" s="5"/>
    </row>
    <row r="299" spans="21:24" ht="12.75" customHeight="1">
      <c r="U299" s="5"/>
      <c r="V299" s="5"/>
      <c r="W299" s="5"/>
      <c r="X299" s="5"/>
    </row>
    <row r="300" spans="21:24" ht="12.75" customHeight="1">
      <c r="U300" s="5"/>
      <c r="V300" s="5"/>
      <c r="W300" s="5"/>
      <c r="X300" s="5"/>
    </row>
    <row r="301" spans="21:24" ht="12.75" customHeight="1">
      <c r="U301" s="5"/>
      <c r="V301" s="5"/>
      <c r="W301" s="5"/>
      <c r="X301" s="5"/>
    </row>
    <row r="302" spans="21:24" ht="12.75" customHeight="1">
      <c r="U302" s="5"/>
      <c r="V302" s="5"/>
      <c r="W302" s="5"/>
      <c r="X302" s="5"/>
    </row>
    <row r="303" spans="21:24" ht="12.75" customHeight="1">
      <c r="U303" s="5"/>
      <c r="V303" s="5"/>
      <c r="W303" s="5"/>
      <c r="X303" s="5"/>
    </row>
    <row r="304" spans="21:24" ht="12.75" customHeight="1">
      <c r="U304" s="5"/>
      <c r="V304" s="5"/>
      <c r="W304" s="5"/>
      <c r="X304" s="5"/>
    </row>
    <row r="305" spans="21:24" ht="12.75" customHeight="1">
      <c r="U305" s="5"/>
      <c r="V305" s="5"/>
      <c r="W305" s="5"/>
      <c r="X305" s="5"/>
    </row>
    <row r="306" spans="21:24" ht="12.75" customHeight="1">
      <c r="U306" s="5"/>
      <c r="V306" s="5"/>
      <c r="W306" s="5"/>
      <c r="X306" s="5"/>
    </row>
    <row r="307" spans="21:24" ht="12.75" customHeight="1">
      <c r="U307" s="5"/>
      <c r="V307" s="5"/>
      <c r="W307" s="5"/>
      <c r="X307" s="5"/>
    </row>
    <row r="308" spans="21:24" ht="12.75" customHeight="1">
      <c r="U308" s="5"/>
      <c r="V308" s="5"/>
      <c r="W308" s="5"/>
      <c r="X308" s="5"/>
    </row>
    <row r="309" spans="21:24" ht="12.75" customHeight="1">
      <c r="U309" s="5"/>
      <c r="V309" s="5"/>
      <c r="W309" s="5"/>
      <c r="X309" s="5"/>
    </row>
    <row r="310" spans="21:24" ht="12.75" customHeight="1">
      <c r="U310" s="5"/>
      <c r="V310" s="5"/>
      <c r="W310" s="5"/>
      <c r="X310" s="5"/>
    </row>
    <row r="311" spans="21:24" ht="12.75" customHeight="1">
      <c r="U311" s="5"/>
      <c r="V311" s="5"/>
      <c r="W311" s="5"/>
      <c r="X311" s="5"/>
    </row>
    <row r="312" spans="21:24" ht="12.75" customHeight="1">
      <c r="U312" s="5"/>
      <c r="V312" s="5"/>
      <c r="W312" s="5"/>
      <c r="X312" s="5"/>
    </row>
    <row r="313" spans="21:24" ht="12.75" customHeight="1">
      <c r="U313" s="5"/>
      <c r="V313" s="5"/>
      <c r="W313" s="5"/>
      <c r="X313" s="5"/>
    </row>
    <row r="314" spans="21:24" ht="12.75" customHeight="1">
      <c r="U314" s="5"/>
      <c r="V314" s="5"/>
      <c r="W314" s="5"/>
      <c r="X314" s="5"/>
    </row>
    <row r="315" spans="21:24" ht="12.75" customHeight="1">
      <c r="U315" s="5"/>
      <c r="V315" s="5"/>
      <c r="W315" s="5"/>
      <c r="X315" s="5"/>
    </row>
    <row r="316" spans="21:24" ht="12.75" customHeight="1">
      <c r="U316" s="5"/>
      <c r="V316" s="5"/>
      <c r="W316" s="5"/>
      <c r="X316" s="5"/>
    </row>
    <row r="317" spans="21:24" ht="12.75" customHeight="1">
      <c r="U317" s="5"/>
      <c r="V317" s="5"/>
      <c r="W317" s="5"/>
      <c r="X317" s="5"/>
    </row>
    <row r="318" spans="21:24" ht="12.75" customHeight="1">
      <c r="U318" s="5"/>
      <c r="V318" s="5"/>
      <c r="W318" s="5"/>
      <c r="X318" s="5"/>
    </row>
    <row r="319" spans="21:24" ht="12.75" customHeight="1">
      <c r="U319" s="5"/>
      <c r="V319" s="5"/>
      <c r="W319" s="5"/>
      <c r="X319" s="5"/>
    </row>
    <row r="320" spans="21:24" ht="12.75" customHeight="1">
      <c r="U320" s="5"/>
      <c r="V320" s="5"/>
      <c r="W320" s="5"/>
      <c r="X320" s="5"/>
    </row>
    <row r="321" spans="21:24" ht="12.75" customHeight="1">
      <c r="U321" s="5"/>
      <c r="V321" s="5"/>
      <c r="W321" s="5"/>
      <c r="X321" s="5"/>
    </row>
    <row r="322" spans="21:24" ht="12.75" customHeight="1">
      <c r="U322" s="5"/>
      <c r="V322" s="5"/>
      <c r="W322" s="5"/>
      <c r="X322" s="5"/>
    </row>
    <row r="323" spans="21:24" ht="12.75" customHeight="1">
      <c r="U323" s="5"/>
      <c r="V323" s="5"/>
      <c r="W323" s="5"/>
      <c r="X323" s="5"/>
    </row>
    <row r="324" spans="21:24" ht="12.75" customHeight="1">
      <c r="U324" s="5"/>
      <c r="V324" s="5"/>
      <c r="W324" s="5"/>
      <c r="X324" s="5"/>
    </row>
    <row r="325" spans="21:24" ht="12.75" customHeight="1">
      <c r="U325" s="5"/>
      <c r="V325" s="5"/>
      <c r="W325" s="5"/>
      <c r="X325" s="5"/>
    </row>
    <row r="326" spans="21:24" ht="12.75" customHeight="1">
      <c r="U326" s="5"/>
      <c r="V326" s="5"/>
      <c r="W326" s="5"/>
      <c r="X326" s="5"/>
    </row>
    <row r="327" spans="21:24" ht="12.75" customHeight="1">
      <c r="U327" s="5"/>
      <c r="V327" s="5"/>
      <c r="W327" s="5"/>
      <c r="X327" s="5"/>
    </row>
    <row r="328" spans="21:24" ht="12.75" customHeight="1">
      <c r="U328" s="5"/>
      <c r="V328" s="5"/>
      <c r="W328" s="5"/>
      <c r="X328" s="5"/>
    </row>
    <row r="329" spans="21:24" ht="12.75" customHeight="1">
      <c r="U329" s="5"/>
      <c r="V329" s="5"/>
      <c r="W329" s="5"/>
      <c r="X329" s="5"/>
    </row>
    <row r="330" spans="21:24" ht="12.75" customHeight="1">
      <c r="U330" s="5"/>
      <c r="V330" s="5"/>
      <c r="W330" s="5"/>
      <c r="X330" s="5"/>
    </row>
    <row r="331" spans="21:24" ht="12.75" customHeight="1">
      <c r="U331" s="5"/>
      <c r="V331" s="5"/>
      <c r="W331" s="5"/>
      <c r="X331" s="5"/>
    </row>
    <row r="332" spans="21:24" ht="12.75" customHeight="1">
      <c r="U332" s="5"/>
      <c r="V332" s="5"/>
      <c r="W332" s="5"/>
      <c r="X332" s="5"/>
    </row>
    <row r="333" spans="21:24" ht="12.75" customHeight="1">
      <c r="U333" s="5"/>
      <c r="V333" s="5"/>
      <c r="W333" s="5"/>
      <c r="X333" s="5"/>
    </row>
    <row r="334" spans="21:24" ht="12.75" customHeight="1">
      <c r="U334" s="5"/>
      <c r="V334" s="5"/>
      <c r="W334" s="5"/>
      <c r="X334" s="5"/>
    </row>
    <row r="335" spans="21:24" ht="12.75" customHeight="1">
      <c r="U335" s="5"/>
      <c r="V335" s="5"/>
      <c r="W335" s="5"/>
      <c r="X335" s="5"/>
    </row>
    <row r="336" spans="21:24" ht="12.75" customHeight="1">
      <c r="U336" s="5"/>
      <c r="V336" s="5"/>
      <c r="W336" s="5"/>
      <c r="X336" s="5"/>
    </row>
    <row r="337" spans="21:24" ht="12.75" customHeight="1">
      <c r="U337" s="5"/>
      <c r="V337" s="5"/>
      <c r="W337" s="5"/>
      <c r="X337" s="5"/>
    </row>
    <row r="338" spans="21:24" ht="12.75" customHeight="1">
      <c r="U338" s="5"/>
      <c r="V338" s="5"/>
      <c r="W338" s="5"/>
      <c r="X338" s="5"/>
    </row>
    <row r="339" spans="21:24" ht="12.75" customHeight="1">
      <c r="U339" s="5"/>
      <c r="V339" s="5"/>
      <c r="W339" s="5"/>
      <c r="X339" s="5"/>
    </row>
    <row r="340" spans="21:24" ht="12.75" customHeight="1">
      <c r="U340" s="5"/>
      <c r="V340" s="5"/>
      <c r="W340" s="5"/>
      <c r="X340" s="5"/>
    </row>
    <row r="341" spans="21:24" ht="12.75" customHeight="1">
      <c r="U341" s="5"/>
      <c r="V341" s="5"/>
      <c r="W341" s="5"/>
      <c r="X341" s="5"/>
    </row>
    <row r="342" spans="21:24" ht="12.75" customHeight="1">
      <c r="U342" s="5"/>
      <c r="V342" s="5"/>
      <c r="W342" s="5"/>
      <c r="X342" s="5"/>
    </row>
    <row r="343" spans="21:24" ht="12.75" customHeight="1">
      <c r="U343" s="5"/>
      <c r="V343" s="5"/>
      <c r="W343" s="5"/>
      <c r="X343" s="5"/>
    </row>
    <row r="344" spans="21:24" ht="12.75" customHeight="1">
      <c r="U344" s="5"/>
      <c r="V344" s="5"/>
      <c r="W344" s="5"/>
      <c r="X344" s="5"/>
    </row>
    <row r="345" spans="21:24" ht="12.75" customHeight="1">
      <c r="U345" s="5"/>
      <c r="V345" s="5"/>
      <c r="W345" s="5"/>
      <c r="X345" s="5"/>
    </row>
    <row r="346" spans="21:24" ht="12.75" customHeight="1">
      <c r="U346" s="5"/>
      <c r="V346" s="5"/>
      <c r="W346" s="5"/>
      <c r="X346" s="5"/>
    </row>
    <row r="347" spans="21:24" ht="12.75" customHeight="1">
      <c r="U347" s="5"/>
      <c r="V347" s="5"/>
      <c r="W347" s="5"/>
      <c r="X347" s="5"/>
    </row>
    <row r="348" spans="21:24" ht="12.75" customHeight="1">
      <c r="U348" s="5"/>
      <c r="V348" s="5"/>
      <c r="W348" s="5"/>
      <c r="X348" s="5"/>
    </row>
    <row r="349" spans="21:24" ht="12.75" customHeight="1">
      <c r="U349" s="5"/>
      <c r="V349" s="5"/>
      <c r="W349" s="5"/>
      <c r="X349" s="5"/>
    </row>
    <row r="350" spans="21:24" ht="12.75" customHeight="1">
      <c r="U350" s="5"/>
      <c r="V350" s="5"/>
      <c r="W350" s="5"/>
      <c r="X350" s="5"/>
    </row>
    <row r="351" spans="21:24" ht="12.75" customHeight="1">
      <c r="U351" s="5"/>
      <c r="V351" s="5"/>
      <c r="W351" s="5"/>
      <c r="X351" s="5"/>
    </row>
    <row r="352" spans="21:24" ht="12.75" customHeight="1">
      <c r="U352" s="5"/>
      <c r="V352" s="5"/>
      <c r="W352" s="5"/>
      <c r="X352" s="5"/>
    </row>
    <row r="353" spans="21:24" ht="12.75" customHeight="1">
      <c r="U353" s="5"/>
      <c r="V353" s="5"/>
      <c r="W353" s="5"/>
      <c r="X353" s="5"/>
    </row>
    <row r="354" spans="21:24" ht="12.75" customHeight="1">
      <c r="U354" s="5"/>
      <c r="V354" s="5"/>
      <c r="W354" s="5"/>
      <c r="X354" s="5"/>
    </row>
    <row r="355" spans="21:24" ht="12.75" customHeight="1">
      <c r="U355" s="5"/>
      <c r="V355" s="5"/>
      <c r="W355" s="5"/>
      <c r="X355" s="5"/>
    </row>
    <row r="356" spans="21:24" ht="12.75" customHeight="1">
      <c r="U356" s="5"/>
      <c r="V356" s="5"/>
      <c r="W356" s="5"/>
      <c r="X356" s="5"/>
    </row>
    <row r="357" spans="21:24" ht="12.75" customHeight="1">
      <c r="U357" s="5"/>
      <c r="V357" s="5"/>
      <c r="W357" s="5"/>
      <c r="X357" s="5"/>
    </row>
    <row r="358" spans="21:24" ht="12.75" customHeight="1">
      <c r="U358" s="5"/>
      <c r="V358" s="5"/>
      <c r="W358" s="5"/>
      <c r="X358" s="5"/>
    </row>
    <row r="359" spans="21:24" ht="12.75" customHeight="1">
      <c r="U359" s="5"/>
      <c r="V359" s="5"/>
      <c r="W359" s="5"/>
      <c r="X359" s="5"/>
    </row>
  </sheetData>
  <mergeCells count="8">
    <mergeCell ref="BO4:BQ4"/>
    <mergeCell ref="BO5:BQ5"/>
    <mergeCell ref="BO6:BQ6"/>
    <mergeCell ref="BO7:BQ7"/>
    <mergeCell ref="BK4:BN4"/>
    <mergeCell ref="BK5:BN5"/>
    <mergeCell ref="BK6:BN6"/>
    <mergeCell ref="BK7:BN7"/>
  </mergeCells>
  <printOptions horizontalCentered="1"/>
  <pageMargins left="0.25" right="0.25" top="0.5" bottom="0.5" header="0.25" footer="0.25"/>
  <pageSetup fitToWidth="26" horizontalDpi="1200" verticalDpi="1200" orientation="landscape" scale="75" r:id="rId4"/>
  <headerFooter alignWithMargins="0">
    <oddFooter>&amp;L&amp;"Times New Roman,Regular"&amp;6&amp;F/model
&amp;D   &amp;T
&amp;R&amp;B&amp;08&amp;D/&amp;T/Excel</oddFooter>
  </headerFooter>
  <colBreaks count="25" manualBreakCount="25">
    <brk id="6" max="55" man="1"/>
    <brk id="10" max="65535" man="1"/>
    <brk id="15" max="65535" man="1"/>
    <brk id="20" max="65535" man="1"/>
    <brk id="24" max="65535" man="1"/>
    <brk id="30" max="65535" man="1"/>
    <brk id="34" max="65535" man="1"/>
    <brk id="39" max="65535" man="1"/>
    <brk id="44" max="65535" man="1"/>
    <brk id="48" max="65535" man="1"/>
    <brk id="52" max="65535" man="1"/>
    <brk id="55" max="65535" man="1"/>
    <brk id="62" max="65535" man="1"/>
    <brk id="66" max="65535" man="1"/>
    <brk id="70" max="65535" man="1"/>
    <brk id="74" max="65535" man="1"/>
    <brk id="80" max="65535" man="1"/>
    <brk id="85" max="65535" man="1"/>
    <brk id="89" max="65535" man="1"/>
    <brk id="94" max="65535" man="1"/>
    <brk id="98" max="65535" man="1"/>
    <brk id="103" max="65535" man="1"/>
    <brk id="112" max="65535" man="1"/>
    <brk id="121" max="65535" man="1"/>
    <brk id="13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GRC gas Exhibit Joint-2</dc:title>
  <dc:subject>3</dc:subject>
  <dc:creator>Dodge, Kirstin S.</dc:creator>
  <cp:keywords>07771-0083</cp:keywords>
  <dc:description/>
  <cp:lastModifiedBy>Information Services</cp:lastModifiedBy>
  <cp:lastPrinted>2002-08-16T20:09:22Z</cp:lastPrinted>
  <dcterms:created xsi:type="dcterms:W3CDTF">1997-10-13T22:59:17Z</dcterms:created>
  <dcterms:modified xsi:type="dcterms:W3CDTF">2002-08-20T17:43:18Z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Dodge, Kirstin S.</vt:lpwstr>
  </property>
  <property fmtid="{D5CDD505-2E9C-101B-9397-08002B2CF9AE}" pid="4" name="archive">
    <vt:lpwstr>24 mos. last access</vt:lpwstr>
  </property>
  <property fmtid="{D5CDD505-2E9C-101B-9397-08002B2CF9AE}" pid="5" name="template">
    <vt:lpwstr/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07771-0083</vt:lpwstr>
  </property>
  <property fmtid="{D5CDD505-2E9C-101B-9397-08002B2CF9AE}" pid="9" name="doctype">
    <vt:lpwstr/>
  </property>
  <property fmtid="{D5CDD505-2E9C-101B-9397-08002B2CF9AE}" pid="10" name="title">
    <vt:lpwstr>GRC gas Exhibit Joint-2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2001 GENERAL RATE CASE -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1 LITIGATION</vt:lpwstr>
  </property>
  <property fmtid="{D5CDD505-2E9C-101B-9397-08002B2CF9AE}" pid="17" name="ckogroup">
    <vt:lpwstr>GENERAL USERS</vt:lpwstr>
  </property>
  <property fmtid="{D5CDD505-2E9C-101B-9397-08002B2CF9AE}" pid="18" name="version">
    <vt:lpwstr>3</vt:lpwstr>
  </property>
  <property fmtid="{D5CDD505-2E9C-101B-9397-08002B2CF9AE}" pid="19" name="typist">
    <vt:lpwstr>Dodge, Kirstin S.</vt:lpwstr>
  </property>
  <property fmtid="{D5CDD505-2E9C-101B-9397-08002B2CF9AE}" pid="20" name="filename">
    <vt:lpwstr>BA022280.027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011570</vt:lpwstr>
  </property>
  <property fmtid="{D5CDD505-2E9C-101B-9397-08002B2CF9AE}" pid="24" name="IsConfidential">
    <vt:lpwstr>0</vt:lpwstr>
  </property>
  <property fmtid="{D5CDD505-2E9C-101B-9397-08002B2CF9AE}" pid="25" name="Date1">
    <vt:lpwstr>2002-08-20T00:00:00Z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2001-11-26T00:00:00Z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