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styles.xml" ContentType="application/vnd.openxmlformats-officedocument.spreadsheetml.styles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2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.xml" ContentType="application/vnd.openxmlformats-officedocument.spreadsheetml.comments+xml"/>
  <Override PartName="/xl/comments19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6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stdpt1\SOPSCCI\2-Budget &amp; Administration\Reporting\WUTC\2021 Reporting\Exhibits\Exhibit 2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Web-Enabled Thermostats {E}" sheetId="13" r:id="rId10"/>
    <sheet name="Residential Showerheads {E}" sheetId="14" r:id="rId11"/>
    <sheet name="SF Existing Weatherization {E}" sheetId="15" r:id="rId12"/>
    <sheet name="Home Energy Reports {E}" sheetId="16" r:id="rId13"/>
    <sheet name="Efficiency Boost {E}" sheetId="74" r:id="rId14"/>
    <sheet name="SF New Construction {E}" sheetId="18" r:id="rId15"/>
    <sheet name="MH New Construction {E}" sheetId="19" r:id="rId16"/>
    <sheet name="Multi Family Retrofit {E}" sheetId="20" r:id="rId17"/>
    <sheet name="MF New Construction {E}" sheetId="21" r:id="rId18"/>
    <sheet name="CI Retrofit {E}" sheetId="22" r:id="rId19"/>
    <sheet name="Bus Lighting Grants {E}" sheetId="69" r:id="rId20"/>
    <sheet name="Industrial EM {E}" sheetId="70" r:id="rId21"/>
    <sheet name="CBA {E}" sheetId="72" r:id="rId22"/>
    <sheet name="CI New Construction {E}" sheetId="23" r:id="rId23"/>
    <sheet name="Com SEM {E}" sheetId="24" r:id="rId24"/>
    <sheet name="P4P {E}" sheetId="25" r:id="rId25"/>
    <sheet name="LPU 449 {E}" sheetId="26" r:id="rId26"/>
    <sheet name="LPU Non-449 {E}" sheetId="27" r:id="rId27"/>
    <sheet name="Lighting to Go {E}" sheetId="28" r:id="rId28"/>
    <sheet name="Commercial Kitchen Laundry {E}" sheetId="29" r:id="rId29"/>
    <sheet name="Commercial HVAC {E}" sheetId="30" r:id="rId30"/>
    <sheet name="Commercial Midstream {E}" sheetId="31" r:id="rId31"/>
    <sheet name="SBDI {E}" sheetId="32" r:id="rId32"/>
    <sheet name="Lodging Rebates {E}" sheetId="33" r:id="rId33"/>
    <sheet name="Residential Pilots {E}" sheetId="34" r:id="rId34"/>
    <sheet name="Commercial Pilots {E}" sheetId="35" r:id="rId35"/>
    <sheet name="TDSM {E}" sheetId="36" r:id="rId36"/>
    <sheet name="NEEA {E}" sheetId="37" r:id="rId37"/>
    <sheet name="T&amp;D {E}" sheetId="38" r:id="rId38"/>
    <sheet name="G201 LIW {G}" sheetId="66" r:id="rId39"/>
    <sheet name="SF Existing Space Heat {G}" sheetId="39" r:id="rId40"/>
    <sheet name="SF Existing Water Heat {G}" sheetId="40" r:id="rId41"/>
    <sheet name="Home Energy Assessments {G}" sheetId="41" r:id="rId42"/>
    <sheet name="Single Family Rental Pilot {G}" sheetId="42" r:id="rId43"/>
    <sheet name="Home Appliances {G}" sheetId="43" r:id="rId44"/>
    <sheet name="Web Enabled Thermostats {G}" sheetId="44" r:id="rId45"/>
    <sheet name="Residential Showerheads {G}" sheetId="45" r:id="rId46"/>
    <sheet name="SF Existing Weatherization {G}" sheetId="46" r:id="rId47"/>
    <sheet name="Home Energy Reports {G}" sheetId="47" r:id="rId48"/>
    <sheet name="Efficiency Boost {G}" sheetId="75" r:id="rId49"/>
    <sheet name="SF New Construction {G}" sheetId="49" r:id="rId50"/>
    <sheet name="MH New Construction {G}" sheetId="50" r:id="rId51"/>
    <sheet name="Multi Family Retrofit {G}" sheetId="51" r:id="rId52"/>
    <sheet name="MF New Construction {G}" sheetId="52" r:id="rId53"/>
    <sheet name="CI Retrofit {G}" sheetId="53" r:id="rId54"/>
    <sheet name="CBA {G}" sheetId="71" r:id="rId55"/>
    <sheet name="Industrial EM {G}" sheetId="73" r:id="rId56"/>
    <sheet name="CI New Construction {G}" sheetId="54" r:id="rId57"/>
    <sheet name="Com SEM {G}" sheetId="55" r:id="rId58"/>
    <sheet name="P4P {G}" sheetId="56" r:id="rId59"/>
    <sheet name="Commercial Kitchen Laundry {G}" sheetId="57" r:id="rId60"/>
    <sheet name="Commercial HVAC {G}" sheetId="58" r:id="rId61"/>
    <sheet name="Commercial Midstream {G}" sheetId="59" r:id="rId62"/>
    <sheet name="SBDI {G}" sheetId="60" r:id="rId63"/>
    <sheet name="G245 NEEA GAS" sheetId="61" r:id="rId64"/>
    <sheet name="G249 Res Gas Pilot" sheetId="62" r:id="rId65"/>
    <sheet name="G249 Com Gas Pilot" sheetId="63" r:id="rId66"/>
    <sheet name="TDSM {G}" sheetId="64" r:id="rId67"/>
    <sheet name="ElecAvoidedCostsWOCC" sheetId="9" r:id="rId68"/>
    <sheet name="GasAvoidedCostsWOCC" sheetId="10" r:id="rId69"/>
  </sheets>
  <externalReferences>
    <externalReference r:id="rId70"/>
  </externalReferences>
  <definedNames>
    <definedName name="_xlnm._FilterDatabase" localSheetId="3" hidden="1">'Program Costs'!$A$1:$P$117</definedName>
    <definedName name="ElecDiscountRate">0.0697</definedName>
    <definedName name="GasDiscountRate">0.0697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5" i="67" l="1"/>
  <c r="S35" i="67"/>
  <c r="R35" i="67"/>
  <c r="H35" i="67"/>
  <c r="I35" i="67"/>
  <c r="J35" i="67"/>
  <c r="K35" i="67"/>
  <c r="L35" i="67"/>
  <c r="O35" i="67"/>
  <c r="N35" i="67"/>
  <c r="I58" i="68"/>
  <c r="A6" i="27" l="1"/>
  <c r="AN24" i="64" l="1"/>
  <c r="AM24" i="64"/>
  <c r="AL24" i="64"/>
  <c r="AK24" i="64"/>
  <c r="AJ24" i="64"/>
  <c r="AI24" i="64"/>
  <c r="AH24" i="64"/>
  <c r="AG24" i="64"/>
  <c r="AF24" i="64"/>
  <c r="AE24" i="64"/>
  <c r="AD24" i="64"/>
  <c r="Y24" i="64"/>
  <c r="W24" i="64"/>
  <c r="V24" i="64"/>
  <c r="U24" i="64"/>
  <c r="T24" i="64"/>
  <c r="AN23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N22" i="64"/>
  <c r="AM22" i="64"/>
  <c r="AL22" i="64"/>
  <c r="AK22" i="64"/>
  <c r="AJ22" i="64"/>
  <c r="AI22" i="64"/>
  <c r="AH22" i="64"/>
  <c r="AG22" i="64"/>
  <c r="AF22" i="64"/>
  <c r="AE22" i="64"/>
  <c r="AD22" i="64"/>
  <c r="Y22" i="64"/>
  <c r="W22" i="64"/>
  <c r="V22" i="64"/>
  <c r="U22" i="64"/>
  <c r="T22" i="64"/>
  <c r="AN21" i="64"/>
  <c r="AM21" i="64"/>
  <c r="AL21" i="64"/>
  <c r="AK21" i="64"/>
  <c r="AJ21" i="64"/>
  <c r="AI21" i="64"/>
  <c r="AH21" i="64"/>
  <c r="AG21" i="64"/>
  <c r="AF21" i="64"/>
  <c r="AE21" i="64"/>
  <c r="AD21" i="64"/>
  <c r="Y21" i="64"/>
  <c r="W21" i="64"/>
  <c r="V21" i="64"/>
  <c r="U21" i="64"/>
  <c r="T21" i="64"/>
  <c r="AN20" i="64"/>
  <c r="AM20" i="64"/>
  <c r="AL20" i="64"/>
  <c r="AK20" i="64"/>
  <c r="AJ20" i="64"/>
  <c r="AI20" i="64"/>
  <c r="AH20" i="64"/>
  <c r="AG20" i="64"/>
  <c r="AF20" i="64"/>
  <c r="AE20" i="64"/>
  <c r="AD20" i="64"/>
  <c r="Y20" i="64"/>
  <c r="W20" i="64"/>
  <c r="V20" i="64"/>
  <c r="U20" i="64"/>
  <c r="T20" i="64"/>
  <c r="AN19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N18" i="64"/>
  <c r="AM18" i="64"/>
  <c r="AL18" i="64"/>
  <c r="AK18" i="64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N17" i="64"/>
  <c r="AM17" i="64"/>
  <c r="AL17" i="64"/>
  <c r="AK17" i="64"/>
  <c r="AJ17" i="64"/>
  <c r="AI17" i="64"/>
  <c r="AH17" i="64"/>
  <c r="AG17" i="64"/>
  <c r="AF17" i="64"/>
  <c r="AE17" i="64"/>
  <c r="AD17" i="64"/>
  <c r="Y17" i="64"/>
  <c r="W17" i="64"/>
  <c r="V17" i="64"/>
  <c r="U17" i="64"/>
  <c r="T17" i="64"/>
  <c r="AN16" i="64"/>
  <c r="AM16" i="64"/>
  <c r="AL16" i="64"/>
  <c r="AK16" i="64"/>
  <c r="AJ16" i="64"/>
  <c r="AI16" i="64"/>
  <c r="AH16" i="64"/>
  <c r="AG16" i="64"/>
  <c r="AF16" i="64"/>
  <c r="AE16" i="64"/>
  <c r="AD16" i="64"/>
  <c r="Y16" i="64"/>
  <c r="W16" i="64"/>
  <c r="V16" i="64"/>
  <c r="U16" i="64"/>
  <c r="T16" i="64"/>
  <c r="A16" i="64"/>
  <c r="AN15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N14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N13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N12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N10" i="64"/>
  <c r="AM10" i="64"/>
  <c r="AL10" i="64"/>
  <c r="AK10" i="64"/>
  <c r="AJ10" i="64"/>
  <c r="AI10" i="64"/>
  <c r="AH10" i="64"/>
  <c r="AG10" i="64"/>
  <c r="AF10" i="64"/>
  <c r="AE10" i="64"/>
  <c r="AD10" i="64"/>
  <c r="Y10" i="64"/>
  <c r="W10" i="64"/>
  <c r="V10" i="64"/>
  <c r="U10" i="64"/>
  <c r="T10" i="64"/>
  <c r="A10" i="64"/>
  <c r="AN9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N8" i="64"/>
  <c r="AM8" i="64"/>
  <c r="AL8" i="64"/>
  <c r="AK8" i="64"/>
  <c r="AJ8" i="64"/>
  <c r="AI8" i="64"/>
  <c r="AH8" i="64"/>
  <c r="AG8" i="64"/>
  <c r="AF8" i="64"/>
  <c r="AD8" i="64"/>
  <c r="Y8" i="64"/>
  <c r="W8" i="64"/>
  <c r="V8" i="64"/>
  <c r="U8" i="64"/>
  <c r="T8" i="64"/>
  <c r="AN7" i="64"/>
  <c r="AM7" i="64"/>
  <c r="AL7" i="64"/>
  <c r="AK7" i="64"/>
  <c r="AJ7" i="64"/>
  <c r="AI7" i="64"/>
  <c r="AH7" i="64"/>
  <c r="AG7" i="64"/>
  <c r="AF7" i="64"/>
  <c r="AD7" i="64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N5" i="64"/>
  <c r="AM5" i="64"/>
  <c r="AL5" i="64"/>
  <c r="AK5" i="64"/>
  <c r="AJ5" i="64"/>
  <c r="AI5" i="64"/>
  <c r="AH5" i="64"/>
  <c r="AG5" i="64"/>
  <c r="AF5" i="64"/>
  <c r="AD5" i="64"/>
  <c r="Y5" i="64"/>
  <c r="W5" i="64"/>
  <c r="V5" i="64"/>
  <c r="U5" i="64"/>
  <c r="T5" i="64"/>
  <c r="F1" i="64"/>
  <c r="AN24" i="63"/>
  <c r="AM24" i="63"/>
  <c r="AL24" i="63"/>
  <c r="AK24" i="63"/>
  <c r="AJ24" i="63"/>
  <c r="AI24" i="63"/>
  <c r="AH24" i="63"/>
  <c r="AG24" i="63"/>
  <c r="AF24" i="63"/>
  <c r="AE24" i="63"/>
  <c r="AD24" i="63"/>
  <c r="Y24" i="63"/>
  <c r="W24" i="63"/>
  <c r="V24" i="63"/>
  <c r="U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N22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U22" i="63"/>
  <c r="T22" i="63"/>
  <c r="AN21" i="63"/>
  <c r="AM21" i="63"/>
  <c r="AL21" i="63"/>
  <c r="AK21" i="63"/>
  <c r="AJ21" i="63"/>
  <c r="AI21" i="63"/>
  <c r="AH21" i="63"/>
  <c r="AG21" i="63"/>
  <c r="AF21" i="63"/>
  <c r="AE21" i="63"/>
  <c r="AD21" i="63"/>
  <c r="Y21" i="63"/>
  <c r="W21" i="63"/>
  <c r="V21" i="63"/>
  <c r="U21" i="63"/>
  <c r="T21" i="63"/>
  <c r="AN20" i="63"/>
  <c r="AM20" i="63"/>
  <c r="AL20" i="63"/>
  <c r="AK20" i="63"/>
  <c r="AJ20" i="63"/>
  <c r="AI20" i="63"/>
  <c r="AH20" i="63"/>
  <c r="AG20" i="63"/>
  <c r="AF20" i="63"/>
  <c r="AE20" i="63"/>
  <c r="AD20" i="63"/>
  <c r="Y20" i="63"/>
  <c r="W20" i="63"/>
  <c r="V20" i="63"/>
  <c r="U20" i="63"/>
  <c r="T20" i="63"/>
  <c r="AN19" i="63"/>
  <c r="AM19" i="63"/>
  <c r="AL19" i="63"/>
  <c r="AK19" i="63"/>
  <c r="AJ19" i="63"/>
  <c r="AI19" i="63"/>
  <c r="AH19" i="63"/>
  <c r="AG19" i="63"/>
  <c r="AF19" i="63"/>
  <c r="AE19" i="63"/>
  <c r="AD19" i="63"/>
  <c r="Y19" i="63"/>
  <c r="W19" i="63"/>
  <c r="V19" i="63"/>
  <c r="U19" i="63"/>
  <c r="T19" i="63"/>
  <c r="AN18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U18" i="63"/>
  <c r="T18" i="63"/>
  <c r="AN17" i="63"/>
  <c r="AM17" i="63"/>
  <c r="AL17" i="63"/>
  <c r="AK17" i="63"/>
  <c r="AJ17" i="63"/>
  <c r="AI17" i="63"/>
  <c r="AH17" i="63"/>
  <c r="AG17" i="63"/>
  <c r="AF17" i="63"/>
  <c r="AE17" i="63"/>
  <c r="AD17" i="63"/>
  <c r="Y17" i="63"/>
  <c r="W17" i="63"/>
  <c r="V17" i="63"/>
  <c r="U17" i="63"/>
  <c r="T17" i="63"/>
  <c r="AN16" i="63"/>
  <c r="AM16" i="63"/>
  <c r="AL16" i="63"/>
  <c r="AK16" i="63"/>
  <c r="AJ16" i="63"/>
  <c r="AI16" i="63"/>
  <c r="AH16" i="63"/>
  <c r="AG16" i="63"/>
  <c r="AF16" i="63"/>
  <c r="AE16" i="63"/>
  <c r="AD16" i="63"/>
  <c r="Y16" i="63"/>
  <c r="W16" i="63"/>
  <c r="V16" i="63"/>
  <c r="U16" i="63"/>
  <c r="T16" i="63"/>
  <c r="A16" i="63"/>
  <c r="AN15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N14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U14" i="63"/>
  <c r="T14" i="63"/>
  <c r="A14" i="63"/>
  <c r="AN13" i="63"/>
  <c r="AM13" i="63"/>
  <c r="AL13" i="63"/>
  <c r="AK13" i="63"/>
  <c r="AJ13" i="63"/>
  <c r="AI13" i="63"/>
  <c r="AH13" i="63"/>
  <c r="AG13" i="63"/>
  <c r="AF13" i="63"/>
  <c r="AE13" i="63"/>
  <c r="AD13" i="63"/>
  <c r="Y13" i="63"/>
  <c r="W13" i="63"/>
  <c r="V13" i="63"/>
  <c r="U13" i="63"/>
  <c r="T13" i="63"/>
  <c r="AN12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N11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U11" i="63"/>
  <c r="T11" i="63"/>
  <c r="AN10" i="63"/>
  <c r="AM10" i="63"/>
  <c r="AL10" i="63"/>
  <c r="AK10" i="63"/>
  <c r="AJ10" i="63"/>
  <c r="AI10" i="63"/>
  <c r="AH10" i="63"/>
  <c r="AG10" i="63"/>
  <c r="AF10" i="63"/>
  <c r="AE10" i="63"/>
  <c r="AD10" i="63"/>
  <c r="Y10" i="63"/>
  <c r="W10" i="63"/>
  <c r="V10" i="63"/>
  <c r="U10" i="63"/>
  <c r="T10" i="63"/>
  <c r="A10" i="63"/>
  <c r="AN9" i="63"/>
  <c r="AM9" i="63"/>
  <c r="AL9" i="63"/>
  <c r="AK9" i="63"/>
  <c r="AJ9" i="63"/>
  <c r="AI9" i="63"/>
  <c r="AH9" i="63"/>
  <c r="AG9" i="63"/>
  <c r="AF9" i="63"/>
  <c r="AE9" i="63"/>
  <c r="AD9" i="63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N7" i="63"/>
  <c r="AM7" i="63"/>
  <c r="AL7" i="63"/>
  <c r="AK7" i="63"/>
  <c r="AJ7" i="63"/>
  <c r="AI7" i="63"/>
  <c r="AH7" i="63"/>
  <c r="AG7" i="63"/>
  <c r="AF7" i="63"/>
  <c r="AD7" i="63"/>
  <c r="Y7" i="63"/>
  <c r="W7" i="63"/>
  <c r="V7" i="63"/>
  <c r="U7" i="63"/>
  <c r="T7" i="63"/>
  <c r="AN6" i="63"/>
  <c r="AM6" i="63"/>
  <c r="AL6" i="63"/>
  <c r="AK6" i="63"/>
  <c r="AJ6" i="63"/>
  <c r="AI6" i="63"/>
  <c r="AH6" i="63"/>
  <c r="AG6" i="63"/>
  <c r="AF6" i="63"/>
  <c r="AD6" i="63"/>
  <c r="Y6" i="63"/>
  <c r="W6" i="63"/>
  <c r="V6" i="63"/>
  <c r="U6" i="63"/>
  <c r="T6" i="63"/>
  <c r="A6" i="63"/>
  <c r="AN5" i="63"/>
  <c r="AM5" i="63"/>
  <c r="AL5" i="63"/>
  <c r="AK5" i="63"/>
  <c r="AJ5" i="63"/>
  <c r="AI5" i="63"/>
  <c r="AH5" i="63"/>
  <c r="AG5" i="63"/>
  <c r="AF5" i="63"/>
  <c r="AD5" i="63"/>
  <c r="Y5" i="63"/>
  <c r="W5" i="63"/>
  <c r="V5" i="63"/>
  <c r="U5" i="63"/>
  <c r="T5" i="63"/>
  <c r="F1" i="63"/>
  <c r="AN24" i="62"/>
  <c r="AM24" i="62"/>
  <c r="AL24" i="62"/>
  <c r="AK24" i="62"/>
  <c r="AJ24" i="62"/>
  <c r="AI24" i="62"/>
  <c r="AH24" i="62"/>
  <c r="AG24" i="62"/>
  <c r="AF24" i="62"/>
  <c r="AE24" i="62"/>
  <c r="AD24" i="62"/>
  <c r="Y24" i="62"/>
  <c r="W24" i="62"/>
  <c r="V24" i="62"/>
  <c r="U24" i="62"/>
  <c r="T24" i="62"/>
  <c r="AN23" i="62"/>
  <c r="AM23" i="62"/>
  <c r="AL23" i="62"/>
  <c r="AK23" i="62"/>
  <c r="AJ23" i="62"/>
  <c r="AI23" i="62"/>
  <c r="AH23" i="62"/>
  <c r="AG23" i="62"/>
  <c r="AF23" i="62"/>
  <c r="AE23" i="62"/>
  <c r="AD23" i="62"/>
  <c r="Y23" i="62"/>
  <c r="W23" i="62"/>
  <c r="V23" i="62"/>
  <c r="U23" i="62"/>
  <c r="T23" i="62"/>
  <c r="AN22" i="62"/>
  <c r="AM22" i="62"/>
  <c r="AL22" i="62"/>
  <c r="AK22" i="62"/>
  <c r="AJ22" i="62"/>
  <c r="AI22" i="62"/>
  <c r="AH22" i="62"/>
  <c r="AG22" i="62"/>
  <c r="AF22" i="62"/>
  <c r="AE22" i="62"/>
  <c r="AD22" i="62"/>
  <c r="Y22" i="62"/>
  <c r="W22" i="62"/>
  <c r="V22" i="62"/>
  <c r="U22" i="62"/>
  <c r="T22" i="62"/>
  <c r="AN21" i="62"/>
  <c r="AM21" i="62"/>
  <c r="AL21" i="62"/>
  <c r="AK21" i="62"/>
  <c r="AJ21" i="62"/>
  <c r="AI21" i="62"/>
  <c r="AH21" i="62"/>
  <c r="AG21" i="62"/>
  <c r="AF21" i="62"/>
  <c r="AE21" i="62"/>
  <c r="AD21" i="62"/>
  <c r="Y21" i="62"/>
  <c r="W21" i="62"/>
  <c r="V21" i="62"/>
  <c r="U21" i="62"/>
  <c r="T21" i="62"/>
  <c r="AN20" i="62"/>
  <c r="AM20" i="62"/>
  <c r="AL20" i="62"/>
  <c r="AK20" i="62"/>
  <c r="AJ20" i="62"/>
  <c r="AI20" i="62"/>
  <c r="AH20" i="62"/>
  <c r="AG20" i="62"/>
  <c r="AF20" i="62"/>
  <c r="AE20" i="62"/>
  <c r="AD20" i="62"/>
  <c r="Y20" i="62"/>
  <c r="W20" i="62"/>
  <c r="V20" i="62"/>
  <c r="U20" i="62"/>
  <c r="T20" i="62"/>
  <c r="AN19" i="62"/>
  <c r="AM19" i="62"/>
  <c r="AL19" i="62"/>
  <c r="AK19" i="62"/>
  <c r="AJ19" i="62"/>
  <c r="AI19" i="62"/>
  <c r="AH19" i="62"/>
  <c r="AG19" i="62"/>
  <c r="AF19" i="62"/>
  <c r="AE19" i="62"/>
  <c r="AD19" i="62"/>
  <c r="Y19" i="62"/>
  <c r="W19" i="62"/>
  <c r="V19" i="62"/>
  <c r="U19" i="62"/>
  <c r="T19" i="62"/>
  <c r="AN18" i="62"/>
  <c r="AM18" i="62"/>
  <c r="AL18" i="62"/>
  <c r="AK18" i="62"/>
  <c r="AJ18" i="62"/>
  <c r="AI18" i="62"/>
  <c r="AH18" i="62"/>
  <c r="AG18" i="62"/>
  <c r="AF18" i="62"/>
  <c r="AE18" i="62"/>
  <c r="AD18" i="62"/>
  <c r="Y18" i="62"/>
  <c r="W18" i="62"/>
  <c r="V18" i="62"/>
  <c r="U18" i="62"/>
  <c r="T18" i="62"/>
  <c r="AN17" i="62"/>
  <c r="AM17" i="62"/>
  <c r="AL17" i="62"/>
  <c r="AK17" i="62"/>
  <c r="AJ17" i="62"/>
  <c r="AI17" i="62"/>
  <c r="AH17" i="62"/>
  <c r="AG17" i="62"/>
  <c r="AF17" i="62"/>
  <c r="AE17" i="62"/>
  <c r="AD17" i="62"/>
  <c r="Y17" i="62"/>
  <c r="W17" i="62"/>
  <c r="V17" i="62"/>
  <c r="U17" i="62"/>
  <c r="T17" i="62"/>
  <c r="AN16" i="62"/>
  <c r="AM16" i="62"/>
  <c r="AL16" i="62"/>
  <c r="AK16" i="62"/>
  <c r="AJ16" i="62"/>
  <c r="AI16" i="62"/>
  <c r="AH16" i="62"/>
  <c r="AG16" i="62"/>
  <c r="AF16" i="62"/>
  <c r="AE16" i="62"/>
  <c r="AD16" i="62"/>
  <c r="Y16" i="62"/>
  <c r="W16" i="62"/>
  <c r="V16" i="62"/>
  <c r="U16" i="62"/>
  <c r="T16" i="62"/>
  <c r="A16" i="62"/>
  <c r="AN15" i="62"/>
  <c r="AM15" i="62"/>
  <c r="AL15" i="62"/>
  <c r="AK15" i="62"/>
  <c r="AJ15" i="62"/>
  <c r="AI15" i="62"/>
  <c r="AH15" i="62"/>
  <c r="AG15" i="62"/>
  <c r="AF15" i="62"/>
  <c r="AE15" i="62"/>
  <c r="AD15" i="62"/>
  <c r="Y15" i="62"/>
  <c r="W15" i="62"/>
  <c r="V15" i="62"/>
  <c r="U15" i="62"/>
  <c r="T15" i="62"/>
  <c r="AN14" i="62"/>
  <c r="AM14" i="62"/>
  <c r="AL14" i="62"/>
  <c r="AK14" i="62"/>
  <c r="AJ14" i="62"/>
  <c r="AI14" i="62"/>
  <c r="AH14" i="62"/>
  <c r="AG14" i="62"/>
  <c r="AF14" i="62"/>
  <c r="AE14" i="62"/>
  <c r="AD14" i="62"/>
  <c r="Y14" i="62"/>
  <c r="X14" i="62"/>
  <c r="AA14" i="62" s="1"/>
  <c r="AC14" i="62" s="1"/>
  <c r="AP14" i="62" s="1"/>
  <c r="W14" i="62"/>
  <c r="V14" i="62"/>
  <c r="U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W13" i="62"/>
  <c r="V13" i="62"/>
  <c r="U13" i="62"/>
  <c r="T13" i="62"/>
  <c r="AN12" i="62"/>
  <c r="AM12" i="62"/>
  <c r="AL12" i="62"/>
  <c r="AK12" i="62"/>
  <c r="AJ12" i="62"/>
  <c r="AI12" i="62"/>
  <c r="AH12" i="62"/>
  <c r="AG12" i="62"/>
  <c r="AF12" i="62"/>
  <c r="AE12" i="62"/>
  <c r="AD12" i="62"/>
  <c r="Y12" i="62"/>
  <c r="W12" i="62"/>
  <c r="V12" i="62"/>
  <c r="U12" i="62"/>
  <c r="T12" i="62"/>
  <c r="A12" i="62"/>
  <c r="AN11" i="62"/>
  <c r="AM11" i="62"/>
  <c r="AL11" i="62"/>
  <c r="AK11" i="62"/>
  <c r="AJ11" i="62"/>
  <c r="AI11" i="62"/>
  <c r="AH11" i="62"/>
  <c r="AG11" i="62"/>
  <c r="AF11" i="62"/>
  <c r="AE11" i="62"/>
  <c r="AD11" i="62"/>
  <c r="Y11" i="62"/>
  <c r="W11" i="62"/>
  <c r="V11" i="62"/>
  <c r="U11" i="62"/>
  <c r="T11" i="62"/>
  <c r="AN10" i="62"/>
  <c r="AM10" i="62"/>
  <c r="AL10" i="62"/>
  <c r="AK10" i="62"/>
  <c r="AJ10" i="62"/>
  <c r="AI10" i="62"/>
  <c r="AH10" i="62"/>
  <c r="AG10" i="62"/>
  <c r="AF10" i="62"/>
  <c r="AE10" i="62"/>
  <c r="AD10" i="62"/>
  <c r="Y10" i="62"/>
  <c r="W10" i="62"/>
  <c r="V10" i="62"/>
  <c r="U10" i="62"/>
  <c r="T10" i="62"/>
  <c r="A10" i="62"/>
  <c r="AN9" i="62"/>
  <c r="AM9" i="62"/>
  <c r="AL9" i="62"/>
  <c r="AK9" i="62"/>
  <c r="AJ9" i="62"/>
  <c r="AI9" i="62"/>
  <c r="AH9" i="62"/>
  <c r="AG9" i="62"/>
  <c r="AF9" i="62"/>
  <c r="AE9" i="62"/>
  <c r="AD9" i="62"/>
  <c r="Y9" i="62"/>
  <c r="W9" i="62"/>
  <c r="V9" i="62"/>
  <c r="U9" i="62"/>
  <c r="T9" i="62"/>
  <c r="AN8" i="62"/>
  <c r="AM8" i="62"/>
  <c r="AL8" i="62"/>
  <c r="AK8" i="62"/>
  <c r="AJ8" i="62"/>
  <c r="AI8" i="62"/>
  <c r="AH8" i="62"/>
  <c r="AG8" i="62"/>
  <c r="AF8" i="62"/>
  <c r="AD8" i="62"/>
  <c r="Y8" i="62"/>
  <c r="W8" i="62"/>
  <c r="V8" i="62"/>
  <c r="U8" i="62"/>
  <c r="T8" i="62"/>
  <c r="A8" i="62"/>
  <c r="A20" i="62" s="1"/>
  <c r="AN7" i="62"/>
  <c r="AM7" i="62"/>
  <c r="AL7" i="62"/>
  <c r="AK7" i="62"/>
  <c r="AJ7" i="62"/>
  <c r="AI7" i="62"/>
  <c r="AH7" i="62"/>
  <c r="AG7" i="62"/>
  <c r="AF7" i="62"/>
  <c r="AD7" i="62"/>
  <c r="Y7" i="62"/>
  <c r="W7" i="62"/>
  <c r="V7" i="62"/>
  <c r="U7" i="62"/>
  <c r="T7" i="62"/>
  <c r="AN6" i="62"/>
  <c r="AM6" i="62"/>
  <c r="AL6" i="62"/>
  <c r="AK6" i="62"/>
  <c r="AJ6" i="62"/>
  <c r="AI6" i="62"/>
  <c r="AH6" i="62"/>
  <c r="AG6" i="62"/>
  <c r="AF6" i="62"/>
  <c r="AD6" i="62"/>
  <c r="Y6" i="62"/>
  <c r="X6" i="62"/>
  <c r="AA6" i="62" s="1"/>
  <c r="AC6" i="62" s="1"/>
  <c r="AP6" i="62" s="1"/>
  <c r="W6" i="62"/>
  <c r="V6" i="62"/>
  <c r="U6" i="62"/>
  <c r="T6" i="62"/>
  <c r="A6" i="62"/>
  <c r="A18" i="62" s="1"/>
  <c r="AN5" i="62"/>
  <c r="AM5" i="62"/>
  <c r="AL5" i="62"/>
  <c r="AK5" i="62"/>
  <c r="AJ5" i="62"/>
  <c r="AI5" i="62"/>
  <c r="AH5" i="62"/>
  <c r="AG5" i="62"/>
  <c r="AF5" i="62"/>
  <c r="AD5" i="62"/>
  <c r="Y5" i="62"/>
  <c r="X5" i="62"/>
  <c r="W5" i="62"/>
  <c r="V5" i="62"/>
  <c r="U5" i="62"/>
  <c r="T5" i="62"/>
  <c r="F1" i="62"/>
  <c r="AN24" i="61"/>
  <c r="AM24" i="61"/>
  <c r="AL24" i="61"/>
  <c r="AK24" i="61"/>
  <c r="AJ24" i="61"/>
  <c r="AI24" i="61"/>
  <c r="AH24" i="61"/>
  <c r="AG24" i="61"/>
  <c r="AF24" i="61"/>
  <c r="AE24" i="61"/>
  <c r="AD24" i="61"/>
  <c r="Y24" i="61"/>
  <c r="W24" i="61"/>
  <c r="V24" i="61"/>
  <c r="U24" i="61"/>
  <c r="T24" i="61"/>
  <c r="AN23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U23" i="61"/>
  <c r="T23" i="61"/>
  <c r="AN22" i="61"/>
  <c r="AM22" i="61"/>
  <c r="AL22" i="61"/>
  <c r="AK22" i="61"/>
  <c r="AJ22" i="61"/>
  <c r="AI22" i="61"/>
  <c r="AH22" i="61"/>
  <c r="AG22" i="61"/>
  <c r="AF22" i="61"/>
  <c r="AE22" i="61"/>
  <c r="AD22" i="61"/>
  <c r="Y22" i="61"/>
  <c r="W22" i="61"/>
  <c r="V22" i="61"/>
  <c r="U22" i="61"/>
  <c r="T22" i="61"/>
  <c r="AN21" i="61"/>
  <c r="AM21" i="61"/>
  <c r="AL21" i="61"/>
  <c r="AK21" i="61"/>
  <c r="AJ21" i="61"/>
  <c r="AI21" i="61"/>
  <c r="AH21" i="61"/>
  <c r="AG21" i="61"/>
  <c r="AF21" i="61"/>
  <c r="AE21" i="61"/>
  <c r="AD21" i="61"/>
  <c r="Y21" i="61"/>
  <c r="W21" i="61"/>
  <c r="V21" i="61"/>
  <c r="U21" i="61"/>
  <c r="T21" i="61"/>
  <c r="AN20" i="61"/>
  <c r="AM20" i="61"/>
  <c r="AL20" i="61"/>
  <c r="AK20" i="61"/>
  <c r="AJ20" i="61"/>
  <c r="AI20" i="61"/>
  <c r="AH20" i="61"/>
  <c r="AG20" i="61"/>
  <c r="AF20" i="61"/>
  <c r="AE20" i="61"/>
  <c r="AD20" i="61"/>
  <c r="Y20" i="61"/>
  <c r="W20" i="61"/>
  <c r="V20" i="61"/>
  <c r="U20" i="61"/>
  <c r="T20" i="61"/>
  <c r="AN19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U19" i="61"/>
  <c r="T19" i="61"/>
  <c r="AN18" i="61"/>
  <c r="AM18" i="61"/>
  <c r="AL18" i="61"/>
  <c r="AK18" i="61"/>
  <c r="AJ18" i="61"/>
  <c r="AI18" i="61"/>
  <c r="AH18" i="61"/>
  <c r="AG18" i="61"/>
  <c r="AF18" i="61"/>
  <c r="AE18" i="61"/>
  <c r="AD18" i="61"/>
  <c r="Y18" i="61"/>
  <c r="W18" i="61"/>
  <c r="V18" i="61"/>
  <c r="U18" i="61"/>
  <c r="T18" i="61"/>
  <c r="AN17" i="61"/>
  <c r="AM17" i="61"/>
  <c r="AL17" i="61"/>
  <c r="AK17" i="61"/>
  <c r="AJ17" i="61"/>
  <c r="AI17" i="61"/>
  <c r="AH17" i="61"/>
  <c r="AG17" i="61"/>
  <c r="AF17" i="61"/>
  <c r="AE17" i="61"/>
  <c r="AD17" i="61"/>
  <c r="Y17" i="61"/>
  <c r="W17" i="61"/>
  <c r="V17" i="61"/>
  <c r="U17" i="61"/>
  <c r="T17" i="61"/>
  <c r="AN16" i="61"/>
  <c r="AM16" i="61"/>
  <c r="AL16" i="61"/>
  <c r="AK16" i="61"/>
  <c r="AJ16" i="61"/>
  <c r="AI16" i="61"/>
  <c r="AH16" i="61"/>
  <c r="AG16" i="61"/>
  <c r="AF16" i="61"/>
  <c r="AE16" i="61"/>
  <c r="AD16" i="61"/>
  <c r="Y16" i="61"/>
  <c r="W16" i="61"/>
  <c r="V16" i="61"/>
  <c r="U16" i="61"/>
  <c r="T16" i="61"/>
  <c r="A16" i="61"/>
  <c r="AN15" i="61"/>
  <c r="AM15" i="61"/>
  <c r="AL15" i="61"/>
  <c r="AK15" i="61"/>
  <c r="AJ15" i="61"/>
  <c r="AI15" i="61"/>
  <c r="AH15" i="61"/>
  <c r="AG15" i="61"/>
  <c r="AF15" i="61"/>
  <c r="AE15" i="61"/>
  <c r="AD15" i="61"/>
  <c r="Y15" i="61"/>
  <c r="W15" i="61"/>
  <c r="V15" i="61"/>
  <c r="U15" i="61"/>
  <c r="T15" i="61"/>
  <c r="AN14" i="61"/>
  <c r="AM14" i="61"/>
  <c r="AL14" i="61"/>
  <c r="AK14" i="61"/>
  <c r="AJ14" i="61"/>
  <c r="AI14" i="61"/>
  <c r="AH14" i="61"/>
  <c r="AG14" i="61"/>
  <c r="AF14" i="61"/>
  <c r="AE14" i="61"/>
  <c r="AD14" i="61"/>
  <c r="Y14" i="61"/>
  <c r="W14" i="61"/>
  <c r="V14" i="61"/>
  <c r="U14" i="61"/>
  <c r="T14" i="61"/>
  <c r="A14" i="61"/>
  <c r="AN13" i="61"/>
  <c r="AM13" i="61"/>
  <c r="AL13" i="61"/>
  <c r="AK13" i="61"/>
  <c r="AJ13" i="61"/>
  <c r="AI13" i="61"/>
  <c r="AH13" i="61"/>
  <c r="AG13" i="61"/>
  <c r="AF13" i="61"/>
  <c r="AE13" i="61"/>
  <c r="AD13" i="61"/>
  <c r="Y13" i="61"/>
  <c r="W13" i="61"/>
  <c r="V13" i="61"/>
  <c r="U13" i="61"/>
  <c r="T13" i="61"/>
  <c r="AN12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U12" i="61"/>
  <c r="T12" i="61"/>
  <c r="A12" i="61"/>
  <c r="AN11" i="61"/>
  <c r="AM11" i="61"/>
  <c r="AL11" i="61"/>
  <c r="AK11" i="61"/>
  <c r="AJ11" i="61"/>
  <c r="AI11" i="61"/>
  <c r="AH11" i="61"/>
  <c r="AG11" i="61"/>
  <c r="AF11" i="61"/>
  <c r="AE11" i="61"/>
  <c r="AD11" i="61"/>
  <c r="Y11" i="61"/>
  <c r="W11" i="61"/>
  <c r="V11" i="61"/>
  <c r="U11" i="61"/>
  <c r="T11" i="61"/>
  <c r="AN10" i="61"/>
  <c r="AM10" i="61"/>
  <c r="AL10" i="61"/>
  <c r="AK10" i="61"/>
  <c r="AJ10" i="61"/>
  <c r="AI10" i="61"/>
  <c r="AH10" i="61"/>
  <c r="AG10" i="61"/>
  <c r="AF10" i="61"/>
  <c r="AE10" i="61"/>
  <c r="AD10" i="61"/>
  <c r="Y10" i="61"/>
  <c r="W10" i="61"/>
  <c r="V10" i="61"/>
  <c r="U10" i="61"/>
  <c r="T10" i="61"/>
  <c r="A10" i="61"/>
  <c r="AN9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N8" i="61"/>
  <c r="AM8" i="61"/>
  <c r="AL8" i="61"/>
  <c r="AK8" i="61"/>
  <c r="AJ8" i="61"/>
  <c r="AI8" i="61"/>
  <c r="AH8" i="61"/>
  <c r="AG8" i="61"/>
  <c r="AF8" i="61"/>
  <c r="AD8" i="61"/>
  <c r="Y8" i="61"/>
  <c r="W8" i="61"/>
  <c r="V8" i="61"/>
  <c r="U8" i="61"/>
  <c r="T8" i="61"/>
  <c r="AN7" i="61"/>
  <c r="AM7" i="61"/>
  <c r="AL7" i="61"/>
  <c r="AK7" i="61"/>
  <c r="AJ7" i="61"/>
  <c r="AI7" i="61"/>
  <c r="AH7" i="61"/>
  <c r="AG7" i="61"/>
  <c r="AF7" i="61"/>
  <c r="AD7" i="61"/>
  <c r="Y7" i="61"/>
  <c r="W7" i="61"/>
  <c r="V7" i="61"/>
  <c r="U7" i="61"/>
  <c r="T7" i="61"/>
  <c r="AN6" i="61"/>
  <c r="AM6" i="61"/>
  <c r="AL6" i="61"/>
  <c r="AK6" i="61"/>
  <c r="AJ6" i="61"/>
  <c r="AI6" i="61"/>
  <c r="AH6" i="61"/>
  <c r="AG6" i="61"/>
  <c r="AF6" i="61"/>
  <c r="AD6" i="61"/>
  <c r="Y6" i="61"/>
  <c r="W6" i="61"/>
  <c r="V6" i="61"/>
  <c r="U6" i="61"/>
  <c r="T6" i="61"/>
  <c r="A6" i="61"/>
  <c r="AN5" i="61"/>
  <c r="AM5" i="61"/>
  <c r="AL5" i="61"/>
  <c r="AK5" i="61"/>
  <c r="AJ5" i="61"/>
  <c r="AI5" i="61"/>
  <c r="AH5" i="61"/>
  <c r="AG5" i="61"/>
  <c r="AF5" i="61"/>
  <c r="AD5" i="61"/>
  <c r="Y5" i="61"/>
  <c r="W5" i="61"/>
  <c r="V5" i="61"/>
  <c r="U5" i="61"/>
  <c r="T5" i="61"/>
  <c r="F1" i="61"/>
  <c r="AN24" i="60"/>
  <c r="AM24" i="60"/>
  <c r="AL24" i="60"/>
  <c r="AK24" i="60"/>
  <c r="AJ24" i="60"/>
  <c r="AI24" i="60"/>
  <c r="AH24" i="60"/>
  <c r="AG24" i="60"/>
  <c r="AF24" i="60"/>
  <c r="AE24" i="60"/>
  <c r="AD24" i="60"/>
  <c r="Y24" i="60"/>
  <c r="W24" i="60"/>
  <c r="V24" i="60"/>
  <c r="U24" i="60"/>
  <c r="T24" i="60"/>
  <c r="AN23" i="60"/>
  <c r="AM23" i="60"/>
  <c r="AL23" i="60"/>
  <c r="AK23" i="60"/>
  <c r="AJ23" i="60"/>
  <c r="AI23" i="60"/>
  <c r="AH23" i="60"/>
  <c r="AG23" i="60"/>
  <c r="AF23" i="60"/>
  <c r="AE23" i="60"/>
  <c r="AD23" i="60"/>
  <c r="Y23" i="60"/>
  <c r="W23" i="60"/>
  <c r="V23" i="60"/>
  <c r="U23" i="60"/>
  <c r="T23" i="60"/>
  <c r="AN22" i="60"/>
  <c r="AM22" i="60"/>
  <c r="AL22" i="60"/>
  <c r="AK22" i="60"/>
  <c r="AJ22" i="60"/>
  <c r="AI22" i="60"/>
  <c r="AH22" i="60"/>
  <c r="AG22" i="60"/>
  <c r="AF22" i="60"/>
  <c r="AE22" i="60"/>
  <c r="AD22" i="60"/>
  <c r="Y22" i="60"/>
  <c r="W22" i="60"/>
  <c r="V22" i="60"/>
  <c r="U22" i="60"/>
  <c r="T22" i="60"/>
  <c r="AN21" i="60"/>
  <c r="AM21" i="60"/>
  <c r="AL21" i="60"/>
  <c r="AK21" i="60"/>
  <c r="AJ21" i="60"/>
  <c r="AI21" i="60"/>
  <c r="AH21" i="60"/>
  <c r="AG21" i="60"/>
  <c r="AF21" i="60"/>
  <c r="AE21" i="60"/>
  <c r="AD21" i="60"/>
  <c r="Y21" i="60"/>
  <c r="W21" i="60"/>
  <c r="V21" i="60"/>
  <c r="U21" i="60"/>
  <c r="T21" i="60"/>
  <c r="AN20" i="60"/>
  <c r="AM20" i="60"/>
  <c r="AL20" i="60"/>
  <c r="AK20" i="60"/>
  <c r="AJ20" i="60"/>
  <c r="AI20" i="60"/>
  <c r="AH20" i="60"/>
  <c r="AG20" i="60"/>
  <c r="AF20" i="60"/>
  <c r="AE20" i="60"/>
  <c r="AD20" i="60"/>
  <c r="Y20" i="60"/>
  <c r="W20" i="60"/>
  <c r="V20" i="60"/>
  <c r="U20" i="60"/>
  <c r="T20" i="60"/>
  <c r="AN19" i="60"/>
  <c r="AM19" i="60"/>
  <c r="AL19" i="60"/>
  <c r="AK19" i="60"/>
  <c r="AJ19" i="60"/>
  <c r="AI19" i="60"/>
  <c r="AH19" i="60"/>
  <c r="AG19" i="60"/>
  <c r="AF19" i="60"/>
  <c r="AE19" i="60"/>
  <c r="AD19" i="60"/>
  <c r="Y19" i="60"/>
  <c r="W19" i="60"/>
  <c r="V19" i="60"/>
  <c r="U19" i="60"/>
  <c r="T19" i="60"/>
  <c r="AN18" i="60"/>
  <c r="AM18" i="60"/>
  <c r="AL18" i="60"/>
  <c r="AK18" i="60"/>
  <c r="AJ18" i="60"/>
  <c r="AI18" i="60"/>
  <c r="AH18" i="60"/>
  <c r="AG18" i="60"/>
  <c r="AF18" i="60"/>
  <c r="AE18" i="60"/>
  <c r="AD18" i="60"/>
  <c r="Y18" i="60"/>
  <c r="W18" i="60"/>
  <c r="V18" i="60"/>
  <c r="U18" i="60"/>
  <c r="T18" i="60"/>
  <c r="AN17" i="60"/>
  <c r="AM17" i="60"/>
  <c r="AL17" i="60"/>
  <c r="AK17" i="60"/>
  <c r="AJ17" i="60"/>
  <c r="AI17" i="60"/>
  <c r="AH17" i="60"/>
  <c r="AG17" i="60"/>
  <c r="AF17" i="60"/>
  <c r="AE17" i="60"/>
  <c r="AD17" i="60"/>
  <c r="Y17" i="60"/>
  <c r="W17" i="60"/>
  <c r="V17" i="60"/>
  <c r="U17" i="60"/>
  <c r="T17" i="60"/>
  <c r="AN16" i="60"/>
  <c r="AM16" i="60"/>
  <c r="AL16" i="60"/>
  <c r="AK16" i="60"/>
  <c r="AJ16" i="60"/>
  <c r="AI16" i="60"/>
  <c r="AH16" i="60"/>
  <c r="AG16" i="60"/>
  <c r="AF16" i="60"/>
  <c r="AE16" i="60"/>
  <c r="AD16" i="60"/>
  <c r="Y16" i="60"/>
  <c r="W16" i="60"/>
  <c r="V16" i="60"/>
  <c r="U16" i="60"/>
  <c r="T16" i="60"/>
  <c r="A16" i="60"/>
  <c r="AN15" i="60"/>
  <c r="AM15" i="60"/>
  <c r="AL15" i="60"/>
  <c r="AK15" i="60"/>
  <c r="AJ15" i="60"/>
  <c r="AI15" i="60"/>
  <c r="AH15" i="60"/>
  <c r="AG15" i="60"/>
  <c r="AF15" i="60"/>
  <c r="AE15" i="60"/>
  <c r="AD15" i="60"/>
  <c r="Y15" i="60"/>
  <c r="W15" i="60"/>
  <c r="V15" i="60"/>
  <c r="U15" i="60"/>
  <c r="T15" i="60"/>
  <c r="AN14" i="60"/>
  <c r="AM14" i="60"/>
  <c r="AL14" i="60"/>
  <c r="AK14" i="60"/>
  <c r="AJ14" i="60"/>
  <c r="AI14" i="60"/>
  <c r="AH14" i="60"/>
  <c r="AG14" i="60"/>
  <c r="AF14" i="60"/>
  <c r="AE14" i="60"/>
  <c r="AD14" i="60"/>
  <c r="Y14" i="60"/>
  <c r="W14" i="60"/>
  <c r="V14" i="60"/>
  <c r="U14" i="60"/>
  <c r="T14" i="60"/>
  <c r="A14" i="60"/>
  <c r="AN13" i="60"/>
  <c r="AM13" i="60"/>
  <c r="AL13" i="60"/>
  <c r="AK13" i="60"/>
  <c r="AJ13" i="60"/>
  <c r="AI13" i="60"/>
  <c r="AH13" i="60"/>
  <c r="AG13" i="60"/>
  <c r="AF13" i="60"/>
  <c r="AE13" i="60"/>
  <c r="AD13" i="60"/>
  <c r="Y13" i="60"/>
  <c r="W13" i="60"/>
  <c r="V13" i="60"/>
  <c r="U13" i="60"/>
  <c r="T13" i="60"/>
  <c r="AN12" i="60"/>
  <c r="AM12" i="60"/>
  <c r="AL12" i="60"/>
  <c r="AK12" i="60"/>
  <c r="AJ12" i="60"/>
  <c r="AI12" i="60"/>
  <c r="AH12" i="60"/>
  <c r="AG12" i="60"/>
  <c r="AF12" i="60"/>
  <c r="AE12" i="60"/>
  <c r="AD12" i="60"/>
  <c r="Y12" i="60"/>
  <c r="W12" i="60"/>
  <c r="V12" i="60"/>
  <c r="U12" i="60"/>
  <c r="T12" i="60"/>
  <c r="A12" i="60"/>
  <c r="AN11" i="60"/>
  <c r="AM11" i="60"/>
  <c r="AL11" i="60"/>
  <c r="AK11" i="60"/>
  <c r="AJ11" i="60"/>
  <c r="AI11" i="60"/>
  <c r="AH11" i="60"/>
  <c r="AG11" i="60"/>
  <c r="AF11" i="60"/>
  <c r="AE11" i="60"/>
  <c r="AD11" i="60"/>
  <c r="Y11" i="60"/>
  <c r="W11" i="60"/>
  <c r="V11" i="60"/>
  <c r="U11" i="60"/>
  <c r="T11" i="60"/>
  <c r="AN10" i="60"/>
  <c r="AM10" i="60"/>
  <c r="AL10" i="60"/>
  <c r="AK10" i="60"/>
  <c r="AJ10" i="60"/>
  <c r="AI10" i="60"/>
  <c r="AH10" i="60"/>
  <c r="AG10" i="60"/>
  <c r="AF10" i="60"/>
  <c r="AE10" i="60"/>
  <c r="AD10" i="60"/>
  <c r="Y10" i="60"/>
  <c r="W10" i="60"/>
  <c r="V10" i="60"/>
  <c r="U10" i="60"/>
  <c r="T10" i="60"/>
  <c r="A10" i="60"/>
  <c r="AN9" i="60"/>
  <c r="AM9" i="60"/>
  <c r="AL9" i="60"/>
  <c r="AK9" i="60"/>
  <c r="AJ9" i="60"/>
  <c r="AI9" i="60"/>
  <c r="AH9" i="60"/>
  <c r="AG9" i="60"/>
  <c r="AF9" i="60"/>
  <c r="AE9" i="60"/>
  <c r="AD9" i="60"/>
  <c r="Y9" i="60"/>
  <c r="W9" i="60"/>
  <c r="V9" i="60"/>
  <c r="U9" i="60"/>
  <c r="T9" i="60"/>
  <c r="AN8" i="60"/>
  <c r="AM8" i="60"/>
  <c r="AL8" i="60"/>
  <c r="AK8" i="60"/>
  <c r="AJ8" i="60"/>
  <c r="AI8" i="60"/>
  <c r="AH8" i="60"/>
  <c r="AG8" i="60"/>
  <c r="AF8" i="60"/>
  <c r="AD8" i="60"/>
  <c r="Y8" i="60"/>
  <c r="W8" i="60"/>
  <c r="V8" i="60"/>
  <c r="U8" i="60"/>
  <c r="T8" i="60"/>
  <c r="AN7" i="60"/>
  <c r="AM7" i="60"/>
  <c r="AL7" i="60"/>
  <c r="AK7" i="60"/>
  <c r="AJ7" i="60"/>
  <c r="AI7" i="60"/>
  <c r="AH7" i="60"/>
  <c r="AG7" i="60"/>
  <c r="AF7" i="60"/>
  <c r="AD7" i="60"/>
  <c r="Y7" i="60"/>
  <c r="W7" i="60"/>
  <c r="V7" i="60"/>
  <c r="U7" i="60"/>
  <c r="T7" i="60"/>
  <c r="AN6" i="60"/>
  <c r="AM6" i="60"/>
  <c r="AL6" i="60"/>
  <c r="AK6" i="60"/>
  <c r="AJ6" i="60"/>
  <c r="AI6" i="60"/>
  <c r="AH6" i="60"/>
  <c r="AG6" i="60"/>
  <c r="AF6" i="60"/>
  <c r="AD6" i="60"/>
  <c r="Y6" i="60"/>
  <c r="W6" i="60"/>
  <c r="V6" i="60"/>
  <c r="U6" i="60"/>
  <c r="T6" i="60"/>
  <c r="A6" i="60"/>
  <c r="AN5" i="60"/>
  <c r="AM5" i="60"/>
  <c r="AL5" i="60"/>
  <c r="AK5" i="60"/>
  <c r="AJ5" i="60"/>
  <c r="AI5" i="60"/>
  <c r="AH5" i="60"/>
  <c r="AG5" i="60"/>
  <c r="AF5" i="60"/>
  <c r="AD5" i="60"/>
  <c r="Y5" i="60"/>
  <c r="W5" i="60"/>
  <c r="V5" i="60"/>
  <c r="U5" i="60"/>
  <c r="T5" i="60"/>
  <c r="F1" i="60"/>
  <c r="AN24" i="59"/>
  <c r="AM24" i="59"/>
  <c r="AL24" i="59"/>
  <c r="AK24" i="59"/>
  <c r="AJ24" i="59"/>
  <c r="AI24" i="59"/>
  <c r="AH24" i="59"/>
  <c r="AG24" i="59"/>
  <c r="AF24" i="59"/>
  <c r="AE24" i="59"/>
  <c r="AD24" i="59"/>
  <c r="Y24" i="59"/>
  <c r="W24" i="59"/>
  <c r="V24" i="59"/>
  <c r="U24" i="59"/>
  <c r="T24" i="59"/>
  <c r="AN23" i="59"/>
  <c r="AM23" i="59"/>
  <c r="AL23" i="59"/>
  <c r="AK23" i="59"/>
  <c r="AJ23" i="59"/>
  <c r="AI23" i="59"/>
  <c r="AH23" i="59"/>
  <c r="AG23" i="59"/>
  <c r="AF23" i="59"/>
  <c r="AE23" i="59"/>
  <c r="AD23" i="59"/>
  <c r="Y23" i="59"/>
  <c r="W23" i="59"/>
  <c r="V23" i="59"/>
  <c r="U23" i="59"/>
  <c r="T23" i="59"/>
  <c r="AN22" i="59"/>
  <c r="AM22" i="59"/>
  <c r="AL22" i="59"/>
  <c r="AK22" i="59"/>
  <c r="AJ22" i="59"/>
  <c r="AI22" i="59"/>
  <c r="AH22" i="59"/>
  <c r="AG22" i="59"/>
  <c r="AF22" i="59"/>
  <c r="AE22" i="59"/>
  <c r="AD22" i="59"/>
  <c r="Y22" i="59"/>
  <c r="W22" i="59"/>
  <c r="V22" i="59"/>
  <c r="U22" i="59"/>
  <c r="T22" i="59"/>
  <c r="AN21" i="59"/>
  <c r="AM21" i="59"/>
  <c r="AL21" i="59"/>
  <c r="AK21" i="59"/>
  <c r="AJ21" i="59"/>
  <c r="AI21" i="59"/>
  <c r="AH21" i="59"/>
  <c r="AG21" i="59"/>
  <c r="AF21" i="59"/>
  <c r="AE21" i="59"/>
  <c r="AD21" i="59"/>
  <c r="Y21" i="59"/>
  <c r="W21" i="59"/>
  <c r="V21" i="59"/>
  <c r="U21" i="59"/>
  <c r="T21" i="59"/>
  <c r="AN20" i="59"/>
  <c r="AM20" i="59"/>
  <c r="AL20" i="59"/>
  <c r="AK20" i="59"/>
  <c r="AJ20" i="59"/>
  <c r="AI20" i="59"/>
  <c r="AH20" i="59"/>
  <c r="AG20" i="59"/>
  <c r="AF20" i="59"/>
  <c r="AE20" i="59"/>
  <c r="AD20" i="59"/>
  <c r="Y20" i="59"/>
  <c r="W20" i="59"/>
  <c r="V20" i="59"/>
  <c r="U20" i="59"/>
  <c r="T20" i="59"/>
  <c r="AN19" i="59"/>
  <c r="AM19" i="59"/>
  <c r="AL19" i="59"/>
  <c r="AK19" i="59"/>
  <c r="AJ19" i="59"/>
  <c r="AI19" i="59"/>
  <c r="AH19" i="59"/>
  <c r="AG19" i="59"/>
  <c r="AF19" i="59"/>
  <c r="AE19" i="59"/>
  <c r="AD19" i="59"/>
  <c r="Y19" i="59"/>
  <c r="W19" i="59"/>
  <c r="V19" i="59"/>
  <c r="U19" i="59"/>
  <c r="T19" i="59"/>
  <c r="AN18" i="59"/>
  <c r="AM18" i="59"/>
  <c r="AL18" i="59"/>
  <c r="AK18" i="59"/>
  <c r="AJ18" i="59"/>
  <c r="AI18" i="59"/>
  <c r="AH18" i="59"/>
  <c r="AG18" i="59"/>
  <c r="AF18" i="59"/>
  <c r="AE18" i="59"/>
  <c r="AD18" i="59"/>
  <c r="Y18" i="59"/>
  <c r="W18" i="59"/>
  <c r="V18" i="59"/>
  <c r="U18" i="59"/>
  <c r="T18" i="59"/>
  <c r="AN17" i="59"/>
  <c r="AM17" i="59"/>
  <c r="AL17" i="59"/>
  <c r="AK17" i="59"/>
  <c r="AJ17" i="59"/>
  <c r="AI17" i="59"/>
  <c r="AH17" i="59"/>
  <c r="AG17" i="59"/>
  <c r="AF17" i="59"/>
  <c r="AE17" i="59"/>
  <c r="AD17" i="59"/>
  <c r="Y17" i="59"/>
  <c r="W17" i="59"/>
  <c r="V17" i="59"/>
  <c r="U17" i="59"/>
  <c r="T17" i="59"/>
  <c r="AN16" i="59"/>
  <c r="AM16" i="59"/>
  <c r="AL16" i="59"/>
  <c r="AK16" i="59"/>
  <c r="AJ16" i="59"/>
  <c r="AI16" i="59"/>
  <c r="AH16" i="59"/>
  <c r="AG16" i="59"/>
  <c r="AF16" i="59"/>
  <c r="AE16" i="59"/>
  <c r="AD16" i="59"/>
  <c r="Y16" i="59"/>
  <c r="W16" i="59"/>
  <c r="V16" i="59"/>
  <c r="U16" i="59"/>
  <c r="T16" i="59"/>
  <c r="A16" i="59"/>
  <c r="AN15" i="59"/>
  <c r="AM15" i="59"/>
  <c r="AL15" i="59"/>
  <c r="AK15" i="59"/>
  <c r="AJ15" i="59"/>
  <c r="AI15" i="59"/>
  <c r="AH15" i="59"/>
  <c r="AG15" i="59"/>
  <c r="AF15" i="59"/>
  <c r="AE15" i="59"/>
  <c r="AD15" i="59"/>
  <c r="Y15" i="59"/>
  <c r="W15" i="59"/>
  <c r="V15" i="59"/>
  <c r="U15" i="59"/>
  <c r="T15" i="59"/>
  <c r="AN14" i="59"/>
  <c r="AM14" i="59"/>
  <c r="AL14" i="59"/>
  <c r="AK14" i="59"/>
  <c r="AJ14" i="59"/>
  <c r="AI14" i="59"/>
  <c r="AH14" i="59"/>
  <c r="AG14" i="59"/>
  <c r="AF14" i="59"/>
  <c r="AE14" i="59"/>
  <c r="AD14" i="59"/>
  <c r="Y14" i="59"/>
  <c r="W14" i="59"/>
  <c r="V14" i="59"/>
  <c r="U14" i="59"/>
  <c r="T14" i="59"/>
  <c r="A14" i="59"/>
  <c r="AN13" i="59"/>
  <c r="AM13" i="59"/>
  <c r="AL13" i="59"/>
  <c r="AK13" i="59"/>
  <c r="AJ13" i="59"/>
  <c r="AI13" i="59"/>
  <c r="AH13" i="59"/>
  <c r="AG13" i="59"/>
  <c r="AF13" i="59"/>
  <c r="AE13" i="59"/>
  <c r="AD13" i="59"/>
  <c r="Y13" i="59"/>
  <c r="W13" i="59"/>
  <c r="V13" i="59"/>
  <c r="U13" i="59"/>
  <c r="T13" i="59"/>
  <c r="AN12" i="59"/>
  <c r="AM12" i="59"/>
  <c r="AL12" i="59"/>
  <c r="AK12" i="59"/>
  <c r="AJ12" i="59"/>
  <c r="AI12" i="59"/>
  <c r="AH12" i="59"/>
  <c r="AG12" i="59"/>
  <c r="AF12" i="59"/>
  <c r="AE12" i="59"/>
  <c r="AD12" i="59"/>
  <c r="Y12" i="59"/>
  <c r="W12" i="59"/>
  <c r="V12" i="59"/>
  <c r="U12" i="59"/>
  <c r="T12" i="59"/>
  <c r="A12" i="59"/>
  <c r="AN11" i="59"/>
  <c r="AM11" i="59"/>
  <c r="AL11" i="59"/>
  <c r="AK11" i="59"/>
  <c r="AJ11" i="59"/>
  <c r="AI11" i="59"/>
  <c r="AH11" i="59"/>
  <c r="AG11" i="59"/>
  <c r="AF11" i="59"/>
  <c r="AE11" i="59"/>
  <c r="AD11" i="59"/>
  <c r="Y11" i="59"/>
  <c r="W11" i="59"/>
  <c r="V11" i="59"/>
  <c r="U11" i="59"/>
  <c r="T11" i="59"/>
  <c r="AN10" i="59"/>
  <c r="AM10" i="59"/>
  <c r="AL10" i="59"/>
  <c r="AK10" i="59"/>
  <c r="AJ10" i="59"/>
  <c r="AI10" i="59"/>
  <c r="AH10" i="59"/>
  <c r="AG10" i="59"/>
  <c r="AF10" i="59"/>
  <c r="AE10" i="59"/>
  <c r="AD10" i="59"/>
  <c r="Y10" i="59"/>
  <c r="W10" i="59"/>
  <c r="V10" i="59"/>
  <c r="U10" i="59"/>
  <c r="T10" i="59"/>
  <c r="A10" i="59"/>
  <c r="AN9" i="59"/>
  <c r="AM9" i="59"/>
  <c r="AL9" i="59"/>
  <c r="AK9" i="59"/>
  <c r="AJ9" i="59"/>
  <c r="AI9" i="59"/>
  <c r="AH9" i="59"/>
  <c r="AG9" i="59"/>
  <c r="AF9" i="59"/>
  <c r="AE9" i="59"/>
  <c r="AD9" i="59"/>
  <c r="Y9" i="59"/>
  <c r="W9" i="59"/>
  <c r="V9" i="59"/>
  <c r="U9" i="59"/>
  <c r="T9" i="59"/>
  <c r="AN8" i="59"/>
  <c r="AM8" i="59"/>
  <c r="AL8" i="59"/>
  <c r="AK8" i="59"/>
  <c r="AJ8" i="59"/>
  <c r="AI8" i="59"/>
  <c r="AH8" i="59"/>
  <c r="AG8" i="59"/>
  <c r="AF8" i="59"/>
  <c r="AD8" i="59"/>
  <c r="Y8" i="59"/>
  <c r="W8" i="59"/>
  <c r="V8" i="59"/>
  <c r="U8" i="59"/>
  <c r="T8" i="59"/>
  <c r="AN7" i="59"/>
  <c r="AM7" i="59"/>
  <c r="AL7" i="59"/>
  <c r="AK7" i="59"/>
  <c r="AJ7" i="59"/>
  <c r="AI7" i="59"/>
  <c r="AH7" i="59"/>
  <c r="AG7" i="59"/>
  <c r="AF7" i="59"/>
  <c r="AD7" i="59"/>
  <c r="Y7" i="59"/>
  <c r="W7" i="59"/>
  <c r="V7" i="59"/>
  <c r="U7" i="59"/>
  <c r="T7" i="59"/>
  <c r="AN6" i="59"/>
  <c r="AM6" i="59"/>
  <c r="AL6" i="59"/>
  <c r="AK6" i="59"/>
  <c r="AJ6" i="59"/>
  <c r="AI6" i="59"/>
  <c r="AH6" i="59"/>
  <c r="AG6" i="59"/>
  <c r="AF6" i="59"/>
  <c r="AD6" i="59"/>
  <c r="Y6" i="59"/>
  <c r="W6" i="59"/>
  <c r="V6" i="59"/>
  <c r="U6" i="59"/>
  <c r="T6" i="59"/>
  <c r="A6" i="59"/>
  <c r="AN5" i="59"/>
  <c r="AM5" i="59"/>
  <c r="AL5" i="59"/>
  <c r="AK5" i="59"/>
  <c r="AJ5" i="59"/>
  <c r="AI5" i="59"/>
  <c r="AH5" i="59"/>
  <c r="AG5" i="59"/>
  <c r="AF5" i="59"/>
  <c r="AD5" i="59"/>
  <c r="Y5" i="59"/>
  <c r="W5" i="59"/>
  <c r="V5" i="59"/>
  <c r="U5" i="59"/>
  <c r="T5" i="59"/>
  <c r="F1" i="59"/>
  <c r="AN24" i="58"/>
  <c r="AM24" i="58"/>
  <c r="AL24" i="58"/>
  <c r="AK24" i="58"/>
  <c r="AJ24" i="58"/>
  <c r="AI24" i="58"/>
  <c r="AH24" i="58"/>
  <c r="AG24" i="58"/>
  <c r="AF24" i="58"/>
  <c r="AE24" i="58"/>
  <c r="AD24" i="58"/>
  <c r="Y24" i="58"/>
  <c r="W24" i="58"/>
  <c r="V24" i="58"/>
  <c r="U24" i="58"/>
  <c r="T24" i="58"/>
  <c r="AN23" i="58"/>
  <c r="AM23" i="58"/>
  <c r="AL23" i="58"/>
  <c r="AK23" i="58"/>
  <c r="AJ23" i="58"/>
  <c r="AI23" i="58"/>
  <c r="AH23" i="58"/>
  <c r="AG23" i="58"/>
  <c r="AF23" i="58"/>
  <c r="AE23" i="58"/>
  <c r="AD23" i="58"/>
  <c r="Y23" i="58"/>
  <c r="W23" i="58"/>
  <c r="V23" i="58"/>
  <c r="U23" i="58"/>
  <c r="T23" i="58"/>
  <c r="AN22" i="58"/>
  <c r="AM22" i="58"/>
  <c r="AL22" i="58"/>
  <c r="AK22" i="58"/>
  <c r="AJ22" i="58"/>
  <c r="AI22" i="58"/>
  <c r="AH22" i="58"/>
  <c r="AG22" i="58"/>
  <c r="AF22" i="58"/>
  <c r="AE22" i="58"/>
  <c r="AD22" i="58"/>
  <c r="Y22" i="58"/>
  <c r="W22" i="58"/>
  <c r="V22" i="58"/>
  <c r="U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W21" i="58"/>
  <c r="V21" i="58"/>
  <c r="U21" i="58"/>
  <c r="T21" i="58"/>
  <c r="AN20" i="58"/>
  <c r="AM20" i="58"/>
  <c r="AL20" i="58"/>
  <c r="AK20" i="58"/>
  <c r="AJ20" i="58"/>
  <c r="AI20" i="58"/>
  <c r="AH20" i="58"/>
  <c r="AG20" i="58"/>
  <c r="AF20" i="58"/>
  <c r="AE20" i="58"/>
  <c r="AD20" i="58"/>
  <c r="Y20" i="58"/>
  <c r="W20" i="58"/>
  <c r="V20" i="58"/>
  <c r="U20" i="58"/>
  <c r="T20" i="58"/>
  <c r="AN19" i="58"/>
  <c r="AM19" i="58"/>
  <c r="AL19" i="58"/>
  <c r="AK19" i="58"/>
  <c r="AJ19" i="58"/>
  <c r="AI19" i="58"/>
  <c r="AH19" i="58"/>
  <c r="AG19" i="58"/>
  <c r="AF19" i="58"/>
  <c r="AE19" i="58"/>
  <c r="AD19" i="58"/>
  <c r="Y19" i="58"/>
  <c r="W19" i="58"/>
  <c r="V19" i="58"/>
  <c r="U19" i="58"/>
  <c r="T19" i="58"/>
  <c r="AN18" i="58"/>
  <c r="AM18" i="58"/>
  <c r="AL18" i="58"/>
  <c r="AK18" i="58"/>
  <c r="AJ18" i="58"/>
  <c r="AI18" i="58"/>
  <c r="AH18" i="58"/>
  <c r="AG18" i="58"/>
  <c r="AF18" i="58"/>
  <c r="AE18" i="58"/>
  <c r="AD18" i="58"/>
  <c r="Y18" i="58"/>
  <c r="W18" i="58"/>
  <c r="V18" i="58"/>
  <c r="U18" i="58"/>
  <c r="T18" i="58"/>
  <c r="AN17" i="58"/>
  <c r="AM17" i="58"/>
  <c r="AL17" i="58"/>
  <c r="AK17" i="58"/>
  <c r="AJ17" i="58"/>
  <c r="AI17" i="58"/>
  <c r="AH17" i="58"/>
  <c r="AG17" i="58"/>
  <c r="AF17" i="58"/>
  <c r="AE17" i="58"/>
  <c r="AD17" i="58"/>
  <c r="Y17" i="58"/>
  <c r="W17" i="58"/>
  <c r="V17" i="58"/>
  <c r="U17" i="58"/>
  <c r="T17" i="58"/>
  <c r="AN16" i="58"/>
  <c r="AM16" i="58"/>
  <c r="AL16" i="58"/>
  <c r="AK16" i="58"/>
  <c r="AJ16" i="58"/>
  <c r="AI16" i="58"/>
  <c r="AH16" i="58"/>
  <c r="AG16" i="58"/>
  <c r="AF16" i="58"/>
  <c r="AE16" i="58"/>
  <c r="AD16" i="58"/>
  <c r="Y16" i="58"/>
  <c r="W16" i="58"/>
  <c r="V16" i="58"/>
  <c r="U16" i="58"/>
  <c r="T16" i="58"/>
  <c r="A16" i="58"/>
  <c r="AN15" i="58"/>
  <c r="AM15" i="58"/>
  <c r="AL15" i="58"/>
  <c r="AK15" i="58"/>
  <c r="AJ15" i="58"/>
  <c r="AI15" i="58"/>
  <c r="AH15" i="58"/>
  <c r="AG15" i="58"/>
  <c r="AF15" i="58"/>
  <c r="AE15" i="58"/>
  <c r="AD15" i="58"/>
  <c r="Y15" i="58"/>
  <c r="W15" i="58"/>
  <c r="V15" i="58"/>
  <c r="U15" i="58"/>
  <c r="T15" i="58"/>
  <c r="AN14" i="58"/>
  <c r="AM14" i="58"/>
  <c r="AL14" i="58"/>
  <c r="AK14" i="58"/>
  <c r="AJ14" i="58"/>
  <c r="AI14" i="58"/>
  <c r="AH14" i="58"/>
  <c r="AG14" i="58"/>
  <c r="AF14" i="58"/>
  <c r="AE14" i="58"/>
  <c r="AD14" i="58"/>
  <c r="Y14" i="58"/>
  <c r="W14" i="58"/>
  <c r="V14" i="58"/>
  <c r="U14" i="58"/>
  <c r="T14" i="58"/>
  <c r="A14" i="58"/>
  <c r="AN13" i="58"/>
  <c r="AM13" i="58"/>
  <c r="AL13" i="58"/>
  <c r="AK13" i="58"/>
  <c r="AJ13" i="58"/>
  <c r="AI13" i="58"/>
  <c r="AH13" i="58"/>
  <c r="AG13" i="58"/>
  <c r="AF13" i="58"/>
  <c r="AE13" i="58"/>
  <c r="AD13" i="58"/>
  <c r="Y13" i="58"/>
  <c r="W13" i="58"/>
  <c r="V13" i="58"/>
  <c r="U13" i="58"/>
  <c r="T13" i="58"/>
  <c r="AN12" i="58"/>
  <c r="AM12" i="58"/>
  <c r="AL12" i="58"/>
  <c r="AK12" i="58"/>
  <c r="AJ12" i="58"/>
  <c r="AI12" i="58"/>
  <c r="AH12" i="58"/>
  <c r="AG12" i="58"/>
  <c r="AF12" i="58"/>
  <c r="AE12" i="58"/>
  <c r="AD12" i="58"/>
  <c r="Y12" i="58"/>
  <c r="W12" i="58"/>
  <c r="V12" i="58"/>
  <c r="U12" i="58"/>
  <c r="T12" i="58"/>
  <c r="A12" i="58"/>
  <c r="AN11" i="58"/>
  <c r="AM11" i="58"/>
  <c r="AL11" i="58"/>
  <c r="AK11" i="58"/>
  <c r="AJ11" i="58"/>
  <c r="AI11" i="58"/>
  <c r="AH11" i="58"/>
  <c r="AG11" i="58"/>
  <c r="AF11" i="58"/>
  <c r="AE11" i="58"/>
  <c r="AD11" i="58"/>
  <c r="Y11" i="58"/>
  <c r="W11" i="58"/>
  <c r="V11" i="58"/>
  <c r="U11" i="58"/>
  <c r="T11" i="58"/>
  <c r="AN10" i="58"/>
  <c r="AM10" i="58"/>
  <c r="AL10" i="58"/>
  <c r="AK10" i="58"/>
  <c r="AJ10" i="58"/>
  <c r="AI10" i="58"/>
  <c r="AH10" i="58"/>
  <c r="AG10" i="58"/>
  <c r="AF10" i="58"/>
  <c r="AE10" i="58"/>
  <c r="AD10" i="58"/>
  <c r="Y10" i="58"/>
  <c r="W10" i="58"/>
  <c r="V10" i="58"/>
  <c r="U10" i="58"/>
  <c r="T10" i="58"/>
  <c r="A10" i="58"/>
  <c r="AN9" i="58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U9" i="58"/>
  <c r="T9" i="58"/>
  <c r="AN8" i="58"/>
  <c r="AM8" i="58"/>
  <c r="AL8" i="58"/>
  <c r="AK8" i="58"/>
  <c r="AJ8" i="58"/>
  <c r="AI8" i="58"/>
  <c r="AH8" i="58"/>
  <c r="AG8" i="58"/>
  <c r="AF8" i="58"/>
  <c r="AD8" i="58"/>
  <c r="Y8" i="58"/>
  <c r="W8" i="58"/>
  <c r="V8" i="58"/>
  <c r="U8" i="58"/>
  <c r="T8" i="58"/>
  <c r="AN7" i="58"/>
  <c r="AM7" i="58"/>
  <c r="AL7" i="58"/>
  <c r="AK7" i="58"/>
  <c r="AJ7" i="58"/>
  <c r="AI7" i="58"/>
  <c r="AH7" i="58"/>
  <c r="AG7" i="58"/>
  <c r="AF7" i="58"/>
  <c r="AD7" i="58"/>
  <c r="Y7" i="58"/>
  <c r="W7" i="58"/>
  <c r="V7" i="58"/>
  <c r="U7" i="58"/>
  <c r="T7" i="58"/>
  <c r="AN6" i="58"/>
  <c r="AM6" i="58"/>
  <c r="AL6" i="58"/>
  <c r="AK6" i="58"/>
  <c r="AJ6" i="58"/>
  <c r="AI6" i="58"/>
  <c r="AH6" i="58"/>
  <c r="AG6" i="58"/>
  <c r="AF6" i="58"/>
  <c r="AD6" i="58"/>
  <c r="Y6" i="58"/>
  <c r="W6" i="58"/>
  <c r="V6" i="58"/>
  <c r="U6" i="58"/>
  <c r="T6" i="58"/>
  <c r="A6" i="58"/>
  <c r="AN5" i="58"/>
  <c r="AM5" i="58"/>
  <c r="AL5" i="58"/>
  <c r="AK5" i="58"/>
  <c r="AJ5" i="58"/>
  <c r="AI5" i="58"/>
  <c r="AH5" i="58"/>
  <c r="AG5" i="58"/>
  <c r="AF5" i="58"/>
  <c r="AD5" i="58"/>
  <c r="Y5" i="58"/>
  <c r="W5" i="58"/>
  <c r="V5" i="58"/>
  <c r="U5" i="58"/>
  <c r="T5" i="58"/>
  <c r="F1" i="58"/>
  <c r="AN48" i="57"/>
  <c r="AM48" i="57"/>
  <c r="AL48" i="57"/>
  <c r="AK48" i="57"/>
  <c r="AJ48" i="57"/>
  <c r="AI48" i="57"/>
  <c r="AH48" i="57"/>
  <c r="AG48" i="57"/>
  <c r="AF48" i="57"/>
  <c r="AE48" i="57"/>
  <c r="AD48" i="57"/>
  <c r="Y48" i="57"/>
  <c r="W48" i="57"/>
  <c r="V48" i="57"/>
  <c r="U48" i="57"/>
  <c r="T48" i="57"/>
  <c r="AN47" i="57"/>
  <c r="AM47" i="57"/>
  <c r="AL47" i="57"/>
  <c r="AK47" i="57"/>
  <c r="AJ47" i="57"/>
  <c r="AI47" i="57"/>
  <c r="AH47" i="57"/>
  <c r="AG47" i="57"/>
  <c r="AF47" i="57"/>
  <c r="AE47" i="57"/>
  <c r="AD47" i="57"/>
  <c r="Y47" i="57"/>
  <c r="W47" i="57"/>
  <c r="V47" i="57"/>
  <c r="U47" i="57"/>
  <c r="T47" i="57"/>
  <c r="AN46" i="57"/>
  <c r="AM46" i="57"/>
  <c r="AL46" i="57"/>
  <c r="AK46" i="57"/>
  <c r="AJ46" i="57"/>
  <c r="AI46" i="57"/>
  <c r="AH46" i="57"/>
  <c r="AG46" i="57"/>
  <c r="AF46" i="57"/>
  <c r="AE46" i="57"/>
  <c r="AD46" i="57"/>
  <c r="Y46" i="57"/>
  <c r="W46" i="57"/>
  <c r="V46" i="57"/>
  <c r="U46" i="57"/>
  <c r="T46" i="57"/>
  <c r="AN45" i="57"/>
  <c r="AM45" i="57"/>
  <c r="AL45" i="57"/>
  <c r="AK45" i="57"/>
  <c r="AJ45" i="57"/>
  <c r="AI45" i="57"/>
  <c r="AH45" i="57"/>
  <c r="AG45" i="57"/>
  <c r="AF45" i="57"/>
  <c r="AE45" i="57"/>
  <c r="AD45" i="57"/>
  <c r="Y45" i="57"/>
  <c r="W45" i="57"/>
  <c r="V45" i="57"/>
  <c r="U45" i="57"/>
  <c r="T45" i="57"/>
  <c r="AN44" i="57"/>
  <c r="AM44" i="57"/>
  <c r="AL44" i="57"/>
  <c r="AK44" i="57"/>
  <c r="AJ44" i="57"/>
  <c r="AI44" i="57"/>
  <c r="AH44" i="57"/>
  <c r="AG44" i="57"/>
  <c r="AF44" i="57"/>
  <c r="AE44" i="57"/>
  <c r="AD44" i="57"/>
  <c r="Y44" i="57"/>
  <c r="W44" i="57"/>
  <c r="V44" i="57"/>
  <c r="U44" i="57"/>
  <c r="T44" i="57"/>
  <c r="AN43" i="57"/>
  <c r="AM43" i="57"/>
  <c r="AL43" i="57"/>
  <c r="AK43" i="57"/>
  <c r="AJ43" i="57"/>
  <c r="AI43" i="57"/>
  <c r="AH43" i="57"/>
  <c r="AG43" i="57"/>
  <c r="AF43" i="57"/>
  <c r="AE43" i="57"/>
  <c r="AD43" i="57"/>
  <c r="Y43" i="57"/>
  <c r="W43" i="57"/>
  <c r="V43" i="57"/>
  <c r="U43" i="57"/>
  <c r="T43" i="57"/>
  <c r="AN42" i="57"/>
  <c r="AM42" i="57"/>
  <c r="AL42" i="57"/>
  <c r="AK42" i="57"/>
  <c r="AJ42" i="57"/>
  <c r="AI42" i="57"/>
  <c r="AH42" i="57"/>
  <c r="AG42" i="57"/>
  <c r="AF42" i="57"/>
  <c r="AE42" i="57"/>
  <c r="AD42" i="57"/>
  <c r="Y42" i="57"/>
  <c r="W42" i="57"/>
  <c r="V42" i="57"/>
  <c r="U42" i="57"/>
  <c r="T42" i="57"/>
  <c r="AN41" i="57"/>
  <c r="AM41" i="57"/>
  <c r="AL41" i="57"/>
  <c r="AK41" i="57"/>
  <c r="AJ41" i="57"/>
  <c r="AI41" i="57"/>
  <c r="AH41" i="57"/>
  <c r="AG41" i="57"/>
  <c r="AF41" i="57"/>
  <c r="AE41" i="57"/>
  <c r="AD41" i="57"/>
  <c r="Y41" i="57"/>
  <c r="W41" i="57"/>
  <c r="V41" i="57"/>
  <c r="U41" i="57"/>
  <c r="T41" i="57"/>
  <c r="AN40" i="57"/>
  <c r="AM40" i="57"/>
  <c r="AL40" i="57"/>
  <c r="AK40" i="57"/>
  <c r="AJ40" i="57"/>
  <c r="AI40" i="57"/>
  <c r="AH40" i="57"/>
  <c r="AG40" i="57"/>
  <c r="AF40" i="57"/>
  <c r="AE40" i="57"/>
  <c r="AD40" i="57"/>
  <c r="Y40" i="57"/>
  <c r="W40" i="57"/>
  <c r="V40" i="57"/>
  <c r="U40" i="57"/>
  <c r="T40" i="57"/>
  <c r="AN39" i="57"/>
  <c r="AM39" i="57"/>
  <c r="AL39" i="57"/>
  <c r="AK39" i="57"/>
  <c r="AJ39" i="57"/>
  <c r="AI39" i="57"/>
  <c r="AH39" i="57"/>
  <c r="AG39" i="57"/>
  <c r="AF39" i="57"/>
  <c r="AE39" i="57"/>
  <c r="AD39" i="57"/>
  <c r="Y39" i="57"/>
  <c r="W39" i="57"/>
  <c r="V39" i="57"/>
  <c r="U39" i="57"/>
  <c r="T39" i="57"/>
  <c r="AN38" i="57"/>
  <c r="AM38" i="57"/>
  <c r="AL38" i="57"/>
  <c r="AK38" i="57"/>
  <c r="AJ38" i="57"/>
  <c r="AI38" i="57"/>
  <c r="AH38" i="57"/>
  <c r="AG38" i="57"/>
  <c r="AF38" i="57"/>
  <c r="AE38" i="57"/>
  <c r="AD38" i="57"/>
  <c r="Y38" i="57"/>
  <c r="W38" i="57"/>
  <c r="V38" i="57"/>
  <c r="U38" i="57"/>
  <c r="T38" i="57"/>
  <c r="AN37" i="57"/>
  <c r="AM37" i="57"/>
  <c r="AL37" i="57"/>
  <c r="AK37" i="57"/>
  <c r="AJ37" i="57"/>
  <c r="AI37" i="57"/>
  <c r="AH37" i="57"/>
  <c r="AG37" i="57"/>
  <c r="AF37" i="57"/>
  <c r="AE37" i="57"/>
  <c r="AD37" i="57"/>
  <c r="Y37" i="57"/>
  <c r="W37" i="57"/>
  <c r="V37" i="57"/>
  <c r="U37" i="57"/>
  <c r="T37" i="57"/>
  <c r="AN36" i="57"/>
  <c r="AM36" i="57"/>
  <c r="AL36" i="57"/>
  <c r="AK36" i="57"/>
  <c r="AJ36" i="57"/>
  <c r="AI36" i="57"/>
  <c r="AH36" i="57"/>
  <c r="AG36" i="57"/>
  <c r="AF36" i="57"/>
  <c r="AE36" i="57"/>
  <c r="AD36" i="57"/>
  <c r="Y36" i="57"/>
  <c r="W36" i="57"/>
  <c r="V36" i="57"/>
  <c r="U36" i="57"/>
  <c r="T36" i="57"/>
  <c r="AN35" i="57"/>
  <c r="AM35" i="57"/>
  <c r="AL35" i="57"/>
  <c r="AK35" i="57"/>
  <c r="AJ35" i="57"/>
  <c r="AI35" i="57"/>
  <c r="AH35" i="57"/>
  <c r="AG35" i="57"/>
  <c r="AF35" i="57"/>
  <c r="AE35" i="57"/>
  <c r="AD35" i="57"/>
  <c r="Y35" i="57"/>
  <c r="W35" i="57"/>
  <c r="V35" i="57"/>
  <c r="U35" i="57"/>
  <c r="T35" i="57"/>
  <c r="AN34" i="57"/>
  <c r="AM34" i="57"/>
  <c r="AL34" i="57"/>
  <c r="AK34" i="57"/>
  <c r="AJ34" i="57"/>
  <c r="AI34" i="57"/>
  <c r="AH34" i="57"/>
  <c r="AG34" i="57"/>
  <c r="AF34" i="57"/>
  <c r="AE34" i="57"/>
  <c r="AD34" i="57"/>
  <c r="Y34" i="57"/>
  <c r="W34" i="57"/>
  <c r="V34" i="57"/>
  <c r="U34" i="57"/>
  <c r="T34" i="57"/>
  <c r="AN33" i="57"/>
  <c r="AM33" i="57"/>
  <c r="AL33" i="57"/>
  <c r="AK33" i="57"/>
  <c r="AJ33" i="57"/>
  <c r="AI33" i="57"/>
  <c r="AH33" i="57"/>
  <c r="AG33" i="57"/>
  <c r="AF33" i="57"/>
  <c r="AE33" i="57"/>
  <c r="AD33" i="57"/>
  <c r="Y33" i="57"/>
  <c r="W33" i="57"/>
  <c r="V33" i="57"/>
  <c r="U33" i="57"/>
  <c r="T33" i="57"/>
  <c r="AN32" i="57"/>
  <c r="AM32" i="57"/>
  <c r="AL32" i="57"/>
  <c r="AK32" i="57"/>
  <c r="AJ32" i="57"/>
  <c r="AI32" i="57"/>
  <c r="AH32" i="57"/>
  <c r="AG32" i="57"/>
  <c r="AF32" i="57"/>
  <c r="AE32" i="57"/>
  <c r="AD32" i="57"/>
  <c r="Y32" i="57"/>
  <c r="W32" i="57"/>
  <c r="V32" i="57"/>
  <c r="U32" i="57"/>
  <c r="T32" i="57"/>
  <c r="AN31" i="57"/>
  <c r="AM31" i="57"/>
  <c r="AL31" i="57"/>
  <c r="AK31" i="57"/>
  <c r="AJ31" i="57"/>
  <c r="AI31" i="57"/>
  <c r="AH31" i="57"/>
  <c r="AG31" i="57"/>
  <c r="AF31" i="57"/>
  <c r="AE31" i="57"/>
  <c r="AD31" i="57"/>
  <c r="Y31" i="57"/>
  <c r="W31" i="57"/>
  <c r="V31" i="57"/>
  <c r="U31" i="57"/>
  <c r="T31" i="57"/>
  <c r="AN30" i="57"/>
  <c r="AM30" i="57"/>
  <c r="AL30" i="57"/>
  <c r="AK30" i="57"/>
  <c r="AJ30" i="57"/>
  <c r="AI30" i="57"/>
  <c r="AH30" i="57"/>
  <c r="AG30" i="57"/>
  <c r="AF30" i="57"/>
  <c r="AE30" i="57"/>
  <c r="AD30" i="57"/>
  <c r="Y30" i="57"/>
  <c r="W30" i="57"/>
  <c r="V30" i="57"/>
  <c r="U30" i="57"/>
  <c r="T30" i="57"/>
  <c r="AN29" i="57"/>
  <c r="AM29" i="57"/>
  <c r="AL29" i="57"/>
  <c r="AK29" i="57"/>
  <c r="AJ29" i="57"/>
  <c r="AI29" i="57"/>
  <c r="AH29" i="57"/>
  <c r="AG29" i="57"/>
  <c r="AF29" i="57"/>
  <c r="AE29" i="57"/>
  <c r="AD29" i="57"/>
  <c r="Y29" i="57"/>
  <c r="W29" i="57"/>
  <c r="V29" i="57"/>
  <c r="U29" i="57"/>
  <c r="T29" i="57"/>
  <c r="AN28" i="57"/>
  <c r="AM28" i="57"/>
  <c r="AL28" i="57"/>
  <c r="AK28" i="57"/>
  <c r="AJ28" i="57"/>
  <c r="AI28" i="57"/>
  <c r="AH28" i="57"/>
  <c r="AG28" i="57"/>
  <c r="AF28" i="57"/>
  <c r="AE28" i="57"/>
  <c r="AD28" i="57"/>
  <c r="Y28" i="57"/>
  <c r="W28" i="57"/>
  <c r="V28" i="57"/>
  <c r="U28" i="57"/>
  <c r="T28" i="57"/>
  <c r="AN27" i="57"/>
  <c r="AM27" i="57"/>
  <c r="AL27" i="57"/>
  <c r="AK27" i="57"/>
  <c r="AJ27" i="57"/>
  <c r="AI27" i="57"/>
  <c r="AH27" i="57"/>
  <c r="AG27" i="57"/>
  <c r="AF27" i="57"/>
  <c r="AE27" i="57"/>
  <c r="AD27" i="57"/>
  <c r="Y27" i="57"/>
  <c r="W27" i="57"/>
  <c r="V27" i="57"/>
  <c r="U27" i="57"/>
  <c r="T27" i="57"/>
  <c r="AN26" i="57"/>
  <c r="AM26" i="57"/>
  <c r="AL26" i="57"/>
  <c r="AK26" i="57"/>
  <c r="AJ26" i="57"/>
  <c r="AI26" i="57"/>
  <c r="AH26" i="57"/>
  <c r="AG26" i="57"/>
  <c r="AF26" i="57"/>
  <c r="AE26" i="57"/>
  <c r="AD26" i="57"/>
  <c r="Y26" i="57"/>
  <c r="W26" i="57"/>
  <c r="V26" i="57"/>
  <c r="U26" i="57"/>
  <c r="T26" i="57"/>
  <c r="AN25" i="57"/>
  <c r="AM25" i="57"/>
  <c r="AL25" i="57"/>
  <c r="AK25" i="57"/>
  <c r="AJ25" i="57"/>
  <c r="AI25" i="57"/>
  <c r="AH25" i="57"/>
  <c r="AG25" i="57"/>
  <c r="AF25" i="57"/>
  <c r="AE25" i="57"/>
  <c r="AD25" i="57"/>
  <c r="Y25" i="57"/>
  <c r="W25" i="57"/>
  <c r="V25" i="57"/>
  <c r="U25" i="57"/>
  <c r="T25" i="57"/>
  <c r="AN24" i="57"/>
  <c r="AM24" i="57"/>
  <c r="AL24" i="57"/>
  <c r="AK24" i="57"/>
  <c r="AJ24" i="57"/>
  <c r="AI24" i="57"/>
  <c r="AH24" i="57"/>
  <c r="AG24" i="57"/>
  <c r="AF24" i="57"/>
  <c r="AE24" i="57"/>
  <c r="AD24" i="57"/>
  <c r="Y24" i="57"/>
  <c r="W24" i="57"/>
  <c r="V24" i="57"/>
  <c r="U24" i="57"/>
  <c r="T24" i="57"/>
  <c r="AN23" i="57"/>
  <c r="AM23" i="57"/>
  <c r="AL23" i="57"/>
  <c r="AK23" i="57"/>
  <c r="AJ23" i="57"/>
  <c r="AI23" i="57"/>
  <c r="AH23" i="57"/>
  <c r="AG23" i="57"/>
  <c r="AF23" i="57"/>
  <c r="AE23" i="57"/>
  <c r="AD23" i="57"/>
  <c r="Y23" i="57"/>
  <c r="W23" i="57"/>
  <c r="V23" i="57"/>
  <c r="U23" i="57"/>
  <c r="T23" i="57"/>
  <c r="AN22" i="57"/>
  <c r="AM22" i="57"/>
  <c r="AL22" i="57"/>
  <c r="AK22" i="57"/>
  <c r="AJ22" i="57"/>
  <c r="AI22" i="57"/>
  <c r="AH22" i="57"/>
  <c r="AG22" i="57"/>
  <c r="AF22" i="57"/>
  <c r="AE22" i="57"/>
  <c r="AD22" i="57"/>
  <c r="Y22" i="57"/>
  <c r="W22" i="57"/>
  <c r="V22" i="57"/>
  <c r="U22" i="57"/>
  <c r="T22" i="57"/>
  <c r="AN21" i="57"/>
  <c r="AM21" i="57"/>
  <c r="AL21" i="57"/>
  <c r="AK21" i="57"/>
  <c r="AJ21" i="57"/>
  <c r="AI21" i="57"/>
  <c r="AH21" i="57"/>
  <c r="AG21" i="57"/>
  <c r="AF21" i="57"/>
  <c r="AE21" i="57"/>
  <c r="AD21" i="57"/>
  <c r="Y21" i="57"/>
  <c r="W21" i="57"/>
  <c r="V21" i="57"/>
  <c r="U21" i="57"/>
  <c r="T21" i="57"/>
  <c r="AN20" i="57"/>
  <c r="AM20" i="57"/>
  <c r="AL20" i="57"/>
  <c r="AK20" i="57"/>
  <c r="AJ20" i="57"/>
  <c r="AI20" i="57"/>
  <c r="AH20" i="57"/>
  <c r="AG20" i="57"/>
  <c r="AF20" i="57"/>
  <c r="AE20" i="57"/>
  <c r="AD20" i="57"/>
  <c r="Y20" i="57"/>
  <c r="W20" i="57"/>
  <c r="V20" i="57"/>
  <c r="U20" i="57"/>
  <c r="T20" i="57"/>
  <c r="AN19" i="57"/>
  <c r="AM19" i="57"/>
  <c r="AL19" i="57"/>
  <c r="AK19" i="57"/>
  <c r="AJ19" i="57"/>
  <c r="AI19" i="57"/>
  <c r="AH19" i="57"/>
  <c r="AG19" i="57"/>
  <c r="AF19" i="57"/>
  <c r="AE19" i="57"/>
  <c r="AD19" i="57"/>
  <c r="Y19" i="57"/>
  <c r="W19" i="57"/>
  <c r="V19" i="57"/>
  <c r="U19" i="57"/>
  <c r="T19" i="57"/>
  <c r="AN18" i="57"/>
  <c r="AM18" i="57"/>
  <c r="AL18" i="57"/>
  <c r="AK18" i="57"/>
  <c r="AJ18" i="57"/>
  <c r="AI18" i="57"/>
  <c r="AH18" i="57"/>
  <c r="AG18" i="57"/>
  <c r="AF18" i="57"/>
  <c r="AE18" i="57"/>
  <c r="AD18" i="57"/>
  <c r="Y18" i="57"/>
  <c r="W18" i="57"/>
  <c r="V18" i="57"/>
  <c r="U18" i="57"/>
  <c r="T18" i="57"/>
  <c r="AN17" i="57"/>
  <c r="AM17" i="57"/>
  <c r="AL17" i="57"/>
  <c r="AK17" i="57"/>
  <c r="AJ17" i="57"/>
  <c r="AI17" i="57"/>
  <c r="AH17" i="57"/>
  <c r="AG17" i="57"/>
  <c r="AF17" i="57"/>
  <c r="AE17" i="57"/>
  <c r="AD17" i="57"/>
  <c r="Y17" i="57"/>
  <c r="W17" i="57"/>
  <c r="V17" i="57"/>
  <c r="U17" i="57"/>
  <c r="T17" i="57"/>
  <c r="AN16" i="57"/>
  <c r="AM16" i="57"/>
  <c r="AL16" i="57"/>
  <c r="AK16" i="57"/>
  <c r="AJ16" i="57"/>
  <c r="AI16" i="57"/>
  <c r="AH16" i="57"/>
  <c r="AG16" i="57"/>
  <c r="AF16" i="57"/>
  <c r="AE16" i="57"/>
  <c r="AD16" i="57"/>
  <c r="Y16" i="57"/>
  <c r="W16" i="57"/>
  <c r="V16" i="57"/>
  <c r="U16" i="57"/>
  <c r="T16" i="57"/>
  <c r="A16" i="57"/>
  <c r="AN15" i="57"/>
  <c r="AM15" i="57"/>
  <c r="AL15" i="57"/>
  <c r="AK15" i="57"/>
  <c r="AJ15" i="57"/>
  <c r="AI15" i="57"/>
  <c r="AH15" i="57"/>
  <c r="AG15" i="57"/>
  <c r="AF15" i="57"/>
  <c r="AE15" i="57"/>
  <c r="AD15" i="57"/>
  <c r="Y15" i="57"/>
  <c r="W15" i="57"/>
  <c r="V15" i="57"/>
  <c r="U15" i="57"/>
  <c r="T15" i="57"/>
  <c r="AN14" i="57"/>
  <c r="AM14" i="57"/>
  <c r="AL14" i="57"/>
  <c r="AK14" i="57"/>
  <c r="AJ14" i="57"/>
  <c r="AI14" i="57"/>
  <c r="AH14" i="57"/>
  <c r="AG14" i="57"/>
  <c r="AF14" i="57"/>
  <c r="AE14" i="57"/>
  <c r="AD14" i="57"/>
  <c r="Y14" i="57"/>
  <c r="W14" i="57"/>
  <c r="V14" i="57"/>
  <c r="U14" i="57"/>
  <c r="T14" i="57"/>
  <c r="A14" i="57"/>
  <c r="AN13" i="57"/>
  <c r="AM13" i="57"/>
  <c r="AL13" i="57"/>
  <c r="AK13" i="57"/>
  <c r="AJ13" i="57"/>
  <c r="AI13" i="57"/>
  <c r="AH13" i="57"/>
  <c r="AG13" i="57"/>
  <c r="AF13" i="57"/>
  <c r="AE13" i="57"/>
  <c r="AD13" i="57"/>
  <c r="Y13" i="57"/>
  <c r="W13" i="57"/>
  <c r="V13" i="57"/>
  <c r="U13" i="57"/>
  <c r="T13" i="57"/>
  <c r="AN12" i="57"/>
  <c r="AM12" i="57"/>
  <c r="AL12" i="57"/>
  <c r="AK12" i="57"/>
  <c r="AJ12" i="57"/>
  <c r="AI12" i="57"/>
  <c r="AH12" i="57"/>
  <c r="AG12" i="57"/>
  <c r="AF12" i="57"/>
  <c r="AE12" i="57"/>
  <c r="AD12" i="57"/>
  <c r="Y12" i="57"/>
  <c r="W12" i="57"/>
  <c r="V12" i="57"/>
  <c r="U12" i="57"/>
  <c r="T12" i="57"/>
  <c r="A12" i="57"/>
  <c r="AN11" i="57"/>
  <c r="AM11" i="57"/>
  <c r="AL11" i="57"/>
  <c r="AK11" i="57"/>
  <c r="AJ11" i="57"/>
  <c r="AI11" i="57"/>
  <c r="AH11" i="57"/>
  <c r="AG11" i="57"/>
  <c r="AF11" i="57"/>
  <c r="AE11" i="57"/>
  <c r="AD11" i="57"/>
  <c r="Y11" i="57"/>
  <c r="W11" i="57"/>
  <c r="V11" i="57"/>
  <c r="U11" i="57"/>
  <c r="T11" i="57"/>
  <c r="AN10" i="57"/>
  <c r="AM10" i="57"/>
  <c r="AL10" i="57"/>
  <c r="AK10" i="57"/>
  <c r="AJ10" i="57"/>
  <c r="AI10" i="57"/>
  <c r="AH10" i="57"/>
  <c r="AG10" i="57"/>
  <c r="AF10" i="57"/>
  <c r="AE10" i="57"/>
  <c r="AD10" i="57"/>
  <c r="Y10" i="57"/>
  <c r="W10" i="57"/>
  <c r="V10" i="57"/>
  <c r="U10" i="57"/>
  <c r="T10" i="57"/>
  <c r="A10" i="57"/>
  <c r="AN9" i="57"/>
  <c r="AM9" i="57"/>
  <c r="AL9" i="57"/>
  <c r="AK9" i="57"/>
  <c r="AJ9" i="57"/>
  <c r="AI9" i="57"/>
  <c r="AH9" i="57"/>
  <c r="AG9" i="57"/>
  <c r="AF9" i="57"/>
  <c r="AE9" i="57"/>
  <c r="AD9" i="57"/>
  <c r="Y9" i="57"/>
  <c r="W9" i="57"/>
  <c r="V9" i="57"/>
  <c r="U9" i="57"/>
  <c r="T9" i="57"/>
  <c r="AN8" i="57"/>
  <c r="AM8" i="57"/>
  <c r="AL8" i="57"/>
  <c r="AK8" i="57"/>
  <c r="AJ8" i="57"/>
  <c r="AI8" i="57"/>
  <c r="AH8" i="57"/>
  <c r="AG8" i="57"/>
  <c r="AF8" i="57"/>
  <c r="AD8" i="57"/>
  <c r="Y8" i="57"/>
  <c r="W8" i="57"/>
  <c r="V8" i="57"/>
  <c r="U8" i="57"/>
  <c r="T8" i="57"/>
  <c r="AN7" i="57"/>
  <c r="AM7" i="57"/>
  <c r="AL7" i="57"/>
  <c r="AK7" i="57"/>
  <c r="AJ7" i="57"/>
  <c r="AI7" i="57"/>
  <c r="AH7" i="57"/>
  <c r="AG7" i="57"/>
  <c r="AF7" i="57"/>
  <c r="AD7" i="57"/>
  <c r="Y7" i="57"/>
  <c r="W7" i="57"/>
  <c r="V7" i="57"/>
  <c r="U7" i="57"/>
  <c r="T7" i="57"/>
  <c r="AN6" i="57"/>
  <c r="AM6" i="57"/>
  <c r="AL6" i="57"/>
  <c r="AK6" i="57"/>
  <c r="AJ6" i="57"/>
  <c r="AI6" i="57"/>
  <c r="AH6" i="57"/>
  <c r="AG6" i="57"/>
  <c r="AF6" i="57"/>
  <c r="AD6" i="57"/>
  <c r="Y6" i="57"/>
  <c r="W6" i="57"/>
  <c r="V6" i="57"/>
  <c r="U6" i="57"/>
  <c r="T6" i="57"/>
  <c r="A6" i="57"/>
  <c r="AN5" i="57"/>
  <c r="AM5" i="57"/>
  <c r="AL5" i="57"/>
  <c r="AK5" i="57"/>
  <c r="AJ5" i="57"/>
  <c r="AI5" i="57"/>
  <c r="AH5" i="57"/>
  <c r="AG5" i="57"/>
  <c r="AF5" i="57"/>
  <c r="AD5" i="57"/>
  <c r="Y5" i="57"/>
  <c r="W5" i="57"/>
  <c r="V5" i="57"/>
  <c r="U5" i="57"/>
  <c r="T5" i="57"/>
  <c r="F1" i="57"/>
  <c r="AN24" i="56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N23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N22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N21" i="56"/>
  <c r="AM21" i="56"/>
  <c r="AL21" i="56"/>
  <c r="AK21" i="56"/>
  <c r="AJ21" i="56"/>
  <c r="AI21" i="56"/>
  <c r="AH21" i="56"/>
  <c r="AG21" i="56"/>
  <c r="AF21" i="56"/>
  <c r="AE21" i="56"/>
  <c r="AD21" i="56"/>
  <c r="Y21" i="56"/>
  <c r="W21" i="56"/>
  <c r="V21" i="56"/>
  <c r="U21" i="56"/>
  <c r="T21" i="56"/>
  <c r="AN20" i="56"/>
  <c r="AM20" i="56"/>
  <c r="AL20" i="56"/>
  <c r="AK20" i="56"/>
  <c r="AJ20" i="56"/>
  <c r="AI20" i="56"/>
  <c r="AH20" i="56"/>
  <c r="AG20" i="56"/>
  <c r="AF20" i="56"/>
  <c r="AE20" i="56"/>
  <c r="AD20" i="56"/>
  <c r="Y20" i="56"/>
  <c r="W20" i="56"/>
  <c r="V20" i="56"/>
  <c r="U20" i="56"/>
  <c r="T20" i="56"/>
  <c r="AN19" i="56"/>
  <c r="AM19" i="56"/>
  <c r="AL19" i="56"/>
  <c r="AK19" i="56"/>
  <c r="AJ19" i="56"/>
  <c r="AI19" i="56"/>
  <c r="AH19" i="56"/>
  <c r="AG19" i="56"/>
  <c r="AF19" i="56"/>
  <c r="AE19" i="56"/>
  <c r="AD19" i="56"/>
  <c r="Y19" i="56"/>
  <c r="W19" i="56"/>
  <c r="V19" i="56"/>
  <c r="U19" i="56"/>
  <c r="T19" i="56"/>
  <c r="AN18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N17" i="56"/>
  <c r="AM17" i="56"/>
  <c r="AL17" i="56"/>
  <c r="AK17" i="56"/>
  <c r="AJ17" i="56"/>
  <c r="AI17" i="56"/>
  <c r="AH17" i="56"/>
  <c r="AG17" i="56"/>
  <c r="AF17" i="56"/>
  <c r="AE17" i="56"/>
  <c r="AD17" i="56"/>
  <c r="Y17" i="56"/>
  <c r="W17" i="56"/>
  <c r="V17" i="56"/>
  <c r="U17" i="56"/>
  <c r="T17" i="56"/>
  <c r="AN16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N15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N14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N13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N12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N11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N10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N9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N8" i="56"/>
  <c r="AM8" i="56"/>
  <c r="AL8" i="56"/>
  <c r="AK8" i="56"/>
  <c r="AJ8" i="56"/>
  <c r="AI8" i="56"/>
  <c r="AH8" i="56"/>
  <c r="AG8" i="56"/>
  <c r="AF8" i="56"/>
  <c r="AD8" i="56"/>
  <c r="Y8" i="56"/>
  <c r="W8" i="56"/>
  <c r="V8" i="56"/>
  <c r="U8" i="56"/>
  <c r="T8" i="56"/>
  <c r="AN7" i="56"/>
  <c r="AM7" i="56"/>
  <c r="AL7" i="56"/>
  <c r="AK7" i="56"/>
  <c r="AJ7" i="56"/>
  <c r="AI7" i="56"/>
  <c r="AH7" i="56"/>
  <c r="AG7" i="56"/>
  <c r="AF7" i="56"/>
  <c r="AD7" i="56"/>
  <c r="Y7" i="56"/>
  <c r="W7" i="56"/>
  <c r="V7" i="56"/>
  <c r="U7" i="56"/>
  <c r="T7" i="56"/>
  <c r="AN6" i="56"/>
  <c r="AM6" i="56"/>
  <c r="AL6" i="56"/>
  <c r="AK6" i="56"/>
  <c r="AJ6" i="56"/>
  <c r="AI6" i="56"/>
  <c r="AH6" i="56"/>
  <c r="AG6" i="56"/>
  <c r="AF6" i="56"/>
  <c r="AD6" i="56"/>
  <c r="Y6" i="56"/>
  <c r="W6" i="56"/>
  <c r="V6" i="56"/>
  <c r="U6" i="56"/>
  <c r="T6" i="56"/>
  <c r="A6" i="56"/>
  <c r="AN5" i="56"/>
  <c r="AM5" i="56"/>
  <c r="AL5" i="56"/>
  <c r="AK5" i="56"/>
  <c r="AJ5" i="56"/>
  <c r="AI5" i="56"/>
  <c r="AH5" i="56"/>
  <c r="AG5" i="56"/>
  <c r="AF5" i="56"/>
  <c r="AD5" i="56"/>
  <c r="Y5" i="56"/>
  <c r="W5" i="56"/>
  <c r="V5" i="56"/>
  <c r="U5" i="56"/>
  <c r="T5" i="56"/>
  <c r="F1" i="56"/>
  <c r="AN24" i="55"/>
  <c r="AM24" i="55"/>
  <c r="AL24" i="55"/>
  <c r="AK24" i="55"/>
  <c r="AJ24" i="55"/>
  <c r="AI24" i="55"/>
  <c r="AH24" i="55"/>
  <c r="AG24" i="55"/>
  <c r="AF24" i="55"/>
  <c r="AE24" i="55"/>
  <c r="AD24" i="55"/>
  <c r="Y24" i="55"/>
  <c r="W24" i="55"/>
  <c r="V24" i="55"/>
  <c r="U24" i="55"/>
  <c r="T24" i="55"/>
  <c r="AN23" i="55"/>
  <c r="AM23" i="55"/>
  <c r="AL23" i="55"/>
  <c r="AK23" i="55"/>
  <c r="AJ23" i="55"/>
  <c r="AI23" i="55"/>
  <c r="AH23" i="55"/>
  <c r="AG23" i="55"/>
  <c r="AF23" i="55"/>
  <c r="AE23" i="55"/>
  <c r="AD23" i="55"/>
  <c r="Y23" i="55"/>
  <c r="W23" i="55"/>
  <c r="V23" i="55"/>
  <c r="U23" i="55"/>
  <c r="T23" i="55"/>
  <c r="AN22" i="55"/>
  <c r="AM22" i="55"/>
  <c r="AL22" i="55"/>
  <c r="AK22" i="55"/>
  <c r="AJ22" i="55"/>
  <c r="AI22" i="55"/>
  <c r="AH22" i="55"/>
  <c r="AG22" i="55"/>
  <c r="AF22" i="55"/>
  <c r="AE22" i="55"/>
  <c r="AD22" i="55"/>
  <c r="Y22" i="55"/>
  <c r="W22" i="55"/>
  <c r="V22" i="55"/>
  <c r="U22" i="55"/>
  <c r="T22" i="55"/>
  <c r="AN21" i="55"/>
  <c r="AM21" i="55"/>
  <c r="AL21" i="55"/>
  <c r="AK21" i="55"/>
  <c r="AJ21" i="55"/>
  <c r="AI21" i="55"/>
  <c r="AH21" i="55"/>
  <c r="AG21" i="55"/>
  <c r="AF21" i="55"/>
  <c r="AE21" i="55"/>
  <c r="AD21" i="55"/>
  <c r="Y21" i="55"/>
  <c r="W21" i="55"/>
  <c r="V21" i="55"/>
  <c r="U21" i="55"/>
  <c r="T21" i="55"/>
  <c r="AN20" i="55"/>
  <c r="AM20" i="55"/>
  <c r="AL20" i="55"/>
  <c r="AK20" i="55"/>
  <c r="AJ20" i="55"/>
  <c r="AI20" i="55"/>
  <c r="AH20" i="55"/>
  <c r="AG20" i="55"/>
  <c r="AF20" i="55"/>
  <c r="AE20" i="55"/>
  <c r="AD20" i="55"/>
  <c r="Y20" i="55"/>
  <c r="W20" i="55"/>
  <c r="V20" i="55"/>
  <c r="U20" i="55"/>
  <c r="T20" i="55"/>
  <c r="AN19" i="55"/>
  <c r="AM19" i="55"/>
  <c r="AL19" i="55"/>
  <c r="AK19" i="55"/>
  <c r="AJ19" i="55"/>
  <c r="AI19" i="55"/>
  <c r="AH19" i="55"/>
  <c r="AG19" i="55"/>
  <c r="AF19" i="55"/>
  <c r="AE19" i="55"/>
  <c r="AD19" i="55"/>
  <c r="Y19" i="55"/>
  <c r="W19" i="55"/>
  <c r="V19" i="55"/>
  <c r="U19" i="55"/>
  <c r="T19" i="55"/>
  <c r="AN18" i="55"/>
  <c r="AM18" i="55"/>
  <c r="AL18" i="55"/>
  <c r="AK18" i="55"/>
  <c r="AJ18" i="55"/>
  <c r="AI18" i="55"/>
  <c r="AH18" i="55"/>
  <c r="AG18" i="55"/>
  <c r="AF18" i="55"/>
  <c r="AE18" i="55"/>
  <c r="AD18" i="55"/>
  <c r="Y18" i="55"/>
  <c r="W18" i="55"/>
  <c r="V18" i="55"/>
  <c r="U18" i="55"/>
  <c r="T18" i="55"/>
  <c r="AN17" i="55"/>
  <c r="AM17" i="55"/>
  <c r="AL17" i="55"/>
  <c r="AK17" i="55"/>
  <c r="AJ17" i="55"/>
  <c r="AI17" i="55"/>
  <c r="AH17" i="55"/>
  <c r="AG17" i="55"/>
  <c r="AF17" i="55"/>
  <c r="AE17" i="55"/>
  <c r="AD17" i="55"/>
  <c r="Y17" i="55"/>
  <c r="W17" i="55"/>
  <c r="V17" i="55"/>
  <c r="U17" i="55"/>
  <c r="T17" i="55"/>
  <c r="AN16" i="55"/>
  <c r="AM16" i="55"/>
  <c r="AL16" i="55"/>
  <c r="AK16" i="55"/>
  <c r="AJ16" i="55"/>
  <c r="AI16" i="55"/>
  <c r="AH16" i="55"/>
  <c r="AG16" i="55"/>
  <c r="AF16" i="55"/>
  <c r="AE16" i="55"/>
  <c r="AD16" i="55"/>
  <c r="Y16" i="55"/>
  <c r="W16" i="55"/>
  <c r="V16" i="55"/>
  <c r="U16" i="55"/>
  <c r="T16" i="55"/>
  <c r="A16" i="55"/>
  <c r="AN15" i="55"/>
  <c r="AM15" i="55"/>
  <c r="AL15" i="55"/>
  <c r="AK15" i="55"/>
  <c r="AJ15" i="55"/>
  <c r="AI15" i="55"/>
  <c r="AH15" i="55"/>
  <c r="AG15" i="55"/>
  <c r="AF15" i="55"/>
  <c r="AE15" i="55"/>
  <c r="AD15" i="55"/>
  <c r="Y15" i="55"/>
  <c r="W15" i="55"/>
  <c r="V15" i="55"/>
  <c r="U15" i="55"/>
  <c r="T15" i="55"/>
  <c r="AN14" i="55"/>
  <c r="AM14" i="55"/>
  <c r="AL14" i="55"/>
  <c r="AK14" i="55"/>
  <c r="AJ14" i="55"/>
  <c r="AI14" i="55"/>
  <c r="AH14" i="55"/>
  <c r="AG14" i="55"/>
  <c r="AF14" i="55"/>
  <c r="AE14" i="55"/>
  <c r="AD14" i="55"/>
  <c r="Y14" i="55"/>
  <c r="W14" i="55"/>
  <c r="V14" i="55"/>
  <c r="U14" i="55"/>
  <c r="T14" i="55"/>
  <c r="A14" i="55"/>
  <c r="AN13" i="55"/>
  <c r="AM13" i="55"/>
  <c r="AL13" i="55"/>
  <c r="AK13" i="55"/>
  <c r="AJ13" i="55"/>
  <c r="AI13" i="55"/>
  <c r="AH13" i="55"/>
  <c r="AG13" i="55"/>
  <c r="AF13" i="55"/>
  <c r="AE13" i="55"/>
  <c r="AD13" i="55"/>
  <c r="Y13" i="55"/>
  <c r="W13" i="55"/>
  <c r="V13" i="55"/>
  <c r="U13" i="55"/>
  <c r="T13" i="55"/>
  <c r="AN12" i="55"/>
  <c r="AM12" i="55"/>
  <c r="AL12" i="55"/>
  <c r="AK12" i="55"/>
  <c r="AJ12" i="55"/>
  <c r="AI12" i="55"/>
  <c r="AH12" i="55"/>
  <c r="AG12" i="55"/>
  <c r="AF12" i="55"/>
  <c r="AE12" i="55"/>
  <c r="AD12" i="55"/>
  <c r="Y12" i="55"/>
  <c r="W12" i="55"/>
  <c r="V12" i="55"/>
  <c r="U12" i="55"/>
  <c r="T12" i="55"/>
  <c r="A12" i="55"/>
  <c r="AN11" i="55"/>
  <c r="AM11" i="55"/>
  <c r="AL11" i="55"/>
  <c r="AK11" i="55"/>
  <c r="AJ11" i="55"/>
  <c r="AI11" i="55"/>
  <c r="AH11" i="55"/>
  <c r="AG11" i="55"/>
  <c r="AF11" i="55"/>
  <c r="AE11" i="55"/>
  <c r="AD11" i="55"/>
  <c r="Y11" i="55"/>
  <c r="W11" i="55"/>
  <c r="V11" i="55"/>
  <c r="U11" i="55"/>
  <c r="T11" i="55"/>
  <c r="AN10" i="55"/>
  <c r="AM10" i="55"/>
  <c r="AL10" i="55"/>
  <c r="AK10" i="55"/>
  <c r="AJ10" i="55"/>
  <c r="AI10" i="55"/>
  <c r="AH10" i="55"/>
  <c r="AG10" i="55"/>
  <c r="AF10" i="55"/>
  <c r="AE10" i="55"/>
  <c r="AD10" i="55"/>
  <c r="Y10" i="55"/>
  <c r="W10" i="55"/>
  <c r="V10" i="55"/>
  <c r="U10" i="55"/>
  <c r="T10" i="55"/>
  <c r="A10" i="55"/>
  <c r="AN9" i="55"/>
  <c r="AM9" i="55"/>
  <c r="AL9" i="55"/>
  <c r="AK9" i="55"/>
  <c r="AJ9" i="55"/>
  <c r="AI9" i="55"/>
  <c r="AH9" i="55"/>
  <c r="AG9" i="55"/>
  <c r="AF9" i="55"/>
  <c r="AE9" i="55"/>
  <c r="AD9" i="55"/>
  <c r="Y9" i="55"/>
  <c r="W9" i="55"/>
  <c r="V9" i="55"/>
  <c r="U9" i="55"/>
  <c r="T9" i="55"/>
  <c r="AN8" i="55"/>
  <c r="AM8" i="55"/>
  <c r="AL8" i="55"/>
  <c r="AK8" i="55"/>
  <c r="AJ8" i="55"/>
  <c r="AI8" i="55"/>
  <c r="AH8" i="55"/>
  <c r="AG8" i="55"/>
  <c r="AF8" i="55"/>
  <c r="AD8" i="55"/>
  <c r="Y8" i="55"/>
  <c r="W8" i="55"/>
  <c r="V8" i="55"/>
  <c r="U8" i="55"/>
  <c r="T8" i="55"/>
  <c r="AN7" i="55"/>
  <c r="AM7" i="55"/>
  <c r="AL7" i="55"/>
  <c r="AK7" i="55"/>
  <c r="AJ7" i="55"/>
  <c r="AI7" i="55"/>
  <c r="AH7" i="55"/>
  <c r="AG7" i="55"/>
  <c r="AF7" i="55"/>
  <c r="AD7" i="55"/>
  <c r="Y7" i="55"/>
  <c r="W7" i="55"/>
  <c r="V7" i="55"/>
  <c r="U7" i="55"/>
  <c r="T7" i="55"/>
  <c r="AN6" i="55"/>
  <c r="AM6" i="55"/>
  <c r="AL6" i="55"/>
  <c r="AK6" i="55"/>
  <c r="AJ6" i="55"/>
  <c r="AI6" i="55"/>
  <c r="AH6" i="55"/>
  <c r="AG6" i="55"/>
  <c r="AF6" i="55"/>
  <c r="AD6" i="55"/>
  <c r="Y6" i="55"/>
  <c r="W6" i="55"/>
  <c r="V6" i="55"/>
  <c r="U6" i="55"/>
  <c r="T6" i="55"/>
  <c r="A6" i="55"/>
  <c r="AN5" i="55"/>
  <c r="AM5" i="55"/>
  <c r="AL5" i="55"/>
  <c r="AK5" i="55"/>
  <c r="AJ5" i="55"/>
  <c r="AI5" i="55"/>
  <c r="AH5" i="55"/>
  <c r="AG5" i="55"/>
  <c r="AF5" i="55"/>
  <c r="AD5" i="55"/>
  <c r="Y5" i="55"/>
  <c r="W5" i="55"/>
  <c r="V5" i="55"/>
  <c r="U5" i="55"/>
  <c r="T5" i="55"/>
  <c r="F1" i="55"/>
  <c r="AN24" i="54"/>
  <c r="AM24" i="54"/>
  <c r="AL24" i="54"/>
  <c r="AK24" i="54"/>
  <c r="AJ24" i="54"/>
  <c r="AI24" i="54"/>
  <c r="AH24" i="54"/>
  <c r="AG24" i="54"/>
  <c r="AF24" i="54"/>
  <c r="AE24" i="54"/>
  <c r="AD24" i="54"/>
  <c r="Y24" i="54"/>
  <c r="W24" i="54"/>
  <c r="V24" i="54"/>
  <c r="U24" i="54"/>
  <c r="T24" i="54"/>
  <c r="AN23" i="54"/>
  <c r="AM23" i="54"/>
  <c r="AL23" i="54"/>
  <c r="AK23" i="54"/>
  <c r="AJ23" i="54"/>
  <c r="AI23" i="54"/>
  <c r="AH23" i="54"/>
  <c r="AG23" i="54"/>
  <c r="AF23" i="54"/>
  <c r="AE23" i="54"/>
  <c r="AD23" i="54"/>
  <c r="Y23" i="54"/>
  <c r="W23" i="54"/>
  <c r="V23" i="54"/>
  <c r="U23" i="54"/>
  <c r="T23" i="54"/>
  <c r="AN22" i="54"/>
  <c r="AM22" i="54"/>
  <c r="AL22" i="54"/>
  <c r="AK22" i="54"/>
  <c r="AJ22" i="54"/>
  <c r="AI22" i="54"/>
  <c r="AH22" i="54"/>
  <c r="AG22" i="54"/>
  <c r="AF22" i="54"/>
  <c r="AE22" i="54"/>
  <c r="AD22" i="54"/>
  <c r="Y22" i="54"/>
  <c r="W22" i="54"/>
  <c r="V22" i="54"/>
  <c r="U22" i="54"/>
  <c r="T22" i="54"/>
  <c r="AN21" i="54"/>
  <c r="AM21" i="54"/>
  <c r="AL21" i="54"/>
  <c r="AK21" i="54"/>
  <c r="AJ21" i="54"/>
  <c r="AI21" i="54"/>
  <c r="AH21" i="54"/>
  <c r="AG21" i="54"/>
  <c r="AF21" i="54"/>
  <c r="AE21" i="54"/>
  <c r="AD21" i="54"/>
  <c r="Y21" i="54"/>
  <c r="W21" i="54"/>
  <c r="V21" i="54"/>
  <c r="U21" i="54"/>
  <c r="T21" i="54"/>
  <c r="AN20" i="54"/>
  <c r="AM20" i="54"/>
  <c r="AL20" i="54"/>
  <c r="AK20" i="54"/>
  <c r="AJ20" i="54"/>
  <c r="AI20" i="54"/>
  <c r="AH20" i="54"/>
  <c r="AG20" i="54"/>
  <c r="AF20" i="54"/>
  <c r="AE20" i="54"/>
  <c r="AD20" i="54"/>
  <c r="Y20" i="54"/>
  <c r="W20" i="54"/>
  <c r="V20" i="54"/>
  <c r="U20" i="54"/>
  <c r="T20" i="54"/>
  <c r="AN19" i="54"/>
  <c r="AM19" i="54"/>
  <c r="AL19" i="54"/>
  <c r="AK19" i="54"/>
  <c r="AJ19" i="54"/>
  <c r="AI19" i="54"/>
  <c r="AH19" i="54"/>
  <c r="AG19" i="54"/>
  <c r="AF19" i="54"/>
  <c r="AE19" i="54"/>
  <c r="AD19" i="54"/>
  <c r="Y19" i="54"/>
  <c r="W19" i="54"/>
  <c r="V19" i="54"/>
  <c r="U19" i="54"/>
  <c r="T19" i="54"/>
  <c r="AN18" i="54"/>
  <c r="AM18" i="54"/>
  <c r="AL18" i="54"/>
  <c r="AK18" i="54"/>
  <c r="AJ18" i="54"/>
  <c r="AI18" i="54"/>
  <c r="AH18" i="54"/>
  <c r="AG18" i="54"/>
  <c r="AF18" i="54"/>
  <c r="AE18" i="54"/>
  <c r="AD18" i="54"/>
  <c r="Y18" i="54"/>
  <c r="W18" i="54"/>
  <c r="V18" i="54"/>
  <c r="U18" i="54"/>
  <c r="T18" i="54"/>
  <c r="AN17" i="54"/>
  <c r="AM17" i="54"/>
  <c r="AL17" i="54"/>
  <c r="AK17" i="54"/>
  <c r="AJ17" i="54"/>
  <c r="AI17" i="54"/>
  <c r="AH17" i="54"/>
  <c r="AG17" i="54"/>
  <c r="AF17" i="54"/>
  <c r="AE17" i="54"/>
  <c r="AD17" i="54"/>
  <c r="Y17" i="54"/>
  <c r="W17" i="54"/>
  <c r="V17" i="54"/>
  <c r="U17" i="54"/>
  <c r="T17" i="54"/>
  <c r="AN16" i="54"/>
  <c r="AM16" i="54"/>
  <c r="AL16" i="54"/>
  <c r="AK16" i="54"/>
  <c r="AJ16" i="54"/>
  <c r="AI16" i="54"/>
  <c r="AH16" i="54"/>
  <c r="AG16" i="54"/>
  <c r="AF16" i="54"/>
  <c r="AE16" i="54"/>
  <c r="AD16" i="54"/>
  <c r="Y16" i="54"/>
  <c r="W16" i="54"/>
  <c r="V16" i="54"/>
  <c r="U16" i="54"/>
  <c r="T16" i="54"/>
  <c r="A16" i="54"/>
  <c r="AN15" i="54"/>
  <c r="AM15" i="54"/>
  <c r="AL15" i="54"/>
  <c r="AK15" i="54"/>
  <c r="AJ15" i="54"/>
  <c r="AI15" i="54"/>
  <c r="AH15" i="54"/>
  <c r="AG15" i="54"/>
  <c r="AF15" i="54"/>
  <c r="AE15" i="54"/>
  <c r="AD15" i="54"/>
  <c r="Y15" i="54"/>
  <c r="W15" i="54"/>
  <c r="V15" i="54"/>
  <c r="U15" i="54"/>
  <c r="T15" i="54"/>
  <c r="AN14" i="54"/>
  <c r="AM14" i="54"/>
  <c r="AL14" i="54"/>
  <c r="AK14" i="54"/>
  <c r="AJ14" i="54"/>
  <c r="AI14" i="54"/>
  <c r="AH14" i="54"/>
  <c r="AG14" i="54"/>
  <c r="AF14" i="54"/>
  <c r="AE14" i="54"/>
  <c r="AD14" i="54"/>
  <c r="Y14" i="54"/>
  <c r="W14" i="54"/>
  <c r="V14" i="54"/>
  <c r="U14" i="54"/>
  <c r="T14" i="54"/>
  <c r="A14" i="54"/>
  <c r="AN13" i="54"/>
  <c r="AM13" i="54"/>
  <c r="AL13" i="54"/>
  <c r="AK13" i="54"/>
  <c r="AJ13" i="54"/>
  <c r="AI13" i="54"/>
  <c r="AH13" i="54"/>
  <c r="AG13" i="54"/>
  <c r="AF13" i="54"/>
  <c r="AE13" i="54"/>
  <c r="AD13" i="54"/>
  <c r="Y13" i="54"/>
  <c r="W13" i="54"/>
  <c r="V13" i="54"/>
  <c r="U13" i="54"/>
  <c r="T13" i="54"/>
  <c r="AN12" i="54"/>
  <c r="AM12" i="54"/>
  <c r="AL12" i="54"/>
  <c r="AK12" i="54"/>
  <c r="AJ12" i="54"/>
  <c r="AI12" i="54"/>
  <c r="AH12" i="54"/>
  <c r="AG12" i="54"/>
  <c r="AF12" i="54"/>
  <c r="AE12" i="54"/>
  <c r="AD12" i="54"/>
  <c r="Y12" i="54"/>
  <c r="W12" i="54"/>
  <c r="V12" i="54"/>
  <c r="U12" i="54"/>
  <c r="T12" i="54"/>
  <c r="A12" i="54"/>
  <c r="AN11" i="54"/>
  <c r="AM11" i="54"/>
  <c r="AL11" i="54"/>
  <c r="AK11" i="54"/>
  <c r="AJ11" i="54"/>
  <c r="AI11" i="54"/>
  <c r="AH11" i="54"/>
  <c r="AG11" i="54"/>
  <c r="AF11" i="54"/>
  <c r="AE11" i="54"/>
  <c r="AD11" i="54"/>
  <c r="Y11" i="54"/>
  <c r="W11" i="54"/>
  <c r="V11" i="54"/>
  <c r="U11" i="54"/>
  <c r="T11" i="54"/>
  <c r="AN10" i="54"/>
  <c r="AM10" i="54"/>
  <c r="AL10" i="54"/>
  <c r="AK10" i="54"/>
  <c r="AJ10" i="54"/>
  <c r="AI10" i="54"/>
  <c r="AH10" i="54"/>
  <c r="AG10" i="54"/>
  <c r="AF10" i="54"/>
  <c r="AE10" i="54"/>
  <c r="AD10" i="54"/>
  <c r="Y10" i="54"/>
  <c r="W10" i="54"/>
  <c r="V10" i="54"/>
  <c r="U10" i="54"/>
  <c r="T10" i="54"/>
  <c r="A10" i="54"/>
  <c r="AN9" i="54"/>
  <c r="AM9" i="54"/>
  <c r="AL9" i="54"/>
  <c r="AK9" i="54"/>
  <c r="AJ9" i="54"/>
  <c r="AI9" i="54"/>
  <c r="AH9" i="54"/>
  <c r="AG9" i="54"/>
  <c r="AF9" i="54"/>
  <c r="AE9" i="54"/>
  <c r="AD9" i="54"/>
  <c r="Y9" i="54"/>
  <c r="W9" i="54"/>
  <c r="V9" i="54"/>
  <c r="U9" i="54"/>
  <c r="T9" i="54"/>
  <c r="AN8" i="54"/>
  <c r="AM8" i="54"/>
  <c r="AL8" i="54"/>
  <c r="AK8" i="54"/>
  <c r="AJ8" i="54"/>
  <c r="AI8" i="54"/>
  <c r="AH8" i="54"/>
  <c r="AG8" i="54"/>
  <c r="AF8" i="54"/>
  <c r="AD8" i="54"/>
  <c r="Y8" i="54"/>
  <c r="W8" i="54"/>
  <c r="V8" i="54"/>
  <c r="U8" i="54"/>
  <c r="T8" i="54"/>
  <c r="AN7" i="54"/>
  <c r="AM7" i="54"/>
  <c r="AL7" i="54"/>
  <c r="AK7" i="54"/>
  <c r="AJ7" i="54"/>
  <c r="AI7" i="54"/>
  <c r="AH7" i="54"/>
  <c r="AG7" i="54"/>
  <c r="AF7" i="54"/>
  <c r="AD7" i="54"/>
  <c r="Y7" i="54"/>
  <c r="W7" i="54"/>
  <c r="V7" i="54"/>
  <c r="U7" i="54"/>
  <c r="T7" i="54"/>
  <c r="AN6" i="54"/>
  <c r="AM6" i="54"/>
  <c r="AL6" i="54"/>
  <c r="AK6" i="54"/>
  <c r="AJ6" i="54"/>
  <c r="AI6" i="54"/>
  <c r="AH6" i="54"/>
  <c r="AG6" i="54"/>
  <c r="AF6" i="54"/>
  <c r="AD6" i="54"/>
  <c r="Y6" i="54"/>
  <c r="W6" i="54"/>
  <c r="V6" i="54"/>
  <c r="U6" i="54"/>
  <c r="T6" i="54"/>
  <c r="A6" i="54"/>
  <c r="AN5" i="54"/>
  <c r="AM5" i="54"/>
  <c r="AL5" i="54"/>
  <c r="AK5" i="54"/>
  <c r="AJ5" i="54"/>
  <c r="AI5" i="54"/>
  <c r="AH5" i="54"/>
  <c r="AG5" i="54"/>
  <c r="AF5" i="54"/>
  <c r="AD5" i="54"/>
  <c r="Y5" i="54"/>
  <c r="W5" i="54"/>
  <c r="V5" i="54"/>
  <c r="U5" i="54"/>
  <c r="T5" i="54"/>
  <c r="F1" i="54"/>
  <c r="AN24" i="73"/>
  <c r="AM24" i="73"/>
  <c r="AL24" i="73"/>
  <c r="AK24" i="73"/>
  <c r="AJ24" i="73"/>
  <c r="AI24" i="73"/>
  <c r="AH24" i="73"/>
  <c r="AG24" i="73"/>
  <c r="AF24" i="73"/>
  <c r="AE24" i="73"/>
  <c r="AD24" i="73"/>
  <c r="Y24" i="73"/>
  <c r="W24" i="73"/>
  <c r="V24" i="73"/>
  <c r="U24" i="73"/>
  <c r="T24" i="73"/>
  <c r="AN23" i="73"/>
  <c r="AM23" i="73"/>
  <c r="AL23" i="73"/>
  <c r="AK23" i="73"/>
  <c r="AJ23" i="73"/>
  <c r="AI23" i="73"/>
  <c r="AH23" i="73"/>
  <c r="AG23" i="73"/>
  <c r="AF23" i="73"/>
  <c r="AE23" i="73"/>
  <c r="AD23" i="73"/>
  <c r="Y23" i="73"/>
  <c r="W23" i="73"/>
  <c r="V23" i="73"/>
  <c r="U23" i="73"/>
  <c r="T23" i="73"/>
  <c r="AN22" i="73"/>
  <c r="AM22" i="73"/>
  <c r="AL22" i="73"/>
  <c r="AK22" i="73"/>
  <c r="AJ22" i="73"/>
  <c r="AI22" i="73"/>
  <c r="AH22" i="73"/>
  <c r="AG22" i="73"/>
  <c r="AF22" i="73"/>
  <c r="AE22" i="73"/>
  <c r="AD22" i="73"/>
  <c r="Y22" i="73"/>
  <c r="W22" i="73"/>
  <c r="V22" i="73"/>
  <c r="U22" i="73"/>
  <c r="T22" i="73"/>
  <c r="AN21" i="73"/>
  <c r="AM21" i="73"/>
  <c r="AL21" i="73"/>
  <c r="AK21" i="73"/>
  <c r="AJ21" i="73"/>
  <c r="AI21" i="73"/>
  <c r="AH21" i="73"/>
  <c r="AG21" i="73"/>
  <c r="AF21" i="73"/>
  <c r="AE21" i="73"/>
  <c r="AD21" i="73"/>
  <c r="Y21" i="73"/>
  <c r="W21" i="73"/>
  <c r="V21" i="73"/>
  <c r="U21" i="73"/>
  <c r="T21" i="73"/>
  <c r="AN20" i="73"/>
  <c r="AM20" i="73"/>
  <c r="AL20" i="73"/>
  <c r="AK20" i="73"/>
  <c r="AJ20" i="73"/>
  <c r="AI20" i="73"/>
  <c r="AH20" i="73"/>
  <c r="AG20" i="73"/>
  <c r="AF20" i="73"/>
  <c r="AE20" i="73"/>
  <c r="AD20" i="73"/>
  <c r="Y20" i="73"/>
  <c r="W20" i="73"/>
  <c r="V20" i="73"/>
  <c r="U20" i="73"/>
  <c r="T20" i="73"/>
  <c r="AN19" i="73"/>
  <c r="AM19" i="73"/>
  <c r="AL19" i="73"/>
  <c r="AK19" i="73"/>
  <c r="AJ19" i="73"/>
  <c r="AI19" i="73"/>
  <c r="AH19" i="73"/>
  <c r="AG19" i="73"/>
  <c r="AF19" i="73"/>
  <c r="AE19" i="73"/>
  <c r="AD19" i="73"/>
  <c r="Y19" i="73"/>
  <c r="W19" i="73"/>
  <c r="V19" i="73"/>
  <c r="U19" i="73"/>
  <c r="T19" i="73"/>
  <c r="AN18" i="73"/>
  <c r="AM18" i="73"/>
  <c r="AL18" i="73"/>
  <c r="AK18" i="73"/>
  <c r="AJ18" i="73"/>
  <c r="AI18" i="73"/>
  <c r="AH18" i="73"/>
  <c r="AG18" i="73"/>
  <c r="AF18" i="73"/>
  <c r="AE18" i="73"/>
  <c r="AD18" i="73"/>
  <c r="Y18" i="73"/>
  <c r="W18" i="73"/>
  <c r="V18" i="73"/>
  <c r="U18" i="73"/>
  <c r="T18" i="73"/>
  <c r="AN17" i="73"/>
  <c r="AM17" i="73"/>
  <c r="AL17" i="73"/>
  <c r="AK17" i="73"/>
  <c r="AJ17" i="73"/>
  <c r="AI17" i="73"/>
  <c r="AH17" i="73"/>
  <c r="AG17" i="73"/>
  <c r="AF17" i="73"/>
  <c r="AE17" i="73"/>
  <c r="AD17" i="73"/>
  <c r="Y17" i="73"/>
  <c r="W17" i="73"/>
  <c r="V17" i="73"/>
  <c r="U17" i="73"/>
  <c r="T17" i="73"/>
  <c r="AN16" i="73"/>
  <c r="AM16" i="73"/>
  <c r="AL16" i="73"/>
  <c r="AK16" i="73"/>
  <c r="AJ16" i="73"/>
  <c r="AI16" i="73"/>
  <c r="AH16" i="73"/>
  <c r="AG16" i="73"/>
  <c r="AF16" i="73"/>
  <c r="AE16" i="73"/>
  <c r="AD16" i="73"/>
  <c r="Y16" i="73"/>
  <c r="W16" i="73"/>
  <c r="V16" i="73"/>
  <c r="U16" i="73"/>
  <c r="T16" i="73"/>
  <c r="A16" i="73"/>
  <c r="AN15" i="73"/>
  <c r="AM15" i="73"/>
  <c r="AL15" i="73"/>
  <c r="AK15" i="73"/>
  <c r="AJ15" i="73"/>
  <c r="AI15" i="73"/>
  <c r="AH15" i="73"/>
  <c r="AG15" i="73"/>
  <c r="AF15" i="73"/>
  <c r="AE15" i="73"/>
  <c r="AD15" i="73"/>
  <c r="Y15" i="73"/>
  <c r="W15" i="73"/>
  <c r="V15" i="73"/>
  <c r="U15" i="73"/>
  <c r="T15" i="73"/>
  <c r="AN14" i="73"/>
  <c r="AM14" i="73"/>
  <c r="AL14" i="73"/>
  <c r="AK14" i="73"/>
  <c r="AJ14" i="73"/>
  <c r="AI14" i="73"/>
  <c r="AH14" i="73"/>
  <c r="AG14" i="73"/>
  <c r="AF14" i="73"/>
  <c r="AE14" i="73"/>
  <c r="AD14" i="73"/>
  <c r="Y14" i="73"/>
  <c r="W14" i="73"/>
  <c r="V14" i="73"/>
  <c r="U14" i="73"/>
  <c r="T14" i="73"/>
  <c r="A14" i="73"/>
  <c r="AN13" i="73"/>
  <c r="AM13" i="73"/>
  <c r="AL13" i="73"/>
  <c r="AK13" i="73"/>
  <c r="AJ13" i="73"/>
  <c r="AI13" i="73"/>
  <c r="AH13" i="73"/>
  <c r="AG13" i="73"/>
  <c r="AF13" i="73"/>
  <c r="AE13" i="73"/>
  <c r="AD13" i="73"/>
  <c r="Y13" i="73"/>
  <c r="W13" i="73"/>
  <c r="V13" i="73"/>
  <c r="U13" i="73"/>
  <c r="T13" i="73"/>
  <c r="AN12" i="73"/>
  <c r="AM12" i="73"/>
  <c r="AL12" i="73"/>
  <c r="AK12" i="73"/>
  <c r="AJ12" i="73"/>
  <c r="AI12" i="73"/>
  <c r="AH12" i="73"/>
  <c r="AG12" i="73"/>
  <c r="AF12" i="73"/>
  <c r="AE12" i="73"/>
  <c r="AD12" i="73"/>
  <c r="Y12" i="73"/>
  <c r="W12" i="73"/>
  <c r="V12" i="73"/>
  <c r="U12" i="73"/>
  <c r="T12" i="73"/>
  <c r="A12" i="73"/>
  <c r="AN11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U11" i="73"/>
  <c r="T11" i="73"/>
  <c r="AN10" i="73"/>
  <c r="AM10" i="73"/>
  <c r="AL10" i="73"/>
  <c r="AK10" i="73"/>
  <c r="AJ10" i="73"/>
  <c r="AI10" i="73"/>
  <c r="AH10" i="73"/>
  <c r="AG10" i="73"/>
  <c r="AF10" i="73"/>
  <c r="AE10" i="73"/>
  <c r="AD10" i="73"/>
  <c r="Y10" i="73"/>
  <c r="W10" i="73"/>
  <c r="V10" i="73"/>
  <c r="U10" i="73"/>
  <c r="T10" i="73"/>
  <c r="A10" i="73"/>
  <c r="AN9" i="73"/>
  <c r="AM9" i="73"/>
  <c r="AL9" i="73"/>
  <c r="AK9" i="73"/>
  <c r="AJ9" i="73"/>
  <c r="AI9" i="73"/>
  <c r="AH9" i="73"/>
  <c r="AG9" i="73"/>
  <c r="AF9" i="73"/>
  <c r="AE9" i="73"/>
  <c r="AD9" i="73"/>
  <c r="Y9" i="73"/>
  <c r="W9" i="73"/>
  <c r="V9" i="73"/>
  <c r="U9" i="73"/>
  <c r="T9" i="73"/>
  <c r="AN8" i="73"/>
  <c r="AM8" i="73"/>
  <c r="AL8" i="73"/>
  <c r="AK8" i="73"/>
  <c r="AJ8" i="73"/>
  <c r="AI8" i="73"/>
  <c r="AH8" i="73"/>
  <c r="AG8" i="73"/>
  <c r="AF8" i="73"/>
  <c r="AD8" i="73"/>
  <c r="Y8" i="73"/>
  <c r="W8" i="73"/>
  <c r="V8" i="73"/>
  <c r="U8" i="73"/>
  <c r="T8" i="73"/>
  <c r="AN7" i="73"/>
  <c r="AM7" i="73"/>
  <c r="AL7" i="73"/>
  <c r="AK7" i="73"/>
  <c r="AJ7" i="73"/>
  <c r="AI7" i="73"/>
  <c r="AH7" i="73"/>
  <c r="AG7" i="73"/>
  <c r="AF7" i="73"/>
  <c r="AD7" i="73"/>
  <c r="Y7" i="73"/>
  <c r="W7" i="73"/>
  <c r="V7" i="73"/>
  <c r="U7" i="73"/>
  <c r="T7" i="73"/>
  <c r="AN6" i="73"/>
  <c r="AM6" i="73"/>
  <c r="AL6" i="73"/>
  <c r="AK6" i="73"/>
  <c r="AJ6" i="73"/>
  <c r="AI6" i="73"/>
  <c r="AH6" i="73"/>
  <c r="AG6" i="73"/>
  <c r="AF6" i="73"/>
  <c r="AD6" i="73"/>
  <c r="Y6" i="73"/>
  <c r="W6" i="73"/>
  <c r="V6" i="73"/>
  <c r="U6" i="73"/>
  <c r="T6" i="73"/>
  <c r="A6" i="73"/>
  <c r="AN5" i="73"/>
  <c r="AM5" i="73"/>
  <c r="AL5" i="73"/>
  <c r="AK5" i="73"/>
  <c r="AJ5" i="73"/>
  <c r="AI5" i="73"/>
  <c r="AH5" i="73"/>
  <c r="AG5" i="73"/>
  <c r="AF5" i="73"/>
  <c r="AD5" i="73"/>
  <c r="Y5" i="73"/>
  <c r="W5" i="73"/>
  <c r="V5" i="73"/>
  <c r="U5" i="73"/>
  <c r="T5" i="73"/>
  <c r="F1" i="73"/>
  <c r="AN24" i="71"/>
  <c r="AM24" i="71"/>
  <c r="AL24" i="71"/>
  <c r="AK24" i="71"/>
  <c r="AJ24" i="71"/>
  <c r="AI24" i="71"/>
  <c r="AH24" i="71"/>
  <c r="AG24" i="71"/>
  <c r="AF24" i="71"/>
  <c r="AE24" i="71"/>
  <c r="AD24" i="71"/>
  <c r="Y24" i="71"/>
  <c r="W24" i="71"/>
  <c r="V24" i="71"/>
  <c r="U24" i="71"/>
  <c r="T24" i="71"/>
  <c r="AN23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N22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N21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N20" i="71"/>
  <c r="AM20" i="71"/>
  <c r="AL20" i="71"/>
  <c r="AK20" i="71"/>
  <c r="AJ20" i="71"/>
  <c r="AI20" i="71"/>
  <c r="AH20" i="71"/>
  <c r="AG20" i="71"/>
  <c r="AF20" i="71"/>
  <c r="AE20" i="71"/>
  <c r="AD20" i="71"/>
  <c r="Y20" i="71"/>
  <c r="W20" i="71"/>
  <c r="V20" i="71"/>
  <c r="U20" i="71"/>
  <c r="T20" i="71"/>
  <c r="AN19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N18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N17" i="71"/>
  <c r="AM17" i="71"/>
  <c r="AL17" i="71"/>
  <c r="AK17" i="71"/>
  <c r="AJ17" i="71"/>
  <c r="AI17" i="71"/>
  <c r="AH17" i="71"/>
  <c r="AG17" i="71"/>
  <c r="AF17" i="71"/>
  <c r="AE17" i="71"/>
  <c r="AD17" i="71"/>
  <c r="Y17" i="71"/>
  <c r="W17" i="71"/>
  <c r="V17" i="71"/>
  <c r="U17" i="71"/>
  <c r="T17" i="71"/>
  <c r="AN16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N15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N14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N13" i="71"/>
  <c r="AM13" i="71"/>
  <c r="AL13" i="71"/>
  <c r="AK13" i="71"/>
  <c r="AJ13" i="71"/>
  <c r="AI13" i="71"/>
  <c r="AH13" i="71"/>
  <c r="AG13" i="71"/>
  <c r="AF13" i="71"/>
  <c r="AE13" i="71"/>
  <c r="AD13" i="71"/>
  <c r="Y13" i="71"/>
  <c r="W13" i="71"/>
  <c r="V13" i="71"/>
  <c r="U13" i="71"/>
  <c r="T13" i="71"/>
  <c r="AN12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N11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N10" i="71"/>
  <c r="AM10" i="71"/>
  <c r="AL10" i="71"/>
  <c r="AK10" i="71"/>
  <c r="AJ10" i="71"/>
  <c r="AI10" i="71"/>
  <c r="AH10" i="71"/>
  <c r="AG10" i="71"/>
  <c r="AF10" i="71"/>
  <c r="AE10" i="71"/>
  <c r="AD10" i="71"/>
  <c r="Y10" i="71"/>
  <c r="W10" i="71"/>
  <c r="V10" i="71"/>
  <c r="U10" i="71"/>
  <c r="T10" i="71"/>
  <c r="A10" i="71"/>
  <c r="AN9" i="71"/>
  <c r="AM9" i="71"/>
  <c r="AL9" i="71"/>
  <c r="AK9" i="71"/>
  <c r="AJ9" i="71"/>
  <c r="AI9" i="71"/>
  <c r="AH9" i="71"/>
  <c r="AG9" i="71"/>
  <c r="AF9" i="71"/>
  <c r="AE9" i="71"/>
  <c r="AD9" i="71"/>
  <c r="Y9" i="71"/>
  <c r="W9" i="71"/>
  <c r="V9" i="71"/>
  <c r="U9" i="71"/>
  <c r="T9" i="71"/>
  <c r="AN8" i="71"/>
  <c r="AM8" i="71"/>
  <c r="AL8" i="71"/>
  <c r="AK8" i="71"/>
  <c r="AJ8" i="71"/>
  <c r="AI8" i="71"/>
  <c r="AH8" i="71"/>
  <c r="AG8" i="71"/>
  <c r="AF8" i="71"/>
  <c r="AD8" i="71"/>
  <c r="Y8" i="71"/>
  <c r="W8" i="71"/>
  <c r="V8" i="71"/>
  <c r="U8" i="71"/>
  <c r="T8" i="71"/>
  <c r="AN7" i="71"/>
  <c r="AM7" i="71"/>
  <c r="AL7" i="71"/>
  <c r="AK7" i="71"/>
  <c r="AJ7" i="71"/>
  <c r="AI7" i="71"/>
  <c r="AH7" i="71"/>
  <c r="AG7" i="71"/>
  <c r="AF7" i="71"/>
  <c r="AD7" i="71"/>
  <c r="Y7" i="71"/>
  <c r="W7" i="71"/>
  <c r="V7" i="71"/>
  <c r="U7" i="71"/>
  <c r="T7" i="71"/>
  <c r="AN6" i="71"/>
  <c r="AM6" i="71"/>
  <c r="AL6" i="71"/>
  <c r="AK6" i="71"/>
  <c r="AJ6" i="71"/>
  <c r="AI6" i="71"/>
  <c r="AH6" i="71"/>
  <c r="AG6" i="71"/>
  <c r="AF6" i="71"/>
  <c r="AD6" i="71"/>
  <c r="Y6" i="71"/>
  <c r="W6" i="71"/>
  <c r="V6" i="71"/>
  <c r="U6" i="71"/>
  <c r="T6" i="71"/>
  <c r="A6" i="71"/>
  <c r="AN5" i="71"/>
  <c r="AM5" i="71"/>
  <c r="AL5" i="71"/>
  <c r="AK5" i="71"/>
  <c r="AJ5" i="71"/>
  <c r="AI5" i="71"/>
  <c r="AH5" i="71"/>
  <c r="AG5" i="71"/>
  <c r="AF5" i="71"/>
  <c r="AD5" i="71"/>
  <c r="Y5" i="71"/>
  <c r="W5" i="71"/>
  <c r="V5" i="71"/>
  <c r="U5" i="71"/>
  <c r="T5" i="71"/>
  <c r="F1" i="71"/>
  <c r="AN55" i="53"/>
  <c r="AM55" i="53"/>
  <c r="AL55" i="53"/>
  <c r="AK55" i="53"/>
  <c r="AJ55" i="53"/>
  <c r="AI55" i="53"/>
  <c r="AH55" i="53"/>
  <c r="AG55" i="53"/>
  <c r="AF55" i="53"/>
  <c r="AE55" i="53"/>
  <c r="AD55" i="53"/>
  <c r="Y55" i="53"/>
  <c r="W55" i="53"/>
  <c r="V55" i="53"/>
  <c r="U55" i="53"/>
  <c r="T55" i="53"/>
  <c r="AN54" i="53"/>
  <c r="AM54" i="53"/>
  <c r="AL54" i="53"/>
  <c r="AK54" i="53"/>
  <c r="AJ54" i="53"/>
  <c r="AI54" i="53"/>
  <c r="AH54" i="53"/>
  <c r="AG54" i="53"/>
  <c r="AF54" i="53"/>
  <c r="AE54" i="53"/>
  <c r="AD54" i="53"/>
  <c r="Y54" i="53"/>
  <c r="W54" i="53"/>
  <c r="V54" i="53"/>
  <c r="U54" i="53"/>
  <c r="T54" i="53"/>
  <c r="AN53" i="53"/>
  <c r="AM53" i="53"/>
  <c r="AL53" i="53"/>
  <c r="AK53" i="53"/>
  <c r="AJ53" i="53"/>
  <c r="AI53" i="53"/>
  <c r="AH53" i="53"/>
  <c r="AG53" i="53"/>
  <c r="AF53" i="53"/>
  <c r="AE53" i="53"/>
  <c r="AD53" i="53"/>
  <c r="Y53" i="53"/>
  <c r="W53" i="53"/>
  <c r="V53" i="53"/>
  <c r="U53" i="53"/>
  <c r="T53" i="53"/>
  <c r="AN52" i="53"/>
  <c r="AM52" i="53"/>
  <c r="AL52" i="53"/>
  <c r="AK52" i="53"/>
  <c r="AJ52" i="53"/>
  <c r="AI52" i="53"/>
  <c r="AH52" i="53"/>
  <c r="AG52" i="53"/>
  <c r="AF52" i="53"/>
  <c r="AE52" i="53"/>
  <c r="AD52" i="53"/>
  <c r="Y52" i="53"/>
  <c r="W52" i="53"/>
  <c r="V52" i="53"/>
  <c r="U52" i="53"/>
  <c r="T52" i="53"/>
  <c r="AN51" i="53"/>
  <c r="AM51" i="53"/>
  <c r="AL51" i="53"/>
  <c r="AK51" i="53"/>
  <c r="AJ51" i="53"/>
  <c r="AI51" i="53"/>
  <c r="AH51" i="53"/>
  <c r="AG51" i="53"/>
  <c r="AF51" i="53"/>
  <c r="AE51" i="53"/>
  <c r="AD51" i="53"/>
  <c r="Y51" i="53"/>
  <c r="W51" i="53"/>
  <c r="V51" i="53"/>
  <c r="U51" i="53"/>
  <c r="T51" i="53"/>
  <c r="AN50" i="53"/>
  <c r="AM50" i="53"/>
  <c r="AL50" i="53"/>
  <c r="AK50" i="53"/>
  <c r="AJ50" i="53"/>
  <c r="AI50" i="53"/>
  <c r="AH50" i="53"/>
  <c r="AG50" i="53"/>
  <c r="AF50" i="53"/>
  <c r="AE50" i="53"/>
  <c r="AD50" i="53"/>
  <c r="Y50" i="53"/>
  <c r="W50" i="53"/>
  <c r="V50" i="53"/>
  <c r="U50" i="53"/>
  <c r="T50" i="53"/>
  <c r="AN49" i="53"/>
  <c r="AM49" i="53"/>
  <c r="AL49" i="53"/>
  <c r="AK49" i="53"/>
  <c r="AJ49" i="53"/>
  <c r="AI49" i="53"/>
  <c r="AH49" i="53"/>
  <c r="AG49" i="53"/>
  <c r="AF49" i="53"/>
  <c r="AE49" i="53"/>
  <c r="AD49" i="53"/>
  <c r="Y49" i="53"/>
  <c r="W49" i="53"/>
  <c r="V49" i="53"/>
  <c r="U49" i="53"/>
  <c r="T49" i="53"/>
  <c r="AN48" i="53"/>
  <c r="AM48" i="53"/>
  <c r="AL48" i="53"/>
  <c r="AK48" i="53"/>
  <c r="AJ48" i="53"/>
  <c r="AI48" i="53"/>
  <c r="AH48" i="53"/>
  <c r="AG48" i="53"/>
  <c r="AF48" i="53"/>
  <c r="AE48" i="53"/>
  <c r="AD48" i="53"/>
  <c r="Y48" i="53"/>
  <c r="W48" i="53"/>
  <c r="V48" i="53"/>
  <c r="U48" i="53"/>
  <c r="T48" i="53"/>
  <c r="AN47" i="53"/>
  <c r="AM47" i="53"/>
  <c r="AL47" i="53"/>
  <c r="AK47" i="53"/>
  <c r="AJ47" i="53"/>
  <c r="AI47" i="53"/>
  <c r="AH47" i="53"/>
  <c r="AG47" i="53"/>
  <c r="AF47" i="53"/>
  <c r="AE47" i="53"/>
  <c r="AD47" i="53"/>
  <c r="Y47" i="53"/>
  <c r="W47" i="53"/>
  <c r="V47" i="53"/>
  <c r="U47" i="53"/>
  <c r="T47" i="53"/>
  <c r="AN46" i="53"/>
  <c r="AM46" i="53"/>
  <c r="AL46" i="53"/>
  <c r="AK46" i="53"/>
  <c r="AJ46" i="53"/>
  <c r="AI46" i="53"/>
  <c r="AH46" i="53"/>
  <c r="AG46" i="53"/>
  <c r="AF46" i="53"/>
  <c r="AE46" i="53"/>
  <c r="AD46" i="53"/>
  <c r="Y46" i="53"/>
  <c r="W46" i="53"/>
  <c r="V46" i="53"/>
  <c r="U46" i="53"/>
  <c r="T46" i="53"/>
  <c r="AN45" i="53"/>
  <c r="AM45" i="53"/>
  <c r="AL45" i="53"/>
  <c r="AK45" i="53"/>
  <c r="AJ45" i="53"/>
  <c r="AI45" i="53"/>
  <c r="AH45" i="53"/>
  <c r="AG45" i="53"/>
  <c r="AF45" i="53"/>
  <c r="AE45" i="53"/>
  <c r="AD45" i="53"/>
  <c r="Y45" i="53"/>
  <c r="W45" i="53"/>
  <c r="V45" i="53"/>
  <c r="U45" i="53"/>
  <c r="T45" i="53"/>
  <c r="AN44" i="53"/>
  <c r="AM44" i="53"/>
  <c r="AL44" i="53"/>
  <c r="AK44" i="53"/>
  <c r="AJ44" i="53"/>
  <c r="AI44" i="53"/>
  <c r="AH44" i="53"/>
  <c r="AG44" i="53"/>
  <c r="AF44" i="53"/>
  <c r="AE44" i="53"/>
  <c r="AD44" i="53"/>
  <c r="Y44" i="53"/>
  <c r="W44" i="53"/>
  <c r="V44" i="53"/>
  <c r="U44" i="53"/>
  <c r="T44" i="53"/>
  <c r="AN43" i="53"/>
  <c r="AM43" i="53"/>
  <c r="AL43" i="53"/>
  <c r="AK43" i="53"/>
  <c r="AJ43" i="53"/>
  <c r="AI43" i="53"/>
  <c r="AH43" i="53"/>
  <c r="AG43" i="53"/>
  <c r="AF43" i="53"/>
  <c r="AE43" i="53"/>
  <c r="AD43" i="53"/>
  <c r="Y43" i="53"/>
  <c r="W43" i="53"/>
  <c r="V43" i="53"/>
  <c r="U43" i="53"/>
  <c r="T43" i="53"/>
  <c r="AN42" i="53"/>
  <c r="AM42" i="53"/>
  <c r="AL42" i="53"/>
  <c r="AK42" i="53"/>
  <c r="AJ42" i="53"/>
  <c r="AI42" i="53"/>
  <c r="AH42" i="53"/>
  <c r="AG42" i="53"/>
  <c r="AF42" i="53"/>
  <c r="AE42" i="53"/>
  <c r="AD42" i="53"/>
  <c r="Y42" i="53"/>
  <c r="W42" i="53"/>
  <c r="V42" i="53"/>
  <c r="U42" i="53"/>
  <c r="T42" i="53"/>
  <c r="AN41" i="53"/>
  <c r="AM41" i="53"/>
  <c r="AL41" i="53"/>
  <c r="AK41" i="53"/>
  <c r="AJ41" i="53"/>
  <c r="AI41" i="53"/>
  <c r="AH41" i="53"/>
  <c r="AG41" i="53"/>
  <c r="AF41" i="53"/>
  <c r="AE41" i="53"/>
  <c r="AD41" i="53"/>
  <c r="Y41" i="53"/>
  <c r="W41" i="53"/>
  <c r="V41" i="53"/>
  <c r="U41" i="53"/>
  <c r="T41" i="53"/>
  <c r="AN40" i="53"/>
  <c r="AM40" i="53"/>
  <c r="AL40" i="53"/>
  <c r="AK40" i="53"/>
  <c r="AJ40" i="53"/>
  <c r="AI40" i="53"/>
  <c r="AH40" i="53"/>
  <c r="AG40" i="53"/>
  <c r="AF40" i="53"/>
  <c r="AE40" i="53"/>
  <c r="AD40" i="53"/>
  <c r="Y40" i="53"/>
  <c r="W40" i="53"/>
  <c r="V40" i="53"/>
  <c r="U40" i="53"/>
  <c r="T40" i="53"/>
  <c r="AN39" i="53"/>
  <c r="AM39" i="53"/>
  <c r="AL39" i="53"/>
  <c r="AK39" i="53"/>
  <c r="AJ39" i="53"/>
  <c r="AI39" i="53"/>
  <c r="AH39" i="53"/>
  <c r="AG39" i="53"/>
  <c r="AF39" i="53"/>
  <c r="AE39" i="53"/>
  <c r="AD39" i="53"/>
  <c r="Y39" i="53"/>
  <c r="W39" i="53"/>
  <c r="V39" i="53"/>
  <c r="U39" i="53"/>
  <c r="T39" i="53"/>
  <c r="AN38" i="53"/>
  <c r="AM38" i="53"/>
  <c r="AL38" i="53"/>
  <c r="AK38" i="53"/>
  <c r="AJ38" i="53"/>
  <c r="AI38" i="53"/>
  <c r="AH38" i="53"/>
  <c r="AG38" i="53"/>
  <c r="AF38" i="53"/>
  <c r="AE38" i="53"/>
  <c r="AD38" i="53"/>
  <c r="Y38" i="53"/>
  <c r="W38" i="53"/>
  <c r="V38" i="53"/>
  <c r="U38" i="53"/>
  <c r="T38" i="53"/>
  <c r="AN37" i="53"/>
  <c r="AM37" i="53"/>
  <c r="AL37" i="53"/>
  <c r="AK37" i="53"/>
  <c r="AJ37" i="53"/>
  <c r="AI37" i="53"/>
  <c r="AH37" i="53"/>
  <c r="AG37" i="53"/>
  <c r="AF37" i="53"/>
  <c r="AE37" i="53"/>
  <c r="AD37" i="53"/>
  <c r="Y37" i="53"/>
  <c r="W37" i="53"/>
  <c r="V37" i="53"/>
  <c r="U37" i="53"/>
  <c r="T37" i="53"/>
  <c r="AN36" i="53"/>
  <c r="AM36" i="53"/>
  <c r="AL36" i="53"/>
  <c r="AK36" i="53"/>
  <c r="AJ36" i="53"/>
  <c r="AI36" i="53"/>
  <c r="AH36" i="53"/>
  <c r="AG36" i="53"/>
  <c r="AF36" i="53"/>
  <c r="AE36" i="53"/>
  <c r="AD36" i="53"/>
  <c r="Y36" i="53"/>
  <c r="W36" i="53"/>
  <c r="V36" i="53"/>
  <c r="U36" i="53"/>
  <c r="T36" i="53"/>
  <c r="AN35" i="53"/>
  <c r="AM35" i="53"/>
  <c r="AL35" i="53"/>
  <c r="AK35" i="53"/>
  <c r="AJ35" i="53"/>
  <c r="AI35" i="53"/>
  <c r="AH35" i="53"/>
  <c r="AG35" i="53"/>
  <c r="AF35" i="53"/>
  <c r="AE35" i="53"/>
  <c r="AD35" i="53"/>
  <c r="Y35" i="53"/>
  <c r="W35" i="53"/>
  <c r="V35" i="53"/>
  <c r="U35" i="53"/>
  <c r="T35" i="53"/>
  <c r="AN34" i="53"/>
  <c r="AM34" i="53"/>
  <c r="AL34" i="53"/>
  <c r="AK34" i="53"/>
  <c r="AJ34" i="53"/>
  <c r="AI34" i="53"/>
  <c r="AH34" i="53"/>
  <c r="AG34" i="53"/>
  <c r="AF34" i="53"/>
  <c r="AE34" i="53"/>
  <c r="AD34" i="53"/>
  <c r="Y34" i="53"/>
  <c r="W34" i="53"/>
  <c r="V34" i="53"/>
  <c r="U34" i="53"/>
  <c r="T34" i="53"/>
  <c r="AN33" i="53"/>
  <c r="AM33" i="53"/>
  <c r="AL33" i="53"/>
  <c r="AK33" i="53"/>
  <c r="AJ33" i="53"/>
  <c r="AI33" i="53"/>
  <c r="AH33" i="53"/>
  <c r="AG33" i="53"/>
  <c r="AF33" i="53"/>
  <c r="AE33" i="53"/>
  <c r="AD33" i="53"/>
  <c r="Y33" i="53"/>
  <c r="W33" i="53"/>
  <c r="V33" i="53"/>
  <c r="U33" i="53"/>
  <c r="T33" i="53"/>
  <c r="AN32" i="53"/>
  <c r="AM32" i="53"/>
  <c r="AL32" i="53"/>
  <c r="AK32" i="53"/>
  <c r="AJ32" i="53"/>
  <c r="AI32" i="53"/>
  <c r="AH32" i="53"/>
  <c r="AG32" i="53"/>
  <c r="AF32" i="53"/>
  <c r="AE32" i="53"/>
  <c r="AD32" i="53"/>
  <c r="Y32" i="53"/>
  <c r="W32" i="53"/>
  <c r="V32" i="53"/>
  <c r="U32" i="53"/>
  <c r="T32" i="53"/>
  <c r="AN31" i="53"/>
  <c r="AM31" i="53"/>
  <c r="AL31" i="53"/>
  <c r="AK31" i="53"/>
  <c r="AJ31" i="53"/>
  <c r="AI31" i="53"/>
  <c r="AH31" i="53"/>
  <c r="AG31" i="53"/>
  <c r="AF31" i="53"/>
  <c r="AE31" i="53"/>
  <c r="AD31" i="53"/>
  <c r="Y31" i="53"/>
  <c r="W31" i="53"/>
  <c r="V31" i="53"/>
  <c r="U31" i="53"/>
  <c r="T31" i="53"/>
  <c r="AN30" i="53"/>
  <c r="AM30" i="53"/>
  <c r="AL30" i="53"/>
  <c r="AK30" i="53"/>
  <c r="AJ30" i="53"/>
  <c r="AI30" i="53"/>
  <c r="AH30" i="53"/>
  <c r="AG30" i="53"/>
  <c r="AF30" i="53"/>
  <c r="AE30" i="53"/>
  <c r="AD30" i="53"/>
  <c r="Y30" i="53"/>
  <c r="W30" i="53"/>
  <c r="V30" i="53"/>
  <c r="U30" i="53"/>
  <c r="T30" i="53"/>
  <c r="AN29" i="53"/>
  <c r="AM29" i="53"/>
  <c r="AL29" i="53"/>
  <c r="AK29" i="53"/>
  <c r="AJ29" i="53"/>
  <c r="AI29" i="53"/>
  <c r="AH29" i="53"/>
  <c r="AG29" i="53"/>
  <c r="AF29" i="53"/>
  <c r="AE29" i="53"/>
  <c r="AD29" i="53"/>
  <c r="Y29" i="53"/>
  <c r="W29" i="53"/>
  <c r="V29" i="53"/>
  <c r="U29" i="53"/>
  <c r="T29" i="53"/>
  <c r="AN28" i="53"/>
  <c r="AM28" i="53"/>
  <c r="AL28" i="53"/>
  <c r="AK28" i="53"/>
  <c r="AJ28" i="53"/>
  <c r="AI28" i="53"/>
  <c r="AH28" i="53"/>
  <c r="AG28" i="53"/>
  <c r="AF28" i="53"/>
  <c r="AE28" i="53"/>
  <c r="AD28" i="53"/>
  <c r="Y28" i="53"/>
  <c r="W28" i="53"/>
  <c r="V28" i="53"/>
  <c r="U28" i="53"/>
  <c r="T28" i="53"/>
  <c r="AN27" i="53"/>
  <c r="AM27" i="53"/>
  <c r="AL27" i="53"/>
  <c r="AK27" i="53"/>
  <c r="AJ27" i="53"/>
  <c r="AI27" i="53"/>
  <c r="AH27" i="53"/>
  <c r="AG27" i="53"/>
  <c r="AF27" i="53"/>
  <c r="AE27" i="53"/>
  <c r="AD27" i="53"/>
  <c r="Y27" i="53"/>
  <c r="W27" i="53"/>
  <c r="V27" i="53"/>
  <c r="U27" i="53"/>
  <c r="T27" i="53"/>
  <c r="AN26" i="53"/>
  <c r="AM26" i="53"/>
  <c r="AL26" i="53"/>
  <c r="AK26" i="53"/>
  <c r="AJ26" i="53"/>
  <c r="AI26" i="53"/>
  <c r="AH26" i="53"/>
  <c r="AG26" i="53"/>
  <c r="AF26" i="53"/>
  <c r="AE26" i="53"/>
  <c r="AD26" i="53"/>
  <c r="Y26" i="53"/>
  <c r="W26" i="53"/>
  <c r="V26" i="53"/>
  <c r="U26" i="53"/>
  <c r="T26" i="53"/>
  <c r="AN25" i="53"/>
  <c r="AM25" i="53"/>
  <c r="AL25" i="53"/>
  <c r="AK25" i="53"/>
  <c r="AJ25" i="53"/>
  <c r="AI25" i="53"/>
  <c r="AH25" i="53"/>
  <c r="AG25" i="53"/>
  <c r="AF25" i="53"/>
  <c r="AE25" i="53"/>
  <c r="AD25" i="53"/>
  <c r="Y25" i="53"/>
  <c r="W25" i="53"/>
  <c r="V25" i="53"/>
  <c r="U25" i="53"/>
  <c r="T25" i="53"/>
  <c r="AN24" i="53"/>
  <c r="AM24" i="53"/>
  <c r="AL24" i="53"/>
  <c r="AK24" i="53"/>
  <c r="AJ24" i="53"/>
  <c r="AI24" i="53"/>
  <c r="AH24" i="53"/>
  <c r="AG24" i="53"/>
  <c r="AF24" i="53"/>
  <c r="AE24" i="53"/>
  <c r="AD24" i="53"/>
  <c r="Y24" i="53"/>
  <c r="W24" i="53"/>
  <c r="V24" i="53"/>
  <c r="U24" i="53"/>
  <c r="T24" i="53"/>
  <c r="AN23" i="53"/>
  <c r="AM23" i="53"/>
  <c r="AL23" i="53"/>
  <c r="AK23" i="53"/>
  <c r="AJ23" i="53"/>
  <c r="AI23" i="53"/>
  <c r="AH23" i="53"/>
  <c r="AG23" i="53"/>
  <c r="AF23" i="53"/>
  <c r="AE23" i="53"/>
  <c r="AD23" i="53"/>
  <c r="Y23" i="53"/>
  <c r="W23" i="53"/>
  <c r="V23" i="53"/>
  <c r="U23" i="53"/>
  <c r="T23" i="53"/>
  <c r="AN22" i="53"/>
  <c r="AM22" i="53"/>
  <c r="AL22" i="53"/>
  <c r="AK22" i="53"/>
  <c r="AJ22" i="53"/>
  <c r="AI22" i="53"/>
  <c r="AH22" i="53"/>
  <c r="AG22" i="53"/>
  <c r="AF22" i="53"/>
  <c r="AE22" i="53"/>
  <c r="AD22" i="53"/>
  <c r="Y22" i="53"/>
  <c r="W22" i="53"/>
  <c r="V22" i="53"/>
  <c r="U22" i="53"/>
  <c r="T22" i="53"/>
  <c r="AN21" i="53"/>
  <c r="AM21" i="53"/>
  <c r="AL21" i="53"/>
  <c r="AK21" i="53"/>
  <c r="AJ21" i="53"/>
  <c r="AI21" i="53"/>
  <c r="AH21" i="53"/>
  <c r="AG21" i="53"/>
  <c r="AF21" i="53"/>
  <c r="AE21" i="53"/>
  <c r="AD21" i="53"/>
  <c r="Y21" i="53"/>
  <c r="W21" i="53"/>
  <c r="V21" i="53"/>
  <c r="U21" i="53"/>
  <c r="T21" i="53"/>
  <c r="AN20" i="53"/>
  <c r="AM20" i="53"/>
  <c r="AL20" i="53"/>
  <c r="AK20" i="53"/>
  <c r="AJ20" i="53"/>
  <c r="AI20" i="53"/>
  <c r="AH20" i="53"/>
  <c r="AG20" i="53"/>
  <c r="AF20" i="53"/>
  <c r="AE20" i="53"/>
  <c r="AD20" i="53"/>
  <c r="Y20" i="53"/>
  <c r="W20" i="53"/>
  <c r="V20" i="53"/>
  <c r="U20" i="53"/>
  <c r="T20" i="53"/>
  <c r="AN19" i="53"/>
  <c r="AM19" i="53"/>
  <c r="AL19" i="53"/>
  <c r="AK19" i="53"/>
  <c r="AJ19" i="53"/>
  <c r="AI19" i="53"/>
  <c r="AH19" i="53"/>
  <c r="AG19" i="53"/>
  <c r="AF19" i="53"/>
  <c r="AE19" i="53"/>
  <c r="AD19" i="53"/>
  <c r="Y19" i="53"/>
  <c r="W19" i="53"/>
  <c r="V19" i="53"/>
  <c r="U19" i="53"/>
  <c r="T19" i="53"/>
  <c r="AN18" i="53"/>
  <c r="AM18" i="53"/>
  <c r="AL18" i="53"/>
  <c r="AK18" i="53"/>
  <c r="AJ18" i="53"/>
  <c r="AI18" i="53"/>
  <c r="AH18" i="53"/>
  <c r="AG18" i="53"/>
  <c r="AF18" i="53"/>
  <c r="AE18" i="53"/>
  <c r="AD18" i="53"/>
  <c r="Y18" i="53"/>
  <c r="W18" i="53"/>
  <c r="V18" i="53"/>
  <c r="U18" i="53"/>
  <c r="T18" i="53"/>
  <c r="AN17" i="53"/>
  <c r="AM17" i="53"/>
  <c r="AL17" i="53"/>
  <c r="AK17" i="53"/>
  <c r="AJ17" i="53"/>
  <c r="AI17" i="53"/>
  <c r="AH17" i="53"/>
  <c r="AG17" i="53"/>
  <c r="AF17" i="53"/>
  <c r="AE17" i="53"/>
  <c r="AD17" i="53"/>
  <c r="Y17" i="53"/>
  <c r="W17" i="53"/>
  <c r="V17" i="53"/>
  <c r="U17" i="53"/>
  <c r="T17" i="53"/>
  <c r="AN16" i="53"/>
  <c r="AM16" i="53"/>
  <c r="AL16" i="53"/>
  <c r="AK16" i="53"/>
  <c r="AJ16" i="53"/>
  <c r="AI16" i="53"/>
  <c r="AH16" i="53"/>
  <c r="AG16" i="53"/>
  <c r="AF16" i="53"/>
  <c r="AE16" i="53"/>
  <c r="AD16" i="53"/>
  <c r="Y16" i="53"/>
  <c r="W16" i="53"/>
  <c r="V16" i="53"/>
  <c r="U16" i="53"/>
  <c r="T16" i="53"/>
  <c r="A16" i="53"/>
  <c r="AN15" i="53"/>
  <c r="AM15" i="53"/>
  <c r="AL15" i="53"/>
  <c r="AK15" i="53"/>
  <c r="AJ15" i="53"/>
  <c r="AI15" i="53"/>
  <c r="AH15" i="53"/>
  <c r="AG15" i="53"/>
  <c r="AF15" i="53"/>
  <c r="AE15" i="53"/>
  <c r="AD15" i="53"/>
  <c r="Y15" i="53"/>
  <c r="W15" i="53"/>
  <c r="V15" i="53"/>
  <c r="U15" i="53"/>
  <c r="T15" i="53"/>
  <c r="AN14" i="53"/>
  <c r="AM14" i="53"/>
  <c r="AL14" i="53"/>
  <c r="AK14" i="53"/>
  <c r="AJ14" i="53"/>
  <c r="AI14" i="53"/>
  <c r="AH14" i="53"/>
  <c r="AG14" i="53"/>
  <c r="AF14" i="53"/>
  <c r="AE14" i="53"/>
  <c r="AD14" i="53"/>
  <c r="Y14" i="53"/>
  <c r="W14" i="53"/>
  <c r="V14" i="53"/>
  <c r="U14" i="53"/>
  <c r="T14" i="53"/>
  <c r="A14" i="53"/>
  <c r="AN13" i="53"/>
  <c r="AM13" i="53"/>
  <c r="AL13" i="53"/>
  <c r="AK13" i="53"/>
  <c r="AJ13" i="53"/>
  <c r="AI13" i="53"/>
  <c r="AH13" i="53"/>
  <c r="AG13" i="53"/>
  <c r="AF13" i="53"/>
  <c r="AE13" i="53"/>
  <c r="AD13" i="53"/>
  <c r="Y13" i="53"/>
  <c r="W13" i="53"/>
  <c r="V13" i="53"/>
  <c r="U13" i="53"/>
  <c r="T13" i="53"/>
  <c r="AN12" i="53"/>
  <c r="AM12" i="53"/>
  <c r="AL12" i="53"/>
  <c r="AK12" i="53"/>
  <c r="AJ12" i="53"/>
  <c r="AI12" i="53"/>
  <c r="AH12" i="53"/>
  <c r="AG12" i="53"/>
  <c r="AF12" i="53"/>
  <c r="AE12" i="53"/>
  <c r="AD12" i="53"/>
  <c r="Y12" i="53"/>
  <c r="W12" i="53"/>
  <c r="V12" i="53"/>
  <c r="U12" i="53"/>
  <c r="T12" i="53"/>
  <c r="A12" i="53"/>
  <c r="AN11" i="53"/>
  <c r="AM11" i="53"/>
  <c r="AL11" i="53"/>
  <c r="AK11" i="53"/>
  <c r="AJ11" i="53"/>
  <c r="AI11" i="53"/>
  <c r="AH11" i="53"/>
  <c r="AG11" i="53"/>
  <c r="AF11" i="53"/>
  <c r="AE11" i="53"/>
  <c r="AD11" i="53"/>
  <c r="Y11" i="53"/>
  <c r="W11" i="53"/>
  <c r="V11" i="53"/>
  <c r="U11" i="53"/>
  <c r="T11" i="53"/>
  <c r="AN10" i="53"/>
  <c r="AM10" i="53"/>
  <c r="AL10" i="53"/>
  <c r="AK10" i="53"/>
  <c r="AJ10" i="53"/>
  <c r="AI10" i="53"/>
  <c r="AH10" i="53"/>
  <c r="AG10" i="53"/>
  <c r="AF10" i="53"/>
  <c r="AE10" i="53"/>
  <c r="AD10" i="53"/>
  <c r="Y10" i="53"/>
  <c r="W10" i="53"/>
  <c r="V10" i="53"/>
  <c r="U10" i="53"/>
  <c r="T10" i="53"/>
  <c r="A10" i="53"/>
  <c r="AN9" i="53"/>
  <c r="AM9" i="53"/>
  <c r="AL9" i="53"/>
  <c r="AK9" i="53"/>
  <c r="AJ9" i="53"/>
  <c r="AI9" i="53"/>
  <c r="AH9" i="53"/>
  <c r="AG9" i="53"/>
  <c r="AF9" i="53"/>
  <c r="AE9" i="53"/>
  <c r="AD9" i="53"/>
  <c r="Y9" i="53"/>
  <c r="W9" i="53"/>
  <c r="V9" i="53"/>
  <c r="U9" i="53"/>
  <c r="T9" i="53"/>
  <c r="AN8" i="53"/>
  <c r="AM8" i="53"/>
  <c r="AL8" i="53"/>
  <c r="AK8" i="53"/>
  <c r="AJ8" i="53"/>
  <c r="AI8" i="53"/>
  <c r="AH8" i="53"/>
  <c r="AG8" i="53"/>
  <c r="AF8" i="53"/>
  <c r="AD8" i="53"/>
  <c r="Y8" i="53"/>
  <c r="W8" i="53"/>
  <c r="V8" i="53"/>
  <c r="U8" i="53"/>
  <c r="T8" i="53"/>
  <c r="AN7" i="53"/>
  <c r="AM7" i="53"/>
  <c r="AL7" i="53"/>
  <c r="AK7" i="53"/>
  <c r="AJ7" i="53"/>
  <c r="AI7" i="53"/>
  <c r="AH7" i="53"/>
  <c r="AG7" i="53"/>
  <c r="AF7" i="53"/>
  <c r="AD7" i="53"/>
  <c r="Y7" i="53"/>
  <c r="W7" i="53"/>
  <c r="V7" i="53"/>
  <c r="U7" i="53"/>
  <c r="T7" i="53"/>
  <c r="AN6" i="53"/>
  <c r="AM6" i="53"/>
  <c r="AL6" i="53"/>
  <c r="AK6" i="53"/>
  <c r="AJ6" i="53"/>
  <c r="AI6" i="53"/>
  <c r="AH6" i="53"/>
  <c r="AG6" i="53"/>
  <c r="AF6" i="53"/>
  <c r="AD6" i="53"/>
  <c r="Y6" i="53"/>
  <c r="W6" i="53"/>
  <c r="V6" i="53"/>
  <c r="U6" i="53"/>
  <c r="T6" i="53"/>
  <c r="A6" i="53"/>
  <c r="AN5" i="53"/>
  <c r="AM5" i="53"/>
  <c r="AL5" i="53"/>
  <c r="AK5" i="53"/>
  <c r="AJ5" i="53"/>
  <c r="AI5" i="53"/>
  <c r="AH5" i="53"/>
  <c r="AG5" i="53"/>
  <c r="AF5" i="53"/>
  <c r="AD5" i="53"/>
  <c r="Y5" i="53"/>
  <c r="W5" i="53"/>
  <c r="V5" i="53"/>
  <c r="U5" i="53"/>
  <c r="T5" i="53"/>
  <c r="F1" i="53"/>
  <c r="AN24" i="52"/>
  <c r="AM24" i="52"/>
  <c r="AL24" i="52"/>
  <c r="AK24" i="52"/>
  <c r="AJ24" i="52"/>
  <c r="AI24" i="52"/>
  <c r="AH24" i="52"/>
  <c r="AG24" i="52"/>
  <c r="AF24" i="52"/>
  <c r="AE24" i="52"/>
  <c r="AD24" i="52"/>
  <c r="Y24" i="52"/>
  <c r="W24" i="52"/>
  <c r="V24" i="52"/>
  <c r="U24" i="52"/>
  <c r="T24" i="52"/>
  <c r="AN23" i="52"/>
  <c r="AM23" i="52"/>
  <c r="AL23" i="52"/>
  <c r="AK23" i="52"/>
  <c r="AJ23" i="52"/>
  <c r="AI23" i="52"/>
  <c r="AH23" i="52"/>
  <c r="AG23" i="52"/>
  <c r="AF23" i="52"/>
  <c r="AE23" i="52"/>
  <c r="AD23" i="52"/>
  <c r="Y23" i="52"/>
  <c r="W23" i="52"/>
  <c r="V23" i="52"/>
  <c r="U23" i="52"/>
  <c r="T23" i="52"/>
  <c r="AN22" i="52"/>
  <c r="AM22" i="52"/>
  <c r="AL22" i="52"/>
  <c r="AK22" i="52"/>
  <c r="AJ22" i="52"/>
  <c r="AI22" i="52"/>
  <c r="AH22" i="52"/>
  <c r="AG22" i="52"/>
  <c r="AF22" i="52"/>
  <c r="AE22" i="52"/>
  <c r="AD22" i="52"/>
  <c r="Y22" i="52"/>
  <c r="W22" i="52"/>
  <c r="V22" i="52"/>
  <c r="U22" i="52"/>
  <c r="T22" i="52"/>
  <c r="AN21" i="52"/>
  <c r="AM21" i="52"/>
  <c r="AL21" i="52"/>
  <c r="AK21" i="52"/>
  <c r="AJ21" i="52"/>
  <c r="AI21" i="52"/>
  <c r="AH21" i="52"/>
  <c r="AG21" i="52"/>
  <c r="AF21" i="52"/>
  <c r="AE21" i="52"/>
  <c r="AD21" i="52"/>
  <c r="Y21" i="52"/>
  <c r="W21" i="52"/>
  <c r="V21" i="52"/>
  <c r="U21" i="52"/>
  <c r="T21" i="52"/>
  <c r="AN20" i="52"/>
  <c r="AM20" i="52"/>
  <c r="AL20" i="52"/>
  <c r="AK20" i="52"/>
  <c r="AJ20" i="52"/>
  <c r="AI20" i="52"/>
  <c r="AH20" i="52"/>
  <c r="AG20" i="52"/>
  <c r="AF20" i="52"/>
  <c r="AE20" i="52"/>
  <c r="AD20" i="52"/>
  <c r="Y20" i="52"/>
  <c r="W20" i="52"/>
  <c r="V20" i="52"/>
  <c r="U20" i="52"/>
  <c r="T20" i="52"/>
  <c r="AN19" i="52"/>
  <c r="AM19" i="52"/>
  <c r="AL19" i="52"/>
  <c r="AK19" i="52"/>
  <c r="AJ19" i="52"/>
  <c r="AI19" i="52"/>
  <c r="AH19" i="52"/>
  <c r="AG19" i="52"/>
  <c r="AF19" i="52"/>
  <c r="AE19" i="52"/>
  <c r="AD19" i="52"/>
  <c r="Y19" i="52"/>
  <c r="W19" i="52"/>
  <c r="V19" i="52"/>
  <c r="U19" i="52"/>
  <c r="T19" i="52"/>
  <c r="AN18" i="52"/>
  <c r="AM18" i="52"/>
  <c r="AL18" i="52"/>
  <c r="AK18" i="52"/>
  <c r="AJ18" i="52"/>
  <c r="AI18" i="52"/>
  <c r="AH18" i="52"/>
  <c r="AG18" i="52"/>
  <c r="AF18" i="52"/>
  <c r="AE18" i="52"/>
  <c r="AD18" i="52"/>
  <c r="Y18" i="52"/>
  <c r="W18" i="52"/>
  <c r="V18" i="52"/>
  <c r="U18" i="52"/>
  <c r="T18" i="52"/>
  <c r="AN17" i="52"/>
  <c r="AM17" i="52"/>
  <c r="AL17" i="52"/>
  <c r="AK17" i="52"/>
  <c r="AJ17" i="52"/>
  <c r="AI17" i="52"/>
  <c r="AH17" i="52"/>
  <c r="AG17" i="52"/>
  <c r="AF17" i="52"/>
  <c r="AE17" i="52"/>
  <c r="AD17" i="52"/>
  <c r="Y17" i="52"/>
  <c r="W17" i="52"/>
  <c r="V17" i="52"/>
  <c r="U17" i="52"/>
  <c r="T17" i="52"/>
  <c r="AN16" i="52"/>
  <c r="AM16" i="52"/>
  <c r="AL16" i="52"/>
  <c r="AK16" i="52"/>
  <c r="AJ16" i="52"/>
  <c r="AI16" i="52"/>
  <c r="AH16" i="52"/>
  <c r="AG16" i="52"/>
  <c r="AF16" i="52"/>
  <c r="AE16" i="52"/>
  <c r="AD16" i="52"/>
  <c r="Y16" i="52"/>
  <c r="W16" i="52"/>
  <c r="V16" i="52"/>
  <c r="U16" i="52"/>
  <c r="T16" i="52"/>
  <c r="A16" i="52"/>
  <c r="AN15" i="52"/>
  <c r="AM15" i="52"/>
  <c r="AL15" i="52"/>
  <c r="AK15" i="52"/>
  <c r="AJ15" i="52"/>
  <c r="AI15" i="52"/>
  <c r="AH15" i="52"/>
  <c r="AG15" i="52"/>
  <c r="AF15" i="52"/>
  <c r="AE15" i="52"/>
  <c r="AD15" i="52"/>
  <c r="Y15" i="52"/>
  <c r="W15" i="52"/>
  <c r="V15" i="52"/>
  <c r="U15" i="52"/>
  <c r="T15" i="52"/>
  <c r="AN14" i="52"/>
  <c r="AM14" i="52"/>
  <c r="AL14" i="52"/>
  <c r="AK14" i="52"/>
  <c r="AJ14" i="52"/>
  <c r="AI14" i="52"/>
  <c r="AH14" i="52"/>
  <c r="AG14" i="52"/>
  <c r="AF14" i="52"/>
  <c r="AE14" i="52"/>
  <c r="AD14" i="52"/>
  <c r="Y14" i="52"/>
  <c r="W14" i="52"/>
  <c r="V14" i="52"/>
  <c r="U14" i="52"/>
  <c r="T14" i="52"/>
  <c r="A14" i="52"/>
  <c r="AN13" i="52"/>
  <c r="AM13" i="52"/>
  <c r="AL13" i="52"/>
  <c r="AK13" i="52"/>
  <c r="AJ13" i="52"/>
  <c r="AI13" i="52"/>
  <c r="AH13" i="52"/>
  <c r="AG13" i="52"/>
  <c r="AF13" i="52"/>
  <c r="AE13" i="52"/>
  <c r="AD13" i="52"/>
  <c r="Y13" i="52"/>
  <c r="W13" i="52"/>
  <c r="V13" i="52"/>
  <c r="U13" i="52"/>
  <c r="T13" i="52"/>
  <c r="AN12" i="52"/>
  <c r="AM12" i="52"/>
  <c r="AL12" i="52"/>
  <c r="AK12" i="52"/>
  <c r="AJ12" i="52"/>
  <c r="AI12" i="52"/>
  <c r="AH12" i="52"/>
  <c r="AG12" i="52"/>
  <c r="AF12" i="52"/>
  <c r="AE12" i="52"/>
  <c r="AD12" i="52"/>
  <c r="Y12" i="52"/>
  <c r="W12" i="52"/>
  <c r="V12" i="52"/>
  <c r="U12" i="52"/>
  <c r="T12" i="52"/>
  <c r="A12" i="52"/>
  <c r="AN11" i="52"/>
  <c r="AM11" i="52"/>
  <c r="AL11" i="52"/>
  <c r="AK11" i="52"/>
  <c r="AJ11" i="52"/>
  <c r="AI11" i="52"/>
  <c r="AH11" i="52"/>
  <c r="AG11" i="52"/>
  <c r="AF11" i="52"/>
  <c r="AE11" i="52"/>
  <c r="AD11" i="52"/>
  <c r="Y11" i="52"/>
  <c r="W11" i="52"/>
  <c r="V11" i="52"/>
  <c r="U11" i="52"/>
  <c r="T11" i="52"/>
  <c r="AN10" i="52"/>
  <c r="AM10" i="52"/>
  <c r="AL10" i="52"/>
  <c r="AK10" i="52"/>
  <c r="AJ10" i="52"/>
  <c r="AI10" i="52"/>
  <c r="AH10" i="52"/>
  <c r="AG10" i="52"/>
  <c r="AF10" i="52"/>
  <c r="AE10" i="52"/>
  <c r="AD10" i="52"/>
  <c r="Y10" i="52"/>
  <c r="W10" i="52"/>
  <c r="V10" i="52"/>
  <c r="U10" i="52"/>
  <c r="T10" i="52"/>
  <c r="A10" i="52"/>
  <c r="AN9" i="52"/>
  <c r="AM9" i="52"/>
  <c r="AL9" i="52"/>
  <c r="AK9" i="52"/>
  <c r="AJ9" i="52"/>
  <c r="AI9" i="52"/>
  <c r="AH9" i="52"/>
  <c r="AG9" i="52"/>
  <c r="AF9" i="52"/>
  <c r="AE9" i="52"/>
  <c r="AD9" i="52"/>
  <c r="Y9" i="52"/>
  <c r="W9" i="52"/>
  <c r="V9" i="52"/>
  <c r="U9" i="52"/>
  <c r="T9" i="52"/>
  <c r="AN8" i="52"/>
  <c r="AM8" i="52"/>
  <c r="AL8" i="52"/>
  <c r="AK8" i="52"/>
  <c r="AJ8" i="52"/>
  <c r="AI8" i="52"/>
  <c r="AH8" i="52"/>
  <c r="AG8" i="52"/>
  <c r="AF8" i="52"/>
  <c r="AD8" i="52"/>
  <c r="Y8" i="52"/>
  <c r="W8" i="52"/>
  <c r="V8" i="52"/>
  <c r="U8" i="52"/>
  <c r="T8" i="52"/>
  <c r="AN7" i="52"/>
  <c r="AM7" i="52"/>
  <c r="AL7" i="52"/>
  <c r="AK7" i="52"/>
  <c r="AJ7" i="52"/>
  <c r="AI7" i="52"/>
  <c r="AH7" i="52"/>
  <c r="AG7" i="52"/>
  <c r="AF7" i="52"/>
  <c r="AD7" i="52"/>
  <c r="Y7" i="52"/>
  <c r="W7" i="52"/>
  <c r="V7" i="52"/>
  <c r="U7" i="52"/>
  <c r="T7" i="52"/>
  <c r="AN6" i="52"/>
  <c r="AM6" i="52"/>
  <c r="AL6" i="52"/>
  <c r="AK6" i="52"/>
  <c r="AJ6" i="52"/>
  <c r="AI6" i="52"/>
  <c r="AH6" i="52"/>
  <c r="AG6" i="52"/>
  <c r="AF6" i="52"/>
  <c r="AD6" i="52"/>
  <c r="Y6" i="52"/>
  <c r="W6" i="52"/>
  <c r="V6" i="52"/>
  <c r="U6" i="52"/>
  <c r="T6" i="52"/>
  <c r="A6" i="52"/>
  <c r="AN5" i="52"/>
  <c r="AM5" i="52"/>
  <c r="AL5" i="52"/>
  <c r="AK5" i="52"/>
  <c r="AJ5" i="52"/>
  <c r="AI5" i="52"/>
  <c r="AH5" i="52"/>
  <c r="AG5" i="52"/>
  <c r="AF5" i="52"/>
  <c r="AD5" i="52"/>
  <c r="Y5" i="52"/>
  <c r="W5" i="52"/>
  <c r="V5" i="52"/>
  <c r="U5" i="52"/>
  <c r="T5" i="52"/>
  <c r="F1" i="52"/>
  <c r="AN24" i="51"/>
  <c r="AM24" i="51"/>
  <c r="AL24" i="51"/>
  <c r="AK24" i="51"/>
  <c r="AJ24" i="51"/>
  <c r="AI24" i="51"/>
  <c r="AH24" i="51"/>
  <c r="AG24" i="51"/>
  <c r="AF24" i="51"/>
  <c r="AE24" i="51"/>
  <c r="AD24" i="51"/>
  <c r="Y24" i="51"/>
  <c r="W24" i="51"/>
  <c r="V24" i="51"/>
  <c r="U24" i="51"/>
  <c r="T24" i="51"/>
  <c r="AN23" i="51"/>
  <c r="AM23" i="51"/>
  <c r="AL23" i="51"/>
  <c r="AK23" i="51"/>
  <c r="AJ23" i="51"/>
  <c r="AI23" i="51"/>
  <c r="AH23" i="51"/>
  <c r="AG23" i="51"/>
  <c r="AF23" i="51"/>
  <c r="AE23" i="51"/>
  <c r="AD23" i="51"/>
  <c r="Y23" i="51"/>
  <c r="W23" i="51"/>
  <c r="V23" i="51"/>
  <c r="U23" i="51"/>
  <c r="T23" i="51"/>
  <c r="AN22" i="51"/>
  <c r="AM22" i="51"/>
  <c r="AL22" i="51"/>
  <c r="AK22" i="51"/>
  <c r="AJ22" i="51"/>
  <c r="AI22" i="51"/>
  <c r="AH22" i="51"/>
  <c r="AG22" i="51"/>
  <c r="AF22" i="51"/>
  <c r="AE22" i="51"/>
  <c r="AD22" i="51"/>
  <c r="Y22" i="51"/>
  <c r="W22" i="51"/>
  <c r="V22" i="51"/>
  <c r="U22" i="51"/>
  <c r="T22" i="51"/>
  <c r="AN21" i="51"/>
  <c r="AM21" i="51"/>
  <c r="AL21" i="51"/>
  <c r="AK21" i="51"/>
  <c r="AJ21" i="51"/>
  <c r="AI21" i="51"/>
  <c r="AH21" i="51"/>
  <c r="AG21" i="51"/>
  <c r="AF21" i="51"/>
  <c r="AE21" i="51"/>
  <c r="AD21" i="51"/>
  <c r="Y21" i="51"/>
  <c r="W21" i="51"/>
  <c r="V21" i="51"/>
  <c r="U21" i="51"/>
  <c r="T21" i="51"/>
  <c r="AN20" i="51"/>
  <c r="AM20" i="51"/>
  <c r="AL20" i="51"/>
  <c r="AK20" i="51"/>
  <c r="AJ20" i="51"/>
  <c r="AI20" i="51"/>
  <c r="AH20" i="51"/>
  <c r="AG20" i="51"/>
  <c r="AF20" i="51"/>
  <c r="AE20" i="51"/>
  <c r="AD20" i="51"/>
  <c r="Y20" i="51"/>
  <c r="W20" i="51"/>
  <c r="V20" i="51"/>
  <c r="U20" i="51"/>
  <c r="T20" i="51"/>
  <c r="AN19" i="51"/>
  <c r="AM19" i="51"/>
  <c r="AL19" i="51"/>
  <c r="AK19" i="51"/>
  <c r="AJ19" i="51"/>
  <c r="AI19" i="51"/>
  <c r="AH19" i="51"/>
  <c r="AG19" i="51"/>
  <c r="AF19" i="51"/>
  <c r="AE19" i="51"/>
  <c r="AD19" i="51"/>
  <c r="Y19" i="51"/>
  <c r="W19" i="51"/>
  <c r="V19" i="51"/>
  <c r="U19" i="51"/>
  <c r="T19" i="51"/>
  <c r="AN18" i="51"/>
  <c r="AM18" i="51"/>
  <c r="AL18" i="51"/>
  <c r="AK18" i="51"/>
  <c r="AJ18" i="51"/>
  <c r="AI18" i="51"/>
  <c r="AH18" i="51"/>
  <c r="AG18" i="51"/>
  <c r="AF18" i="51"/>
  <c r="AE18" i="51"/>
  <c r="AD18" i="51"/>
  <c r="Y18" i="51"/>
  <c r="W18" i="51"/>
  <c r="V18" i="51"/>
  <c r="U18" i="51"/>
  <c r="T18" i="51"/>
  <c r="AN17" i="51"/>
  <c r="AM17" i="51"/>
  <c r="AL17" i="51"/>
  <c r="AK17" i="51"/>
  <c r="AJ17" i="51"/>
  <c r="AI17" i="51"/>
  <c r="AH17" i="51"/>
  <c r="AG17" i="51"/>
  <c r="AF17" i="51"/>
  <c r="AE17" i="51"/>
  <c r="AD17" i="51"/>
  <c r="Y17" i="51"/>
  <c r="W17" i="51"/>
  <c r="V17" i="51"/>
  <c r="U17" i="51"/>
  <c r="T17" i="51"/>
  <c r="AN16" i="51"/>
  <c r="AM16" i="51"/>
  <c r="AL16" i="51"/>
  <c r="AK16" i="51"/>
  <c r="AJ16" i="51"/>
  <c r="AI16" i="51"/>
  <c r="AH16" i="51"/>
  <c r="AG16" i="51"/>
  <c r="AF16" i="51"/>
  <c r="AE16" i="51"/>
  <c r="AD16" i="51"/>
  <c r="Y16" i="51"/>
  <c r="W16" i="51"/>
  <c r="V16" i="51"/>
  <c r="U16" i="51"/>
  <c r="T16" i="51"/>
  <c r="A16" i="51"/>
  <c r="AN15" i="51"/>
  <c r="AM15" i="51"/>
  <c r="AL15" i="51"/>
  <c r="AK15" i="51"/>
  <c r="AJ15" i="51"/>
  <c r="AI15" i="51"/>
  <c r="AH15" i="51"/>
  <c r="AG15" i="51"/>
  <c r="AF15" i="51"/>
  <c r="AE15" i="51"/>
  <c r="AD15" i="51"/>
  <c r="Y15" i="51"/>
  <c r="W15" i="51"/>
  <c r="V15" i="51"/>
  <c r="U15" i="51"/>
  <c r="T15" i="51"/>
  <c r="AN14" i="51"/>
  <c r="AM14" i="51"/>
  <c r="AL14" i="51"/>
  <c r="AK14" i="51"/>
  <c r="AJ14" i="51"/>
  <c r="AI14" i="51"/>
  <c r="AH14" i="51"/>
  <c r="AG14" i="51"/>
  <c r="AF14" i="51"/>
  <c r="AE14" i="51"/>
  <c r="AD14" i="51"/>
  <c r="Y14" i="51"/>
  <c r="W14" i="51"/>
  <c r="V14" i="51"/>
  <c r="U14" i="51"/>
  <c r="T14" i="51"/>
  <c r="A14" i="51"/>
  <c r="AN13" i="51"/>
  <c r="AM13" i="51"/>
  <c r="AL13" i="51"/>
  <c r="AK13" i="51"/>
  <c r="AJ13" i="51"/>
  <c r="AI13" i="51"/>
  <c r="AH13" i="51"/>
  <c r="AG13" i="51"/>
  <c r="AF13" i="51"/>
  <c r="AE13" i="51"/>
  <c r="AD13" i="51"/>
  <c r="Y13" i="51"/>
  <c r="W13" i="51"/>
  <c r="V13" i="51"/>
  <c r="U13" i="51"/>
  <c r="T13" i="51"/>
  <c r="AN12" i="51"/>
  <c r="AM12" i="51"/>
  <c r="AL12" i="51"/>
  <c r="AK12" i="51"/>
  <c r="AJ12" i="51"/>
  <c r="AI12" i="51"/>
  <c r="AH12" i="51"/>
  <c r="AG12" i="51"/>
  <c r="AF12" i="51"/>
  <c r="AE12" i="51"/>
  <c r="AD12" i="51"/>
  <c r="Y12" i="51"/>
  <c r="W12" i="51"/>
  <c r="V12" i="51"/>
  <c r="U12" i="51"/>
  <c r="T12" i="51"/>
  <c r="A12" i="51"/>
  <c r="AN11" i="51"/>
  <c r="AM11" i="51"/>
  <c r="AL11" i="51"/>
  <c r="AK11" i="51"/>
  <c r="AJ11" i="51"/>
  <c r="AI11" i="51"/>
  <c r="AH11" i="51"/>
  <c r="AG11" i="51"/>
  <c r="AF11" i="51"/>
  <c r="AE11" i="51"/>
  <c r="AD11" i="51"/>
  <c r="Y11" i="51"/>
  <c r="W11" i="51"/>
  <c r="V11" i="51"/>
  <c r="U11" i="51"/>
  <c r="T11" i="51"/>
  <c r="AN10" i="51"/>
  <c r="AM10" i="51"/>
  <c r="AL10" i="51"/>
  <c r="AK10" i="51"/>
  <c r="AJ10" i="51"/>
  <c r="AI10" i="51"/>
  <c r="AH10" i="51"/>
  <c r="AG10" i="51"/>
  <c r="AF10" i="51"/>
  <c r="AE10" i="51"/>
  <c r="AD10" i="51"/>
  <c r="Y10" i="51"/>
  <c r="W10" i="51"/>
  <c r="V10" i="51"/>
  <c r="U10" i="51"/>
  <c r="T10" i="51"/>
  <c r="A10" i="51"/>
  <c r="AN9" i="51"/>
  <c r="AM9" i="51"/>
  <c r="AL9" i="51"/>
  <c r="AK9" i="51"/>
  <c r="AJ9" i="51"/>
  <c r="AI9" i="51"/>
  <c r="AH9" i="51"/>
  <c r="AG9" i="51"/>
  <c r="AF9" i="51"/>
  <c r="AE9" i="51"/>
  <c r="AD9" i="51"/>
  <c r="Y9" i="51"/>
  <c r="W9" i="51"/>
  <c r="V9" i="51"/>
  <c r="U9" i="51"/>
  <c r="T9" i="51"/>
  <c r="AN8" i="51"/>
  <c r="AM8" i="51"/>
  <c r="AL8" i="51"/>
  <c r="AK8" i="51"/>
  <c r="AJ8" i="51"/>
  <c r="AI8" i="51"/>
  <c r="AH8" i="51"/>
  <c r="AG8" i="51"/>
  <c r="AF8" i="51"/>
  <c r="AD8" i="51"/>
  <c r="Y8" i="51"/>
  <c r="W8" i="51"/>
  <c r="V8" i="51"/>
  <c r="U8" i="51"/>
  <c r="T8" i="51"/>
  <c r="AN7" i="51"/>
  <c r="AM7" i="51"/>
  <c r="AL7" i="51"/>
  <c r="AK7" i="51"/>
  <c r="AJ7" i="51"/>
  <c r="AI7" i="51"/>
  <c r="AH7" i="51"/>
  <c r="AG7" i="51"/>
  <c r="AF7" i="51"/>
  <c r="AD7" i="51"/>
  <c r="Y7" i="51"/>
  <c r="W7" i="51"/>
  <c r="V7" i="51"/>
  <c r="U7" i="51"/>
  <c r="T7" i="51"/>
  <c r="AN6" i="51"/>
  <c r="AM6" i="51"/>
  <c r="AL6" i="51"/>
  <c r="AK6" i="51"/>
  <c r="AJ6" i="51"/>
  <c r="AI6" i="51"/>
  <c r="AH6" i="51"/>
  <c r="AG6" i="51"/>
  <c r="AF6" i="51"/>
  <c r="AD6" i="51"/>
  <c r="Y6" i="51"/>
  <c r="W6" i="51"/>
  <c r="V6" i="51"/>
  <c r="U6" i="51"/>
  <c r="T6" i="51"/>
  <c r="A6" i="51"/>
  <c r="AN5" i="51"/>
  <c r="AM5" i="51"/>
  <c r="AL5" i="51"/>
  <c r="AK5" i="51"/>
  <c r="AJ5" i="51"/>
  <c r="AI5" i="51"/>
  <c r="AH5" i="51"/>
  <c r="AG5" i="51"/>
  <c r="AF5" i="51"/>
  <c r="AD5" i="51"/>
  <c r="Y5" i="51"/>
  <c r="W5" i="51"/>
  <c r="V5" i="51"/>
  <c r="U5" i="51"/>
  <c r="T5" i="51"/>
  <c r="F1" i="51"/>
  <c r="AN24" i="50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N23" i="50"/>
  <c r="AM23" i="50"/>
  <c r="AL23" i="50"/>
  <c r="AK23" i="50"/>
  <c r="AJ23" i="50"/>
  <c r="AI23" i="50"/>
  <c r="AH23" i="50"/>
  <c r="AG23" i="50"/>
  <c r="AF23" i="50"/>
  <c r="AE23" i="50"/>
  <c r="AD23" i="50"/>
  <c r="Y23" i="50"/>
  <c r="W23" i="50"/>
  <c r="V23" i="50"/>
  <c r="U23" i="50"/>
  <c r="T23" i="50"/>
  <c r="AN22" i="50"/>
  <c r="AM22" i="50"/>
  <c r="AL22" i="50"/>
  <c r="AK22" i="50"/>
  <c r="AJ22" i="50"/>
  <c r="AI22" i="50"/>
  <c r="AH22" i="50"/>
  <c r="AG22" i="50"/>
  <c r="AF22" i="50"/>
  <c r="AE22" i="50"/>
  <c r="AD22" i="50"/>
  <c r="Y22" i="50"/>
  <c r="W22" i="50"/>
  <c r="V22" i="50"/>
  <c r="U22" i="50"/>
  <c r="T22" i="50"/>
  <c r="AN21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N20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N19" i="50"/>
  <c r="AM19" i="50"/>
  <c r="AL19" i="50"/>
  <c r="AK19" i="50"/>
  <c r="AJ19" i="50"/>
  <c r="AI19" i="50"/>
  <c r="AH19" i="50"/>
  <c r="AG19" i="50"/>
  <c r="AF19" i="50"/>
  <c r="AE19" i="50"/>
  <c r="AD19" i="50"/>
  <c r="Y19" i="50"/>
  <c r="W19" i="50"/>
  <c r="V19" i="50"/>
  <c r="U19" i="50"/>
  <c r="T19" i="50"/>
  <c r="AN18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N17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N16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N15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N14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N13" i="50"/>
  <c r="AM13" i="50"/>
  <c r="AL13" i="50"/>
  <c r="AK13" i="50"/>
  <c r="AJ13" i="50"/>
  <c r="AI13" i="50"/>
  <c r="AH13" i="50"/>
  <c r="AG13" i="50"/>
  <c r="AF13" i="50"/>
  <c r="AE13" i="50"/>
  <c r="AD13" i="50"/>
  <c r="Y13" i="50"/>
  <c r="X13" i="50"/>
  <c r="AA13" i="50" s="1"/>
  <c r="AC13" i="50" s="1"/>
  <c r="AP13" i="50" s="1"/>
  <c r="W13" i="50"/>
  <c r="V13" i="50"/>
  <c r="U13" i="50"/>
  <c r="T13" i="50"/>
  <c r="AN12" i="50"/>
  <c r="AM12" i="50"/>
  <c r="AL12" i="50"/>
  <c r="AK12" i="50"/>
  <c r="AJ12" i="50"/>
  <c r="AI12" i="50"/>
  <c r="AH12" i="50"/>
  <c r="AG12" i="50"/>
  <c r="AF12" i="50"/>
  <c r="AE12" i="50"/>
  <c r="AD12" i="50"/>
  <c r="Y12" i="50"/>
  <c r="W12" i="50"/>
  <c r="V12" i="50"/>
  <c r="U12" i="50"/>
  <c r="T12" i="50"/>
  <c r="A12" i="50"/>
  <c r="AN11" i="50"/>
  <c r="AM11" i="50"/>
  <c r="AL11" i="50"/>
  <c r="AK11" i="50"/>
  <c r="AJ11" i="50"/>
  <c r="AI11" i="50"/>
  <c r="AH11" i="50"/>
  <c r="AG11" i="50"/>
  <c r="AF11" i="50"/>
  <c r="AE11" i="50"/>
  <c r="AD11" i="50"/>
  <c r="Y11" i="50"/>
  <c r="W11" i="50"/>
  <c r="V11" i="50"/>
  <c r="U11" i="50"/>
  <c r="T11" i="50"/>
  <c r="AN10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N9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N8" i="50"/>
  <c r="AM8" i="50"/>
  <c r="AL8" i="50"/>
  <c r="AK8" i="50"/>
  <c r="AJ8" i="50"/>
  <c r="AI8" i="50"/>
  <c r="AH8" i="50"/>
  <c r="AG8" i="50"/>
  <c r="AF8" i="50"/>
  <c r="AD8" i="50"/>
  <c r="Y8" i="50"/>
  <c r="W8" i="50"/>
  <c r="V8" i="50"/>
  <c r="U8" i="50"/>
  <c r="T8" i="50"/>
  <c r="A8" i="50"/>
  <c r="X22" i="50" s="1"/>
  <c r="AA22" i="50" s="1"/>
  <c r="AC22" i="50" s="1"/>
  <c r="AP22" i="50" s="1"/>
  <c r="AN7" i="50"/>
  <c r="AM7" i="50"/>
  <c r="AL7" i="50"/>
  <c r="AK7" i="50"/>
  <c r="AJ7" i="50"/>
  <c r="AI7" i="50"/>
  <c r="AH7" i="50"/>
  <c r="AG7" i="50"/>
  <c r="AF7" i="50"/>
  <c r="AD7" i="50"/>
  <c r="Y7" i="50"/>
  <c r="X7" i="50"/>
  <c r="W7" i="50"/>
  <c r="V7" i="50"/>
  <c r="U7" i="50"/>
  <c r="T7" i="50"/>
  <c r="AN6" i="50"/>
  <c r="AM6" i="50"/>
  <c r="AL6" i="50"/>
  <c r="AK6" i="50"/>
  <c r="AJ6" i="50"/>
  <c r="AI6" i="50"/>
  <c r="AH6" i="50"/>
  <c r="AG6" i="50"/>
  <c r="AF6" i="50"/>
  <c r="AD6" i="50"/>
  <c r="Y6" i="50"/>
  <c r="X6" i="50"/>
  <c r="W6" i="50"/>
  <c r="V6" i="50"/>
  <c r="U6" i="50"/>
  <c r="T6" i="50"/>
  <c r="A6" i="50"/>
  <c r="Z22" i="50" s="1"/>
  <c r="AB22" i="50" s="1"/>
  <c r="AO22" i="50" s="1"/>
  <c r="AN5" i="50"/>
  <c r="AM5" i="50"/>
  <c r="AL5" i="50"/>
  <c r="AK5" i="50"/>
  <c r="AJ5" i="50"/>
  <c r="AI5" i="50"/>
  <c r="AH5" i="50"/>
  <c r="AG5" i="50"/>
  <c r="AF5" i="50"/>
  <c r="AD5" i="50"/>
  <c r="Y5" i="50"/>
  <c r="X5" i="50"/>
  <c r="AA5" i="50" s="1"/>
  <c r="AC5" i="50" s="1"/>
  <c r="W5" i="50"/>
  <c r="V5" i="50"/>
  <c r="U5" i="50"/>
  <c r="T5" i="50"/>
  <c r="F1" i="50"/>
  <c r="AN24" i="49"/>
  <c r="AM24" i="49"/>
  <c r="AL24" i="49"/>
  <c r="AK24" i="49"/>
  <c r="AJ24" i="49"/>
  <c r="AI24" i="49"/>
  <c r="AH24" i="49"/>
  <c r="AG24" i="49"/>
  <c r="AF24" i="49"/>
  <c r="AE24" i="49"/>
  <c r="AD24" i="49"/>
  <c r="Y24" i="49"/>
  <c r="W24" i="49"/>
  <c r="V24" i="49"/>
  <c r="U24" i="49"/>
  <c r="T24" i="49"/>
  <c r="AN23" i="49"/>
  <c r="AM23" i="49"/>
  <c r="AL23" i="49"/>
  <c r="AK23" i="49"/>
  <c r="AJ23" i="49"/>
  <c r="AI23" i="49"/>
  <c r="AH23" i="49"/>
  <c r="AG23" i="49"/>
  <c r="AF23" i="49"/>
  <c r="AE23" i="49"/>
  <c r="AD23" i="49"/>
  <c r="Y23" i="49"/>
  <c r="W23" i="49"/>
  <c r="V23" i="49"/>
  <c r="U23" i="49"/>
  <c r="T23" i="49"/>
  <c r="AN22" i="49"/>
  <c r="AM22" i="49"/>
  <c r="AL22" i="49"/>
  <c r="AK22" i="49"/>
  <c r="AJ22" i="49"/>
  <c r="AI22" i="49"/>
  <c r="AH22" i="49"/>
  <c r="AG22" i="49"/>
  <c r="AF22" i="49"/>
  <c r="AE22" i="49"/>
  <c r="AD22" i="49"/>
  <c r="Y22" i="49"/>
  <c r="W22" i="49"/>
  <c r="V22" i="49"/>
  <c r="U22" i="49"/>
  <c r="T22" i="49"/>
  <c r="AN21" i="49"/>
  <c r="AM21" i="49"/>
  <c r="AL21" i="49"/>
  <c r="AK21" i="49"/>
  <c r="AJ21" i="49"/>
  <c r="AI21" i="49"/>
  <c r="AH21" i="49"/>
  <c r="AG21" i="49"/>
  <c r="AF21" i="49"/>
  <c r="AE21" i="49"/>
  <c r="AD21" i="49"/>
  <c r="Y21" i="49"/>
  <c r="W21" i="49"/>
  <c r="V21" i="49"/>
  <c r="U21" i="49"/>
  <c r="T21" i="49"/>
  <c r="AN20" i="49"/>
  <c r="AM20" i="49"/>
  <c r="AL20" i="49"/>
  <c r="AK20" i="49"/>
  <c r="AJ20" i="49"/>
  <c r="AI20" i="49"/>
  <c r="AH20" i="49"/>
  <c r="AG20" i="49"/>
  <c r="AF20" i="49"/>
  <c r="AE20" i="49"/>
  <c r="AD20" i="49"/>
  <c r="Y20" i="49"/>
  <c r="W20" i="49"/>
  <c r="V20" i="49"/>
  <c r="U20" i="49"/>
  <c r="T20" i="49"/>
  <c r="AN19" i="49"/>
  <c r="AM19" i="49"/>
  <c r="AL19" i="49"/>
  <c r="AK19" i="49"/>
  <c r="AJ19" i="49"/>
  <c r="AI19" i="49"/>
  <c r="AH19" i="49"/>
  <c r="AG19" i="49"/>
  <c r="AF19" i="49"/>
  <c r="AE19" i="49"/>
  <c r="AD19" i="49"/>
  <c r="Y19" i="49"/>
  <c r="W19" i="49"/>
  <c r="V19" i="49"/>
  <c r="U19" i="49"/>
  <c r="T19" i="49"/>
  <c r="AN18" i="49"/>
  <c r="AM18" i="49"/>
  <c r="AL18" i="49"/>
  <c r="AK18" i="49"/>
  <c r="AJ18" i="49"/>
  <c r="AI18" i="49"/>
  <c r="AH18" i="49"/>
  <c r="AG18" i="49"/>
  <c r="AF18" i="49"/>
  <c r="AE18" i="49"/>
  <c r="AD18" i="49"/>
  <c r="Y18" i="49"/>
  <c r="W18" i="49"/>
  <c r="V18" i="49"/>
  <c r="U18" i="49"/>
  <c r="T18" i="49"/>
  <c r="AN17" i="49"/>
  <c r="AM17" i="49"/>
  <c r="AL17" i="49"/>
  <c r="AK17" i="49"/>
  <c r="AJ17" i="49"/>
  <c r="AI17" i="49"/>
  <c r="AH17" i="49"/>
  <c r="AG17" i="49"/>
  <c r="AF17" i="49"/>
  <c r="AE17" i="49"/>
  <c r="AD17" i="49"/>
  <c r="Y17" i="49"/>
  <c r="W17" i="49"/>
  <c r="V17" i="49"/>
  <c r="U17" i="49"/>
  <c r="T17" i="49"/>
  <c r="AN16" i="49"/>
  <c r="AM16" i="49"/>
  <c r="AL16" i="49"/>
  <c r="AK16" i="49"/>
  <c r="AJ16" i="49"/>
  <c r="AI16" i="49"/>
  <c r="AH16" i="49"/>
  <c r="AG16" i="49"/>
  <c r="AF16" i="49"/>
  <c r="AE16" i="49"/>
  <c r="AD16" i="49"/>
  <c r="Y16" i="49"/>
  <c r="W16" i="49"/>
  <c r="V16" i="49"/>
  <c r="U16" i="49"/>
  <c r="T16" i="49"/>
  <c r="A16" i="49"/>
  <c r="AN15" i="49"/>
  <c r="AM15" i="49"/>
  <c r="AL15" i="49"/>
  <c r="AK15" i="49"/>
  <c r="AJ15" i="49"/>
  <c r="AI15" i="49"/>
  <c r="AH15" i="49"/>
  <c r="AG15" i="49"/>
  <c r="AF15" i="49"/>
  <c r="AE15" i="49"/>
  <c r="AD15" i="49"/>
  <c r="Y15" i="49"/>
  <c r="W15" i="49"/>
  <c r="V15" i="49"/>
  <c r="U15" i="49"/>
  <c r="T15" i="49"/>
  <c r="AN14" i="49"/>
  <c r="AM14" i="49"/>
  <c r="AL14" i="49"/>
  <c r="AK14" i="49"/>
  <c r="AJ14" i="49"/>
  <c r="AI14" i="49"/>
  <c r="AH14" i="49"/>
  <c r="AG14" i="49"/>
  <c r="AF14" i="49"/>
  <c r="AE14" i="49"/>
  <c r="AD14" i="49"/>
  <c r="Y14" i="49"/>
  <c r="W14" i="49"/>
  <c r="V14" i="49"/>
  <c r="U14" i="49"/>
  <c r="T14" i="49"/>
  <c r="A14" i="49"/>
  <c r="AN13" i="49"/>
  <c r="AM13" i="49"/>
  <c r="AL13" i="49"/>
  <c r="AK13" i="49"/>
  <c r="AJ13" i="49"/>
  <c r="AI13" i="49"/>
  <c r="AH13" i="49"/>
  <c r="AG13" i="49"/>
  <c r="AF13" i="49"/>
  <c r="AE13" i="49"/>
  <c r="AD13" i="49"/>
  <c r="Y13" i="49"/>
  <c r="W13" i="49"/>
  <c r="V13" i="49"/>
  <c r="U13" i="49"/>
  <c r="T13" i="49"/>
  <c r="AN12" i="49"/>
  <c r="AM12" i="49"/>
  <c r="AL12" i="49"/>
  <c r="AK12" i="49"/>
  <c r="AJ12" i="49"/>
  <c r="AI12" i="49"/>
  <c r="AH12" i="49"/>
  <c r="AG12" i="49"/>
  <c r="AF12" i="49"/>
  <c r="AE12" i="49"/>
  <c r="AD12" i="49"/>
  <c r="Y12" i="49"/>
  <c r="W12" i="49"/>
  <c r="V12" i="49"/>
  <c r="U12" i="49"/>
  <c r="T12" i="49"/>
  <c r="A12" i="49"/>
  <c r="AN11" i="49"/>
  <c r="AM11" i="49"/>
  <c r="AL11" i="49"/>
  <c r="AK11" i="49"/>
  <c r="AJ11" i="49"/>
  <c r="AI11" i="49"/>
  <c r="AH11" i="49"/>
  <c r="AG11" i="49"/>
  <c r="AF11" i="49"/>
  <c r="AE11" i="49"/>
  <c r="AD11" i="49"/>
  <c r="Y11" i="49"/>
  <c r="W11" i="49"/>
  <c r="V11" i="49"/>
  <c r="U11" i="49"/>
  <c r="T11" i="49"/>
  <c r="AN10" i="49"/>
  <c r="AM10" i="49"/>
  <c r="AL10" i="49"/>
  <c r="AK10" i="49"/>
  <c r="AJ10" i="49"/>
  <c r="AI10" i="49"/>
  <c r="AH10" i="49"/>
  <c r="AG10" i="49"/>
  <c r="AF10" i="49"/>
  <c r="AE10" i="49"/>
  <c r="AD10" i="49"/>
  <c r="Y10" i="49"/>
  <c r="W10" i="49"/>
  <c r="V10" i="49"/>
  <c r="U10" i="49"/>
  <c r="T10" i="49"/>
  <c r="A10" i="49"/>
  <c r="AN9" i="49"/>
  <c r="AM9" i="49"/>
  <c r="AL9" i="49"/>
  <c r="AK9" i="49"/>
  <c r="AJ9" i="49"/>
  <c r="AI9" i="49"/>
  <c r="AH9" i="49"/>
  <c r="AG9" i="49"/>
  <c r="AF9" i="49"/>
  <c r="AE9" i="49"/>
  <c r="AD9" i="49"/>
  <c r="Y9" i="49"/>
  <c r="W9" i="49"/>
  <c r="V9" i="49"/>
  <c r="U9" i="49"/>
  <c r="T9" i="49"/>
  <c r="AN8" i="49"/>
  <c r="AM8" i="49"/>
  <c r="AL8" i="49"/>
  <c r="AK8" i="49"/>
  <c r="AJ8" i="49"/>
  <c r="AI8" i="49"/>
  <c r="AH8" i="49"/>
  <c r="AG8" i="49"/>
  <c r="AF8" i="49"/>
  <c r="AD8" i="49"/>
  <c r="Y8" i="49"/>
  <c r="W8" i="49"/>
  <c r="V8" i="49"/>
  <c r="U8" i="49"/>
  <c r="T8" i="49"/>
  <c r="AN7" i="49"/>
  <c r="AM7" i="49"/>
  <c r="AL7" i="49"/>
  <c r="AK7" i="49"/>
  <c r="AJ7" i="49"/>
  <c r="AI7" i="49"/>
  <c r="AH7" i="49"/>
  <c r="AG7" i="49"/>
  <c r="AF7" i="49"/>
  <c r="AD7" i="49"/>
  <c r="Y7" i="49"/>
  <c r="W7" i="49"/>
  <c r="V7" i="49"/>
  <c r="U7" i="49"/>
  <c r="T7" i="49"/>
  <c r="AN6" i="49"/>
  <c r="AM6" i="49"/>
  <c r="AL6" i="49"/>
  <c r="AK6" i="49"/>
  <c r="AJ6" i="49"/>
  <c r="AI6" i="49"/>
  <c r="AH6" i="49"/>
  <c r="AG6" i="49"/>
  <c r="AF6" i="49"/>
  <c r="AD6" i="49"/>
  <c r="Y6" i="49"/>
  <c r="W6" i="49"/>
  <c r="V6" i="49"/>
  <c r="U6" i="49"/>
  <c r="T6" i="49"/>
  <c r="A6" i="49"/>
  <c r="AN5" i="49"/>
  <c r="AM5" i="49"/>
  <c r="AL5" i="49"/>
  <c r="AK5" i="49"/>
  <c r="AJ5" i="49"/>
  <c r="AI5" i="49"/>
  <c r="AH5" i="49"/>
  <c r="AG5" i="49"/>
  <c r="AF5" i="49"/>
  <c r="AD5" i="49"/>
  <c r="Y5" i="49"/>
  <c r="W5" i="49"/>
  <c r="V5" i="49"/>
  <c r="U5" i="49"/>
  <c r="T5" i="49"/>
  <c r="F1" i="49"/>
  <c r="AN67" i="75"/>
  <c r="AM67" i="75"/>
  <c r="AL67" i="75"/>
  <c r="AK67" i="75"/>
  <c r="AJ67" i="75"/>
  <c r="AI67" i="75"/>
  <c r="AH67" i="75"/>
  <c r="AG67" i="75"/>
  <c r="AF67" i="75"/>
  <c r="AE67" i="75"/>
  <c r="AD67" i="75"/>
  <c r="Y67" i="75"/>
  <c r="W67" i="75"/>
  <c r="V67" i="75"/>
  <c r="U67" i="75"/>
  <c r="T67" i="75"/>
  <c r="AN66" i="75"/>
  <c r="AM66" i="75"/>
  <c r="AL66" i="75"/>
  <c r="AK66" i="75"/>
  <c r="AJ66" i="75"/>
  <c r="AI66" i="75"/>
  <c r="AH66" i="75"/>
  <c r="AG66" i="75"/>
  <c r="AF66" i="75"/>
  <c r="AE66" i="75"/>
  <c r="AD66" i="75"/>
  <c r="Y66" i="75"/>
  <c r="W66" i="75"/>
  <c r="V66" i="75"/>
  <c r="U66" i="75"/>
  <c r="T66" i="75"/>
  <c r="AN65" i="75"/>
  <c r="AM65" i="75"/>
  <c r="AL65" i="75"/>
  <c r="AK65" i="75"/>
  <c r="AJ65" i="75"/>
  <c r="AI65" i="75"/>
  <c r="AH65" i="75"/>
  <c r="AG65" i="75"/>
  <c r="AF65" i="75"/>
  <c r="AE65" i="75"/>
  <c r="AD65" i="75"/>
  <c r="Y65" i="75"/>
  <c r="W65" i="75"/>
  <c r="V65" i="75"/>
  <c r="U65" i="75"/>
  <c r="T65" i="75"/>
  <c r="AN64" i="75"/>
  <c r="AM64" i="75"/>
  <c r="AL64" i="75"/>
  <c r="AK64" i="75"/>
  <c r="AJ64" i="75"/>
  <c r="AI64" i="75"/>
  <c r="AH64" i="75"/>
  <c r="AG64" i="75"/>
  <c r="AF64" i="75"/>
  <c r="AE64" i="75"/>
  <c r="AD64" i="75"/>
  <c r="Y64" i="75"/>
  <c r="W64" i="75"/>
  <c r="V64" i="75"/>
  <c r="U64" i="75"/>
  <c r="T64" i="75"/>
  <c r="AN63" i="75"/>
  <c r="AM63" i="75"/>
  <c r="AL63" i="75"/>
  <c r="AK63" i="75"/>
  <c r="AJ63" i="75"/>
  <c r="AI63" i="75"/>
  <c r="AH63" i="75"/>
  <c r="AG63" i="75"/>
  <c r="AF63" i="75"/>
  <c r="AE63" i="75"/>
  <c r="AD63" i="75"/>
  <c r="Y63" i="75"/>
  <c r="W63" i="75"/>
  <c r="V63" i="75"/>
  <c r="U63" i="75"/>
  <c r="T63" i="75"/>
  <c r="AN62" i="75"/>
  <c r="AM62" i="75"/>
  <c r="AL62" i="75"/>
  <c r="AK62" i="75"/>
  <c r="AJ62" i="75"/>
  <c r="AI62" i="75"/>
  <c r="AH62" i="75"/>
  <c r="AG62" i="75"/>
  <c r="AF62" i="75"/>
  <c r="AE62" i="75"/>
  <c r="AD62" i="75"/>
  <c r="Y62" i="75"/>
  <c r="W62" i="75"/>
  <c r="V62" i="75"/>
  <c r="U62" i="75"/>
  <c r="T62" i="75"/>
  <c r="AN61" i="75"/>
  <c r="AM61" i="75"/>
  <c r="AL61" i="75"/>
  <c r="AK61" i="75"/>
  <c r="AJ61" i="75"/>
  <c r="AI61" i="75"/>
  <c r="AH61" i="75"/>
  <c r="AG61" i="75"/>
  <c r="AF61" i="75"/>
  <c r="AE61" i="75"/>
  <c r="AD61" i="75"/>
  <c r="Y61" i="75"/>
  <c r="W61" i="75"/>
  <c r="V61" i="75"/>
  <c r="U61" i="75"/>
  <c r="T61" i="75"/>
  <c r="AN60" i="75"/>
  <c r="AM60" i="75"/>
  <c r="AL60" i="75"/>
  <c r="AK60" i="75"/>
  <c r="AJ60" i="75"/>
  <c r="AI60" i="75"/>
  <c r="AH60" i="75"/>
  <c r="AG60" i="75"/>
  <c r="AF60" i="75"/>
  <c r="AE60" i="75"/>
  <c r="AD60" i="75"/>
  <c r="Y60" i="75"/>
  <c r="W60" i="75"/>
  <c r="V60" i="75"/>
  <c r="U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U59" i="75"/>
  <c r="T59" i="75"/>
  <c r="AN58" i="75"/>
  <c r="AM58" i="75"/>
  <c r="AL58" i="75"/>
  <c r="AK58" i="75"/>
  <c r="AJ58" i="75"/>
  <c r="AI58" i="75"/>
  <c r="AH58" i="75"/>
  <c r="AG58" i="75"/>
  <c r="AF58" i="75"/>
  <c r="AE58" i="75"/>
  <c r="AD58" i="75"/>
  <c r="Y58" i="75"/>
  <c r="W58" i="75"/>
  <c r="V58" i="75"/>
  <c r="U58" i="75"/>
  <c r="T58" i="75"/>
  <c r="AN57" i="75"/>
  <c r="AM57" i="75"/>
  <c r="AL57" i="75"/>
  <c r="AK57" i="75"/>
  <c r="AJ57" i="75"/>
  <c r="AI57" i="75"/>
  <c r="AH57" i="75"/>
  <c r="AG57" i="75"/>
  <c r="AF57" i="75"/>
  <c r="AE57" i="75"/>
  <c r="AD57" i="75"/>
  <c r="Y57" i="75"/>
  <c r="W57" i="75"/>
  <c r="V57" i="75"/>
  <c r="U57" i="75"/>
  <c r="T57" i="75"/>
  <c r="AN56" i="75"/>
  <c r="AM56" i="75"/>
  <c r="AL56" i="75"/>
  <c r="AK56" i="75"/>
  <c r="AJ56" i="75"/>
  <c r="AI56" i="75"/>
  <c r="AH56" i="75"/>
  <c r="AG56" i="75"/>
  <c r="AF56" i="75"/>
  <c r="AE56" i="75"/>
  <c r="AD56" i="75"/>
  <c r="Y56" i="75"/>
  <c r="W56" i="75"/>
  <c r="V56" i="75"/>
  <c r="U56" i="75"/>
  <c r="T56" i="75"/>
  <c r="AN55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U55" i="75"/>
  <c r="T55" i="75"/>
  <c r="AN54" i="75"/>
  <c r="AM54" i="75"/>
  <c r="AL54" i="75"/>
  <c r="AK54" i="75"/>
  <c r="AJ54" i="75"/>
  <c r="AI54" i="75"/>
  <c r="AH54" i="75"/>
  <c r="AG54" i="75"/>
  <c r="AF54" i="75"/>
  <c r="AE54" i="75"/>
  <c r="AD54" i="75"/>
  <c r="Y54" i="75"/>
  <c r="W54" i="75"/>
  <c r="V54" i="75"/>
  <c r="U54" i="75"/>
  <c r="T54" i="75"/>
  <c r="AN53" i="75"/>
  <c r="AM53" i="75"/>
  <c r="AL53" i="75"/>
  <c r="AK53" i="75"/>
  <c r="AJ53" i="75"/>
  <c r="AI53" i="75"/>
  <c r="AH53" i="75"/>
  <c r="AG53" i="75"/>
  <c r="AF53" i="75"/>
  <c r="AE53" i="75"/>
  <c r="AD53" i="75"/>
  <c r="Y53" i="75"/>
  <c r="W53" i="75"/>
  <c r="V53" i="75"/>
  <c r="U53" i="75"/>
  <c r="T53" i="75"/>
  <c r="AN52" i="75"/>
  <c r="AM52" i="75"/>
  <c r="AL52" i="75"/>
  <c r="AK52" i="75"/>
  <c r="AJ52" i="75"/>
  <c r="AI52" i="75"/>
  <c r="AH52" i="75"/>
  <c r="AG52" i="75"/>
  <c r="AF52" i="75"/>
  <c r="AE52" i="75"/>
  <c r="AD52" i="75"/>
  <c r="Y52" i="75"/>
  <c r="W52" i="75"/>
  <c r="V52" i="75"/>
  <c r="U52" i="75"/>
  <c r="T52" i="75"/>
  <c r="AN51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N50" i="75"/>
  <c r="AM50" i="75"/>
  <c r="AL50" i="75"/>
  <c r="AK50" i="75"/>
  <c r="AJ50" i="75"/>
  <c r="AI50" i="75"/>
  <c r="AH50" i="75"/>
  <c r="AG50" i="75"/>
  <c r="AF50" i="75"/>
  <c r="AE50" i="75"/>
  <c r="AD50" i="75"/>
  <c r="Y50" i="75"/>
  <c r="W50" i="75"/>
  <c r="V50" i="75"/>
  <c r="U50" i="75"/>
  <c r="T50" i="75"/>
  <c r="AN49" i="75"/>
  <c r="AM49" i="75"/>
  <c r="AL49" i="75"/>
  <c r="AK49" i="75"/>
  <c r="AJ49" i="75"/>
  <c r="AI49" i="75"/>
  <c r="AH49" i="75"/>
  <c r="AG49" i="75"/>
  <c r="AF49" i="75"/>
  <c r="AE49" i="75"/>
  <c r="AD49" i="75"/>
  <c r="Y49" i="75"/>
  <c r="W49" i="75"/>
  <c r="V49" i="75"/>
  <c r="U49" i="75"/>
  <c r="T49" i="75"/>
  <c r="AN48" i="75"/>
  <c r="AM48" i="75"/>
  <c r="AL48" i="75"/>
  <c r="AK48" i="75"/>
  <c r="AJ48" i="75"/>
  <c r="AI48" i="75"/>
  <c r="AH48" i="75"/>
  <c r="AG48" i="75"/>
  <c r="AF48" i="75"/>
  <c r="AE48" i="75"/>
  <c r="AD48" i="75"/>
  <c r="Y48" i="75"/>
  <c r="W48" i="75"/>
  <c r="V48" i="75"/>
  <c r="U48" i="75"/>
  <c r="T48" i="75"/>
  <c r="AN47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U47" i="75"/>
  <c r="T47" i="75"/>
  <c r="AN46" i="75"/>
  <c r="AM46" i="75"/>
  <c r="AL46" i="75"/>
  <c r="AK46" i="75"/>
  <c r="AJ46" i="75"/>
  <c r="AI46" i="75"/>
  <c r="AH46" i="75"/>
  <c r="AG46" i="75"/>
  <c r="AF46" i="75"/>
  <c r="AE46" i="75"/>
  <c r="AD46" i="75"/>
  <c r="Y46" i="75"/>
  <c r="W46" i="75"/>
  <c r="V46" i="75"/>
  <c r="U46" i="75"/>
  <c r="T46" i="75"/>
  <c r="AN45" i="75"/>
  <c r="AM45" i="75"/>
  <c r="AL45" i="75"/>
  <c r="AK45" i="75"/>
  <c r="AJ45" i="75"/>
  <c r="AI45" i="75"/>
  <c r="AH45" i="75"/>
  <c r="AG45" i="75"/>
  <c r="AF45" i="75"/>
  <c r="AE45" i="75"/>
  <c r="AD45" i="75"/>
  <c r="Y45" i="75"/>
  <c r="W45" i="75"/>
  <c r="V45" i="75"/>
  <c r="U45" i="75"/>
  <c r="T45" i="75"/>
  <c r="AN44" i="75"/>
  <c r="AM44" i="75"/>
  <c r="AL44" i="75"/>
  <c r="AK44" i="75"/>
  <c r="AJ44" i="75"/>
  <c r="AI44" i="75"/>
  <c r="AH44" i="75"/>
  <c r="AG44" i="75"/>
  <c r="AF44" i="75"/>
  <c r="AE44" i="75"/>
  <c r="AD44" i="75"/>
  <c r="Y44" i="75"/>
  <c r="W44" i="75"/>
  <c r="V44" i="75"/>
  <c r="U44" i="75"/>
  <c r="T44" i="75"/>
  <c r="AN43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U43" i="75"/>
  <c r="T43" i="75"/>
  <c r="AN42" i="75"/>
  <c r="AM42" i="75"/>
  <c r="AL42" i="75"/>
  <c r="AK42" i="75"/>
  <c r="AJ42" i="75"/>
  <c r="AI42" i="75"/>
  <c r="AH42" i="75"/>
  <c r="AG42" i="75"/>
  <c r="AF42" i="75"/>
  <c r="AE42" i="75"/>
  <c r="AD42" i="75"/>
  <c r="Y42" i="75"/>
  <c r="W42" i="75"/>
  <c r="V42" i="75"/>
  <c r="U42" i="75"/>
  <c r="T42" i="75"/>
  <c r="AN41" i="75"/>
  <c r="AM41" i="75"/>
  <c r="AL41" i="75"/>
  <c r="AK41" i="75"/>
  <c r="AJ41" i="75"/>
  <c r="AI41" i="75"/>
  <c r="AH41" i="75"/>
  <c r="AG41" i="75"/>
  <c r="AF41" i="75"/>
  <c r="AE41" i="75"/>
  <c r="AD41" i="75"/>
  <c r="Y41" i="75"/>
  <c r="W41" i="75"/>
  <c r="V41" i="75"/>
  <c r="U41" i="75"/>
  <c r="T41" i="75"/>
  <c r="AN40" i="75"/>
  <c r="AM40" i="75"/>
  <c r="AL40" i="75"/>
  <c r="AK40" i="75"/>
  <c r="AJ40" i="75"/>
  <c r="AI40" i="75"/>
  <c r="AH40" i="75"/>
  <c r="AG40" i="75"/>
  <c r="AF40" i="75"/>
  <c r="AE40" i="75"/>
  <c r="AD40" i="75"/>
  <c r="Y40" i="75"/>
  <c r="W40" i="75"/>
  <c r="V40" i="75"/>
  <c r="U40" i="75"/>
  <c r="T40" i="75"/>
  <c r="AN39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U39" i="75"/>
  <c r="T39" i="75"/>
  <c r="AN38" i="75"/>
  <c r="AM38" i="75"/>
  <c r="AL38" i="75"/>
  <c r="AK38" i="75"/>
  <c r="AJ38" i="75"/>
  <c r="AI38" i="75"/>
  <c r="AH38" i="75"/>
  <c r="AG38" i="75"/>
  <c r="AF38" i="75"/>
  <c r="AE38" i="75"/>
  <c r="AD38" i="75"/>
  <c r="Y38" i="75"/>
  <c r="W38" i="75"/>
  <c r="V38" i="75"/>
  <c r="U38" i="75"/>
  <c r="T38" i="75"/>
  <c r="AN37" i="75"/>
  <c r="AM37" i="75"/>
  <c r="AL37" i="75"/>
  <c r="AK37" i="75"/>
  <c r="AJ37" i="75"/>
  <c r="AI37" i="75"/>
  <c r="AH37" i="75"/>
  <c r="AG37" i="75"/>
  <c r="AF37" i="75"/>
  <c r="AE37" i="75"/>
  <c r="AD37" i="75"/>
  <c r="Y37" i="75"/>
  <c r="W37" i="75"/>
  <c r="V37" i="75"/>
  <c r="U37" i="75"/>
  <c r="T37" i="75"/>
  <c r="AN36" i="75"/>
  <c r="AM36" i="75"/>
  <c r="AL36" i="75"/>
  <c r="AK36" i="75"/>
  <c r="AJ36" i="75"/>
  <c r="AI36" i="75"/>
  <c r="AH36" i="75"/>
  <c r="AG36" i="75"/>
  <c r="AF36" i="75"/>
  <c r="AE36" i="75"/>
  <c r="AD36" i="75"/>
  <c r="Y36" i="75"/>
  <c r="W36" i="75"/>
  <c r="V36" i="75"/>
  <c r="U36" i="75"/>
  <c r="T36" i="75"/>
  <c r="AN35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U35" i="75"/>
  <c r="T35" i="75"/>
  <c r="AN34" i="75"/>
  <c r="AM34" i="75"/>
  <c r="AL34" i="75"/>
  <c r="AK34" i="75"/>
  <c r="AJ34" i="75"/>
  <c r="AI34" i="75"/>
  <c r="AH34" i="75"/>
  <c r="AG34" i="75"/>
  <c r="AF34" i="75"/>
  <c r="AE34" i="75"/>
  <c r="AD34" i="75"/>
  <c r="Y34" i="75"/>
  <c r="W34" i="75"/>
  <c r="V34" i="75"/>
  <c r="U34" i="75"/>
  <c r="T34" i="75"/>
  <c r="AN33" i="75"/>
  <c r="AM33" i="75"/>
  <c r="AL33" i="75"/>
  <c r="AK33" i="75"/>
  <c r="AJ33" i="75"/>
  <c r="AI33" i="75"/>
  <c r="AH33" i="75"/>
  <c r="AG33" i="75"/>
  <c r="AF33" i="75"/>
  <c r="AE33" i="75"/>
  <c r="AD33" i="75"/>
  <c r="Y33" i="75"/>
  <c r="W33" i="75"/>
  <c r="V33" i="75"/>
  <c r="U33" i="75"/>
  <c r="T33" i="75"/>
  <c r="AN32" i="75"/>
  <c r="AM32" i="75"/>
  <c r="AL32" i="75"/>
  <c r="AK32" i="75"/>
  <c r="AJ32" i="75"/>
  <c r="AI32" i="75"/>
  <c r="AH32" i="75"/>
  <c r="AG32" i="75"/>
  <c r="AF32" i="75"/>
  <c r="AE32" i="75"/>
  <c r="AD32" i="75"/>
  <c r="Y32" i="75"/>
  <c r="W32" i="75"/>
  <c r="V32" i="75"/>
  <c r="U32" i="75"/>
  <c r="T32" i="75"/>
  <c r="AN31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U31" i="75"/>
  <c r="T31" i="75"/>
  <c r="AN30" i="75"/>
  <c r="AM30" i="75"/>
  <c r="AL30" i="75"/>
  <c r="AK30" i="75"/>
  <c r="AJ30" i="75"/>
  <c r="AI30" i="75"/>
  <c r="AH30" i="75"/>
  <c r="AG30" i="75"/>
  <c r="AF30" i="75"/>
  <c r="AE30" i="75"/>
  <c r="AD30" i="75"/>
  <c r="Y30" i="75"/>
  <c r="W30" i="75"/>
  <c r="V30" i="75"/>
  <c r="U30" i="75"/>
  <c r="T30" i="75"/>
  <c r="AN29" i="75"/>
  <c r="AM29" i="75"/>
  <c r="AL29" i="75"/>
  <c r="AK29" i="75"/>
  <c r="AJ29" i="75"/>
  <c r="AI29" i="75"/>
  <c r="AH29" i="75"/>
  <c r="AG29" i="75"/>
  <c r="AF29" i="75"/>
  <c r="AE29" i="75"/>
  <c r="AD29" i="75"/>
  <c r="Y29" i="75"/>
  <c r="W29" i="75"/>
  <c r="V29" i="75"/>
  <c r="U29" i="75"/>
  <c r="T29" i="75"/>
  <c r="AN28" i="75"/>
  <c r="AM28" i="75"/>
  <c r="AL28" i="75"/>
  <c r="AK28" i="75"/>
  <c r="AJ28" i="75"/>
  <c r="AI28" i="75"/>
  <c r="AH28" i="75"/>
  <c r="AG28" i="75"/>
  <c r="AF28" i="75"/>
  <c r="AE28" i="75"/>
  <c r="AD28" i="75"/>
  <c r="Y28" i="75"/>
  <c r="W28" i="75"/>
  <c r="V28" i="75"/>
  <c r="U28" i="75"/>
  <c r="T28" i="75"/>
  <c r="AN27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U27" i="75"/>
  <c r="T27" i="75"/>
  <c r="AN26" i="75"/>
  <c r="AM26" i="75"/>
  <c r="AL26" i="75"/>
  <c r="AK26" i="75"/>
  <c r="AJ26" i="75"/>
  <c r="AI26" i="75"/>
  <c r="AH26" i="75"/>
  <c r="AG26" i="75"/>
  <c r="AF26" i="75"/>
  <c r="AE26" i="75"/>
  <c r="AD26" i="75"/>
  <c r="Y26" i="75"/>
  <c r="W26" i="75"/>
  <c r="V26" i="75"/>
  <c r="U26" i="75"/>
  <c r="T26" i="75"/>
  <c r="AN25" i="75"/>
  <c r="AM25" i="75"/>
  <c r="AL25" i="75"/>
  <c r="AK25" i="75"/>
  <c r="AJ25" i="75"/>
  <c r="AI25" i="75"/>
  <c r="AH25" i="75"/>
  <c r="AG25" i="75"/>
  <c r="AF25" i="75"/>
  <c r="AE25" i="75"/>
  <c r="AD25" i="75"/>
  <c r="Y25" i="75"/>
  <c r="W25" i="75"/>
  <c r="V25" i="75"/>
  <c r="U25" i="75"/>
  <c r="T25" i="75"/>
  <c r="AN24" i="75"/>
  <c r="AM24" i="75"/>
  <c r="AL24" i="75"/>
  <c r="AK24" i="75"/>
  <c r="AJ24" i="75"/>
  <c r="AI24" i="75"/>
  <c r="AH24" i="75"/>
  <c r="AG24" i="75"/>
  <c r="AF24" i="75"/>
  <c r="AE24" i="75"/>
  <c r="AD24" i="75"/>
  <c r="Y24" i="75"/>
  <c r="W24" i="75"/>
  <c r="V24" i="75"/>
  <c r="U24" i="75"/>
  <c r="T24" i="75"/>
  <c r="AN23" i="75"/>
  <c r="AM23" i="75"/>
  <c r="AL23" i="75"/>
  <c r="AK23" i="75"/>
  <c r="AJ23" i="75"/>
  <c r="AI23" i="75"/>
  <c r="AH23" i="75"/>
  <c r="AG23" i="75"/>
  <c r="AF23" i="75"/>
  <c r="AE23" i="75"/>
  <c r="AD23" i="75"/>
  <c r="Y23" i="75"/>
  <c r="W23" i="75"/>
  <c r="V23" i="75"/>
  <c r="U23" i="75"/>
  <c r="T23" i="75"/>
  <c r="AN22" i="75"/>
  <c r="AM22" i="75"/>
  <c r="AL22" i="75"/>
  <c r="AK22" i="75"/>
  <c r="AJ22" i="75"/>
  <c r="AI22" i="75"/>
  <c r="AH22" i="75"/>
  <c r="AG22" i="75"/>
  <c r="AF22" i="75"/>
  <c r="AE22" i="75"/>
  <c r="AD22" i="75"/>
  <c r="Y22" i="75"/>
  <c r="W22" i="75"/>
  <c r="V22" i="75"/>
  <c r="U22" i="75"/>
  <c r="T22" i="75"/>
  <c r="AN21" i="75"/>
  <c r="AM21" i="75"/>
  <c r="AL21" i="75"/>
  <c r="AK21" i="75"/>
  <c r="AJ21" i="75"/>
  <c r="AI21" i="75"/>
  <c r="AH21" i="75"/>
  <c r="AG21" i="75"/>
  <c r="AF21" i="75"/>
  <c r="AE21" i="75"/>
  <c r="AD21" i="75"/>
  <c r="Y21" i="75"/>
  <c r="W21" i="75"/>
  <c r="V21" i="75"/>
  <c r="U21" i="75"/>
  <c r="T21" i="75"/>
  <c r="AN20" i="75"/>
  <c r="AM20" i="75"/>
  <c r="AL20" i="75"/>
  <c r="AK20" i="75"/>
  <c r="AJ20" i="75"/>
  <c r="AI20" i="75"/>
  <c r="AH20" i="75"/>
  <c r="AG20" i="75"/>
  <c r="AF20" i="75"/>
  <c r="AE20" i="75"/>
  <c r="AD20" i="75"/>
  <c r="Y20" i="75"/>
  <c r="W20" i="75"/>
  <c r="V20" i="75"/>
  <c r="U20" i="75"/>
  <c r="T20" i="75"/>
  <c r="AN19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U19" i="75"/>
  <c r="T19" i="75"/>
  <c r="AN18" i="75"/>
  <c r="AM18" i="75"/>
  <c r="AL18" i="75"/>
  <c r="AK18" i="75"/>
  <c r="AJ18" i="75"/>
  <c r="AI18" i="75"/>
  <c r="AH18" i="75"/>
  <c r="AG18" i="75"/>
  <c r="AF18" i="75"/>
  <c r="AE18" i="75"/>
  <c r="AD18" i="75"/>
  <c r="Y18" i="75"/>
  <c r="W18" i="75"/>
  <c r="V18" i="75"/>
  <c r="U18" i="75"/>
  <c r="T18" i="75"/>
  <c r="AN17" i="75"/>
  <c r="AM17" i="75"/>
  <c r="AL17" i="75"/>
  <c r="AK17" i="75"/>
  <c r="AJ17" i="75"/>
  <c r="AI17" i="75"/>
  <c r="AH17" i="75"/>
  <c r="AG17" i="75"/>
  <c r="AF17" i="75"/>
  <c r="AE17" i="75"/>
  <c r="AD17" i="75"/>
  <c r="Y17" i="75"/>
  <c r="W17" i="75"/>
  <c r="V17" i="75"/>
  <c r="U17" i="75"/>
  <c r="T17" i="75"/>
  <c r="AN16" i="75"/>
  <c r="AM16" i="75"/>
  <c r="AL16" i="75"/>
  <c r="AK16" i="75"/>
  <c r="AJ16" i="75"/>
  <c r="AI16" i="75"/>
  <c r="AH16" i="75"/>
  <c r="AG16" i="75"/>
  <c r="AF16" i="75"/>
  <c r="AE16" i="75"/>
  <c r="AD16" i="75"/>
  <c r="Y16" i="75"/>
  <c r="W16" i="75"/>
  <c r="V16" i="75"/>
  <c r="U16" i="75"/>
  <c r="T16" i="75"/>
  <c r="A16" i="75"/>
  <c r="AN15" i="75"/>
  <c r="AM15" i="75"/>
  <c r="AL15" i="75"/>
  <c r="AK15" i="75"/>
  <c r="AJ15" i="75"/>
  <c r="AI15" i="75"/>
  <c r="AH15" i="75"/>
  <c r="AG15" i="75"/>
  <c r="AF15" i="75"/>
  <c r="AE15" i="75"/>
  <c r="AD15" i="75"/>
  <c r="Y15" i="75"/>
  <c r="W15" i="75"/>
  <c r="V15" i="75"/>
  <c r="U15" i="75"/>
  <c r="T15" i="75"/>
  <c r="AN14" i="75"/>
  <c r="AM14" i="75"/>
  <c r="AL14" i="75"/>
  <c r="AK14" i="75"/>
  <c r="AJ14" i="75"/>
  <c r="AI14" i="75"/>
  <c r="AH14" i="75"/>
  <c r="AG14" i="75"/>
  <c r="AF14" i="75"/>
  <c r="AE14" i="75"/>
  <c r="AD14" i="75"/>
  <c r="Y14" i="75"/>
  <c r="W14" i="75"/>
  <c r="V14" i="75"/>
  <c r="U14" i="75"/>
  <c r="T14" i="75"/>
  <c r="A14" i="75"/>
  <c r="AN13" i="75"/>
  <c r="AM13" i="75"/>
  <c r="AL13" i="75"/>
  <c r="AK13" i="75"/>
  <c r="AJ13" i="75"/>
  <c r="AI13" i="75"/>
  <c r="AH13" i="75"/>
  <c r="AG13" i="75"/>
  <c r="AF13" i="75"/>
  <c r="AE13" i="75"/>
  <c r="AD13" i="75"/>
  <c r="Y13" i="75"/>
  <c r="W13" i="75"/>
  <c r="V13" i="75"/>
  <c r="U13" i="75"/>
  <c r="T13" i="75"/>
  <c r="AN12" i="75"/>
  <c r="AM12" i="75"/>
  <c r="AL12" i="75"/>
  <c r="AK12" i="75"/>
  <c r="AJ12" i="75"/>
  <c r="AI12" i="75"/>
  <c r="AH12" i="75"/>
  <c r="AG12" i="75"/>
  <c r="AF12" i="75"/>
  <c r="AE12" i="75"/>
  <c r="AD12" i="75"/>
  <c r="Y12" i="75"/>
  <c r="W12" i="75"/>
  <c r="V12" i="75"/>
  <c r="U12" i="75"/>
  <c r="T12" i="75"/>
  <c r="A12" i="75"/>
  <c r="AN11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U11" i="75"/>
  <c r="T11" i="75"/>
  <c r="AN10" i="75"/>
  <c r="AM10" i="75"/>
  <c r="AL10" i="75"/>
  <c r="AK10" i="75"/>
  <c r="AJ10" i="75"/>
  <c r="AI10" i="75"/>
  <c r="AH10" i="75"/>
  <c r="AG10" i="75"/>
  <c r="AF10" i="75"/>
  <c r="AE10" i="75"/>
  <c r="AD10" i="75"/>
  <c r="Y10" i="75"/>
  <c r="W10" i="75"/>
  <c r="V10" i="75"/>
  <c r="U10" i="75"/>
  <c r="T10" i="75"/>
  <c r="A10" i="75"/>
  <c r="AN9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N8" i="75"/>
  <c r="AM8" i="75"/>
  <c r="AL8" i="75"/>
  <c r="AK8" i="75"/>
  <c r="AJ8" i="75"/>
  <c r="AI8" i="75"/>
  <c r="AH8" i="75"/>
  <c r="AG8" i="75"/>
  <c r="AF8" i="75"/>
  <c r="AD8" i="75"/>
  <c r="Y8" i="75"/>
  <c r="W8" i="75"/>
  <c r="V8" i="75"/>
  <c r="U8" i="75"/>
  <c r="T8" i="75"/>
  <c r="AN7" i="75"/>
  <c r="AM7" i="75"/>
  <c r="AL7" i="75"/>
  <c r="AK7" i="75"/>
  <c r="AJ7" i="75"/>
  <c r="AI7" i="75"/>
  <c r="AH7" i="75"/>
  <c r="AG7" i="75"/>
  <c r="AF7" i="75"/>
  <c r="AD7" i="75"/>
  <c r="Y7" i="75"/>
  <c r="W7" i="75"/>
  <c r="V7" i="75"/>
  <c r="U7" i="75"/>
  <c r="T7" i="75"/>
  <c r="AN6" i="75"/>
  <c r="AM6" i="75"/>
  <c r="AL6" i="75"/>
  <c r="AK6" i="75"/>
  <c r="AJ6" i="75"/>
  <c r="AI6" i="75"/>
  <c r="AH6" i="75"/>
  <c r="AG6" i="75"/>
  <c r="AF6" i="75"/>
  <c r="AD6" i="75"/>
  <c r="Y6" i="75"/>
  <c r="W6" i="75"/>
  <c r="V6" i="75"/>
  <c r="U6" i="75"/>
  <c r="T6" i="75"/>
  <c r="A6" i="75"/>
  <c r="AN5" i="75"/>
  <c r="AM5" i="75"/>
  <c r="AL5" i="75"/>
  <c r="AK5" i="75"/>
  <c r="AJ5" i="75"/>
  <c r="AI5" i="75"/>
  <c r="AH5" i="75"/>
  <c r="AG5" i="75"/>
  <c r="AF5" i="75"/>
  <c r="AD5" i="75"/>
  <c r="Y5" i="75"/>
  <c r="W5" i="75"/>
  <c r="V5" i="75"/>
  <c r="U5" i="75"/>
  <c r="T5" i="75"/>
  <c r="F1" i="75"/>
  <c r="AN67" i="47"/>
  <c r="AM67" i="47"/>
  <c r="AL67" i="47"/>
  <c r="AK67" i="47"/>
  <c r="AJ67" i="47"/>
  <c r="AI67" i="47"/>
  <c r="AH67" i="47"/>
  <c r="AG67" i="47"/>
  <c r="AF67" i="47"/>
  <c r="AE67" i="47"/>
  <c r="AD67" i="47"/>
  <c r="Y67" i="47"/>
  <c r="W67" i="47"/>
  <c r="V67" i="47"/>
  <c r="U67" i="47"/>
  <c r="T67" i="47"/>
  <c r="AN66" i="47"/>
  <c r="AM66" i="47"/>
  <c r="AL66" i="47"/>
  <c r="AK66" i="47"/>
  <c r="AJ66" i="47"/>
  <c r="AI66" i="47"/>
  <c r="AH66" i="47"/>
  <c r="AG66" i="47"/>
  <c r="AF66" i="47"/>
  <c r="AE66" i="47"/>
  <c r="AD66" i="47"/>
  <c r="Y66" i="47"/>
  <c r="W66" i="47"/>
  <c r="V66" i="47"/>
  <c r="U66" i="47"/>
  <c r="T66" i="47"/>
  <c r="AN65" i="47"/>
  <c r="AM65" i="47"/>
  <c r="AL65" i="47"/>
  <c r="AK65" i="47"/>
  <c r="AJ65" i="47"/>
  <c r="AI65" i="47"/>
  <c r="AH65" i="47"/>
  <c r="AG65" i="47"/>
  <c r="AF65" i="47"/>
  <c r="AE65" i="47"/>
  <c r="AD65" i="47"/>
  <c r="Y65" i="47"/>
  <c r="W65" i="47"/>
  <c r="V65" i="47"/>
  <c r="U65" i="47"/>
  <c r="T65" i="47"/>
  <c r="AN64" i="47"/>
  <c r="AM64" i="47"/>
  <c r="AL64" i="47"/>
  <c r="AK64" i="47"/>
  <c r="AJ64" i="47"/>
  <c r="AI64" i="47"/>
  <c r="AH64" i="47"/>
  <c r="AG64" i="47"/>
  <c r="AF64" i="47"/>
  <c r="AE64" i="47"/>
  <c r="AD64" i="47"/>
  <c r="Y64" i="47"/>
  <c r="W64" i="47"/>
  <c r="V64" i="47"/>
  <c r="U64" i="47"/>
  <c r="T64" i="47"/>
  <c r="AN63" i="47"/>
  <c r="AM63" i="47"/>
  <c r="AL63" i="47"/>
  <c r="AK63" i="47"/>
  <c r="AJ63" i="47"/>
  <c r="AI63" i="47"/>
  <c r="AH63" i="47"/>
  <c r="AG63" i="47"/>
  <c r="AF63" i="47"/>
  <c r="AE63" i="47"/>
  <c r="AD63" i="47"/>
  <c r="Y63" i="47"/>
  <c r="W63" i="47"/>
  <c r="V63" i="47"/>
  <c r="U63" i="47"/>
  <c r="T63" i="47"/>
  <c r="AN62" i="47"/>
  <c r="AM62" i="47"/>
  <c r="AL62" i="47"/>
  <c r="AK62" i="47"/>
  <c r="AJ62" i="47"/>
  <c r="AI62" i="47"/>
  <c r="AH62" i="47"/>
  <c r="AG62" i="47"/>
  <c r="AF62" i="47"/>
  <c r="AE62" i="47"/>
  <c r="AD62" i="47"/>
  <c r="Y62" i="47"/>
  <c r="W62" i="47"/>
  <c r="V62" i="47"/>
  <c r="U62" i="47"/>
  <c r="T62" i="47"/>
  <c r="AN61" i="47"/>
  <c r="AM61" i="47"/>
  <c r="AL61" i="47"/>
  <c r="AK61" i="47"/>
  <c r="AJ61" i="47"/>
  <c r="AI61" i="47"/>
  <c r="AH61" i="47"/>
  <c r="AG61" i="47"/>
  <c r="AF61" i="47"/>
  <c r="AE61" i="47"/>
  <c r="AD61" i="47"/>
  <c r="Y61" i="47"/>
  <c r="W61" i="47"/>
  <c r="V61" i="47"/>
  <c r="U61" i="47"/>
  <c r="T61" i="47"/>
  <c r="AN60" i="47"/>
  <c r="AM60" i="47"/>
  <c r="AL60" i="47"/>
  <c r="AK60" i="47"/>
  <c r="AJ60" i="47"/>
  <c r="AI60" i="47"/>
  <c r="AH60" i="47"/>
  <c r="AG60" i="47"/>
  <c r="AF60" i="47"/>
  <c r="AE60" i="47"/>
  <c r="AD60" i="47"/>
  <c r="Y60" i="47"/>
  <c r="W60" i="47"/>
  <c r="V60" i="47"/>
  <c r="U60" i="47"/>
  <c r="T60" i="47"/>
  <c r="AN59" i="47"/>
  <c r="AM59" i="47"/>
  <c r="AL59" i="47"/>
  <c r="AK59" i="47"/>
  <c r="AJ59" i="47"/>
  <c r="AI59" i="47"/>
  <c r="AH59" i="47"/>
  <c r="AG59" i="47"/>
  <c r="AF59" i="47"/>
  <c r="AE59" i="47"/>
  <c r="AD59" i="47"/>
  <c r="Y59" i="47"/>
  <c r="W59" i="47"/>
  <c r="V59" i="47"/>
  <c r="U59" i="47"/>
  <c r="T59" i="47"/>
  <c r="AN58" i="47"/>
  <c r="AM58" i="47"/>
  <c r="AL58" i="47"/>
  <c r="AK58" i="47"/>
  <c r="AJ58" i="47"/>
  <c r="AI58" i="47"/>
  <c r="AH58" i="47"/>
  <c r="AG58" i="47"/>
  <c r="AF58" i="47"/>
  <c r="AE58" i="47"/>
  <c r="AD58" i="47"/>
  <c r="Y58" i="47"/>
  <c r="W58" i="47"/>
  <c r="V58" i="47"/>
  <c r="U58" i="47"/>
  <c r="T58" i="47"/>
  <c r="AN57" i="47"/>
  <c r="AM57" i="47"/>
  <c r="AL57" i="47"/>
  <c r="AK57" i="47"/>
  <c r="AJ57" i="47"/>
  <c r="AI57" i="47"/>
  <c r="AH57" i="47"/>
  <c r="AG57" i="47"/>
  <c r="AF57" i="47"/>
  <c r="AE57" i="47"/>
  <c r="AD57" i="47"/>
  <c r="Y57" i="47"/>
  <c r="W57" i="47"/>
  <c r="V57" i="47"/>
  <c r="U57" i="47"/>
  <c r="T57" i="47"/>
  <c r="AN56" i="47"/>
  <c r="AM56" i="47"/>
  <c r="AL56" i="47"/>
  <c r="AK56" i="47"/>
  <c r="AJ56" i="47"/>
  <c r="AI56" i="47"/>
  <c r="AH56" i="47"/>
  <c r="AG56" i="47"/>
  <c r="AF56" i="47"/>
  <c r="AE56" i="47"/>
  <c r="AD56" i="47"/>
  <c r="Y56" i="47"/>
  <c r="W56" i="47"/>
  <c r="V56" i="47"/>
  <c r="U56" i="47"/>
  <c r="T56" i="47"/>
  <c r="AN55" i="47"/>
  <c r="AM55" i="47"/>
  <c r="AL55" i="47"/>
  <c r="AK55" i="47"/>
  <c r="AJ55" i="47"/>
  <c r="AI55" i="47"/>
  <c r="AH55" i="47"/>
  <c r="AG55" i="47"/>
  <c r="AF55" i="47"/>
  <c r="AE55" i="47"/>
  <c r="AD55" i="47"/>
  <c r="Y55" i="47"/>
  <c r="W55" i="47"/>
  <c r="V55" i="47"/>
  <c r="U55" i="47"/>
  <c r="T55" i="47"/>
  <c r="AN54" i="47"/>
  <c r="AM54" i="47"/>
  <c r="AL54" i="47"/>
  <c r="AK54" i="47"/>
  <c r="AJ54" i="47"/>
  <c r="AI54" i="47"/>
  <c r="AH54" i="47"/>
  <c r="AG54" i="47"/>
  <c r="AF54" i="47"/>
  <c r="AE54" i="47"/>
  <c r="AD54" i="47"/>
  <c r="Y54" i="47"/>
  <c r="W54" i="47"/>
  <c r="V54" i="47"/>
  <c r="U54" i="47"/>
  <c r="T54" i="47"/>
  <c r="AN53" i="47"/>
  <c r="AM53" i="47"/>
  <c r="AL53" i="47"/>
  <c r="AK53" i="47"/>
  <c r="AJ53" i="47"/>
  <c r="AI53" i="47"/>
  <c r="AH53" i="47"/>
  <c r="AG53" i="47"/>
  <c r="AF53" i="47"/>
  <c r="AE53" i="47"/>
  <c r="AD53" i="47"/>
  <c r="Y53" i="47"/>
  <c r="W53" i="47"/>
  <c r="V53" i="47"/>
  <c r="U53" i="47"/>
  <c r="T53" i="47"/>
  <c r="AN52" i="47"/>
  <c r="AM52" i="47"/>
  <c r="AL52" i="47"/>
  <c r="AK52" i="47"/>
  <c r="AJ52" i="47"/>
  <c r="AI52" i="47"/>
  <c r="AH52" i="47"/>
  <c r="AG52" i="47"/>
  <c r="AF52" i="47"/>
  <c r="AE52" i="47"/>
  <c r="AD52" i="47"/>
  <c r="Y52" i="47"/>
  <c r="W52" i="47"/>
  <c r="V52" i="47"/>
  <c r="U52" i="47"/>
  <c r="T52" i="47"/>
  <c r="AN51" i="47"/>
  <c r="AM51" i="47"/>
  <c r="AL51" i="47"/>
  <c r="AK51" i="47"/>
  <c r="AJ51" i="47"/>
  <c r="AI51" i="47"/>
  <c r="AH51" i="47"/>
  <c r="AG51" i="47"/>
  <c r="AF51" i="47"/>
  <c r="AE51" i="47"/>
  <c r="AD51" i="47"/>
  <c r="Y51" i="47"/>
  <c r="W51" i="47"/>
  <c r="V51" i="47"/>
  <c r="U51" i="47"/>
  <c r="T51" i="47"/>
  <c r="AN50" i="47"/>
  <c r="AM50" i="47"/>
  <c r="AL50" i="47"/>
  <c r="AK50" i="47"/>
  <c r="AJ50" i="47"/>
  <c r="AI50" i="47"/>
  <c r="AH50" i="47"/>
  <c r="AG50" i="47"/>
  <c r="AF50" i="47"/>
  <c r="AE50" i="47"/>
  <c r="AD50" i="47"/>
  <c r="Y50" i="47"/>
  <c r="W50" i="47"/>
  <c r="V50" i="47"/>
  <c r="U50" i="47"/>
  <c r="T50" i="47"/>
  <c r="AN49" i="47"/>
  <c r="AM49" i="47"/>
  <c r="AL49" i="47"/>
  <c r="AK49" i="47"/>
  <c r="AJ49" i="47"/>
  <c r="AI49" i="47"/>
  <c r="AH49" i="47"/>
  <c r="AG49" i="47"/>
  <c r="AF49" i="47"/>
  <c r="AE49" i="47"/>
  <c r="AD49" i="47"/>
  <c r="Y49" i="47"/>
  <c r="W49" i="47"/>
  <c r="V49" i="47"/>
  <c r="U49" i="47"/>
  <c r="T49" i="47"/>
  <c r="AN48" i="47"/>
  <c r="AM48" i="47"/>
  <c r="AL48" i="47"/>
  <c r="AK48" i="47"/>
  <c r="AJ48" i="47"/>
  <c r="AI48" i="47"/>
  <c r="AH48" i="47"/>
  <c r="AG48" i="47"/>
  <c r="AF48" i="47"/>
  <c r="AE48" i="47"/>
  <c r="AD48" i="47"/>
  <c r="Y48" i="47"/>
  <c r="W48" i="47"/>
  <c r="V48" i="47"/>
  <c r="U48" i="47"/>
  <c r="T48" i="47"/>
  <c r="AN47" i="47"/>
  <c r="AM47" i="47"/>
  <c r="AL47" i="47"/>
  <c r="AK47" i="47"/>
  <c r="AJ47" i="47"/>
  <c r="AI47" i="47"/>
  <c r="AH47" i="47"/>
  <c r="AG47" i="47"/>
  <c r="AF47" i="47"/>
  <c r="AE47" i="47"/>
  <c r="AD47" i="47"/>
  <c r="Y47" i="47"/>
  <c r="W47" i="47"/>
  <c r="V47" i="47"/>
  <c r="U47" i="47"/>
  <c r="T47" i="47"/>
  <c r="AN46" i="47"/>
  <c r="AM46" i="47"/>
  <c r="AL46" i="47"/>
  <c r="AK46" i="47"/>
  <c r="AJ46" i="47"/>
  <c r="AI46" i="47"/>
  <c r="AH46" i="47"/>
  <c r="AG46" i="47"/>
  <c r="AF46" i="47"/>
  <c r="AE46" i="47"/>
  <c r="AD46" i="47"/>
  <c r="Y46" i="47"/>
  <c r="W46" i="47"/>
  <c r="V46" i="47"/>
  <c r="U46" i="47"/>
  <c r="T46" i="47"/>
  <c r="AN45" i="47"/>
  <c r="AM45" i="47"/>
  <c r="AL45" i="47"/>
  <c r="AK45" i="47"/>
  <c r="AJ45" i="47"/>
  <c r="AI45" i="47"/>
  <c r="AH45" i="47"/>
  <c r="AG45" i="47"/>
  <c r="AF45" i="47"/>
  <c r="AE45" i="47"/>
  <c r="AD45" i="47"/>
  <c r="Y45" i="47"/>
  <c r="W45" i="47"/>
  <c r="V45" i="47"/>
  <c r="U45" i="47"/>
  <c r="T45" i="47"/>
  <c r="AN44" i="47"/>
  <c r="AM44" i="47"/>
  <c r="AL44" i="47"/>
  <c r="AK44" i="47"/>
  <c r="AJ44" i="47"/>
  <c r="AI44" i="47"/>
  <c r="AH44" i="47"/>
  <c r="AG44" i="47"/>
  <c r="AF44" i="47"/>
  <c r="AE44" i="47"/>
  <c r="AD44" i="47"/>
  <c r="Y44" i="47"/>
  <c r="W44" i="47"/>
  <c r="V44" i="47"/>
  <c r="U44" i="47"/>
  <c r="T44" i="47"/>
  <c r="AN43" i="47"/>
  <c r="AM43" i="47"/>
  <c r="AL43" i="47"/>
  <c r="AK43" i="47"/>
  <c r="AJ43" i="47"/>
  <c r="AI43" i="47"/>
  <c r="AH43" i="47"/>
  <c r="AG43" i="47"/>
  <c r="AF43" i="47"/>
  <c r="AE43" i="47"/>
  <c r="AD43" i="47"/>
  <c r="Y43" i="47"/>
  <c r="W43" i="47"/>
  <c r="V43" i="47"/>
  <c r="U43" i="47"/>
  <c r="T43" i="47"/>
  <c r="AN42" i="47"/>
  <c r="AM42" i="47"/>
  <c r="AL42" i="47"/>
  <c r="AK42" i="47"/>
  <c r="AJ42" i="47"/>
  <c r="AI42" i="47"/>
  <c r="AH42" i="47"/>
  <c r="AG42" i="47"/>
  <c r="AF42" i="47"/>
  <c r="AE42" i="47"/>
  <c r="AD42" i="47"/>
  <c r="Y42" i="47"/>
  <c r="W42" i="47"/>
  <c r="V42" i="47"/>
  <c r="U42" i="47"/>
  <c r="T42" i="47"/>
  <c r="AN41" i="47"/>
  <c r="AM41" i="47"/>
  <c r="AL41" i="47"/>
  <c r="AK41" i="47"/>
  <c r="AJ41" i="47"/>
  <c r="AI41" i="47"/>
  <c r="AH41" i="47"/>
  <c r="AG41" i="47"/>
  <c r="AF41" i="47"/>
  <c r="AE41" i="47"/>
  <c r="AD41" i="47"/>
  <c r="Y41" i="47"/>
  <c r="W41" i="47"/>
  <c r="V41" i="47"/>
  <c r="U41" i="47"/>
  <c r="T41" i="47"/>
  <c r="AN40" i="47"/>
  <c r="AM40" i="47"/>
  <c r="AL40" i="47"/>
  <c r="AK40" i="47"/>
  <c r="AJ40" i="47"/>
  <c r="AI40" i="47"/>
  <c r="AH40" i="47"/>
  <c r="AG40" i="47"/>
  <c r="AF40" i="47"/>
  <c r="AE40" i="47"/>
  <c r="AD40" i="47"/>
  <c r="Y40" i="47"/>
  <c r="W40" i="47"/>
  <c r="V40" i="47"/>
  <c r="U40" i="47"/>
  <c r="T40" i="47"/>
  <c r="AN39" i="47"/>
  <c r="AM39" i="47"/>
  <c r="AL39" i="47"/>
  <c r="AK39" i="47"/>
  <c r="AJ39" i="47"/>
  <c r="AI39" i="47"/>
  <c r="AH39" i="47"/>
  <c r="AG39" i="47"/>
  <c r="AF39" i="47"/>
  <c r="AE39" i="47"/>
  <c r="AD39" i="47"/>
  <c r="Y39" i="47"/>
  <c r="W39" i="47"/>
  <c r="V39" i="47"/>
  <c r="U39" i="47"/>
  <c r="T39" i="47"/>
  <c r="AN38" i="47"/>
  <c r="AM38" i="47"/>
  <c r="AL38" i="47"/>
  <c r="AK38" i="47"/>
  <c r="AJ38" i="47"/>
  <c r="AI38" i="47"/>
  <c r="AH38" i="47"/>
  <c r="AG38" i="47"/>
  <c r="AF38" i="47"/>
  <c r="AE38" i="47"/>
  <c r="AD38" i="47"/>
  <c r="Y38" i="47"/>
  <c r="W38" i="47"/>
  <c r="V38" i="47"/>
  <c r="U38" i="47"/>
  <c r="T38" i="47"/>
  <c r="AN37" i="47"/>
  <c r="AM37" i="47"/>
  <c r="AL37" i="47"/>
  <c r="AK37" i="47"/>
  <c r="AJ37" i="47"/>
  <c r="AI37" i="47"/>
  <c r="AH37" i="47"/>
  <c r="AG37" i="47"/>
  <c r="AF37" i="47"/>
  <c r="AE37" i="47"/>
  <c r="AD37" i="47"/>
  <c r="Y37" i="47"/>
  <c r="W37" i="47"/>
  <c r="V37" i="47"/>
  <c r="U37" i="47"/>
  <c r="T37" i="47"/>
  <c r="AN36" i="47"/>
  <c r="AM36" i="47"/>
  <c r="AL36" i="47"/>
  <c r="AK36" i="47"/>
  <c r="AJ36" i="47"/>
  <c r="AI36" i="47"/>
  <c r="AH36" i="47"/>
  <c r="AG36" i="47"/>
  <c r="AF36" i="47"/>
  <c r="AE36" i="47"/>
  <c r="AD36" i="47"/>
  <c r="Y36" i="47"/>
  <c r="W36" i="47"/>
  <c r="V36" i="47"/>
  <c r="U36" i="47"/>
  <c r="T36" i="47"/>
  <c r="AN35" i="47"/>
  <c r="AM35" i="47"/>
  <c r="AL35" i="47"/>
  <c r="AK35" i="47"/>
  <c r="AJ35" i="47"/>
  <c r="AI35" i="47"/>
  <c r="AH35" i="47"/>
  <c r="AG35" i="47"/>
  <c r="AF35" i="47"/>
  <c r="AE35" i="47"/>
  <c r="AD35" i="47"/>
  <c r="Y35" i="47"/>
  <c r="W35" i="47"/>
  <c r="V35" i="47"/>
  <c r="U35" i="47"/>
  <c r="T35" i="47"/>
  <c r="AN34" i="47"/>
  <c r="AM34" i="47"/>
  <c r="AL34" i="47"/>
  <c r="AK34" i="47"/>
  <c r="AJ34" i="47"/>
  <c r="AI34" i="47"/>
  <c r="AH34" i="47"/>
  <c r="AG34" i="47"/>
  <c r="AF34" i="47"/>
  <c r="AE34" i="47"/>
  <c r="AD34" i="47"/>
  <c r="Y34" i="47"/>
  <c r="W34" i="47"/>
  <c r="V34" i="47"/>
  <c r="U34" i="47"/>
  <c r="T34" i="47"/>
  <c r="AN33" i="47"/>
  <c r="AM33" i="47"/>
  <c r="AL33" i="47"/>
  <c r="AK33" i="47"/>
  <c r="AJ33" i="47"/>
  <c r="AI33" i="47"/>
  <c r="AH33" i="47"/>
  <c r="AG33" i="47"/>
  <c r="AF33" i="47"/>
  <c r="AE33" i="47"/>
  <c r="AD33" i="47"/>
  <c r="Y33" i="47"/>
  <c r="W33" i="47"/>
  <c r="V33" i="47"/>
  <c r="U33" i="47"/>
  <c r="T33" i="47"/>
  <c r="AN32" i="47"/>
  <c r="AM32" i="47"/>
  <c r="AL32" i="47"/>
  <c r="AK32" i="47"/>
  <c r="AJ32" i="47"/>
  <c r="AI32" i="47"/>
  <c r="AH32" i="47"/>
  <c r="AG32" i="47"/>
  <c r="AF32" i="47"/>
  <c r="AE32" i="47"/>
  <c r="AD32" i="47"/>
  <c r="Y32" i="47"/>
  <c r="W32" i="47"/>
  <c r="V32" i="47"/>
  <c r="U32" i="47"/>
  <c r="T32" i="47"/>
  <c r="AN31" i="47"/>
  <c r="AM31" i="47"/>
  <c r="AL31" i="47"/>
  <c r="AK31" i="47"/>
  <c r="AJ31" i="47"/>
  <c r="AI31" i="47"/>
  <c r="AH31" i="47"/>
  <c r="AG31" i="47"/>
  <c r="AF31" i="47"/>
  <c r="AE31" i="47"/>
  <c r="AD31" i="47"/>
  <c r="Y31" i="47"/>
  <c r="W31" i="47"/>
  <c r="V31" i="47"/>
  <c r="U31" i="47"/>
  <c r="T31" i="47"/>
  <c r="AN30" i="47"/>
  <c r="AM30" i="47"/>
  <c r="AL30" i="47"/>
  <c r="AK30" i="47"/>
  <c r="AJ30" i="47"/>
  <c r="AI30" i="47"/>
  <c r="AH30" i="47"/>
  <c r="AG30" i="47"/>
  <c r="AF30" i="47"/>
  <c r="AE30" i="47"/>
  <c r="AD30" i="47"/>
  <c r="Y30" i="47"/>
  <c r="W30" i="47"/>
  <c r="V30" i="47"/>
  <c r="U30" i="47"/>
  <c r="T30" i="47"/>
  <c r="AN29" i="47"/>
  <c r="AM29" i="47"/>
  <c r="AL29" i="47"/>
  <c r="AK29" i="47"/>
  <c r="AJ29" i="47"/>
  <c r="AI29" i="47"/>
  <c r="AH29" i="47"/>
  <c r="AG29" i="47"/>
  <c r="AF29" i="47"/>
  <c r="AE29" i="47"/>
  <c r="AD29" i="47"/>
  <c r="Y29" i="47"/>
  <c r="W29" i="47"/>
  <c r="V29" i="47"/>
  <c r="U29" i="47"/>
  <c r="T29" i="47"/>
  <c r="AN28" i="47"/>
  <c r="AM28" i="47"/>
  <c r="AL28" i="47"/>
  <c r="AK28" i="47"/>
  <c r="AJ28" i="47"/>
  <c r="AI28" i="47"/>
  <c r="AH28" i="47"/>
  <c r="AG28" i="47"/>
  <c r="AF28" i="47"/>
  <c r="AE28" i="47"/>
  <c r="AD28" i="47"/>
  <c r="Y28" i="47"/>
  <c r="W28" i="47"/>
  <c r="V28" i="47"/>
  <c r="U28" i="47"/>
  <c r="T28" i="47"/>
  <c r="AN27" i="47"/>
  <c r="AM27" i="47"/>
  <c r="AL27" i="47"/>
  <c r="AK27" i="47"/>
  <c r="AJ27" i="47"/>
  <c r="AI27" i="47"/>
  <c r="AH27" i="47"/>
  <c r="AG27" i="47"/>
  <c r="AF27" i="47"/>
  <c r="AE27" i="47"/>
  <c r="AD27" i="47"/>
  <c r="Y27" i="47"/>
  <c r="W27" i="47"/>
  <c r="V27" i="47"/>
  <c r="U27" i="47"/>
  <c r="T27" i="47"/>
  <c r="AN26" i="47"/>
  <c r="AM26" i="47"/>
  <c r="AL26" i="47"/>
  <c r="AK26" i="47"/>
  <c r="AJ26" i="47"/>
  <c r="AI26" i="47"/>
  <c r="AH26" i="47"/>
  <c r="AG26" i="47"/>
  <c r="AF26" i="47"/>
  <c r="AE26" i="47"/>
  <c r="AD26" i="47"/>
  <c r="Y26" i="47"/>
  <c r="W26" i="47"/>
  <c r="V26" i="47"/>
  <c r="U26" i="47"/>
  <c r="T26" i="47"/>
  <c r="AN25" i="47"/>
  <c r="AM25" i="47"/>
  <c r="AL25" i="47"/>
  <c r="AK25" i="47"/>
  <c r="AJ25" i="47"/>
  <c r="AI25" i="47"/>
  <c r="AH25" i="47"/>
  <c r="AG25" i="47"/>
  <c r="AF25" i="47"/>
  <c r="AE25" i="47"/>
  <c r="AD25" i="47"/>
  <c r="Y25" i="47"/>
  <c r="W25" i="47"/>
  <c r="V25" i="47"/>
  <c r="U25" i="47"/>
  <c r="T25" i="47"/>
  <c r="AN24" i="47"/>
  <c r="AM24" i="47"/>
  <c r="AL24" i="47"/>
  <c r="AK24" i="47"/>
  <c r="AJ24" i="47"/>
  <c r="AI24" i="47"/>
  <c r="AH24" i="47"/>
  <c r="AG24" i="47"/>
  <c r="AF24" i="47"/>
  <c r="AE24" i="47"/>
  <c r="AD24" i="47"/>
  <c r="Y24" i="47"/>
  <c r="W24" i="47"/>
  <c r="V24" i="47"/>
  <c r="U24" i="47"/>
  <c r="T24" i="47"/>
  <c r="AN23" i="47"/>
  <c r="AM23" i="47"/>
  <c r="AL23" i="47"/>
  <c r="AK23" i="47"/>
  <c r="AJ23" i="47"/>
  <c r="AI23" i="47"/>
  <c r="AH23" i="47"/>
  <c r="AG23" i="47"/>
  <c r="AF23" i="47"/>
  <c r="AE23" i="47"/>
  <c r="AD23" i="47"/>
  <c r="Y23" i="47"/>
  <c r="W23" i="47"/>
  <c r="V23" i="47"/>
  <c r="U23" i="47"/>
  <c r="T23" i="47"/>
  <c r="AN22" i="47"/>
  <c r="AM22" i="47"/>
  <c r="AL22" i="47"/>
  <c r="AK22" i="47"/>
  <c r="AJ22" i="47"/>
  <c r="AI22" i="47"/>
  <c r="AH22" i="47"/>
  <c r="AG22" i="47"/>
  <c r="AF22" i="47"/>
  <c r="AE22" i="47"/>
  <c r="AD22" i="47"/>
  <c r="Y22" i="47"/>
  <c r="W22" i="47"/>
  <c r="V22" i="47"/>
  <c r="U22" i="47"/>
  <c r="T22" i="47"/>
  <c r="AN21" i="47"/>
  <c r="AM21" i="47"/>
  <c r="AL21" i="47"/>
  <c r="AK21" i="47"/>
  <c r="AJ21" i="47"/>
  <c r="AI21" i="47"/>
  <c r="AH21" i="47"/>
  <c r="AG21" i="47"/>
  <c r="AF21" i="47"/>
  <c r="AE21" i="47"/>
  <c r="AD21" i="47"/>
  <c r="Y21" i="47"/>
  <c r="W21" i="47"/>
  <c r="V21" i="47"/>
  <c r="U21" i="47"/>
  <c r="T21" i="47"/>
  <c r="AN20" i="47"/>
  <c r="AM20" i="47"/>
  <c r="AL20" i="47"/>
  <c r="AK20" i="47"/>
  <c r="AJ20" i="47"/>
  <c r="AI20" i="47"/>
  <c r="AH20" i="47"/>
  <c r="AG20" i="47"/>
  <c r="AF20" i="47"/>
  <c r="AE20" i="47"/>
  <c r="AD20" i="47"/>
  <c r="Y20" i="47"/>
  <c r="W20" i="47"/>
  <c r="V20" i="47"/>
  <c r="U20" i="47"/>
  <c r="T20" i="47"/>
  <c r="AN19" i="47"/>
  <c r="AM19" i="47"/>
  <c r="AL19" i="47"/>
  <c r="AK19" i="47"/>
  <c r="AJ19" i="47"/>
  <c r="AI19" i="47"/>
  <c r="AH19" i="47"/>
  <c r="AG19" i="47"/>
  <c r="AF19" i="47"/>
  <c r="AE19" i="47"/>
  <c r="AD19" i="47"/>
  <c r="Y19" i="47"/>
  <c r="W19" i="47"/>
  <c r="V19" i="47"/>
  <c r="U19" i="47"/>
  <c r="T19" i="47"/>
  <c r="AN18" i="47"/>
  <c r="AM18" i="47"/>
  <c r="AL18" i="47"/>
  <c r="AK18" i="47"/>
  <c r="AJ18" i="47"/>
  <c r="AI18" i="47"/>
  <c r="AH18" i="47"/>
  <c r="AG18" i="47"/>
  <c r="AF18" i="47"/>
  <c r="AE18" i="47"/>
  <c r="AD18" i="47"/>
  <c r="Y18" i="47"/>
  <c r="W18" i="47"/>
  <c r="V18" i="47"/>
  <c r="U18" i="47"/>
  <c r="T18" i="47"/>
  <c r="AN17" i="47"/>
  <c r="AM17" i="47"/>
  <c r="AL17" i="47"/>
  <c r="AK17" i="47"/>
  <c r="AJ17" i="47"/>
  <c r="AI17" i="47"/>
  <c r="AH17" i="47"/>
  <c r="AG17" i="47"/>
  <c r="AF17" i="47"/>
  <c r="AE17" i="47"/>
  <c r="AD17" i="47"/>
  <c r="Y17" i="47"/>
  <c r="W17" i="47"/>
  <c r="V17" i="47"/>
  <c r="U17" i="47"/>
  <c r="T17" i="47"/>
  <c r="AN16" i="47"/>
  <c r="AM16" i="47"/>
  <c r="AL16" i="47"/>
  <c r="AK16" i="47"/>
  <c r="AJ16" i="47"/>
  <c r="AI16" i="47"/>
  <c r="AH16" i="47"/>
  <c r="AG16" i="47"/>
  <c r="AF16" i="47"/>
  <c r="AE16" i="47"/>
  <c r="AD16" i="47"/>
  <c r="Y16" i="47"/>
  <c r="W16" i="47"/>
  <c r="V16" i="47"/>
  <c r="U16" i="47"/>
  <c r="T16" i="47"/>
  <c r="A16" i="47"/>
  <c r="AN15" i="47"/>
  <c r="AM15" i="47"/>
  <c r="AL15" i="47"/>
  <c r="AK15" i="47"/>
  <c r="AJ15" i="47"/>
  <c r="AI15" i="47"/>
  <c r="AH15" i="47"/>
  <c r="AG15" i="47"/>
  <c r="AF15" i="47"/>
  <c r="AE15" i="47"/>
  <c r="AD15" i="47"/>
  <c r="Y15" i="47"/>
  <c r="W15" i="47"/>
  <c r="V15" i="47"/>
  <c r="U15" i="47"/>
  <c r="T15" i="47"/>
  <c r="AN14" i="47"/>
  <c r="AM14" i="47"/>
  <c r="AL14" i="47"/>
  <c r="AK14" i="47"/>
  <c r="AJ14" i="47"/>
  <c r="AI14" i="47"/>
  <c r="AH14" i="47"/>
  <c r="AG14" i="47"/>
  <c r="AF14" i="47"/>
  <c r="AE14" i="47"/>
  <c r="AD14" i="47"/>
  <c r="Y14" i="47"/>
  <c r="W14" i="47"/>
  <c r="V14" i="47"/>
  <c r="U14" i="47"/>
  <c r="T14" i="47"/>
  <c r="A14" i="47"/>
  <c r="AN13" i="47"/>
  <c r="AM13" i="47"/>
  <c r="AL13" i="47"/>
  <c r="AK13" i="47"/>
  <c r="AJ13" i="47"/>
  <c r="AI13" i="47"/>
  <c r="AH13" i="47"/>
  <c r="AG13" i="47"/>
  <c r="AF13" i="47"/>
  <c r="AE13" i="47"/>
  <c r="AD13" i="47"/>
  <c r="Y13" i="47"/>
  <c r="W13" i="47"/>
  <c r="V13" i="47"/>
  <c r="U13" i="47"/>
  <c r="T13" i="47"/>
  <c r="AN12" i="47"/>
  <c r="AM12" i="47"/>
  <c r="AL12" i="47"/>
  <c r="AK12" i="47"/>
  <c r="AJ12" i="47"/>
  <c r="AI12" i="47"/>
  <c r="AH12" i="47"/>
  <c r="AG12" i="47"/>
  <c r="AF12" i="47"/>
  <c r="AE12" i="47"/>
  <c r="AD12" i="47"/>
  <c r="Y12" i="47"/>
  <c r="W12" i="47"/>
  <c r="V12" i="47"/>
  <c r="U12" i="47"/>
  <c r="T12" i="47"/>
  <c r="A12" i="47"/>
  <c r="AN11" i="47"/>
  <c r="AM11" i="47"/>
  <c r="AL11" i="47"/>
  <c r="AK11" i="47"/>
  <c r="AJ11" i="47"/>
  <c r="AI11" i="47"/>
  <c r="AH11" i="47"/>
  <c r="AG11" i="47"/>
  <c r="AF11" i="47"/>
  <c r="AE11" i="47"/>
  <c r="AD11" i="47"/>
  <c r="Y11" i="47"/>
  <c r="W11" i="47"/>
  <c r="V11" i="47"/>
  <c r="U11" i="47"/>
  <c r="T11" i="47"/>
  <c r="AN10" i="47"/>
  <c r="AM10" i="47"/>
  <c r="AL10" i="47"/>
  <c r="AK10" i="47"/>
  <c r="AJ10" i="47"/>
  <c r="AI10" i="47"/>
  <c r="AH10" i="47"/>
  <c r="AG10" i="47"/>
  <c r="AF10" i="47"/>
  <c r="AE10" i="47"/>
  <c r="AD10" i="47"/>
  <c r="Y10" i="47"/>
  <c r="W10" i="47"/>
  <c r="V10" i="47"/>
  <c r="U10" i="47"/>
  <c r="T10" i="47"/>
  <c r="A10" i="47"/>
  <c r="AN9" i="47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U9" i="47"/>
  <c r="T9" i="47"/>
  <c r="AN8" i="47"/>
  <c r="AM8" i="47"/>
  <c r="AL8" i="47"/>
  <c r="AK8" i="47"/>
  <c r="AJ8" i="47"/>
  <c r="AI8" i="47"/>
  <c r="AH8" i="47"/>
  <c r="AG8" i="47"/>
  <c r="AF8" i="47"/>
  <c r="AD8" i="47"/>
  <c r="Y8" i="47"/>
  <c r="W8" i="47"/>
  <c r="V8" i="47"/>
  <c r="U8" i="47"/>
  <c r="T8" i="47"/>
  <c r="AN7" i="47"/>
  <c r="AM7" i="47"/>
  <c r="AL7" i="47"/>
  <c r="AK7" i="47"/>
  <c r="AJ7" i="47"/>
  <c r="AI7" i="47"/>
  <c r="AH7" i="47"/>
  <c r="AG7" i="47"/>
  <c r="AF7" i="47"/>
  <c r="AD7" i="47"/>
  <c r="Y7" i="47"/>
  <c r="W7" i="47"/>
  <c r="V7" i="47"/>
  <c r="U7" i="47"/>
  <c r="T7" i="47"/>
  <c r="AN6" i="47"/>
  <c r="AM6" i="47"/>
  <c r="AL6" i="47"/>
  <c r="AK6" i="47"/>
  <c r="AJ6" i="47"/>
  <c r="AI6" i="47"/>
  <c r="AH6" i="47"/>
  <c r="AG6" i="47"/>
  <c r="AF6" i="47"/>
  <c r="AD6" i="47"/>
  <c r="Y6" i="47"/>
  <c r="W6" i="47"/>
  <c r="V6" i="47"/>
  <c r="U6" i="47"/>
  <c r="T6" i="47"/>
  <c r="A6" i="47"/>
  <c r="AN5" i="47"/>
  <c r="AM5" i="47"/>
  <c r="AL5" i="47"/>
  <c r="AK5" i="47"/>
  <c r="AJ5" i="47"/>
  <c r="AI5" i="47"/>
  <c r="AH5" i="47"/>
  <c r="AG5" i="47"/>
  <c r="AF5" i="47"/>
  <c r="AD5" i="47"/>
  <c r="Y5" i="47"/>
  <c r="W5" i="47"/>
  <c r="V5" i="47"/>
  <c r="U5" i="47"/>
  <c r="T5" i="47"/>
  <c r="F1" i="47"/>
  <c r="AN82" i="46"/>
  <c r="AM82" i="46"/>
  <c r="AL82" i="46"/>
  <c r="AK82" i="46"/>
  <c r="AJ82" i="46"/>
  <c r="AI82" i="46"/>
  <c r="AH82" i="46"/>
  <c r="AG82" i="46"/>
  <c r="AF82" i="46"/>
  <c r="AE82" i="46"/>
  <c r="AD82" i="46"/>
  <c r="Y82" i="46"/>
  <c r="W82" i="46"/>
  <c r="V82" i="46"/>
  <c r="U82" i="46"/>
  <c r="T82" i="46"/>
  <c r="AN81" i="46"/>
  <c r="AM81" i="46"/>
  <c r="AL81" i="46"/>
  <c r="AK81" i="46"/>
  <c r="AJ81" i="46"/>
  <c r="AI81" i="46"/>
  <c r="AH81" i="46"/>
  <c r="AG81" i="46"/>
  <c r="AF81" i="46"/>
  <c r="AE81" i="46"/>
  <c r="AD81" i="46"/>
  <c r="Y81" i="46"/>
  <c r="W81" i="46"/>
  <c r="V81" i="46"/>
  <c r="U81" i="46"/>
  <c r="T81" i="46"/>
  <c r="AN80" i="46"/>
  <c r="AM80" i="46"/>
  <c r="AL80" i="46"/>
  <c r="AK80" i="46"/>
  <c r="AJ80" i="46"/>
  <c r="AI80" i="46"/>
  <c r="AH80" i="46"/>
  <c r="AG80" i="46"/>
  <c r="AF80" i="46"/>
  <c r="AE80" i="46"/>
  <c r="AD80" i="46"/>
  <c r="Y80" i="46"/>
  <c r="W80" i="46"/>
  <c r="V80" i="46"/>
  <c r="U80" i="46"/>
  <c r="T80" i="46"/>
  <c r="AN79" i="46"/>
  <c r="AM79" i="46"/>
  <c r="AL79" i="46"/>
  <c r="AK79" i="46"/>
  <c r="AJ79" i="46"/>
  <c r="AI79" i="46"/>
  <c r="AH79" i="46"/>
  <c r="AG79" i="46"/>
  <c r="AF79" i="46"/>
  <c r="AE79" i="46"/>
  <c r="AD79" i="46"/>
  <c r="Y79" i="46"/>
  <c r="W79" i="46"/>
  <c r="V79" i="46"/>
  <c r="U79" i="46"/>
  <c r="T79" i="46"/>
  <c r="AN78" i="46"/>
  <c r="AM78" i="46"/>
  <c r="AL78" i="46"/>
  <c r="AK78" i="46"/>
  <c r="AJ78" i="46"/>
  <c r="AI78" i="46"/>
  <c r="AH78" i="46"/>
  <c r="AG78" i="46"/>
  <c r="AF78" i="46"/>
  <c r="AE78" i="46"/>
  <c r="AD78" i="46"/>
  <c r="Y78" i="46"/>
  <c r="W78" i="46"/>
  <c r="V78" i="46"/>
  <c r="U78" i="46"/>
  <c r="T78" i="46"/>
  <c r="AN77" i="46"/>
  <c r="AM77" i="46"/>
  <c r="AL77" i="46"/>
  <c r="AK77" i="46"/>
  <c r="AJ77" i="46"/>
  <c r="AI77" i="46"/>
  <c r="AH77" i="46"/>
  <c r="AG77" i="46"/>
  <c r="AF77" i="46"/>
  <c r="AE77" i="46"/>
  <c r="AD77" i="46"/>
  <c r="Y77" i="46"/>
  <c r="W77" i="46"/>
  <c r="V77" i="46"/>
  <c r="U77" i="46"/>
  <c r="T77" i="46"/>
  <c r="AN76" i="46"/>
  <c r="AM76" i="46"/>
  <c r="AL76" i="46"/>
  <c r="AK76" i="46"/>
  <c r="AJ76" i="46"/>
  <c r="AI76" i="46"/>
  <c r="AH76" i="46"/>
  <c r="AG76" i="46"/>
  <c r="AF76" i="46"/>
  <c r="AE76" i="46"/>
  <c r="AD76" i="46"/>
  <c r="Y76" i="46"/>
  <c r="W76" i="46"/>
  <c r="V76" i="46"/>
  <c r="U76" i="46"/>
  <c r="T76" i="46"/>
  <c r="AN75" i="46"/>
  <c r="AM75" i="46"/>
  <c r="AL75" i="46"/>
  <c r="AK75" i="46"/>
  <c r="AJ75" i="46"/>
  <c r="AI75" i="46"/>
  <c r="AH75" i="46"/>
  <c r="AG75" i="46"/>
  <c r="AF75" i="46"/>
  <c r="AE75" i="46"/>
  <c r="AD75" i="46"/>
  <c r="Y75" i="46"/>
  <c r="W75" i="46"/>
  <c r="V75" i="46"/>
  <c r="U75" i="46"/>
  <c r="T75" i="46"/>
  <c r="AN74" i="46"/>
  <c r="AM74" i="46"/>
  <c r="AL74" i="46"/>
  <c r="AK74" i="46"/>
  <c r="AJ74" i="46"/>
  <c r="AI74" i="46"/>
  <c r="AH74" i="46"/>
  <c r="AG74" i="46"/>
  <c r="AF74" i="46"/>
  <c r="AE74" i="46"/>
  <c r="AD74" i="46"/>
  <c r="Y74" i="46"/>
  <c r="W74" i="46"/>
  <c r="V74" i="46"/>
  <c r="U74" i="46"/>
  <c r="T74" i="46"/>
  <c r="AN73" i="46"/>
  <c r="AM73" i="46"/>
  <c r="AL73" i="46"/>
  <c r="AK73" i="46"/>
  <c r="AJ73" i="46"/>
  <c r="AI73" i="46"/>
  <c r="AH73" i="46"/>
  <c r="AG73" i="46"/>
  <c r="AF73" i="46"/>
  <c r="AE73" i="46"/>
  <c r="AD73" i="46"/>
  <c r="Y73" i="46"/>
  <c r="W73" i="46"/>
  <c r="V73" i="46"/>
  <c r="U73" i="46"/>
  <c r="T73" i="46"/>
  <c r="AN72" i="46"/>
  <c r="AM72" i="46"/>
  <c r="AL72" i="46"/>
  <c r="AK72" i="46"/>
  <c r="AJ72" i="46"/>
  <c r="AI72" i="46"/>
  <c r="AH72" i="46"/>
  <c r="AG72" i="46"/>
  <c r="AF72" i="46"/>
  <c r="AE72" i="46"/>
  <c r="AD72" i="46"/>
  <c r="Y72" i="46"/>
  <c r="W72" i="46"/>
  <c r="V72" i="46"/>
  <c r="U72" i="46"/>
  <c r="T72" i="46"/>
  <c r="AN71" i="46"/>
  <c r="AM71" i="46"/>
  <c r="AL71" i="46"/>
  <c r="AK71" i="46"/>
  <c r="AJ71" i="46"/>
  <c r="AI71" i="46"/>
  <c r="AH71" i="46"/>
  <c r="AG71" i="46"/>
  <c r="AF71" i="46"/>
  <c r="AE71" i="46"/>
  <c r="AD71" i="46"/>
  <c r="Y71" i="46"/>
  <c r="W71" i="46"/>
  <c r="V71" i="46"/>
  <c r="U71" i="46"/>
  <c r="T71" i="46"/>
  <c r="AN70" i="46"/>
  <c r="AM70" i="46"/>
  <c r="AL70" i="46"/>
  <c r="AK70" i="46"/>
  <c r="AJ70" i="46"/>
  <c r="AI70" i="46"/>
  <c r="AH70" i="46"/>
  <c r="AG70" i="46"/>
  <c r="AF70" i="46"/>
  <c r="AE70" i="46"/>
  <c r="AD70" i="46"/>
  <c r="Y70" i="46"/>
  <c r="W70" i="46"/>
  <c r="V70" i="46"/>
  <c r="U70" i="46"/>
  <c r="T70" i="46"/>
  <c r="AN69" i="46"/>
  <c r="AM69" i="46"/>
  <c r="AL69" i="46"/>
  <c r="AK69" i="46"/>
  <c r="AJ69" i="46"/>
  <c r="AI69" i="46"/>
  <c r="AH69" i="46"/>
  <c r="AG69" i="46"/>
  <c r="AF69" i="46"/>
  <c r="AE69" i="46"/>
  <c r="AD69" i="46"/>
  <c r="Y69" i="46"/>
  <c r="W69" i="46"/>
  <c r="V69" i="46"/>
  <c r="U69" i="46"/>
  <c r="T69" i="46"/>
  <c r="AN68" i="46"/>
  <c r="AM68" i="46"/>
  <c r="AL68" i="46"/>
  <c r="AK68" i="46"/>
  <c r="AJ68" i="46"/>
  <c r="AI68" i="46"/>
  <c r="AH68" i="46"/>
  <c r="AG68" i="46"/>
  <c r="AF68" i="46"/>
  <c r="AE68" i="46"/>
  <c r="AD68" i="46"/>
  <c r="Y68" i="46"/>
  <c r="W68" i="46"/>
  <c r="V68" i="46"/>
  <c r="U68" i="46"/>
  <c r="T68" i="46"/>
  <c r="AN67" i="46"/>
  <c r="AM67" i="46"/>
  <c r="AL67" i="46"/>
  <c r="AK67" i="46"/>
  <c r="AJ67" i="46"/>
  <c r="AI67" i="46"/>
  <c r="AH67" i="46"/>
  <c r="AG67" i="46"/>
  <c r="AF67" i="46"/>
  <c r="AE67" i="46"/>
  <c r="AD67" i="46"/>
  <c r="Y67" i="46"/>
  <c r="W67" i="46"/>
  <c r="V67" i="46"/>
  <c r="U67" i="46"/>
  <c r="T67" i="46"/>
  <c r="AN66" i="46"/>
  <c r="AM66" i="46"/>
  <c r="AL66" i="46"/>
  <c r="AK66" i="46"/>
  <c r="AJ66" i="46"/>
  <c r="AI66" i="46"/>
  <c r="AH66" i="46"/>
  <c r="AG66" i="46"/>
  <c r="AF66" i="46"/>
  <c r="AE66" i="46"/>
  <c r="AD66" i="46"/>
  <c r="Y66" i="46"/>
  <c r="W66" i="46"/>
  <c r="V66" i="46"/>
  <c r="U66" i="46"/>
  <c r="T66" i="46"/>
  <c r="AN65" i="46"/>
  <c r="AM65" i="46"/>
  <c r="AL65" i="46"/>
  <c r="AK65" i="46"/>
  <c r="AJ65" i="46"/>
  <c r="AI65" i="46"/>
  <c r="AH65" i="46"/>
  <c r="AG65" i="46"/>
  <c r="AF65" i="46"/>
  <c r="AE65" i="46"/>
  <c r="AD65" i="46"/>
  <c r="Y65" i="46"/>
  <c r="W65" i="46"/>
  <c r="V65" i="46"/>
  <c r="U65" i="46"/>
  <c r="T65" i="46"/>
  <c r="AN64" i="46"/>
  <c r="AM64" i="46"/>
  <c r="AL64" i="46"/>
  <c r="AK64" i="46"/>
  <c r="AJ64" i="46"/>
  <c r="AI64" i="46"/>
  <c r="AH64" i="46"/>
  <c r="AG64" i="46"/>
  <c r="AF64" i="46"/>
  <c r="AE64" i="46"/>
  <c r="AD64" i="46"/>
  <c r="Y64" i="46"/>
  <c r="W64" i="46"/>
  <c r="V64" i="46"/>
  <c r="U64" i="46"/>
  <c r="T64" i="46"/>
  <c r="AN63" i="46"/>
  <c r="AM63" i="46"/>
  <c r="AL63" i="46"/>
  <c r="AK63" i="46"/>
  <c r="AJ63" i="46"/>
  <c r="AI63" i="46"/>
  <c r="AH63" i="46"/>
  <c r="AG63" i="46"/>
  <c r="AF63" i="46"/>
  <c r="AE63" i="46"/>
  <c r="AD63" i="46"/>
  <c r="Y63" i="46"/>
  <c r="W63" i="46"/>
  <c r="V63" i="46"/>
  <c r="U63" i="46"/>
  <c r="T63" i="46"/>
  <c r="AN62" i="46"/>
  <c r="AM62" i="46"/>
  <c r="AL62" i="46"/>
  <c r="AK62" i="46"/>
  <c r="AJ62" i="46"/>
  <c r="AI62" i="46"/>
  <c r="AH62" i="46"/>
  <c r="AG62" i="46"/>
  <c r="AF62" i="46"/>
  <c r="AE62" i="46"/>
  <c r="AD62" i="46"/>
  <c r="Y62" i="46"/>
  <c r="W62" i="46"/>
  <c r="V62" i="46"/>
  <c r="U62" i="46"/>
  <c r="T62" i="46"/>
  <c r="AN61" i="46"/>
  <c r="AM61" i="46"/>
  <c r="AL61" i="46"/>
  <c r="AK61" i="46"/>
  <c r="AJ61" i="46"/>
  <c r="AI61" i="46"/>
  <c r="AH61" i="46"/>
  <c r="AG61" i="46"/>
  <c r="AF61" i="46"/>
  <c r="AE61" i="46"/>
  <c r="AD61" i="46"/>
  <c r="Y61" i="46"/>
  <c r="W61" i="46"/>
  <c r="V61" i="46"/>
  <c r="U61" i="46"/>
  <c r="T61" i="46"/>
  <c r="AN60" i="46"/>
  <c r="AM60" i="46"/>
  <c r="AL60" i="46"/>
  <c r="AK60" i="46"/>
  <c r="AJ60" i="46"/>
  <c r="AI60" i="46"/>
  <c r="AH60" i="46"/>
  <c r="AG60" i="46"/>
  <c r="AF60" i="46"/>
  <c r="AE60" i="46"/>
  <c r="AD60" i="46"/>
  <c r="Y60" i="46"/>
  <c r="W60" i="46"/>
  <c r="V60" i="46"/>
  <c r="U60" i="46"/>
  <c r="T60" i="46"/>
  <c r="AN59" i="46"/>
  <c r="AM59" i="46"/>
  <c r="AL59" i="46"/>
  <c r="AK59" i="46"/>
  <c r="AJ59" i="46"/>
  <c r="AI59" i="46"/>
  <c r="AH59" i="46"/>
  <c r="AG59" i="46"/>
  <c r="AF59" i="46"/>
  <c r="AE59" i="46"/>
  <c r="AD59" i="46"/>
  <c r="Y59" i="46"/>
  <c r="W59" i="46"/>
  <c r="V59" i="46"/>
  <c r="U59" i="46"/>
  <c r="T59" i="46"/>
  <c r="AN58" i="46"/>
  <c r="AM58" i="46"/>
  <c r="AL58" i="46"/>
  <c r="AK58" i="46"/>
  <c r="AJ58" i="46"/>
  <c r="AI58" i="46"/>
  <c r="AH58" i="46"/>
  <c r="AG58" i="46"/>
  <c r="AF58" i="46"/>
  <c r="AE58" i="46"/>
  <c r="AD58" i="46"/>
  <c r="Y58" i="46"/>
  <c r="W58" i="46"/>
  <c r="V58" i="46"/>
  <c r="U58" i="46"/>
  <c r="T58" i="46"/>
  <c r="AN57" i="46"/>
  <c r="AM57" i="46"/>
  <c r="AL57" i="46"/>
  <c r="AK57" i="46"/>
  <c r="AJ57" i="46"/>
  <c r="AI57" i="46"/>
  <c r="AH57" i="46"/>
  <c r="AG57" i="46"/>
  <c r="AF57" i="46"/>
  <c r="AE57" i="46"/>
  <c r="AD57" i="46"/>
  <c r="Y57" i="46"/>
  <c r="W57" i="46"/>
  <c r="V57" i="46"/>
  <c r="U57" i="46"/>
  <c r="T57" i="46"/>
  <c r="AN56" i="46"/>
  <c r="AM56" i="46"/>
  <c r="AL56" i="46"/>
  <c r="AK56" i="46"/>
  <c r="AJ56" i="46"/>
  <c r="AI56" i="46"/>
  <c r="AH56" i="46"/>
  <c r="AG56" i="46"/>
  <c r="AF56" i="46"/>
  <c r="AE56" i="46"/>
  <c r="AD56" i="46"/>
  <c r="Y56" i="46"/>
  <c r="W56" i="46"/>
  <c r="V56" i="46"/>
  <c r="U56" i="46"/>
  <c r="T56" i="46"/>
  <c r="AN55" i="46"/>
  <c r="AM55" i="46"/>
  <c r="AL55" i="46"/>
  <c r="AK55" i="46"/>
  <c r="AJ55" i="46"/>
  <c r="AI55" i="46"/>
  <c r="AH55" i="46"/>
  <c r="AG55" i="46"/>
  <c r="AF55" i="46"/>
  <c r="AE55" i="46"/>
  <c r="AD55" i="46"/>
  <c r="Y55" i="46"/>
  <c r="W55" i="46"/>
  <c r="V55" i="46"/>
  <c r="U55" i="46"/>
  <c r="T55" i="46"/>
  <c r="AN54" i="46"/>
  <c r="AM54" i="46"/>
  <c r="AL54" i="46"/>
  <c r="AK54" i="46"/>
  <c r="AJ54" i="46"/>
  <c r="AI54" i="46"/>
  <c r="AH54" i="46"/>
  <c r="AG54" i="46"/>
  <c r="AF54" i="46"/>
  <c r="AE54" i="46"/>
  <c r="AD54" i="46"/>
  <c r="Y54" i="46"/>
  <c r="W54" i="46"/>
  <c r="V54" i="46"/>
  <c r="U54" i="46"/>
  <c r="T54" i="46"/>
  <c r="AN53" i="46"/>
  <c r="AM53" i="46"/>
  <c r="AL53" i="46"/>
  <c r="AK53" i="46"/>
  <c r="AJ53" i="46"/>
  <c r="AI53" i="46"/>
  <c r="AH53" i="46"/>
  <c r="AG53" i="46"/>
  <c r="AF53" i="46"/>
  <c r="AE53" i="46"/>
  <c r="AD53" i="46"/>
  <c r="Y53" i="46"/>
  <c r="W53" i="46"/>
  <c r="V53" i="46"/>
  <c r="U53" i="46"/>
  <c r="T53" i="46"/>
  <c r="AN52" i="46"/>
  <c r="AM52" i="46"/>
  <c r="AL52" i="46"/>
  <c r="AK52" i="46"/>
  <c r="AJ52" i="46"/>
  <c r="AI52" i="46"/>
  <c r="AH52" i="46"/>
  <c r="AG52" i="46"/>
  <c r="AF52" i="46"/>
  <c r="AE52" i="46"/>
  <c r="AD52" i="46"/>
  <c r="Y52" i="46"/>
  <c r="W52" i="46"/>
  <c r="V52" i="46"/>
  <c r="U52" i="46"/>
  <c r="T52" i="46"/>
  <c r="AN51" i="46"/>
  <c r="AM51" i="46"/>
  <c r="AL51" i="46"/>
  <c r="AK51" i="46"/>
  <c r="AJ51" i="46"/>
  <c r="AI51" i="46"/>
  <c r="AH51" i="46"/>
  <c r="AG51" i="46"/>
  <c r="AF51" i="46"/>
  <c r="AE51" i="46"/>
  <c r="AD51" i="46"/>
  <c r="Y51" i="46"/>
  <c r="W51" i="46"/>
  <c r="V51" i="46"/>
  <c r="U51" i="46"/>
  <c r="T51" i="46"/>
  <c r="AN50" i="46"/>
  <c r="AM50" i="46"/>
  <c r="AL50" i="46"/>
  <c r="AK50" i="46"/>
  <c r="AJ50" i="46"/>
  <c r="AI50" i="46"/>
  <c r="AH50" i="46"/>
  <c r="AG50" i="46"/>
  <c r="AF50" i="46"/>
  <c r="AE50" i="46"/>
  <c r="AD50" i="46"/>
  <c r="Y50" i="46"/>
  <c r="W50" i="46"/>
  <c r="V50" i="46"/>
  <c r="U50" i="46"/>
  <c r="T50" i="46"/>
  <c r="AN49" i="46"/>
  <c r="AM49" i="46"/>
  <c r="AL49" i="46"/>
  <c r="AK49" i="46"/>
  <c r="AJ49" i="46"/>
  <c r="AI49" i="46"/>
  <c r="AH49" i="46"/>
  <c r="AG49" i="46"/>
  <c r="AF49" i="46"/>
  <c r="AE49" i="46"/>
  <c r="AD49" i="46"/>
  <c r="Y49" i="46"/>
  <c r="W49" i="46"/>
  <c r="V49" i="46"/>
  <c r="U49" i="46"/>
  <c r="T49" i="46"/>
  <c r="AN48" i="46"/>
  <c r="AM48" i="46"/>
  <c r="AL48" i="46"/>
  <c r="AK48" i="46"/>
  <c r="AJ48" i="46"/>
  <c r="AI48" i="46"/>
  <c r="AH48" i="46"/>
  <c r="AG48" i="46"/>
  <c r="AF48" i="46"/>
  <c r="AE48" i="46"/>
  <c r="AD48" i="46"/>
  <c r="Y48" i="46"/>
  <c r="W48" i="46"/>
  <c r="V48" i="46"/>
  <c r="U48" i="46"/>
  <c r="T48" i="46"/>
  <c r="AN47" i="46"/>
  <c r="AM47" i="46"/>
  <c r="AL47" i="46"/>
  <c r="AK47" i="46"/>
  <c r="AJ47" i="46"/>
  <c r="AI47" i="46"/>
  <c r="AH47" i="46"/>
  <c r="AG47" i="46"/>
  <c r="AF47" i="46"/>
  <c r="AE47" i="46"/>
  <c r="AD47" i="46"/>
  <c r="Y47" i="46"/>
  <c r="W47" i="46"/>
  <c r="V47" i="46"/>
  <c r="U47" i="46"/>
  <c r="T47" i="46"/>
  <c r="AN46" i="46"/>
  <c r="AM46" i="46"/>
  <c r="AL46" i="46"/>
  <c r="AK46" i="46"/>
  <c r="AJ46" i="46"/>
  <c r="AI46" i="46"/>
  <c r="AH46" i="46"/>
  <c r="AG46" i="46"/>
  <c r="AF46" i="46"/>
  <c r="AE46" i="46"/>
  <c r="AD46" i="46"/>
  <c r="Y46" i="46"/>
  <c r="W46" i="46"/>
  <c r="V46" i="46"/>
  <c r="U46" i="46"/>
  <c r="T46" i="46"/>
  <c r="AN45" i="46"/>
  <c r="AM45" i="46"/>
  <c r="AL45" i="46"/>
  <c r="AK45" i="46"/>
  <c r="AJ45" i="46"/>
  <c r="AI45" i="46"/>
  <c r="AH45" i="46"/>
  <c r="AG45" i="46"/>
  <c r="AF45" i="46"/>
  <c r="AE45" i="46"/>
  <c r="AD45" i="46"/>
  <c r="Y45" i="46"/>
  <c r="W45" i="46"/>
  <c r="V45" i="46"/>
  <c r="U45" i="46"/>
  <c r="T45" i="46"/>
  <c r="AN44" i="46"/>
  <c r="AM44" i="46"/>
  <c r="AL44" i="46"/>
  <c r="AK44" i="46"/>
  <c r="AJ44" i="46"/>
  <c r="AI44" i="46"/>
  <c r="AH44" i="46"/>
  <c r="AG44" i="46"/>
  <c r="AF44" i="46"/>
  <c r="AE44" i="46"/>
  <c r="AD44" i="46"/>
  <c r="Y44" i="46"/>
  <c r="W44" i="46"/>
  <c r="V44" i="46"/>
  <c r="U44" i="46"/>
  <c r="T44" i="46"/>
  <c r="AN43" i="46"/>
  <c r="AM43" i="46"/>
  <c r="AL43" i="46"/>
  <c r="AK43" i="46"/>
  <c r="AJ43" i="46"/>
  <c r="AI43" i="46"/>
  <c r="AH43" i="46"/>
  <c r="AG43" i="46"/>
  <c r="AF43" i="46"/>
  <c r="AE43" i="46"/>
  <c r="AD43" i="46"/>
  <c r="Y43" i="46"/>
  <c r="W43" i="46"/>
  <c r="V43" i="46"/>
  <c r="U43" i="46"/>
  <c r="T43" i="46"/>
  <c r="AN42" i="46"/>
  <c r="AM42" i="46"/>
  <c r="AL42" i="46"/>
  <c r="AK42" i="46"/>
  <c r="AJ42" i="46"/>
  <c r="AI42" i="46"/>
  <c r="AH42" i="46"/>
  <c r="AG42" i="46"/>
  <c r="AF42" i="46"/>
  <c r="AE42" i="46"/>
  <c r="AD42" i="46"/>
  <c r="Y42" i="46"/>
  <c r="W42" i="46"/>
  <c r="V42" i="46"/>
  <c r="U42" i="46"/>
  <c r="T42" i="46"/>
  <c r="AN41" i="46"/>
  <c r="AM41" i="46"/>
  <c r="AL41" i="46"/>
  <c r="AK41" i="46"/>
  <c r="AJ41" i="46"/>
  <c r="AI41" i="46"/>
  <c r="AH41" i="46"/>
  <c r="AG41" i="46"/>
  <c r="AF41" i="46"/>
  <c r="AE41" i="46"/>
  <c r="AD41" i="46"/>
  <c r="Y41" i="46"/>
  <c r="W41" i="46"/>
  <c r="V41" i="46"/>
  <c r="U41" i="46"/>
  <c r="T41" i="46"/>
  <c r="AN40" i="46"/>
  <c r="AM40" i="46"/>
  <c r="AL40" i="46"/>
  <c r="AK40" i="46"/>
  <c r="AJ40" i="46"/>
  <c r="AI40" i="46"/>
  <c r="AH40" i="46"/>
  <c r="AG40" i="46"/>
  <c r="AF40" i="46"/>
  <c r="AE40" i="46"/>
  <c r="AD40" i="46"/>
  <c r="Y40" i="46"/>
  <c r="W40" i="46"/>
  <c r="V40" i="46"/>
  <c r="U40" i="46"/>
  <c r="T40" i="46"/>
  <c r="AN39" i="46"/>
  <c r="AM39" i="46"/>
  <c r="AL39" i="46"/>
  <c r="AK39" i="46"/>
  <c r="AJ39" i="46"/>
  <c r="AI39" i="46"/>
  <c r="AH39" i="46"/>
  <c r="AG39" i="46"/>
  <c r="AF39" i="46"/>
  <c r="AE39" i="46"/>
  <c r="AD39" i="46"/>
  <c r="Y39" i="46"/>
  <c r="W39" i="46"/>
  <c r="V39" i="46"/>
  <c r="U39" i="46"/>
  <c r="T39" i="46"/>
  <c r="AN38" i="46"/>
  <c r="AM38" i="46"/>
  <c r="AL38" i="46"/>
  <c r="AK38" i="46"/>
  <c r="AJ38" i="46"/>
  <c r="AI38" i="46"/>
  <c r="AH38" i="46"/>
  <c r="AG38" i="46"/>
  <c r="AF38" i="46"/>
  <c r="AE38" i="46"/>
  <c r="AD38" i="46"/>
  <c r="Y38" i="46"/>
  <c r="W38" i="46"/>
  <c r="V38" i="46"/>
  <c r="U38" i="46"/>
  <c r="T38" i="46"/>
  <c r="AN37" i="46"/>
  <c r="AM37" i="46"/>
  <c r="AL37" i="46"/>
  <c r="AK37" i="46"/>
  <c r="AJ37" i="46"/>
  <c r="AI37" i="46"/>
  <c r="AH37" i="46"/>
  <c r="AG37" i="46"/>
  <c r="AF37" i="46"/>
  <c r="AE37" i="46"/>
  <c r="AD37" i="46"/>
  <c r="Y37" i="46"/>
  <c r="W37" i="46"/>
  <c r="V37" i="46"/>
  <c r="U37" i="46"/>
  <c r="T37" i="46"/>
  <c r="AN36" i="46"/>
  <c r="AM36" i="46"/>
  <c r="AL36" i="46"/>
  <c r="AK36" i="46"/>
  <c r="AJ36" i="46"/>
  <c r="AI36" i="46"/>
  <c r="AH36" i="46"/>
  <c r="AG36" i="46"/>
  <c r="AF36" i="46"/>
  <c r="AE36" i="46"/>
  <c r="AD36" i="46"/>
  <c r="Y36" i="46"/>
  <c r="W36" i="46"/>
  <c r="V36" i="46"/>
  <c r="U36" i="46"/>
  <c r="T36" i="46"/>
  <c r="AN35" i="46"/>
  <c r="AM35" i="46"/>
  <c r="AL35" i="46"/>
  <c r="AK35" i="46"/>
  <c r="AJ35" i="46"/>
  <c r="AI35" i="46"/>
  <c r="AH35" i="46"/>
  <c r="AG35" i="46"/>
  <c r="AF35" i="46"/>
  <c r="AE35" i="46"/>
  <c r="AD35" i="46"/>
  <c r="Y35" i="46"/>
  <c r="W35" i="46"/>
  <c r="V35" i="46"/>
  <c r="U35" i="46"/>
  <c r="T35" i="46"/>
  <c r="AN34" i="46"/>
  <c r="AM34" i="46"/>
  <c r="AL34" i="46"/>
  <c r="AK34" i="46"/>
  <c r="AJ34" i="46"/>
  <c r="AI34" i="46"/>
  <c r="AH34" i="46"/>
  <c r="AG34" i="46"/>
  <c r="AF34" i="46"/>
  <c r="AE34" i="46"/>
  <c r="AD34" i="46"/>
  <c r="Y34" i="46"/>
  <c r="W34" i="46"/>
  <c r="V34" i="46"/>
  <c r="U34" i="46"/>
  <c r="T34" i="46"/>
  <c r="AN33" i="46"/>
  <c r="AM33" i="46"/>
  <c r="AL33" i="46"/>
  <c r="AK33" i="46"/>
  <c r="AJ33" i="46"/>
  <c r="AI33" i="46"/>
  <c r="AH33" i="46"/>
  <c r="AG33" i="46"/>
  <c r="AF33" i="46"/>
  <c r="AE33" i="46"/>
  <c r="AD33" i="46"/>
  <c r="Y33" i="46"/>
  <c r="W33" i="46"/>
  <c r="V33" i="46"/>
  <c r="U33" i="46"/>
  <c r="T33" i="46"/>
  <c r="AN32" i="46"/>
  <c r="AM32" i="46"/>
  <c r="AL32" i="46"/>
  <c r="AK32" i="46"/>
  <c r="AJ32" i="46"/>
  <c r="AI32" i="46"/>
  <c r="AH32" i="46"/>
  <c r="AG32" i="46"/>
  <c r="AF32" i="46"/>
  <c r="AE32" i="46"/>
  <c r="AD32" i="46"/>
  <c r="Y32" i="46"/>
  <c r="W32" i="46"/>
  <c r="V32" i="46"/>
  <c r="U32" i="46"/>
  <c r="T32" i="46"/>
  <c r="AN31" i="46"/>
  <c r="AM31" i="46"/>
  <c r="AL31" i="46"/>
  <c r="AK31" i="46"/>
  <c r="AJ31" i="46"/>
  <c r="AI31" i="46"/>
  <c r="AH31" i="46"/>
  <c r="AG31" i="46"/>
  <c r="AF31" i="46"/>
  <c r="AE31" i="46"/>
  <c r="AD31" i="46"/>
  <c r="Y31" i="46"/>
  <c r="W31" i="46"/>
  <c r="V31" i="46"/>
  <c r="U31" i="46"/>
  <c r="T31" i="46"/>
  <c r="AN30" i="46"/>
  <c r="AM30" i="46"/>
  <c r="AL30" i="46"/>
  <c r="AK30" i="46"/>
  <c r="AJ30" i="46"/>
  <c r="AI30" i="46"/>
  <c r="AH30" i="46"/>
  <c r="AG30" i="46"/>
  <c r="AF30" i="46"/>
  <c r="AE30" i="46"/>
  <c r="AD30" i="46"/>
  <c r="Y30" i="46"/>
  <c r="W30" i="46"/>
  <c r="V30" i="46"/>
  <c r="U30" i="46"/>
  <c r="T30" i="46"/>
  <c r="AN29" i="46"/>
  <c r="AM29" i="46"/>
  <c r="AL29" i="46"/>
  <c r="AK29" i="46"/>
  <c r="AJ29" i="46"/>
  <c r="AI29" i="46"/>
  <c r="AH29" i="46"/>
  <c r="AG29" i="46"/>
  <c r="AF29" i="46"/>
  <c r="AE29" i="46"/>
  <c r="AD29" i="46"/>
  <c r="Y29" i="46"/>
  <c r="W29" i="46"/>
  <c r="V29" i="46"/>
  <c r="U29" i="46"/>
  <c r="T29" i="46"/>
  <c r="AN28" i="46"/>
  <c r="AM28" i="46"/>
  <c r="AL28" i="46"/>
  <c r="AK28" i="46"/>
  <c r="AJ28" i="46"/>
  <c r="AI28" i="46"/>
  <c r="AH28" i="46"/>
  <c r="AG28" i="46"/>
  <c r="AF28" i="46"/>
  <c r="AE28" i="46"/>
  <c r="AD28" i="46"/>
  <c r="Y28" i="46"/>
  <c r="W28" i="46"/>
  <c r="V28" i="46"/>
  <c r="U28" i="46"/>
  <c r="T28" i="46"/>
  <c r="AN27" i="46"/>
  <c r="AM27" i="46"/>
  <c r="AL27" i="46"/>
  <c r="AK27" i="46"/>
  <c r="AJ27" i="46"/>
  <c r="AI27" i="46"/>
  <c r="AH27" i="46"/>
  <c r="AG27" i="46"/>
  <c r="AF27" i="46"/>
  <c r="AE27" i="46"/>
  <c r="AD27" i="46"/>
  <c r="Y27" i="46"/>
  <c r="W27" i="46"/>
  <c r="V27" i="46"/>
  <c r="U27" i="46"/>
  <c r="T27" i="46"/>
  <c r="AN26" i="46"/>
  <c r="AM26" i="46"/>
  <c r="AL26" i="46"/>
  <c r="AK26" i="46"/>
  <c r="AJ26" i="46"/>
  <c r="AI26" i="46"/>
  <c r="AH26" i="46"/>
  <c r="AG26" i="46"/>
  <c r="AF26" i="46"/>
  <c r="AE26" i="46"/>
  <c r="AD26" i="46"/>
  <c r="Y26" i="46"/>
  <c r="W26" i="46"/>
  <c r="V26" i="46"/>
  <c r="U26" i="46"/>
  <c r="T26" i="46"/>
  <c r="AN25" i="46"/>
  <c r="AM25" i="46"/>
  <c r="AL25" i="46"/>
  <c r="AK25" i="46"/>
  <c r="AJ25" i="46"/>
  <c r="AI25" i="46"/>
  <c r="AH25" i="46"/>
  <c r="AG25" i="46"/>
  <c r="AF25" i="46"/>
  <c r="AE25" i="46"/>
  <c r="AD25" i="46"/>
  <c r="Y25" i="46"/>
  <c r="W25" i="46"/>
  <c r="V25" i="46"/>
  <c r="U25" i="46"/>
  <c r="T25" i="46"/>
  <c r="AN24" i="46"/>
  <c r="AM24" i="46"/>
  <c r="AL24" i="46"/>
  <c r="AK24" i="46"/>
  <c r="AJ24" i="46"/>
  <c r="AI24" i="46"/>
  <c r="AH24" i="46"/>
  <c r="AG24" i="46"/>
  <c r="AF24" i="46"/>
  <c r="AE24" i="46"/>
  <c r="AD24" i="46"/>
  <c r="Y24" i="46"/>
  <c r="W24" i="46"/>
  <c r="V24" i="46"/>
  <c r="U24" i="46"/>
  <c r="T24" i="46"/>
  <c r="AN23" i="46"/>
  <c r="AM23" i="46"/>
  <c r="AL23" i="46"/>
  <c r="AK23" i="46"/>
  <c r="AJ23" i="46"/>
  <c r="AI23" i="46"/>
  <c r="AH23" i="46"/>
  <c r="AG23" i="46"/>
  <c r="AF23" i="46"/>
  <c r="AE23" i="46"/>
  <c r="AD23" i="46"/>
  <c r="Y23" i="46"/>
  <c r="W23" i="46"/>
  <c r="V23" i="46"/>
  <c r="U23" i="46"/>
  <c r="T23" i="46"/>
  <c r="AN22" i="46"/>
  <c r="AM22" i="46"/>
  <c r="AL22" i="46"/>
  <c r="AK22" i="46"/>
  <c r="AJ22" i="46"/>
  <c r="AI22" i="46"/>
  <c r="AH22" i="46"/>
  <c r="AG22" i="46"/>
  <c r="AF22" i="46"/>
  <c r="AE22" i="46"/>
  <c r="AD22" i="46"/>
  <c r="Y22" i="46"/>
  <c r="W22" i="46"/>
  <c r="V22" i="46"/>
  <c r="U22" i="46"/>
  <c r="T22" i="46"/>
  <c r="AN21" i="46"/>
  <c r="AM21" i="46"/>
  <c r="AL21" i="46"/>
  <c r="AK21" i="46"/>
  <c r="AJ21" i="46"/>
  <c r="AI21" i="46"/>
  <c r="AH21" i="46"/>
  <c r="AG21" i="46"/>
  <c r="AF21" i="46"/>
  <c r="AE21" i="46"/>
  <c r="AD21" i="46"/>
  <c r="Y21" i="46"/>
  <c r="W21" i="46"/>
  <c r="V21" i="46"/>
  <c r="U21" i="46"/>
  <c r="T21" i="46"/>
  <c r="AN20" i="46"/>
  <c r="AM20" i="46"/>
  <c r="AL20" i="46"/>
  <c r="AK20" i="46"/>
  <c r="AJ20" i="46"/>
  <c r="AI20" i="46"/>
  <c r="AH20" i="46"/>
  <c r="AG20" i="46"/>
  <c r="AF20" i="46"/>
  <c r="AE20" i="46"/>
  <c r="AD20" i="46"/>
  <c r="Y20" i="46"/>
  <c r="W20" i="46"/>
  <c r="V20" i="46"/>
  <c r="U20" i="46"/>
  <c r="T20" i="46"/>
  <c r="AN19" i="46"/>
  <c r="AM19" i="46"/>
  <c r="AL19" i="46"/>
  <c r="AK19" i="46"/>
  <c r="AJ19" i="46"/>
  <c r="AI19" i="46"/>
  <c r="AH19" i="46"/>
  <c r="AG19" i="46"/>
  <c r="AF19" i="46"/>
  <c r="AE19" i="46"/>
  <c r="AD19" i="46"/>
  <c r="Y19" i="46"/>
  <c r="W19" i="46"/>
  <c r="V19" i="46"/>
  <c r="U19" i="46"/>
  <c r="T19" i="46"/>
  <c r="AN18" i="46"/>
  <c r="AM18" i="46"/>
  <c r="AL18" i="46"/>
  <c r="AK18" i="46"/>
  <c r="AJ18" i="46"/>
  <c r="AI18" i="46"/>
  <c r="AH18" i="46"/>
  <c r="AG18" i="46"/>
  <c r="AF18" i="46"/>
  <c r="AE18" i="46"/>
  <c r="AD18" i="46"/>
  <c r="Y18" i="46"/>
  <c r="W18" i="46"/>
  <c r="V18" i="46"/>
  <c r="U18" i="46"/>
  <c r="T18" i="46"/>
  <c r="AN17" i="46"/>
  <c r="AM17" i="46"/>
  <c r="AL17" i="46"/>
  <c r="AK17" i="46"/>
  <c r="AJ17" i="46"/>
  <c r="AI17" i="46"/>
  <c r="AH17" i="46"/>
  <c r="AG17" i="46"/>
  <c r="AF17" i="46"/>
  <c r="AE17" i="46"/>
  <c r="AD17" i="46"/>
  <c r="Y17" i="46"/>
  <c r="W17" i="46"/>
  <c r="V17" i="46"/>
  <c r="U17" i="46"/>
  <c r="T17" i="46"/>
  <c r="AN16" i="46"/>
  <c r="AM16" i="46"/>
  <c r="AL16" i="46"/>
  <c r="AK16" i="46"/>
  <c r="AJ16" i="46"/>
  <c r="AI16" i="46"/>
  <c r="AH16" i="46"/>
  <c r="AG16" i="46"/>
  <c r="AF16" i="46"/>
  <c r="AE16" i="46"/>
  <c r="AD16" i="46"/>
  <c r="Y16" i="46"/>
  <c r="W16" i="46"/>
  <c r="V16" i="46"/>
  <c r="U16" i="46"/>
  <c r="T16" i="46"/>
  <c r="A16" i="46"/>
  <c r="AN15" i="46"/>
  <c r="AM15" i="46"/>
  <c r="AL15" i="46"/>
  <c r="AK15" i="46"/>
  <c r="AJ15" i="46"/>
  <c r="AI15" i="46"/>
  <c r="AH15" i="46"/>
  <c r="AG15" i="46"/>
  <c r="AF15" i="46"/>
  <c r="AE15" i="46"/>
  <c r="AD15" i="46"/>
  <c r="Y15" i="46"/>
  <c r="W15" i="46"/>
  <c r="V15" i="46"/>
  <c r="U15" i="46"/>
  <c r="T15" i="46"/>
  <c r="AN14" i="46"/>
  <c r="AM14" i="46"/>
  <c r="AL14" i="46"/>
  <c r="AK14" i="46"/>
  <c r="AJ14" i="46"/>
  <c r="AI14" i="46"/>
  <c r="AH14" i="46"/>
  <c r="AG14" i="46"/>
  <c r="AF14" i="46"/>
  <c r="AE14" i="46"/>
  <c r="AD14" i="46"/>
  <c r="Y14" i="46"/>
  <c r="W14" i="46"/>
  <c r="V14" i="46"/>
  <c r="U14" i="46"/>
  <c r="T14" i="46"/>
  <c r="A14" i="46"/>
  <c r="AN13" i="46"/>
  <c r="AM13" i="46"/>
  <c r="AL13" i="46"/>
  <c r="AK13" i="46"/>
  <c r="AJ13" i="46"/>
  <c r="AI13" i="46"/>
  <c r="AH13" i="46"/>
  <c r="AG13" i="46"/>
  <c r="AF13" i="46"/>
  <c r="AE13" i="46"/>
  <c r="AD13" i="46"/>
  <c r="Y13" i="46"/>
  <c r="W13" i="46"/>
  <c r="V13" i="46"/>
  <c r="U13" i="46"/>
  <c r="T13" i="46"/>
  <c r="AN12" i="46"/>
  <c r="AM12" i="46"/>
  <c r="AL12" i="46"/>
  <c r="AK12" i="46"/>
  <c r="AJ12" i="46"/>
  <c r="AI12" i="46"/>
  <c r="AH12" i="46"/>
  <c r="AG12" i="46"/>
  <c r="AF12" i="46"/>
  <c r="AE12" i="46"/>
  <c r="AD12" i="46"/>
  <c r="Y12" i="46"/>
  <c r="W12" i="46"/>
  <c r="V12" i="46"/>
  <c r="U12" i="46"/>
  <c r="T12" i="46"/>
  <c r="A12" i="46"/>
  <c r="AN11" i="46"/>
  <c r="AM11" i="46"/>
  <c r="AL11" i="46"/>
  <c r="AK11" i="46"/>
  <c r="AJ11" i="46"/>
  <c r="AI11" i="46"/>
  <c r="AH11" i="46"/>
  <c r="AG11" i="46"/>
  <c r="AF11" i="46"/>
  <c r="AE11" i="46"/>
  <c r="AD11" i="46"/>
  <c r="Y11" i="46"/>
  <c r="W11" i="46"/>
  <c r="V11" i="46"/>
  <c r="U11" i="46"/>
  <c r="T11" i="46"/>
  <c r="AN10" i="46"/>
  <c r="AM10" i="46"/>
  <c r="AL10" i="46"/>
  <c r="AK10" i="46"/>
  <c r="AJ10" i="46"/>
  <c r="AI10" i="46"/>
  <c r="AH10" i="46"/>
  <c r="AG10" i="46"/>
  <c r="AF10" i="46"/>
  <c r="AE10" i="46"/>
  <c r="AD10" i="46"/>
  <c r="Y10" i="46"/>
  <c r="W10" i="46"/>
  <c r="V10" i="46"/>
  <c r="U10" i="46"/>
  <c r="T10" i="46"/>
  <c r="A10" i="46"/>
  <c r="AN9" i="46"/>
  <c r="AM9" i="46"/>
  <c r="AL9" i="46"/>
  <c r="AK9" i="46"/>
  <c r="AJ9" i="46"/>
  <c r="AI9" i="46"/>
  <c r="AH9" i="46"/>
  <c r="AG9" i="46"/>
  <c r="AF9" i="46"/>
  <c r="AE9" i="46"/>
  <c r="AD9" i="46"/>
  <c r="Y9" i="46"/>
  <c r="W9" i="46"/>
  <c r="V9" i="46"/>
  <c r="U9" i="46"/>
  <c r="T9" i="46"/>
  <c r="AN8" i="46"/>
  <c r="AM8" i="46"/>
  <c r="AL8" i="46"/>
  <c r="AK8" i="46"/>
  <c r="AJ8" i="46"/>
  <c r="AI8" i="46"/>
  <c r="AH8" i="46"/>
  <c r="AG8" i="46"/>
  <c r="AF8" i="46"/>
  <c r="AD8" i="46"/>
  <c r="Y8" i="46"/>
  <c r="W8" i="46"/>
  <c r="V8" i="46"/>
  <c r="U8" i="46"/>
  <c r="T8" i="46"/>
  <c r="AN7" i="46"/>
  <c r="AM7" i="46"/>
  <c r="AL7" i="46"/>
  <c r="AK7" i="46"/>
  <c r="AJ7" i="46"/>
  <c r="AI7" i="46"/>
  <c r="AH7" i="46"/>
  <c r="AG7" i="46"/>
  <c r="AF7" i="46"/>
  <c r="AD7" i="46"/>
  <c r="Y7" i="46"/>
  <c r="W7" i="46"/>
  <c r="V7" i="46"/>
  <c r="U7" i="46"/>
  <c r="T7" i="46"/>
  <c r="AN6" i="46"/>
  <c r="AM6" i="46"/>
  <c r="AL6" i="46"/>
  <c r="AK6" i="46"/>
  <c r="AJ6" i="46"/>
  <c r="AI6" i="46"/>
  <c r="AH6" i="46"/>
  <c r="AG6" i="46"/>
  <c r="AF6" i="46"/>
  <c r="AD6" i="46"/>
  <c r="Y6" i="46"/>
  <c r="W6" i="46"/>
  <c r="V6" i="46"/>
  <c r="U6" i="46"/>
  <c r="T6" i="46"/>
  <c r="A6" i="46"/>
  <c r="AN5" i="46"/>
  <c r="AM5" i="46"/>
  <c r="AL5" i="46"/>
  <c r="AK5" i="46"/>
  <c r="AJ5" i="46"/>
  <c r="AI5" i="46"/>
  <c r="AH5" i="46"/>
  <c r="AG5" i="46"/>
  <c r="AF5" i="46"/>
  <c r="AD5" i="46"/>
  <c r="Y5" i="46"/>
  <c r="W5" i="46"/>
  <c r="V5" i="46"/>
  <c r="U5" i="46"/>
  <c r="T5" i="46"/>
  <c r="F1" i="46"/>
  <c r="AN24" i="45"/>
  <c r="AM24" i="45"/>
  <c r="AL24" i="45"/>
  <c r="AK24" i="45"/>
  <c r="AJ24" i="45"/>
  <c r="AI24" i="45"/>
  <c r="AH24" i="45"/>
  <c r="AG24" i="45"/>
  <c r="AF24" i="45"/>
  <c r="AE24" i="45"/>
  <c r="AD24" i="45"/>
  <c r="Y24" i="45"/>
  <c r="W24" i="45"/>
  <c r="V24" i="45"/>
  <c r="U24" i="45"/>
  <c r="T24" i="45"/>
  <c r="AN23" i="45"/>
  <c r="AM23" i="45"/>
  <c r="AL23" i="45"/>
  <c r="AK23" i="45"/>
  <c r="AJ23" i="45"/>
  <c r="AI23" i="45"/>
  <c r="AH23" i="45"/>
  <c r="AG23" i="45"/>
  <c r="AF23" i="45"/>
  <c r="AE23" i="45"/>
  <c r="AD23" i="45"/>
  <c r="Y23" i="45"/>
  <c r="W23" i="45"/>
  <c r="V23" i="45"/>
  <c r="U23" i="45"/>
  <c r="T23" i="45"/>
  <c r="AN22" i="45"/>
  <c r="AM22" i="45"/>
  <c r="AL22" i="45"/>
  <c r="AK22" i="45"/>
  <c r="AJ22" i="45"/>
  <c r="AI22" i="45"/>
  <c r="AH22" i="45"/>
  <c r="AG22" i="45"/>
  <c r="AF22" i="45"/>
  <c r="AE22" i="45"/>
  <c r="AD22" i="45"/>
  <c r="Y22" i="45"/>
  <c r="W22" i="45"/>
  <c r="V22" i="45"/>
  <c r="U22" i="45"/>
  <c r="T22" i="45"/>
  <c r="AN21" i="45"/>
  <c r="AM21" i="45"/>
  <c r="AL21" i="45"/>
  <c r="AK21" i="45"/>
  <c r="AJ21" i="45"/>
  <c r="AI21" i="45"/>
  <c r="AH21" i="45"/>
  <c r="AG21" i="45"/>
  <c r="AF21" i="45"/>
  <c r="AE21" i="45"/>
  <c r="AD21" i="45"/>
  <c r="Y21" i="45"/>
  <c r="W21" i="45"/>
  <c r="V21" i="45"/>
  <c r="U21" i="45"/>
  <c r="T21" i="45"/>
  <c r="AN20" i="45"/>
  <c r="AM20" i="45"/>
  <c r="AL20" i="45"/>
  <c r="AK20" i="45"/>
  <c r="AJ20" i="45"/>
  <c r="AI20" i="45"/>
  <c r="AH20" i="45"/>
  <c r="AG20" i="45"/>
  <c r="AF20" i="45"/>
  <c r="AE20" i="45"/>
  <c r="AD20" i="45"/>
  <c r="Y20" i="45"/>
  <c r="W20" i="45"/>
  <c r="V20" i="45"/>
  <c r="U20" i="45"/>
  <c r="T20" i="45"/>
  <c r="AN19" i="45"/>
  <c r="AM19" i="45"/>
  <c r="AL19" i="45"/>
  <c r="AK19" i="45"/>
  <c r="AJ19" i="45"/>
  <c r="AI19" i="45"/>
  <c r="AH19" i="45"/>
  <c r="AG19" i="45"/>
  <c r="AF19" i="45"/>
  <c r="AE19" i="45"/>
  <c r="AD19" i="45"/>
  <c r="Y19" i="45"/>
  <c r="W19" i="45"/>
  <c r="V19" i="45"/>
  <c r="U19" i="45"/>
  <c r="T19" i="45"/>
  <c r="AN18" i="45"/>
  <c r="AM18" i="45"/>
  <c r="AL18" i="45"/>
  <c r="AK18" i="45"/>
  <c r="AJ18" i="45"/>
  <c r="AI18" i="45"/>
  <c r="AH18" i="45"/>
  <c r="AG18" i="45"/>
  <c r="AF18" i="45"/>
  <c r="AE18" i="45"/>
  <c r="AD18" i="45"/>
  <c r="Y18" i="45"/>
  <c r="W18" i="45"/>
  <c r="V18" i="45"/>
  <c r="U18" i="45"/>
  <c r="T18" i="45"/>
  <c r="AN17" i="45"/>
  <c r="AM17" i="45"/>
  <c r="AL17" i="45"/>
  <c r="AK17" i="45"/>
  <c r="AJ17" i="45"/>
  <c r="AI17" i="45"/>
  <c r="AH17" i="45"/>
  <c r="AG17" i="45"/>
  <c r="AF17" i="45"/>
  <c r="AE17" i="45"/>
  <c r="AD17" i="45"/>
  <c r="Y17" i="45"/>
  <c r="W17" i="45"/>
  <c r="V17" i="45"/>
  <c r="U17" i="45"/>
  <c r="T17" i="45"/>
  <c r="AN16" i="45"/>
  <c r="AM16" i="45"/>
  <c r="AL16" i="45"/>
  <c r="AK16" i="45"/>
  <c r="AJ16" i="45"/>
  <c r="AI16" i="45"/>
  <c r="AH16" i="45"/>
  <c r="AG16" i="45"/>
  <c r="AF16" i="45"/>
  <c r="AE16" i="45"/>
  <c r="AD16" i="45"/>
  <c r="Y16" i="45"/>
  <c r="W16" i="45"/>
  <c r="V16" i="45"/>
  <c r="U16" i="45"/>
  <c r="T16" i="45"/>
  <c r="A16" i="45"/>
  <c r="AN15" i="45"/>
  <c r="AM15" i="45"/>
  <c r="AL15" i="45"/>
  <c r="AK15" i="45"/>
  <c r="AJ15" i="45"/>
  <c r="AI15" i="45"/>
  <c r="AH15" i="45"/>
  <c r="AG15" i="45"/>
  <c r="AF15" i="45"/>
  <c r="AE15" i="45"/>
  <c r="AD15" i="45"/>
  <c r="Y15" i="45"/>
  <c r="W15" i="45"/>
  <c r="V15" i="45"/>
  <c r="U15" i="45"/>
  <c r="T15" i="45"/>
  <c r="AN14" i="45"/>
  <c r="AM14" i="45"/>
  <c r="AL14" i="45"/>
  <c r="AK14" i="45"/>
  <c r="AJ14" i="45"/>
  <c r="AI14" i="45"/>
  <c r="AH14" i="45"/>
  <c r="AG14" i="45"/>
  <c r="AF14" i="45"/>
  <c r="AE14" i="45"/>
  <c r="AD14" i="45"/>
  <c r="Y14" i="45"/>
  <c r="W14" i="45"/>
  <c r="V14" i="45"/>
  <c r="U14" i="45"/>
  <c r="T14" i="45"/>
  <c r="A14" i="45"/>
  <c r="AN13" i="45"/>
  <c r="AM13" i="45"/>
  <c r="AL13" i="45"/>
  <c r="AK13" i="45"/>
  <c r="AJ13" i="45"/>
  <c r="AI13" i="45"/>
  <c r="AH13" i="45"/>
  <c r="AG13" i="45"/>
  <c r="AF13" i="45"/>
  <c r="AE13" i="45"/>
  <c r="AD13" i="45"/>
  <c r="Y13" i="45"/>
  <c r="W13" i="45"/>
  <c r="V13" i="45"/>
  <c r="U13" i="45"/>
  <c r="T13" i="45"/>
  <c r="AN12" i="45"/>
  <c r="AM12" i="45"/>
  <c r="AL12" i="45"/>
  <c r="AK12" i="45"/>
  <c r="AJ12" i="45"/>
  <c r="AI12" i="45"/>
  <c r="AH12" i="45"/>
  <c r="AG12" i="45"/>
  <c r="AF12" i="45"/>
  <c r="AE12" i="45"/>
  <c r="AD12" i="45"/>
  <c r="Y12" i="45"/>
  <c r="W12" i="45"/>
  <c r="V12" i="45"/>
  <c r="U12" i="45"/>
  <c r="T12" i="45"/>
  <c r="A12" i="45"/>
  <c r="AN11" i="45"/>
  <c r="AM11" i="45"/>
  <c r="AL11" i="45"/>
  <c r="AK11" i="45"/>
  <c r="AJ11" i="45"/>
  <c r="AI11" i="45"/>
  <c r="AH11" i="45"/>
  <c r="AG11" i="45"/>
  <c r="AF11" i="45"/>
  <c r="AE11" i="45"/>
  <c r="AD11" i="45"/>
  <c r="Y11" i="45"/>
  <c r="W11" i="45"/>
  <c r="V11" i="45"/>
  <c r="U11" i="45"/>
  <c r="T11" i="45"/>
  <c r="AN10" i="45"/>
  <c r="AM10" i="45"/>
  <c r="AL10" i="45"/>
  <c r="AK10" i="45"/>
  <c r="AJ10" i="45"/>
  <c r="AI10" i="45"/>
  <c r="AH10" i="45"/>
  <c r="AG10" i="45"/>
  <c r="AF10" i="45"/>
  <c r="AE10" i="45"/>
  <c r="AD10" i="45"/>
  <c r="Y10" i="45"/>
  <c r="W10" i="45"/>
  <c r="V10" i="45"/>
  <c r="U10" i="45"/>
  <c r="T10" i="45"/>
  <c r="A10" i="45"/>
  <c r="AN9" i="45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U9" i="45"/>
  <c r="T9" i="45"/>
  <c r="AN8" i="45"/>
  <c r="AM8" i="45"/>
  <c r="AL8" i="45"/>
  <c r="AK8" i="45"/>
  <c r="AJ8" i="45"/>
  <c r="AI8" i="45"/>
  <c r="AH8" i="45"/>
  <c r="AG8" i="45"/>
  <c r="AF8" i="45"/>
  <c r="AD8" i="45"/>
  <c r="Y8" i="45"/>
  <c r="W8" i="45"/>
  <c r="V8" i="45"/>
  <c r="U8" i="45"/>
  <c r="T8" i="45"/>
  <c r="AN7" i="45"/>
  <c r="AM7" i="45"/>
  <c r="AL7" i="45"/>
  <c r="AK7" i="45"/>
  <c r="AJ7" i="45"/>
  <c r="AI7" i="45"/>
  <c r="AH7" i="45"/>
  <c r="AG7" i="45"/>
  <c r="AF7" i="45"/>
  <c r="AD7" i="45"/>
  <c r="Y7" i="45"/>
  <c r="W7" i="45"/>
  <c r="V7" i="45"/>
  <c r="U7" i="45"/>
  <c r="T7" i="45"/>
  <c r="AN6" i="45"/>
  <c r="AM6" i="45"/>
  <c r="AL6" i="45"/>
  <c r="AK6" i="45"/>
  <c r="AJ6" i="45"/>
  <c r="AI6" i="45"/>
  <c r="AH6" i="45"/>
  <c r="AG6" i="45"/>
  <c r="AF6" i="45"/>
  <c r="AD6" i="45"/>
  <c r="Y6" i="45"/>
  <c r="W6" i="45"/>
  <c r="V6" i="45"/>
  <c r="U6" i="45"/>
  <c r="T6" i="45"/>
  <c r="A6" i="45"/>
  <c r="AN5" i="45"/>
  <c r="AM5" i="45"/>
  <c r="AL5" i="45"/>
  <c r="AK5" i="45"/>
  <c r="AJ5" i="45"/>
  <c r="AI5" i="45"/>
  <c r="AH5" i="45"/>
  <c r="AG5" i="45"/>
  <c r="AF5" i="45"/>
  <c r="AD5" i="45"/>
  <c r="Y5" i="45"/>
  <c r="W5" i="45"/>
  <c r="V5" i="45"/>
  <c r="U5" i="45"/>
  <c r="T5" i="45"/>
  <c r="F1" i="45"/>
  <c r="AN24" i="44"/>
  <c r="AM24" i="44"/>
  <c r="AL24" i="44"/>
  <c r="AK24" i="44"/>
  <c r="AJ24" i="44"/>
  <c r="AI24" i="44"/>
  <c r="AH24" i="44"/>
  <c r="AG24" i="44"/>
  <c r="AF24" i="44"/>
  <c r="AE24" i="44"/>
  <c r="AD24" i="44"/>
  <c r="Y24" i="44"/>
  <c r="W24" i="44"/>
  <c r="V24" i="44"/>
  <c r="U24" i="44"/>
  <c r="T24" i="44"/>
  <c r="AN23" i="44"/>
  <c r="AM23" i="44"/>
  <c r="AL23" i="44"/>
  <c r="AK23" i="44"/>
  <c r="AJ23" i="44"/>
  <c r="AI23" i="44"/>
  <c r="AH23" i="44"/>
  <c r="AG23" i="44"/>
  <c r="AF23" i="44"/>
  <c r="AE23" i="44"/>
  <c r="AD23" i="44"/>
  <c r="Y23" i="44"/>
  <c r="W23" i="44"/>
  <c r="V23" i="44"/>
  <c r="U23" i="44"/>
  <c r="T23" i="44"/>
  <c r="AN22" i="44"/>
  <c r="AM22" i="44"/>
  <c r="AL22" i="44"/>
  <c r="AK22" i="44"/>
  <c r="AJ22" i="44"/>
  <c r="AI22" i="44"/>
  <c r="AH22" i="44"/>
  <c r="AG22" i="44"/>
  <c r="AF22" i="44"/>
  <c r="AE22" i="44"/>
  <c r="AD22" i="44"/>
  <c r="Y22" i="44"/>
  <c r="W22" i="44"/>
  <c r="V22" i="44"/>
  <c r="U22" i="44"/>
  <c r="T22" i="44"/>
  <c r="AN21" i="44"/>
  <c r="AM21" i="44"/>
  <c r="AL21" i="44"/>
  <c r="AK21" i="44"/>
  <c r="AJ21" i="44"/>
  <c r="AI21" i="44"/>
  <c r="AH21" i="44"/>
  <c r="AG21" i="44"/>
  <c r="AF21" i="44"/>
  <c r="AE21" i="44"/>
  <c r="AD21" i="44"/>
  <c r="Y21" i="44"/>
  <c r="W21" i="44"/>
  <c r="V21" i="44"/>
  <c r="U21" i="44"/>
  <c r="T21" i="44"/>
  <c r="AN20" i="44"/>
  <c r="AM20" i="44"/>
  <c r="AL20" i="44"/>
  <c r="AK20" i="44"/>
  <c r="AJ20" i="44"/>
  <c r="AI20" i="44"/>
  <c r="AH20" i="44"/>
  <c r="AG20" i="44"/>
  <c r="AF20" i="44"/>
  <c r="AE20" i="44"/>
  <c r="AD20" i="44"/>
  <c r="Y20" i="44"/>
  <c r="W20" i="44"/>
  <c r="V20" i="44"/>
  <c r="U20" i="44"/>
  <c r="T20" i="44"/>
  <c r="AN19" i="44"/>
  <c r="AM19" i="44"/>
  <c r="AL19" i="44"/>
  <c r="AK19" i="44"/>
  <c r="AJ19" i="44"/>
  <c r="AI19" i="44"/>
  <c r="AH19" i="44"/>
  <c r="AG19" i="44"/>
  <c r="AF19" i="44"/>
  <c r="AE19" i="44"/>
  <c r="AD19" i="44"/>
  <c r="Y19" i="44"/>
  <c r="W19" i="44"/>
  <c r="V19" i="44"/>
  <c r="U19" i="44"/>
  <c r="T19" i="44"/>
  <c r="AN18" i="44"/>
  <c r="AM18" i="44"/>
  <c r="AL18" i="44"/>
  <c r="AK18" i="44"/>
  <c r="AJ18" i="44"/>
  <c r="AI18" i="44"/>
  <c r="AH18" i="44"/>
  <c r="AG18" i="44"/>
  <c r="AF18" i="44"/>
  <c r="AE18" i="44"/>
  <c r="AD18" i="44"/>
  <c r="Y18" i="44"/>
  <c r="W18" i="44"/>
  <c r="V18" i="44"/>
  <c r="U18" i="44"/>
  <c r="T18" i="44"/>
  <c r="AN17" i="44"/>
  <c r="AM17" i="44"/>
  <c r="AL17" i="44"/>
  <c r="AK17" i="44"/>
  <c r="AJ17" i="44"/>
  <c r="AI17" i="44"/>
  <c r="AH17" i="44"/>
  <c r="AG17" i="44"/>
  <c r="AF17" i="44"/>
  <c r="AE17" i="44"/>
  <c r="AD17" i="44"/>
  <c r="Y17" i="44"/>
  <c r="W17" i="44"/>
  <c r="V17" i="44"/>
  <c r="U17" i="44"/>
  <c r="T17" i="44"/>
  <c r="AN16" i="44"/>
  <c r="AM16" i="44"/>
  <c r="AL16" i="44"/>
  <c r="AK16" i="44"/>
  <c r="AJ16" i="44"/>
  <c r="AI16" i="44"/>
  <c r="AH16" i="44"/>
  <c r="AG16" i="44"/>
  <c r="AF16" i="44"/>
  <c r="AE16" i="44"/>
  <c r="AD16" i="44"/>
  <c r="Y16" i="44"/>
  <c r="W16" i="44"/>
  <c r="V16" i="44"/>
  <c r="U16" i="44"/>
  <c r="T16" i="44"/>
  <c r="A16" i="44"/>
  <c r="AN15" i="44"/>
  <c r="AM15" i="44"/>
  <c r="AL15" i="44"/>
  <c r="AK15" i="44"/>
  <c r="AJ15" i="44"/>
  <c r="AI15" i="44"/>
  <c r="AH15" i="44"/>
  <c r="AG15" i="44"/>
  <c r="AF15" i="44"/>
  <c r="AE15" i="44"/>
  <c r="AD15" i="44"/>
  <c r="Y15" i="44"/>
  <c r="W15" i="44"/>
  <c r="V15" i="44"/>
  <c r="U15" i="44"/>
  <c r="T15" i="44"/>
  <c r="AN14" i="44"/>
  <c r="AM14" i="44"/>
  <c r="AL14" i="44"/>
  <c r="AK14" i="44"/>
  <c r="AJ14" i="44"/>
  <c r="AI14" i="44"/>
  <c r="AH14" i="44"/>
  <c r="AG14" i="44"/>
  <c r="AF14" i="44"/>
  <c r="AE14" i="44"/>
  <c r="AD14" i="44"/>
  <c r="Y14" i="44"/>
  <c r="W14" i="44"/>
  <c r="V14" i="44"/>
  <c r="U14" i="44"/>
  <c r="T14" i="44"/>
  <c r="A14" i="44"/>
  <c r="AN13" i="44"/>
  <c r="AM13" i="44"/>
  <c r="AL13" i="44"/>
  <c r="AK13" i="44"/>
  <c r="AJ13" i="44"/>
  <c r="AI13" i="44"/>
  <c r="AH13" i="44"/>
  <c r="AG13" i="44"/>
  <c r="AF13" i="44"/>
  <c r="AE13" i="44"/>
  <c r="AD13" i="44"/>
  <c r="Y13" i="44"/>
  <c r="W13" i="44"/>
  <c r="V13" i="44"/>
  <c r="U13" i="44"/>
  <c r="T13" i="44"/>
  <c r="AN12" i="44"/>
  <c r="AM12" i="44"/>
  <c r="AL12" i="44"/>
  <c r="AK12" i="44"/>
  <c r="AJ12" i="44"/>
  <c r="AI12" i="44"/>
  <c r="AH12" i="44"/>
  <c r="AG12" i="44"/>
  <c r="AF12" i="44"/>
  <c r="AE12" i="44"/>
  <c r="AD12" i="44"/>
  <c r="Y12" i="44"/>
  <c r="W12" i="44"/>
  <c r="V12" i="44"/>
  <c r="U12" i="44"/>
  <c r="T12" i="44"/>
  <c r="A12" i="44"/>
  <c r="AN11" i="44"/>
  <c r="AM11" i="44"/>
  <c r="AL11" i="44"/>
  <c r="AK11" i="44"/>
  <c r="AJ11" i="44"/>
  <c r="AI11" i="44"/>
  <c r="AH11" i="44"/>
  <c r="AG11" i="44"/>
  <c r="AF11" i="44"/>
  <c r="AE11" i="44"/>
  <c r="AD11" i="44"/>
  <c r="Y11" i="44"/>
  <c r="W11" i="44"/>
  <c r="V11" i="44"/>
  <c r="U11" i="44"/>
  <c r="T11" i="44"/>
  <c r="AN10" i="44"/>
  <c r="AM10" i="44"/>
  <c r="AL10" i="44"/>
  <c r="AK10" i="44"/>
  <c r="AJ10" i="44"/>
  <c r="AI10" i="44"/>
  <c r="AH10" i="44"/>
  <c r="AG10" i="44"/>
  <c r="AF10" i="44"/>
  <c r="AE10" i="44"/>
  <c r="AD10" i="44"/>
  <c r="Y10" i="44"/>
  <c r="W10" i="44"/>
  <c r="V10" i="44"/>
  <c r="U10" i="44"/>
  <c r="T10" i="44"/>
  <c r="A10" i="44"/>
  <c r="AN9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U9" i="44"/>
  <c r="T9" i="44"/>
  <c r="AN8" i="44"/>
  <c r="AM8" i="44"/>
  <c r="AL8" i="44"/>
  <c r="AK8" i="44"/>
  <c r="AJ8" i="44"/>
  <c r="AI8" i="44"/>
  <c r="AH8" i="44"/>
  <c r="AG8" i="44"/>
  <c r="AF8" i="44"/>
  <c r="AD8" i="44"/>
  <c r="Y8" i="44"/>
  <c r="W8" i="44"/>
  <c r="V8" i="44"/>
  <c r="U8" i="44"/>
  <c r="T8" i="44"/>
  <c r="AN7" i="44"/>
  <c r="AM7" i="44"/>
  <c r="AL7" i="44"/>
  <c r="AK7" i="44"/>
  <c r="AJ7" i="44"/>
  <c r="AI7" i="44"/>
  <c r="AH7" i="44"/>
  <c r="AG7" i="44"/>
  <c r="AF7" i="44"/>
  <c r="AD7" i="44"/>
  <c r="Y7" i="44"/>
  <c r="W7" i="44"/>
  <c r="V7" i="44"/>
  <c r="U7" i="44"/>
  <c r="T7" i="44"/>
  <c r="AN6" i="44"/>
  <c r="AM6" i="44"/>
  <c r="AL6" i="44"/>
  <c r="AK6" i="44"/>
  <c r="AJ6" i="44"/>
  <c r="AI6" i="44"/>
  <c r="AH6" i="44"/>
  <c r="AG6" i="44"/>
  <c r="AF6" i="44"/>
  <c r="AD6" i="44"/>
  <c r="Y6" i="44"/>
  <c r="W6" i="44"/>
  <c r="V6" i="44"/>
  <c r="U6" i="44"/>
  <c r="T6" i="44"/>
  <c r="A6" i="44"/>
  <c r="AN5" i="44"/>
  <c r="AM5" i="44"/>
  <c r="AL5" i="44"/>
  <c r="AK5" i="44"/>
  <c r="AJ5" i="44"/>
  <c r="AI5" i="44"/>
  <c r="AH5" i="44"/>
  <c r="AG5" i="44"/>
  <c r="AF5" i="44"/>
  <c r="AD5" i="44"/>
  <c r="Y5" i="44"/>
  <c r="W5" i="44"/>
  <c r="V5" i="44"/>
  <c r="U5" i="44"/>
  <c r="T5" i="44"/>
  <c r="F1" i="44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A24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A22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A20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A18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A16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A14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A12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A10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AP8" i="43"/>
  <c r="AO8" i="43"/>
  <c r="AN8" i="43"/>
  <c r="AM8" i="43"/>
  <c r="AL8" i="43"/>
  <c r="AK8" i="43"/>
  <c r="AJ8" i="43"/>
  <c r="AI8" i="43"/>
  <c r="AH8" i="43"/>
  <c r="AG8" i="43"/>
  <c r="AF8" i="43"/>
  <c r="AD8" i="43"/>
  <c r="AC8" i="43"/>
  <c r="AB8" i="43"/>
  <c r="AA8" i="43"/>
  <c r="Z8" i="43"/>
  <c r="Y8" i="43"/>
  <c r="X8" i="43"/>
  <c r="W8" i="43"/>
  <c r="V8" i="43"/>
  <c r="U8" i="43"/>
  <c r="T8" i="43"/>
  <c r="AP7" i="43"/>
  <c r="AO7" i="43"/>
  <c r="AN7" i="43"/>
  <c r="AM7" i="43"/>
  <c r="AL7" i="43"/>
  <c r="AK7" i="43"/>
  <c r="AJ7" i="43"/>
  <c r="AI7" i="43"/>
  <c r="AH7" i="43"/>
  <c r="AG7" i="43"/>
  <c r="AF7" i="43"/>
  <c r="AD7" i="43"/>
  <c r="AC7" i="43"/>
  <c r="AB7" i="43"/>
  <c r="AA7" i="43"/>
  <c r="Z7" i="43"/>
  <c r="Y7" i="43"/>
  <c r="X7" i="43"/>
  <c r="W7" i="43"/>
  <c r="V7" i="43"/>
  <c r="U7" i="43"/>
  <c r="T7" i="43"/>
  <c r="AP6" i="43"/>
  <c r="AO6" i="43"/>
  <c r="AN6" i="43"/>
  <c r="AM6" i="43"/>
  <c r="AL6" i="43"/>
  <c r="AK6" i="43"/>
  <c r="AJ6" i="43"/>
  <c r="AI6" i="43"/>
  <c r="AH6" i="43"/>
  <c r="AG6" i="43"/>
  <c r="AF6" i="43"/>
  <c r="AD6" i="43"/>
  <c r="AC6" i="43"/>
  <c r="AB6" i="43"/>
  <c r="AA6" i="43"/>
  <c r="Z6" i="43"/>
  <c r="Y6" i="43"/>
  <c r="X6" i="43"/>
  <c r="W6" i="43"/>
  <c r="V6" i="43"/>
  <c r="U6" i="43"/>
  <c r="T6" i="43"/>
  <c r="AP5" i="43"/>
  <c r="AO5" i="43"/>
  <c r="AN5" i="43"/>
  <c r="AM5" i="43"/>
  <c r="AL5" i="43"/>
  <c r="AK5" i="43"/>
  <c r="AJ5" i="43"/>
  <c r="AI5" i="43"/>
  <c r="AH5" i="43"/>
  <c r="AG5" i="43"/>
  <c r="AF5" i="43"/>
  <c r="AD5" i="43"/>
  <c r="AC5" i="43"/>
  <c r="AB5" i="43"/>
  <c r="AA5" i="43"/>
  <c r="Z5" i="43"/>
  <c r="Y5" i="43"/>
  <c r="X5" i="43"/>
  <c r="W5" i="43"/>
  <c r="V5" i="43"/>
  <c r="U5" i="43"/>
  <c r="T5" i="43"/>
  <c r="F1" i="43"/>
  <c r="AN24" i="42"/>
  <c r="AM24" i="42"/>
  <c r="AL24" i="42"/>
  <c r="AK24" i="42"/>
  <c r="AJ24" i="42"/>
  <c r="AI24" i="42"/>
  <c r="AH24" i="42"/>
  <c r="AG24" i="42"/>
  <c r="AF24" i="42"/>
  <c r="AE24" i="42"/>
  <c r="AD24" i="42"/>
  <c r="Y24" i="42"/>
  <c r="W24" i="42"/>
  <c r="V24" i="42"/>
  <c r="U24" i="42"/>
  <c r="T24" i="42"/>
  <c r="AN23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N22" i="42"/>
  <c r="AM22" i="42"/>
  <c r="AL22" i="42"/>
  <c r="AK22" i="42"/>
  <c r="AJ22" i="42"/>
  <c r="AI22" i="42"/>
  <c r="AH22" i="42"/>
  <c r="AG22" i="42"/>
  <c r="AF22" i="42"/>
  <c r="AE22" i="42"/>
  <c r="AD22" i="42"/>
  <c r="Y22" i="42"/>
  <c r="W22" i="42"/>
  <c r="V22" i="42"/>
  <c r="U22" i="42"/>
  <c r="T22" i="42"/>
  <c r="AN21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N20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N19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N18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N17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N16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N15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N14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N13" i="42"/>
  <c r="AM13" i="42"/>
  <c r="AL13" i="42"/>
  <c r="AK13" i="42"/>
  <c r="AJ13" i="42"/>
  <c r="AI13" i="42"/>
  <c r="AH13" i="42"/>
  <c r="AG13" i="42"/>
  <c r="AF13" i="42"/>
  <c r="AE13" i="42"/>
  <c r="AD13" i="42"/>
  <c r="Y13" i="42"/>
  <c r="W13" i="42"/>
  <c r="V13" i="42"/>
  <c r="U13" i="42"/>
  <c r="T13" i="42"/>
  <c r="AN12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N11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N10" i="42"/>
  <c r="AM10" i="42"/>
  <c r="AL10" i="42"/>
  <c r="AK10" i="42"/>
  <c r="AJ10" i="42"/>
  <c r="AI10" i="42"/>
  <c r="AH10" i="42"/>
  <c r="AG10" i="42"/>
  <c r="AF10" i="42"/>
  <c r="AE10" i="42"/>
  <c r="AD10" i="42"/>
  <c r="Y10" i="42"/>
  <c r="W10" i="42"/>
  <c r="V10" i="42"/>
  <c r="U10" i="42"/>
  <c r="T10" i="42"/>
  <c r="A10" i="42"/>
  <c r="AN9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N8" i="42"/>
  <c r="AM8" i="42"/>
  <c r="AL8" i="42"/>
  <c r="AK8" i="42"/>
  <c r="AJ8" i="42"/>
  <c r="AI8" i="42"/>
  <c r="AH8" i="42"/>
  <c r="AG8" i="42"/>
  <c r="AF8" i="42"/>
  <c r="AD8" i="42"/>
  <c r="Y8" i="42"/>
  <c r="W8" i="42"/>
  <c r="V8" i="42"/>
  <c r="U8" i="42"/>
  <c r="T8" i="42"/>
  <c r="A8" i="42"/>
  <c r="X12" i="42" s="1"/>
  <c r="AN7" i="42"/>
  <c r="AM7" i="42"/>
  <c r="AL7" i="42"/>
  <c r="AK7" i="42"/>
  <c r="AJ7" i="42"/>
  <c r="AI7" i="42"/>
  <c r="AH7" i="42"/>
  <c r="AG7" i="42"/>
  <c r="AF7" i="42"/>
  <c r="AD7" i="42"/>
  <c r="Y7" i="42"/>
  <c r="W7" i="42"/>
  <c r="V7" i="42"/>
  <c r="U7" i="42"/>
  <c r="T7" i="42"/>
  <c r="AN6" i="42"/>
  <c r="AM6" i="42"/>
  <c r="AL6" i="42"/>
  <c r="AK6" i="42"/>
  <c r="AJ6" i="42"/>
  <c r="AI6" i="42"/>
  <c r="AH6" i="42"/>
  <c r="AG6" i="42"/>
  <c r="AF6" i="42"/>
  <c r="AD6" i="42"/>
  <c r="Y6" i="42"/>
  <c r="W6" i="42"/>
  <c r="V6" i="42"/>
  <c r="U6" i="42"/>
  <c r="T6" i="42"/>
  <c r="A6" i="42"/>
  <c r="AN5" i="42"/>
  <c r="AM5" i="42"/>
  <c r="AL5" i="42"/>
  <c r="AK5" i="42"/>
  <c r="AJ5" i="42"/>
  <c r="AI5" i="42"/>
  <c r="AH5" i="42"/>
  <c r="AG5" i="42"/>
  <c r="AF5" i="42"/>
  <c r="AD5" i="42"/>
  <c r="Y5" i="42"/>
  <c r="W5" i="42"/>
  <c r="V5" i="42"/>
  <c r="U5" i="42"/>
  <c r="T5" i="42"/>
  <c r="F1" i="42"/>
  <c r="AN24" i="41"/>
  <c r="AM24" i="41"/>
  <c r="AL24" i="41"/>
  <c r="AK24" i="41"/>
  <c r="AJ24" i="41"/>
  <c r="AI24" i="41"/>
  <c r="AH24" i="41"/>
  <c r="AG24" i="41"/>
  <c r="AF24" i="41"/>
  <c r="AE24" i="41"/>
  <c r="AD24" i="41"/>
  <c r="Y24" i="41"/>
  <c r="W24" i="41"/>
  <c r="V24" i="41"/>
  <c r="U24" i="41"/>
  <c r="T24" i="41"/>
  <c r="AN23" i="41"/>
  <c r="AM23" i="41"/>
  <c r="AL23" i="41"/>
  <c r="AK23" i="41"/>
  <c r="AJ23" i="41"/>
  <c r="AI23" i="41"/>
  <c r="AH23" i="41"/>
  <c r="AG23" i="41"/>
  <c r="AF23" i="41"/>
  <c r="AE23" i="41"/>
  <c r="AD23" i="41"/>
  <c r="Y23" i="41"/>
  <c r="W23" i="41"/>
  <c r="V23" i="41"/>
  <c r="U23" i="41"/>
  <c r="T23" i="41"/>
  <c r="AN22" i="41"/>
  <c r="AM22" i="41"/>
  <c r="AL22" i="41"/>
  <c r="AK22" i="41"/>
  <c r="AJ22" i="41"/>
  <c r="AI22" i="41"/>
  <c r="AH22" i="41"/>
  <c r="AG22" i="41"/>
  <c r="AF22" i="41"/>
  <c r="AE22" i="41"/>
  <c r="AD22" i="41"/>
  <c r="Y22" i="41"/>
  <c r="W22" i="41"/>
  <c r="V22" i="41"/>
  <c r="U22" i="41"/>
  <c r="T22" i="41"/>
  <c r="AN21" i="41"/>
  <c r="AM21" i="41"/>
  <c r="AL21" i="41"/>
  <c r="AK21" i="41"/>
  <c r="AJ21" i="41"/>
  <c r="AI21" i="41"/>
  <c r="AH21" i="41"/>
  <c r="AG21" i="41"/>
  <c r="AF21" i="41"/>
  <c r="AE21" i="41"/>
  <c r="AD21" i="41"/>
  <c r="Y21" i="41"/>
  <c r="W21" i="41"/>
  <c r="V21" i="41"/>
  <c r="U21" i="41"/>
  <c r="T21" i="41"/>
  <c r="AN20" i="41"/>
  <c r="AM20" i="41"/>
  <c r="AL20" i="41"/>
  <c r="AK20" i="41"/>
  <c r="AJ20" i="41"/>
  <c r="AI20" i="41"/>
  <c r="AH20" i="41"/>
  <c r="AG20" i="41"/>
  <c r="AF20" i="41"/>
  <c r="AE20" i="41"/>
  <c r="AD20" i="41"/>
  <c r="Y20" i="41"/>
  <c r="W20" i="41"/>
  <c r="V20" i="41"/>
  <c r="U20" i="41"/>
  <c r="T20" i="41"/>
  <c r="AN19" i="41"/>
  <c r="AM19" i="41"/>
  <c r="AL19" i="41"/>
  <c r="AK19" i="41"/>
  <c r="AJ19" i="41"/>
  <c r="AI19" i="41"/>
  <c r="AH19" i="41"/>
  <c r="AG19" i="41"/>
  <c r="AF19" i="41"/>
  <c r="AE19" i="41"/>
  <c r="AD19" i="41"/>
  <c r="Y19" i="41"/>
  <c r="W19" i="41"/>
  <c r="V19" i="41"/>
  <c r="U19" i="41"/>
  <c r="T19" i="41"/>
  <c r="AN18" i="41"/>
  <c r="AM18" i="41"/>
  <c r="AL18" i="41"/>
  <c r="AK18" i="41"/>
  <c r="AJ18" i="41"/>
  <c r="AI18" i="41"/>
  <c r="AH18" i="41"/>
  <c r="AG18" i="41"/>
  <c r="AF18" i="41"/>
  <c r="AE18" i="41"/>
  <c r="AD18" i="41"/>
  <c r="Y18" i="41"/>
  <c r="W18" i="41"/>
  <c r="V18" i="41"/>
  <c r="U18" i="41"/>
  <c r="T18" i="41"/>
  <c r="AN17" i="41"/>
  <c r="AM17" i="41"/>
  <c r="AL17" i="41"/>
  <c r="AK17" i="41"/>
  <c r="AJ17" i="41"/>
  <c r="AI17" i="41"/>
  <c r="AH17" i="41"/>
  <c r="AG17" i="41"/>
  <c r="AF17" i="41"/>
  <c r="AE17" i="41"/>
  <c r="AD17" i="41"/>
  <c r="Y17" i="41"/>
  <c r="W17" i="41"/>
  <c r="V17" i="41"/>
  <c r="U17" i="41"/>
  <c r="T17" i="41"/>
  <c r="AN16" i="41"/>
  <c r="AM16" i="41"/>
  <c r="AL16" i="41"/>
  <c r="AK16" i="41"/>
  <c r="AJ16" i="41"/>
  <c r="AI16" i="41"/>
  <c r="AH16" i="41"/>
  <c r="AG16" i="41"/>
  <c r="AF16" i="41"/>
  <c r="AE16" i="41"/>
  <c r="AD16" i="41"/>
  <c r="Y16" i="41"/>
  <c r="W16" i="41"/>
  <c r="V16" i="41"/>
  <c r="U16" i="41"/>
  <c r="T16" i="41"/>
  <c r="A16" i="41"/>
  <c r="AN15" i="41"/>
  <c r="AM15" i="41"/>
  <c r="AL15" i="41"/>
  <c r="AK15" i="41"/>
  <c r="AJ15" i="41"/>
  <c r="AI15" i="41"/>
  <c r="AH15" i="41"/>
  <c r="AG15" i="41"/>
  <c r="AF15" i="41"/>
  <c r="AE15" i="41"/>
  <c r="AD15" i="41"/>
  <c r="Y15" i="41"/>
  <c r="W15" i="41"/>
  <c r="V15" i="41"/>
  <c r="U15" i="41"/>
  <c r="T15" i="41"/>
  <c r="AN14" i="41"/>
  <c r="AM14" i="41"/>
  <c r="AL14" i="41"/>
  <c r="AK14" i="41"/>
  <c r="AJ14" i="41"/>
  <c r="AI14" i="41"/>
  <c r="AH14" i="41"/>
  <c r="AG14" i="41"/>
  <c r="AF14" i="41"/>
  <c r="AE14" i="41"/>
  <c r="AD14" i="41"/>
  <c r="Y14" i="41"/>
  <c r="W14" i="41"/>
  <c r="V14" i="41"/>
  <c r="U14" i="41"/>
  <c r="T14" i="41"/>
  <c r="A14" i="41"/>
  <c r="AN13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U13" i="41"/>
  <c r="T13" i="41"/>
  <c r="AN12" i="41"/>
  <c r="AM12" i="41"/>
  <c r="AL12" i="41"/>
  <c r="AK12" i="41"/>
  <c r="AJ12" i="41"/>
  <c r="AI12" i="41"/>
  <c r="AH12" i="41"/>
  <c r="AG12" i="41"/>
  <c r="AF12" i="41"/>
  <c r="AE12" i="41"/>
  <c r="AD12" i="41"/>
  <c r="Y12" i="41"/>
  <c r="W12" i="41"/>
  <c r="V12" i="41"/>
  <c r="U12" i="41"/>
  <c r="T12" i="41"/>
  <c r="A12" i="41"/>
  <c r="AN11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U11" i="41"/>
  <c r="T11" i="41"/>
  <c r="AN10" i="41"/>
  <c r="AM10" i="41"/>
  <c r="AL10" i="41"/>
  <c r="AK10" i="41"/>
  <c r="AJ10" i="41"/>
  <c r="AI10" i="41"/>
  <c r="AH10" i="41"/>
  <c r="AG10" i="41"/>
  <c r="AF10" i="41"/>
  <c r="AE10" i="41"/>
  <c r="AD10" i="41"/>
  <c r="Y10" i="41"/>
  <c r="W10" i="41"/>
  <c r="V10" i="41"/>
  <c r="U10" i="41"/>
  <c r="T10" i="41"/>
  <c r="A10" i="41"/>
  <c r="AN9" i="4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U9" i="41"/>
  <c r="T9" i="41"/>
  <c r="AN8" i="41"/>
  <c r="AM8" i="41"/>
  <c r="AL8" i="41"/>
  <c r="AK8" i="41"/>
  <c r="AJ8" i="41"/>
  <c r="AI8" i="41"/>
  <c r="AH8" i="41"/>
  <c r="AG8" i="41"/>
  <c r="AF8" i="41"/>
  <c r="AD8" i="41"/>
  <c r="Y8" i="41"/>
  <c r="W8" i="41"/>
  <c r="V8" i="41"/>
  <c r="U8" i="41"/>
  <c r="T8" i="41"/>
  <c r="AN7" i="41"/>
  <c r="AM7" i="41"/>
  <c r="AL7" i="41"/>
  <c r="AK7" i="41"/>
  <c r="AJ7" i="41"/>
  <c r="AI7" i="41"/>
  <c r="AH7" i="41"/>
  <c r="AG7" i="41"/>
  <c r="AF7" i="41"/>
  <c r="AD7" i="41"/>
  <c r="Y7" i="41"/>
  <c r="W7" i="41"/>
  <c r="V7" i="41"/>
  <c r="U7" i="41"/>
  <c r="T7" i="41"/>
  <c r="AN6" i="41"/>
  <c r="AM6" i="41"/>
  <c r="AL6" i="41"/>
  <c r="AK6" i="41"/>
  <c r="AJ6" i="41"/>
  <c r="AI6" i="41"/>
  <c r="AH6" i="41"/>
  <c r="AG6" i="41"/>
  <c r="AF6" i="41"/>
  <c r="AD6" i="41"/>
  <c r="Y6" i="41"/>
  <c r="W6" i="41"/>
  <c r="V6" i="41"/>
  <c r="U6" i="41"/>
  <c r="T6" i="41"/>
  <c r="A6" i="41"/>
  <c r="AN5" i="41"/>
  <c r="AM5" i="41"/>
  <c r="AL5" i="41"/>
  <c r="AK5" i="41"/>
  <c r="AJ5" i="41"/>
  <c r="AI5" i="41"/>
  <c r="AH5" i="41"/>
  <c r="AG5" i="41"/>
  <c r="AF5" i="41"/>
  <c r="AD5" i="41"/>
  <c r="Y5" i="41"/>
  <c r="W5" i="41"/>
  <c r="V5" i="41"/>
  <c r="U5" i="41"/>
  <c r="T5" i="41"/>
  <c r="F1" i="41"/>
  <c r="AN24" i="40"/>
  <c r="AM24" i="40"/>
  <c r="AL24" i="40"/>
  <c r="AK24" i="40"/>
  <c r="AJ24" i="40"/>
  <c r="AI24" i="40"/>
  <c r="AH24" i="40"/>
  <c r="AG24" i="40"/>
  <c r="AF24" i="40"/>
  <c r="AE24" i="40"/>
  <c r="AD24" i="40"/>
  <c r="Y24" i="40"/>
  <c r="W24" i="40"/>
  <c r="V24" i="40"/>
  <c r="U24" i="40"/>
  <c r="T24" i="40"/>
  <c r="AN23" i="40"/>
  <c r="AM23" i="40"/>
  <c r="AL23" i="40"/>
  <c r="AK23" i="40"/>
  <c r="AJ23" i="40"/>
  <c r="AI23" i="40"/>
  <c r="AH23" i="40"/>
  <c r="AG23" i="40"/>
  <c r="AF23" i="40"/>
  <c r="AE23" i="40"/>
  <c r="AD23" i="40"/>
  <c r="Y23" i="40"/>
  <c r="W23" i="40"/>
  <c r="V23" i="40"/>
  <c r="U23" i="40"/>
  <c r="T23" i="40"/>
  <c r="AN22" i="40"/>
  <c r="AM22" i="40"/>
  <c r="AL22" i="40"/>
  <c r="AK22" i="40"/>
  <c r="AJ22" i="40"/>
  <c r="AI22" i="40"/>
  <c r="AH22" i="40"/>
  <c r="AG22" i="40"/>
  <c r="AF22" i="40"/>
  <c r="AE22" i="40"/>
  <c r="AD22" i="40"/>
  <c r="Y22" i="40"/>
  <c r="W22" i="40"/>
  <c r="V22" i="40"/>
  <c r="U22" i="40"/>
  <c r="T22" i="40"/>
  <c r="AN21" i="40"/>
  <c r="AM21" i="40"/>
  <c r="AL21" i="40"/>
  <c r="AK21" i="40"/>
  <c r="AJ21" i="40"/>
  <c r="AI21" i="40"/>
  <c r="AH21" i="40"/>
  <c r="AG21" i="40"/>
  <c r="AF21" i="40"/>
  <c r="AE21" i="40"/>
  <c r="AD21" i="40"/>
  <c r="Y21" i="40"/>
  <c r="W21" i="40"/>
  <c r="V21" i="40"/>
  <c r="U21" i="40"/>
  <c r="T21" i="40"/>
  <c r="AN20" i="40"/>
  <c r="AM20" i="40"/>
  <c r="AL20" i="40"/>
  <c r="AK20" i="40"/>
  <c r="AJ20" i="40"/>
  <c r="AI20" i="40"/>
  <c r="AH20" i="40"/>
  <c r="AG20" i="40"/>
  <c r="AF20" i="40"/>
  <c r="AE20" i="40"/>
  <c r="AD20" i="40"/>
  <c r="Y20" i="40"/>
  <c r="W20" i="40"/>
  <c r="V20" i="40"/>
  <c r="U20" i="40"/>
  <c r="T20" i="40"/>
  <c r="AN19" i="40"/>
  <c r="AM19" i="40"/>
  <c r="AL19" i="40"/>
  <c r="AK19" i="40"/>
  <c r="AJ19" i="40"/>
  <c r="AI19" i="40"/>
  <c r="AH19" i="40"/>
  <c r="AG19" i="40"/>
  <c r="AF19" i="40"/>
  <c r="AE19" i="40"/>
  <c r="AD19" i="40"/>
  <c r="Y19" i="40"/>
  <c r="W19" i="40"/>
  <c r="V19" i="40"/>
  <c r="U19" i="40"/>
  <c r="T19" i="40"/>
  <c r="AN18" i="40"/>
  <c r="AM18" i="40"/>
  <c r="AL18" i="40"/>
  <c r="AK18" i="40"/>
  <c r="AJ18" i="40"/>
  <c r="AI18" i="40"/>
  <c r="AH18" i="40"/>
  <c r="AG18" i="40"/>
  <c r="AF18" i="40"/>
  <c r="AE18" i="40"/>
  <c r="AD18" i="40"/>
  <c r="Y18" i="40"/>
  <c r="W18" i="40"/>
  <c r="V18" i="40"/>
  <c r="U18" i="40"/>
  <c r="T18" i="40"/>
  <c r="AN17" i="40"/>
  <c r="AM17" i="40"/>
  <c r="AL17" i="40"/>
  <c r="AK17" i="40"/>
  <c r="AJ17" i="40"/>
  <c r="AI17" i="40"/>
  <c r="AH17" i="40"/>
  <c r="AG17" i="40"/>
  <c r="AF17" i="40"/>
  <c r="AE17" i="40"/>
  <c r="AD17" i="40"/>
  <c r="Y17" i="40"/>
  <c r="W17" i="40"/>
  <c r="V17" i="40"/>
  <c r="U17" i="40"/>
  <c r="T17" i="40"/>
  <c r="AN16" i="40"/>
  <c r="AM16" i="40"/>
  <c r="AL16" i="40"/>
  <c r="AK16" i="40"/>
  <c r="AJ16" i="40"/>
  <c r="AI16" i="40"/>
  <c r="AH16" i="40"/>
  <c r="AG16" i="40"/>
  <c r="AF16" i="40"/>
  <c r="AE16" i="40"/>
  <c r="AD16" i="40"/>
  <c r="Y16" i="40"/>
  <c r="W16" i="40"/>
  <c r="V16" i="40"/>
  <c r="U16" i="40"/>
  <c r="T16" i="40"/>
  <c r="A16" i="40"/>
  <c r="AN15" i="40"/>
  <c r="AM15" i="40"/>
  <c r="AL15" i="40"/>
  <c r="AK15" i="40"/>
  <c r="AJ15" i="40"/>
  <c r="AI15" i="40"/>
  <c r="AH15" i="40"/>
  <c r="AG15" i="40"/>
  <c r="AF15" i="40"/>
  <c r="AE15" i="40"/>
  <c r="AD15" i="40"/>
  <c r="Y15" i="40"/>
  <c r="W15" i="40"/>
  <c r="V15" i="40"/>
  <c r="U15" i="40"/>
  <c r="T15" i="40"/>
  <c r="AN14" i="40"/>
  <c r="AM14" i="40"/>
  <c r="AL14" i="40"/>
  <c r="AK14" i="40"/>
  <c r="AJ14" i="40"/>
  <c r="AI14" i="40"/>
  <c r="AH14" i="40"/>
  <c r="AG14" i="40"/>
  <c r="AF14" i="40"/>
  <c r="AE14" i="40"/>
  <c r="AD14" i="40"/>
  <c r="Y14" i="40"/>
  <c r="W14" i="40"/>
  <c r="V14" i="40"/>
  <c r="U14" i="40"/>
  <c r="T14" i="40"/>
  <c r="A14" i="40"/>
  <c r="AN13" i="40"/>
  <c r="AM13" i="40"/>
  <c r="AL13" i="40"/>
  <c r="AK13" i="40"/>
  <c r="AJ13" i="40"/>
  <c r="AI13" i="40"/>
  <c r="AH13" i="40"/>
  <c r="AG13" i="40"/>
  <c r="AF13" i="40"/>
  <c r="AE13" i="40"/>
  <c r="AD13" i="40"/>
  <c r="Y13" i="40"/>
  <c r="W13" i="40"/>
  <c r="V13" i="40"/>
  <c r="U13" i="40"/>
  <c r="T13" i="40"/>
  <c r="AN12" i="40"/>
  <c r="AM12" i="40"/>
  <c r="AL12" i="40"/>
  <c r="AK12" i="40"/>
  <c r="AJ12" i="40"/>
  <c r="AI12" i="40"/>
  <c r="AH12" i="40"/>
  <c r="AG12" i="40"/>
  <c r="AF12" i="40"/>
  <c r="AE12" i="40"/>
  <c r="AD12" i="40"/>
  <c r="Y12" i="40"/>
  <c r="W12" i="40"/>
  <c r="V12" i="40"/>
  <c r="U12" i="40"/>
  <c r="T12" i="40"/>
  <c r="A12" i="40"/>
  <c r="AN11" i="40"/>
  <c r="AM11" i="40"/>
  <c r="AL11" i="40"/>
  <c r="AK11" i="40"/>
  <c r="AJ11" i="40"/>
  <c r="AI11" i="40"/>
  <c r="AH11" i="40"/>
  <c r="AG11" i="40"/>
  <c r="AF11" i="40"/>
  <c r="AE11" i="40"/>
  <c r="AD11" i="40"/>
  <c r="Y11" i="40"/>
  <c r="W11" i="40"/>
  <c r="V11" i="40"/>
  <c r="U11" i="40"/>
  <c r="T11" i="40"/>
  <c r="AN10" i="40"/>
  <c r="AM10" i="40"/>
  <c r="AL10" i="40"/>
  <c r="AK10" i="40"/>
  <c r="AJ10" i="40"/>
  <c r="AI10" i="40"/>
  <c r="AH10" i="40"/>
  <c r="AG10" i="40"/>
  <c r="AF10" i="40"/>
  <c r="AE10" i="40"/>
  <c r="AD10" i="40"/>
  <c r="Y10" i="40"/>
  <c r="W10" i="40"/>
  <c r="V10" i="40"/>
  <c r="U10" i="40"/>
  <c r="T10" i="40"/>
  <c r="A10" i="40"/>
  <c r="AN9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U9" i="40"/>
  <c r="T9" i="40"/>
  <c r="AN8" i="40"/>
  <c r="AM8" i="40"/>
  <c r="AL8" i="40"/>
  <c r="AK8" i="40"/>
  <c r="AJ8" i="40"/>
  <c r="AI8" i="40"/>
  <c r="AH8" i="40"/>
  <c r="AG8" i="40"/>
  <c r="AF8" i="40"/>
  <c r="AD8" i="40"/>
  <c r="Y8" i="40"/>
  <c r="W8" i="40"/>
  <c r="V8" i="40"/>
  <c r="U8" i="40"/>
  <c r="T8" i="40"/>
  <c r="AN7" i="40"/>
  <c r="AM7" i="40"/>
  <c r="AL7" i="40"/>
  <c r="AK7" i="40"/>
  <c r="AJ7" i="40"/>
  <c r="AI7" i="40"/>
  <c r="AH7" i="40"/>
  <c r="AG7" i="40"/>
  <c r="AF7" i="40"/>
  <c r="AD7" i="40"/>
  <c r="Y7" i="40"/>
  <c r="W7" i="40"/>
  <c r="V7" i="40"/>
  <c r="U7" i="40"/>
  <c r="T7" i="40"/>
  <c r="AN6" i="40"/>
  <c r="AM6" i="40"/>
  <c r="AL6" i="40"/>
  <c r="AK6" i="40"/>
  <c r="AJ6" i="40"/>
  <c r="AI6" i="40"/>
  <c r="AH6" i="40"/>
  <c r="AG6" i="40"/>
  <c r="AF6" i="40"/>
  <c r="AD6" i="40"/>
  <c r="Y6" i="40"/>
  <c r="W6" i="40"/>
  <c r="V6" i="40"/>
  <c r="U6" i="40"/>
  <c r="T6" i="40"/>
  <c r="A6" i="40"/>
  <c r="AN5" i="40"/>
  <c r="AM5" i="40"/>
  <c r="AL5" i="40"/>
  <c r="AK5" i="40"/>
  <c r="AJ5" i="40"/>
  <c r="AI5" i="40"/>
  <c r="AH5" i="40"/>
  <c r="AG5" i="40"/>
  <c r="AF5" i="40"/>
  <c r="AD5" i="40"/>
  <c r="Y5" i="40"/>
  <c r="W5" i="40"/>
  <c r="V5" i="40"/>
  <c r="U5" i="40"/>
  <c r="T5" i="40"/>
  <c r="F1" i="40"/>
  <c r="AN50" i="39"/>
  <c r="AM50" i="39"/>
  <c r="AL50" i="39"/>
  <c r="AK50" i="39"/>
  <c r="AJ50" i="39"/>
  <c r="AI50" i="39"/>
  <c r="AH50" i="39"/>
  <c r="AG50" i="39"/>
  <c r="AF50" i="39"/>
  <c r="AE50" i="39"/>
  <c r="AD50" i="39"/>
  <c r="Y50" i="39"/>
  <c r="W50" i="39"/>
  <c r="V50" i="39"/>
  <c r="U50" i="39"/>
  <c r="T50" i="39"/>
  <c r="AN49" i="39"/>
  <c r="AM49" i="39"/>
  <c r="AL49" i="39"/>
  <c r="AK49" i="39"/>
  <c r="AJ49" i="39"/>
  <c r="AI49" i="39"/>
  <c r="AH49" i="39"/>
  <c r="AG49" i="39"/>
  <c r="AF49" i="39"/>
  <c r="AE49" i="39"/>
  <c r="AD49" i="39"/>
  <c r="Y49" i="39"/>
  <c r="W49" i="39"/>
  <c r="V49" i="39"/>
  <c r="U49" i="39"/>
  <c r="T49" i="39"/>
  <c r="AN48" i="39"/>
  <c r="AM48" i="39"/>
  <c r="AL48" i="39"/>
  <c r="AK48" i="39"/>
  <c r="AJ48" i="39"/>
  <c r="AI48" i="39"/>
  <c r="AH48" i="39"/>
  <c r="AG48" i="39"/>
  <c r="AF48" i="39"/>
  <c r="AE48" i="39"/>
  <c r="AD48" i="39"/>
  <c r="Y48" i="39"/>
  <c r="W48" i="39"/>
  <c r="V48" i="39"/>
  <c r="U48" i="39"/>
  <c r="T48" i="39"/>
  <c r="AN47" i="39"/>
  <c r="AM47" i="39"/>
  <c r="AL47" i="39"/>
  <c r="AK47" i="39"/>
  <c r="AJ47" i="39"/>
  <c r="AI47" i="39"/>
  <c r="AH47" i="39"/>
  <c r="AG47" i="39"/>
  <c r="AF47" i="39"/>
  <c r="AE47" i="39"/>
  <c r="AD47" i="39"/>
  <c r="Y47" i="39"/>
  <c r="W47" i="39"/>
  <c r="V47" i="39"/>
  <c r="U47" i="39"/>
  <c r="T47" i="39"/>
  <c r="AN46" i="39"/>
  <c r="AM46" i="39"/>
  <c r="AL46" i="39"/>
  <c r="AK46" i="39"/>
  <c r="AJ46" i="39"/>
  <c r="AI46" i="39"/>
  <c r="AH46" i="39"/>
  <c r="AG46" i="39"/>
  <c r="AF46" i="39"/>
  <c r="AE46" i="39"/>
  <c r="AD46" i="39"/>
  <c r="Y46" i="39"/>
  <c r="W46" i="39"/>
  <c r="V46" i="39"/>
  <c r="U46" i="39"/>
  <c r="T46" i="39"/>
  <c r="AN45" i="39"/>
  <c r="AM45" i="39"/>
  <c r="AL45" i="39"/>
  <c r="AK45" i="39"/>
  <c r="AJ45" i="39"/>
  <c r="AI45" i="39"/>
  <c r="AH45" i="39"/>
  <c r="AG45" i="39"/>
  <c r="AF45" i="39"/>
  <c r="AE45" i="39"/>
  <c r="AD45" i="39"/>
  <c r="Y45" i="39"/>
  <c r="W45" i="39"/>
  <c r="V45" i="39"/>
  <c r="U45" i="39"/>
  <c r="T45" i="39"/>
  <c r="AN44" i="39"/>
  <c r="AM44" i="39"/>
  <c r="AL44" i="39"/>
  <c r="AK44" i="39"/>
  <c r="AJ44" i="39"/>
  <c r="AI44" i="39"/>
  <c r="AH44" i="39"/>
  <c r="AG44" i="39"/>
  <c r="AF44" i="39"/>
  <c r="AE44" i="39"/>
  <c r="AD44" i="39"/>
  <c r="Y44" i="39"/>
  <c r="W44" i="39"/>
  <c r="V44" i="39"/>
  <c r="U44" i="39"/>
  <c r="T44" i="39"/>
  <c r="AN43" i="39"/>
  <c r="AM43" i="39"/>
  <c r="AL43" i="39"/>
  <c r="AK43" i="39"/>
  <c r="AJ43" i="39"/>
  <c r="AI43" i="39"/>
  <c r="AH43" i="39"/>
  <c r="AG43" i="39"/>
  <c r="AF43" i="39"/>
  <c r="AE43" i="39"/>
  <c r="AD43" i="39"/>
  <c r="Y43" i="39"/>
  <c r="W43" i="39"/>
  <c r="V43" i="39"/>
  <c r="U43" i="39"/>
  <c r="T43" i="39"/>
  <c r="AN42" i="39"/>
  <c r="AM42" i="39"/>
  <c r="AL42" i="39"/>
  <c r="AK42" i="39"/>
  <c r="AJ42" i="39"/>
  <c r="AI42" i="39"/>
  <c r="AH42" i="39"/>
  <c r="AG42" i="39"/>
  <c r="AF42" i="39"/>
  <c r="AE42" i="39"/>
  <c r="AD42" i="39"/>
  <c r="Y42" i="39"/>
  <c r="W42" i="39"/>
  <c r="V42" i="39"/>
  <c r="U42" i="39"/>
  <c r="T42" i="39"/>
  <c r="AN41" i="39"/>
  <c r="AM41" i="39"/>
  <c r="AL41" i="39"/>
  <c r="AK41" i="39"/>
  <c r="AJ41" i="39"/>
  <c r="AI41" i="39"/>
  <c r="AH41" i="39"/>
  <c r="AG41" i="39"/>
  <c r="AF41" i="39"/>
  <c r="AE41" i="39"/>
  <c r="AD41" i="39"/>
  <c r="Y41" i="39"/>
  <c r="W41" i="39"/>
  <c r="V41" i="39"/>
  <c r="U41" i="39"/>
  <c r="T41" i="39"/>
  <c r="AN40" i="39"/>
  <c r="AM40" i="39"/>
  <c r="AL40" i="39"/>
  <c r="AK40" i="39"/>
  <c r="AJ40" i="39"/>
  <c r="AI40" i="39"/>
  <c r="AH40" i="39"/>
  <c r="AG40" i="39"/>
  <c r="AF40" i="39"/>
  <c r="AE40" i="39"/>
  <c r="AD40" i="39"/>
  <c r="Y40" i="39"/>
  <c r="W40" i="39"/>
  <c r="V40" i="39"/>
  <c r="U40" i="39"/>
  <c r="T40" i="39"/>
  <c r="AN39" i="39"/>
  <c r="AM39" i="39"/>
  <c r="AL39" i="39"/>
  <c r="AK39" i="39"/>
  <c r="AJ39" i="39"/>
  <c r="AI39" i="39"/>
  <c r="AH39" i="39"/>
  <c r="AG39" i="39"/>
  <c r="AF39" i="39"/>
  <c r="AE39" i="39"/>
  <c r="AD39" i="39"/>
  <c r="Y39" i="39"/>
  <c r="W39" i="39"/>
  <c r="V39" i="39"/>
  <c r="U39" i="39"/>
  <c r="T39" i="39"/>
  <c r="AN38" i="39"/>
  <c r="AM38" i="39"/>
  <c r="AL38" i="39"/>
  <c r="AK38" i="39"/>
  <c r="AJ38" i="39"/>
  <c r="AI38" i="39"/>
  <c r="AH38" i="39"/>
  <c r="AG38" i="39"/>
  <c r="AF38" i="39"/>
  <c r="AE38" i="39"/>
  <c r="AD38" i="39"/>
  <c r="Y38" i="39"/>
  <c r="W38" i="39"/>
  <c r="V38" i="39"/>
  <c r="U38" i="39"/>
  <c r="T38" i="39"/>
  <c r="AN37" i="39"/>
  <c r="AM37" i="39"/>
  <c r="AL37" i="39"/>
  <c r="AK37" i="39"/>
  <c r="AJ37" i="39"/>
  <c r="AI37" i="39"/>
  <c r="AH37" i="39"/>
  <c r="AG37" i="39"/>
  <c r="AF37" i="39"/>
  <c r="AE37" i="39"/>
  <c r="AD37" i="39"/>
  <c r="Y37" i="39"/>
  <c r="W37" i="39"/>
  <c r="V37" i="39"/>
  <c r="U37" i="39"/>
  <c r="T37" i="39"/>
  <c r="AN36" i="39"/>
  <c r="AM36" i="39"/>
  <c r="AL36" i="39"/>
  <c r="AK36" i="39"/>
  <c r="AJ36" i="39"/>
  <c r="AI36" i="39"/>
  <c r="AH36" i="39"/>
  <c r="AG36" i="39"/>
  <c r="AF36" i="39"/>
  <c r="AE36" i="39"/>
  <c r="AD36" i="39"/>
  <c r="Y36" i="39"/>
  <c r="W36" i="39"/>
  <c r="V36" i="39"/>
  <c r="U36" i="39"/>
  <c r="T36" i="39"/>
  <c r="AN35" i="39"/>
  <c r="AM35" i="39"/>
  <c r="AL35" i="39"/>
  <c r="AK35" i="39"/>
  <c r="AJ35" i="39"/>
  <c r="AI35" i="39"/>
  <c r="AH35" i="39"/>
  <c r="AG35" i="39"/>
  <c r="AF35" i="39"/>
  <c r="AE35" i="39"/>
  <c r="AD35" i="39"/>
  <c r="Y35" i="39"/>
  <c r="W35" i="39"/>
  <c r="V35" i="39"/>
  <c r="U35" i="39"/>
  <c r="T35" i="39"/>
  <c r="AN34" i="39"/>
  <c r="AM34" i="39"/>
  <c r="AL34" i="39"/>
  <c r="AK34" i="39"/>
  <c r="AJ34" i="39"/>
  <c r="AI34" i="39"/>
  <c r="AH34" i="39"/>
  <c r="AG34" i="39"/>
  <c r="AF34" i="39"/>
  <c r="AE34" i="39"/>
  <c r="AD34" i="39"/>
  <c r="Y34" i="39"/>
  <c r="W34" i="39"/>
  <c r="V34" i="39"/>
  <c r="U34" i="39"/>
  <c r="T34" i="39"/>
  <c r="AN33" i="39"/>
  <c r="AM33" i="39"/>
  <c r="AL33" i="39"/>
  <c r="AK33" i="39"/>
  <c r="AJ33" i="39"/>
  <c r="AI33" i="39"/>
  <c r="AH33" i="39"/>
  <c r="AG33" i="39"/>
  <c r="AF33" i="39"/>
  <c r="AE33" i="39"/>
  <c r="AD33" i="39"/>
  <c r="Y33" i="39"/>
  <c r="W33" i="39"/>
  <c r="V33" i="39"/>
  <c r="U33" i="39"/>
  <c r="T33" i="39"/>
  <c r="AN32" i="39"/>
  <c r="AM32" i="39"/>
  <c r="AL32" i="39"/>
  <c r="AK32" i="39"/>
  <c r="AJ32" i="39"/>
  <c r="AI32" i="39"/>
  <c r="AH32" i="39"/>
  <c r="AG32" i="39"/>
  <c r="AF32" i="39"/>
  <c r="AE32" i="39"/>
  <c r="AD32" i="39"/>
  <c r="Y32" i="39"/>
  <c r="W32" i="39"/>
  <c r="V32" i="39"/>
  <c r="U32" i="39"/>
  <c r="T32" i="39"/>
  <c r="AN31" i="39"/>
  <c r="AM31" i="39"/>
  <c r="AL31" i="39"/>
  <c r="AK31" i="39"/>
  <c r="AJ31" i="39"/>
  <c r="AI31" i="39"/>
  <c r="AH31" i="39"/>
  <c r="AG31" i="39"/>
  <c r="AF31" i="39"/>
  <c r="AE31" i="39"/>
  <c r="AD31" i="39"/>
  <c r="Y31" i="39"/>
  <c r="W31" i="39"/>
  <c r="V31" i="39"/>
  <c r="U31" i="39"/>
  <c r="T31" i="39"/>
  <c r="AN30" i="39"/>
  <c r="AM30" i="39"/>
  <c r="AL30" i="39"/>
  <c r="AK30" i="39"/>
  <c r="AJ30" i="39"/>
  <c r="AI30" i="39"/>
  <c r="AH30" i="39"/>
  <c r="AG30" i="39"/>
  <c r="AF30" i="39"/>
  <c r="AE30" i="39"/>
  <c r="AD30" i="39"/>
  <c r="Y30" i="39"/>
  <c r="W30" i="39"/>
  <c r="V30" i="39"/>
  <c r="U30" i="39"/>
  <c r="T30" i="39"/>
  <c r="AN29" i="39"/>
  <c r="AM29" i="39"/>
  <c r="AL29" i="39"/>
  <c r="AK29" i="39"/>
  <c r="AJ29" i="39"/>
  <c r="AI29" i="39"/>
  <c r="AH29" i="39"/>
  <c r="AG29" i="39"/>
  <c r="AF29" i="39"/>
  <c r="AE29" i="39"/>
  <c r="AD29" i="39"/>
  <c r="Y29" i="39"/>
  <c r="W29" i="39"/>
  <c r="V29" i="39"/>
  <c r="U29" i="39"/>
  <c r="T29" i="39"/>
  <c r="AN28" i="39"/>
  <c r="AM28" i="39"/>
  <c r="AL28" i="39"/>
  <c r="AK28" i="39"/>
  <c r="AJ28" i="39"/>
  <c r="AI28" i="39"/>
  <c r="AH28" i="39"/>
  <c r="AG28" i="39"/>
  <c r="AF28" i="39"/>
  <c r="AE28" i="39"/>
  <c r="AD28" i="39"/>
  <c r="Y28" i="39"/>
  <c r="W28" i="39"/>
  <c r="V28" i="39"/>
  <c r="U28" i="39"/>
  <c r="T28" i="39"/>
  <c r="AN27" i="39"/>
  <c r="AM27" i="39"/>
  <c r="AL27" i="39"/>
  <c r="AK27" i="39"/>
  <c r="AJ27" i="39"/>
  <c r="AI27" i="39"/>
  <c r="AH27" i="39"/>
  <c r="AG27" i="39"/>
  <c r="AF27" i="39"/>
  <c r="AE27" i="39"/>
  <c r="AD27" i="39"/>
  <c r="Y27" i="39"/>
  <c r="W27" i="39"/>
  <c r="V27" i="39"/>
  <c r="U27" i="39"/>
  <c r="T27" i="39"/>
  <c r="AN26" i="39"/>
  <c r="AM26" i="39"/>
  <c r="AL26" i="39"/>
  <c r="AK26" i="39"/>
  <c r="AJ26" i="39"/>
  <c r="AI26" i="39"/>
  <c r="AH26" i="39"/>
  <c r="AG26" i="39"/>
  <c r="AF26" i="39"/>
  <c r="AE26" i="39"/>
  <c r="AD26" i="39"/>
  <c r="Y26" i="39"/>
  <c r="W26" i="39"/>
  <c r="V26" i="39"/>
  <c r="U26" i="39"/>
  <c r="T26" i="39"/>
  <c r="AN25" i="39"/>
  <c r="AM25" i="39"/>
  <c r="AL25" i="39"/>
  <c r="AK25" i="39"/>
  <c r="AJ25" i="39"/>
  <c r="AI25" i="39"/>
  <c r="AH25" i="39"/>
  <c r="AG25" i="39"/>
  <c r="AF25" i="39"/>
  <c r="AE25" i="39"/>
  <c r="AD25" i="39"/>
  <c r="Y25" i="39"/>
  <c r="W25" i="39"/>
  <c r="V25" i="39"/>
  <c r="U25" i="39"/>
  <c r="T25" i="39"/>
  <c r="AN24" i="39"/>
  <c r="AM24" i="39"/>
  <c r="AL24" i="39"/>
  <c r="AK24" i="39"/>
  <c r="AJ24" i="39"/>
  <c r="AI24" i="39"/>
  <c r="AH24" i="39"/>
  <c r="AG24" i="39"/>
  <c r="AF24" i="39"/>
  <c r="AE24" i="39"/>
  <c r="AD24" i="39"/>
  <c r="Y24" i="39"/>
  <c r="W24" i="39"/>
  <c r="V24" i="39"/>
  <c r="U24" i="39"/>
  <c r="T24" i="39"/>
  <c r="AN23" i="39"/>
  <c r="AM23" i="39"/>
  <c r="AL23" i="39"/>
  <c r="AK23" i="39"/>
  <c r="AJ23" i="39"/>
  <c r="AI23" i="39"/>
  <c r="AH23" i="39"/>
  <c r="AG23" i="39"/>
  <c r="AF23" i="39"/>
  <c r="AE23" i="39"/>
  <c r="AD23" i="39"/>
  <c r="Y23" i="39"/>
  <c r="W23" i="39"/>
  <c r="V23" i="39"/>
  <c r="U23" i="39"/>
  <c r="T23" i="39"/>
  <c r="AN22" i="39"/>
  <c r="AM22" i="39"/>
  <c r="AL22" i="39"/>
  <c r="AK22" i="39"/>
  <c r="AJ22" i="39"/>
  <c r="AI22" i="39"/>
  <c r="AH22" i="39"/>
  <c r="AG22" i="39"/>
  <c r="AF22" i="39"/>
  <c r="AE22" i="39"/>
  <c r="AD22" i="39"/>
  <c r="Y22" i="39"/>
  <c r="W22" i="39"/>
  <c r="V22" i="39"/>
  <c r="U22" i="39"/>
  <c r="T22" i="39"/>
  <c r="AN21" i="39"/>
  <c r="AM21" i="39"/>
  <c r="AL21" i="39"/>
  <c r="AK21" i="39"/>
  <c r="AJ21" i="39"/>
  <c r="AI21" i="39"/>
  <c r="AH21" i="39"/>
  <c r="AG21" i="39"/>
  <c r="AF21" i="39"/>
  <c r="AE21" i="39"/>
  <c r="AD21" i="39"/>
  <c r="Y21" i="39"/>
  <c r="W21" i="39"/>
  <c r="V21" i="39"/>
  <c r="U21" i="39"/>
  <c r="T21" i="39"/>
  <c r="AN20" i="39"/>
  <c r="AM20" i="39"/>
  <c r="AL20" i="39"/>
  <c r="AK20" i="39"/>
  <c r="AJ20" i="39"/>
  <c r="AI20" i="39"/>
  <c r="AH20" i="39"/>
  <c r="AG20" i="39"/>
  <c r="AF20" i="39"/>
  <c r="AE20" i="39"/>
  <c r="AD20" i="39"/>
  <c r="Y20" i="39"/>
  <c r="W20" i="39"/>
  <c r="V20" i="39"/>
  <c r="U20" i="39"/>
  <c r="T20" i="39"/>
  <c r="AN19" i="39"/>
  <c r="AM19" i="39"/>
  <c r="AL19" i="39"/>
  <c r="AK19" i="39"/>
  <c r="AJ19" i="39"/>
  <c r="AI19" i="39"/>
  <c r="AH19" i="39"/>
  <c r="AG19" i="39"/>
  <c r="AF19" i="39"/>
  <c r="AE19" i="39"/>
  <c r="AD19" i="39"/>
  <c r="Y19" i="39"/>
  <c r="W19" i="39"/>
  <c r="V19" i="39"/>
  <c r="U19" i="39"/>
  <c r="T19" i="39"/>
  <c r="AN18" i="39"/>
  <c r="AM18" i="39"/>
  <c r="AL18" i="39"/>
  <c r="AK18" i="39"/>
  <c r="AJ18" i="39"/>
  <c r="AI18" i="39"/>
  <c r="AH18" i="39"/>
  <c r="AG18" i="39"/>
  <c r="AF18" i="39"/>
  <c r="AE18" i="39"/>
  <c r="AD18" i="39"/>
  <c r="Y18" i="39"/>
  <c r="W18" i="39"/>
  <c r="V18" i="39"/>
  <c r="U18" i="39"/>
  <c r="T18" i="39"/>
  <c r="AN17" i="39"/>
  <c r="AM17" i="39"/>
  <c r="AL17" i="39"/>
  <c r="AK17" i="39"/>
  <c r="AJ17" i="39"/>
  <c r="AI17" i="39"/>
  <c r="AH17" i="39"/>
  <c r="AG17" i="39"/>
  <c r="AF17" i="39"/>
  <c r="AE17" i="39"/>
  <c r="AD17" i="39"/>
  <c r="Y17" i="39"/>
  <c r="W17" i="39"/>
  <c r="V17" i="39"/>
  <c r="U17" i="39"/>
  <c r="T17" i="39"/>
  <c r="AN16" i="39"/>
  <c r="AM16" i="39"/>
  <c r="AL16" i="39"/>
  <c r="AK16" i="39"/>
  <c r="AJ16" i="39"/>
  <c r="AI16" i="39"/>
  <c r="AH16" i="39"/>
  <c r="AG16" i="39"/>
  <c r="AF16" i="39"/>
  <c r="AE16" i="39"/>
  <c r="AD16" i="39"/>
  <c r="Y16" i="39"/>
  <c r="W16" i="39"/>
  <c r="V16" i="39"/>
  <c r="U16" i="39"/>
  <c r="T16" i="39"/>
  <c r="A16" i="39"/>
  <c r="AN15" i="39"/>
  <c r="AM15" i="39"/>
  <c r="AL15" i="39"/>
  <c r="AK15" i="39"/>
  <c r="AJ15" i="39"/>
  <c r="AI15" i="39"/>
  <c r="AH15" i="39"/>
  <c r="AG15" i="39"/>
  <c r="AF15" i="39"/>
  <c r="AE15" i="39"/>
  <c r="AD15" i="39"/>
  <c r="Y15" i="39"/>
  <c r="W15" i="39"/>
  <c r="V15" i="39"/>
  <c r="U15" i="39"/>
  <c r="T15" i="39"/>
  <c r="AN14" i="39"/>
  <c r="AM14" i="39"/>
  <c r="AL14" i="39"/>
  <c r="AK14" i="39"/>
  <c r="AJ14" i="39"/>
  <c r="AI14" i="39"/>
  <c r="AH14" i="39"/>
  <c r="AG14" i="39"/>
  <c r="AF14" i="39"/>
  <c r="AE14" i="39"/>
  <c r="AD14" i="39"/>
  <c r="Y14" i="39"/>
  <c r="W14" i="39"/>
  <c r="V14" i="39"/>
  <c r="U14" i="39"/>
  <c r="T14" i="39"/>
  <c r="A14" i="39"/>
  <c r="AN13" i="39"/>
  <c r="AM13" i="39"/>
  <c r="AL13" i="39"/>
  <c r="AK13" i="39"/>
  <c r="AJ13" i="39"/>
  <c r="AI13" i="39"/>
  <c r="AH13" i="39"/>
  <c r="AG13" i="39"/>
  <c r="AF13" i="39"/>
  <c r="AE13" i="39"/>
  <c r="AD13" i="39"/>
  <c r="Y13" i="39"/>
  <c r="W13" i="39"/>
  <c r="V13" i="39"/>
  <c r="U13" i="39"/>
  <c r="T13" i="39"/>
  <c r="AN12" i="39"/>
  <c r="AM12" i="39"/>
  <c r="AL12" i="39"/>
  <c r="AK12" i="39"/>
  <c r="AJ12" i="39"/>
  <c r="AI12" i="39"/>
  <c r="AH12" i="39"/>
  <c r="AG12" i="39"/>
  <c r="AF12" i="39"/>
  <c r="AE12" i="39"/>
  <c r="AD12" i="39"/>
  <c r="Y12" i="39"/>
  <c r="W12" i="39"/>
  <c r="V12" i="39"/>
  <c r="U12" i="39"/>
  <c r="T12" i="39"/>
  <c r="A12" i="39"/>
  <c r="AN11" i="39"/>
  <c r="AM11" i="39"/>
  <c r="AL11" i="39"/>
  <c r="AK11" i="39"/>
  <c r="AJ11" i="39"/>
  <c r="AI11" i="39"/>
  <c r="AH11" i="39"/>
  <c r="AG11" i="39"/>
  <c r="AF11" i="39"/>
  <c r="AE11" i="39"/>
  <c r="AD11" i="39"/>
  <c r="Y11" i="39"/>
  <c r="W11" i="39"/>
  <c r="V11" i="39"/>
  <c r="U11" i="39"/>
  <c r="T11" i="39"/>
  <c r="AN10" i="39"/>
  <c r="AM10" i="39"/>
  <c r="AL10" i="39"/>
  <c r="AK10" i="39"/>
  <c r="AJ10" i="39"/>
  <c r="AI10" i="39"/>
  <c r="AH10" i="39"/>
  <c r="AG10" i="39"/>
  <c r="AF10" i="39"/>
  <c r="AE10" i="39"/>
  <c r="AD10" i="39"/>
  <c r="Y10" i="39"/>
  <c r="W10" i="39"/>
  <c r="V10" i="39"/>
  <c r="U10" i="39"/>
  <c r="T10" i="39"/>
  <c r="A10" i="39"/>
  <c r="AN9" i="39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U9" i="39"/>
  <c r="T9" i="39"/>
  <c r="AN8" i="39"/>
  <c r="AM8" i="39"/>
  <c r="AL8" i="39"/>
  <c r="AK8" i="39"/>
  <c r="AJ8" i="39"/>
  <c r="AI8" i="39"/>
  <c r="AH8" i="39"/>
  <c r="AG8" i="39"/>
  <c r="AF8" i="39"/>
  <c r="AD8" i="39"/>
  <c r="Y8" i="39"/>
  <c r="W8" i="39"/>
  <c r="V8" i="39"/>
  <c r="U8" i="39"/>
  <c r="T8" i="39"/>
  <c r="AN7" i="39"/>
  <c r="AM7" i="39"/>
  <c r="AL7" i="39"/>
  <c r="AK7" i="39"/>
  <c r="AJ7" i="39"/>
  <c r="AI7" i="39"/>
  <c r="AH7" i="39"/>
  <c r="AG7" i="39"/>
  <c r="AF7" i="39"/>
  <c r="AD7" i="39"/>
  <c r="Y7" i="39"/>
  <c r="W7" i="39"/>
  <c r="V7" i="39"/>
  <c r="U7" i="39"/>
  <c r="T7" i="39"/>
  <c r="AN6" i="39"/>
  <c r="AM6" i="39"/>
  <c r="AL6" i="39"/>
  <c r="AK6" i="39"/>
  <c r="AJ6" i="39"/>
  <c r="AI6" i="39"/>
  <c r="AH6" i="39"/>
  <c r="AG6" i="39"/>
  <c r="AF6" i="39"/>
  <c r="AD6" i="39"/>
  <c r="Y6" i="39"/>
  <c r="W6" i="39"/>
  <c r="V6" i="39"/>
  <c r="U6" i="39"/>
  <c r="T6" i="39"/>
  <c r="A6" i="39"/>
  <c r="AN5" i="39"/>
  <c r="AM5" i="39"/>
  <c r="AL5" i="39"/>
  <c r="AK5" i="39"/>
  <c r="AJ5" i="39"/>
  <c r="AI5" i="39"/>
  <c r="AH5" i="39"/>
  <c r="AG5" i="39"/>
  <c r="AF5" i="39"/>
  <c r="AD5" i="39"/>
  <c r="Y5" i="39"/>
  <c r="W5" i="39"/>
  <c r="V5" i="39"/>
  <c r="U5" i="39"/>
  <c r="T5" i="39"/>
  <c r="F1" i="39"/>
  <c r="AN131" i="66"/>
  <c r="AM131" i="66"/>
  <c r="AL131" i="66"/>
  <c r="AK131" i="66"/>
  <c r="AJ131" i="66"/>
  <c r="AI131" i="66"/>
  <c r="AH131" i="66"/>
  <c r="AG131" i="66"/>
  <c r="AF131" i="66"/>
  <c r="AE131" i="66"/>
  <c r="AD131" i="66"/>
  <c r="Y131" i="66"/>
  <c r="W131" i="66"/>
  <c r="V131" i="66"/>
  <c r="U131" i="66"/>
  <c r="T131" i="66"/>
  <c r="AN130" i="66"/>
  <c r="AM130" i="66"/>
  <c r="AL130" i="66"/>
  <c r="AK130" i="66"/>
  <c r="AJ130" i="66"/>
  <c r="AI130" i="66"/>
  <c r="AH130" i="66"/>
  <c r="AG130" i="66"/>
  <c r="AF130" i="66"/>
  <c r="AE130" i="66"/>
  <c r="AD130" i="66"/>
  <c r="Y130" i="66"/>
  <c r="W130" i="66"/>
  <c r="V130" i="66"/>
  <c r="U130" i="66"/>
  <c r="T130" i="66"/>
  <c r="AN129" i="66"/>
  <c r="AM129" i="66"/>
  <c r="AL129" i="66"/>
  <c r="AK129" i="66"/>
  <c r="AJ129" i="66"/>
  <c r="AI129" i="66"/>
  <c r="AH129" i="66"/>
  <c r="AG129" i="66"/>
  <c r="AF129" i="66"/>
  <c r="AE129" i="66"/>
  <c r="AD129" i="66"/>
  <c r="Y129" i="66"/>
  <c r="W129" i="66"/>
  <c r="V129" i="66"/>
  <c r="U129" i="66"/>
  <c r="T129" i="66"/>
  <c r="AN128" i="66"/>
  <c r="AM128" i="66"/>
  <c r="AL128" i="66"/>
  <c r="AK128" i="66"/>
  <c r="AJ128" i="66"/>
  <c r="AI128" i="66"/>
  <c r="AH128" i="66"/>
  <c r="AG128" i="66"/>
  <c r="AF128" i="66"/>
  <c r="AE128" i="66"/>
  <c r="AD128" i="66"/>
  <c r="Y128" i="66"/>
  <c r="W128" i="66"/>
  <c r="V128" i="66"/>
  <c r="U128" i="66"/>
  <c r="T128" i="66"/>
  <c r="AN127" i="66"/>
  <c r="AM127" i="66"/>
  <c r="AL127" i="66"/>
  <c r="AK127" i="66"/>
  <c r="AJ127" i="66"/>
  <c r="AI127" i="66"/>
  <c r="AH127" i="66"/>
  <c r="AG127" i="66"/>
  <c r="AF127" i="66"/>
  <c r="AE127" i="66"/>
  <c r="AD127" i="66"/>
  <c r="Y127" i="66"/>
  <c r="W127" i="66"/>
  <c r="V127" i="66"/>
  <c r="U127" i="66"/>
  <c r="T127" i="66"/>
  <c r="AN126" i="66"/>
  <c r="AM126" i="66"/>
  <c r="AL126" i="66"/>
  <c r="AK126" i="66"/>
  <c r="AJ126" i="66"/>
  <c r="AI126" i="66"/>
  <c r="AH126" i="66"/>
  <c r="AG126" i="66"/>
  <c r="AF126" i="66"/>
  <c r="AE126" i="66"/>
  <c r="AD126" i="66"/>
  <c r="Y126" i="66"/>
  <c r="W126" i="66"/>
  <c r="V126" i="66"/>
  <c r="U126" i="66"/>
  <c r="T126" i="66"/>
  <c r="AN125" i="66"/>
  <c r="AM125" i="66"/>
  <c r="AL125" i="66"/>
  <c r="AK125" i="66"/>
  <c r="AJ125" i="66"/>
  <c r="AI125" i="66"/>
  <c r="AH125" i="66"/>
  <c r="AG125" i="66"/>
  <c r="AF125" i="66"/>
  <c r="AE125" i="66"/>
  <c r="AD125" i="66"/>
  <c r="Y125" i="66"/>
  <c r="W125" i="66"/>
  <c r="V125" i="66"/>
  <c r="U125" i="66"/>
  <c r="T125" i="66"/>
  <c r="AN124" i="66"/>
  <c r="AM124" i="66"/>
  <c r="AL124" i="66"/>
  <c r="AK124" i="66"/>
  <c r="AJ124" i="66"/>
  <c r="AI124" i="66"/>
  <c r="AH124" i="66"/>
  <c r="AG124" i="66"/>
  <c r="AF124" i="66"/>
  <c r="AE124" i="66"/>
  <c r="AD124" i="66"/>
  <c r="Y124" i="66"/>
  <c r="W124" i="66"/>
  <c r="V124" i="66"/>
  <c r="U124" i="66"/>
  <c r="T124" i="66"/>
  <c r="AN123" i="66"/>
  <c r="AM123" i="66"/>
  <c r="AL123" i="66"/>
  <c r="AK123" i="66"/>
  <c r="AJ123" i="66"/>
  <c r="AI123" i="66"/>
  <c r="AH123" i="66"/>
  <c r="AG123" i="66"/>
  <c r="AF123" i="66"/>
  <c r="AE123" i="66"/>
  <c r="AD123" i="66"/>
  <c r="Y123" i="66"/>
  <c r="W123" i="66"/>
  <c r="V123" i="66"/>
  <c r="U123" i="66"/>
  <c r="T123" i="66"/>
  <c r="AN122" i="66"/>
  <c r="AM122" i="66"/>
  <c r="AL122" i="66"/>
  <c r="AK122" i="66"/>
  <c r="AJ122" i="66"/>
  <c r="AI122" i="66"/>
  <c r="AH122" i="66"/>
  <c r="AG122" i="66"/>
  <c r="AF122" i="66"/>
  <c r="AE122" i="66"/>
  <c r="AD122" i="66"/>
  <c r="Y122" i="66"/>
  <c r="W122" i="66"/>
  <c r="V122" i="66"/>
  <c r="U122" i="66"/>
  <c r="T122" i="66"/>
  <c r="AN121" i="66"/>
  <c r="AM121" i="66"/>
  <c r="AL121" i="66"/>
  <c r="AK121" i="66"/>
  <c r="AJ121" i="66"/>
  <c r="AI121" i="66"/>
  <c r="AH121" i="66"/>
  <c r="AG121" i="66"/>
  <c r="AF121" i="66"/>
  <c r="AE121" i="66"/>
  <c r="AD121" i="66"/>
  <c r="Y121" i="66"/>
  <c r="W121" i="66"/>
  <c r="V121" i="66"/>
  <c r="U121" i="66"/>
  <c r="T121" i="66"/>
  <c r="AN120" i="66"/>
  <c r="AM120" i="66"/>
  <c r="AL120" i="66"/>
  <c r="AK120" i="66"/>
  <c r="AJ120" i="66"/>
  <c r="AI120" i="66"/>
  <c r="AH120" i="66"/>
  <c r="AG120" i="66"/>
  <c r="AF120" i="66"/>
  <c r="AE120" i="66"/>
  <c r="AD120" i="66"/>
  <c r="Y120" i="66"/>
  <c r="W120" i="66"/>
  <c r="V120" i="66"/>
  <c r="U120" i="66"/>
  <c r="T120" i="66"/>
  <c r="AN119" i="66"/>
  <c r="AM119" i="66"/>
  <c r="AL119" i="66"/>
  <c r="AK119" i="66"/>
  <c r="AJ119" i="66"/>
  <c r="AI119" i="66"/>
  <c r="AH119" i="66"/>
  <c r="AG119" i="66"/>
  <c r="AF119" i="66"/>
  <c r="AE119" i="66"/>
  <c r="AD119" i="66"/>
  <c r="Y119" i="66"/>
  <c r="W119" i="66"/>
  <c r="V119" i="66"/>
  <c r="U119" i="66"/>
  <c r="T119" i="66"/>
  <c r="AN118" i="66"/>
  <c r="AM118" i="66"/>
  <c r="AL118" i="66"/>
  <c r="AK118" i="66"/>
  <c r="AJ118" i="66"/>
  <c r="AI118" i="66"/>
  <c r="AH118" i="66"/>
  <c r="AG118" i="66"/>
  <c r="AF118" i="66"/>
  <c r="AE118" i="66"/>
  <c r="AD118" i="66"/>
  <c r="Y118" i="66"/>
  <c r="W118" i="66"/>
  <c r="V118" i="66"/>
  <c r="U118" i="66"/>
  <c r="T118" i="66"/>
  <c r="AN117" i="66"/>
  <c r="AM117" i="66"/>
  <c r="AL117" i="66"/>
  <c r="AK117" i="66"/>
  <c r="AJ117" i="66"/>
  <c r="AI117" i="66"/>
  <c r="AH117" i="66"/>
  <c r="AG117" i="66"/>
  <c r="AF117" i="66"/>
  <c r="AE117" i="66"/>
  <c r="AD117" i="66"/>
  <c r="Y117" i="66"/>
  <c r="W117" i="66"/>
  <c r="V117" i="66"/>
  <c r="U117" i="66"/>
  <c r="T117" i="66"/>
  <c r="AN116" i="66"/>
  <c r="AM116" i="66"/>
  <c r="AL116" i="66"/>
  <c r="AK116" i="66"/>
  <c r="AJ116" i="66"/>
  <c r="AI116" i="66"/>
  <c r="AH116" i="66"/>
  <c r="AG116" i="66"/>
  <c r="AF116" i="66"/>
  <c r="AE116" i="66"/>
  <c r="AD116" i="66"/>
  <c r="Y116" i="66"/>
  <c r="W116" i="66"/>
  <c r="V116" i="66"/>
  <c r="U116" i="66"/>
  <c r="T116" i="66"/>
  <c r="AN115" i="66"/>
  <c r="AM115" i="66"/>
  <c r="AL115" i="66"/>
  <c r="AK115" i="66"/>
  <c r="AJ115" i="66"/>
  <c r="AI115" i="66"/>
  <c r="AH115" i="66"/>
  <c r="AG115" i="66"/>
  <c r="AF115" i="66"/>
  <c r="AE115" i="66"/>
  <c r="AD115" i="66"/>
  <c r="Y115" i="66"/>
  <c r="W115" i="66"/>
  <c r="V115" i="66"/>
  <c r="U115" i="66"/>
  <c r="T115" i="66"/>
  <c r="AN114" i="66"/>
  <c r="AM114" i="66"/>
  <c r="AL114" i="66"/>
  <c r="AK114" i="66"/>
  <c r="AJ114" i="66"/>
  <c r="AI114" i="66"/>
  <c r="AH114" i="66"/>
  <c r="AG114" i="66"/>
  <c r="AF114" i="66"/>
  <c r="AE114" i="66"/>
  <c r="AD114" i="66"/>
  <c r="Y114" i="66"/>
  <c r="W114" i="66"/>
  <c r="V114" i="66"/>
  <c r="U114" i="66"/>
  <c r="T114" i="66"/>
  <c r="AN113" i="66"/>
  <c r="AM113" i="66"/>
  <c r="AL113" i="66"/>
  <c r="AK113" i="66"/>
  <c r="AJ113" i="66"/>
  <c r="AI113" i="66"/>
  <c r="AH113" i="66"/>
  <c r="AG113" i="66"/>
  <c r="AF113" i="66"/>
  <c r="AE113" i="66"/>
  <c r="AD113" i="66"/>
  <c r="Y113" i="66"/>
  <c r="W113" i="66"/>
  <c r="V113" i="66"/>
  <c r="U113" i="66"/>
  <c r="T113" i="66"/>
  <c r="AN112" i="66"/>
  <c r="AM112" i="66"/>
  <c r="AL112" i="66"/>
  <c r="AK112" i="66"/>
  <c r="AJ112" i="66"/>
  <c r="AI112" i="66"/>
  <c r="AH112" i="66"/>
  <c r="AG112" i="66"/>
  <c r="AF112" i="66"/>
  <c r="AE112" i="66"/>
  <c r="AD112" i="66"/>
  <c r="Y112" i="66"/>
  <c r="W112" i="66"/>
  <c r="V112" i="66"/>
  <c r="U112" i="66"/>
  <c r="T112" i="66"/>
  <c r="AN111" i="66"/>
  <c r="AM111" i="66"/>
  <c r="AL111" i="66"/>
  <c r="AK111" i="66"/>
  <c r="AJ111" i="66"/>
  <c r="AI111" i="66"/>
  <c r="AH111" i="66"/>
  <c r="AG111" i="66"/>
  <c r="AF111" i="66"/>
  <c r="AE111" i="66"/>
  <c r="AD111" i="66"/>
  <c r="Y111" i="66"/>
  <c r="W111" i="66"/>
  <c r="V111" i="66"/>
  <c r="U111" i="66"/>
  <c r="T111" i="66"/>
  <c r="AN110" i="66"/>
  <c r="AM110" i="66"/>
  <c r="AL110" i="66"/>
  <c r="AK110" i="66"/>
  <c r="AJ110" i="66"/>
  <c r="AI110" i="66"/>
  <c r="AH110" i="66"/>
  <c r="AG110" i="66"/>
  <c r="AF110" i="66"/>
  <c r="AE110" i="66"/>
  <c r="AD110" i="66"/>
  <c r="Y110" i="66"/>
  <c r="W110" i="66"/>
  <c r="V110" i="66"/>
  <c r="U110" i="66"/>
  <c r="T110" i="66"/>
  <c r="AN109" i="66"/>
  <c r="AM109" i="66"/>
  <c r="AL109" i="66"/>
  <c r="AK109" i="66"/>
  <c r="AJ109" i="66"/>
  <c r="AI109" i="66"/>
  <c r="AH109" i="66"/>
  <c r="AG109" i="66"/>
  <c r="AF109" i="66"/>
  <c r="AE109" i="66"/>
  <c r="AD109" i="66"/>
  <c r="Y109" i="66"/>
  <c r="W109" i="66"/>
  <c r="V109" i="66"/>
  <c r="U109" i="66"/>
  <c r="T109" i="66"/>
  <c r="AN108" i="66"/>
  <c r="AM108" i="66"/>
  <c r="AL108" i="66"/>
  <c r="AK108" i="66"/>
  <c r="AJ108" i="66"/>
  <c r="AI108" i="66"/>
  <c r="AH108" i="66"/>
  <c r="AG108" i="66"/>
  <c r="AF108" i="66"/>
  <c r="AE108" i="66"/>
  <c r="AD108" i="66"/>
  <c r="Y108" i="66"/>
  <c r="W108" i="66"/>
  <c r="V108" i="66"/>
  <c r="U108" i="66"/>
  <c r="T108" i="66"/>
  <c r="AN107" i="66"/>
  <c r="AM107" i="66"/>
  <c r="AL107" i="66"/>
  <c r="AK107" i="66"/>
  <c r="AJ107" i="66"/>
  <c r="AI107" i="66"/>
  <c r="AH107" i="66"/>
  <c r="AG107" i="66"/>
  <c r="AF107" i="66"/>
  <c r="AE107" i="66"/>
  <c r="AD107" i="66"/>
  <c r="Y107" i="66"/>
  <c r="W107" i="66"/>
  <c r="V107" i="66"/>
  <c r="U107" i="66"/>
  <c r="T107" i="66"/>
  <c r="AN106" i="66"/>
  <c r="AM106" i="66"/>
  <c r="AL106" i="66"/>
  <c r="AK106" i="66"/>
  <c r="AJ106" i="66"/>
  <c r="AI106" i="66"/>
  <c r="AH106" i="66"/>
  <c r="AG106" i="66"/>
  <c r="AF106" i="66"/>
  <c r="AE106" i="66"/>
  <c r="AD106" i="66"/>
  <c r="Y106" i="66"/>
  <c r="W106" i="66"/>
  <c r="V106" i="66"/>
  <c r="U106" i="66"/>
  <c r="T106" i="66"/>
  <c r="AN105" i="66"/>
  <c r="AM105" i="66"/>
  <c r="AL105" i="66"/>
  <c r="AK105" i="66"/>
  <c r="AJ105" i="66"/>
  <c r="AI105" i="66"/>
  <c r="AH105" i="66"/>
  <c r="AG105" i="66"/>
  <c r="AF105" i="66"/>
  <c r="AE105" i="66"/>
  <c r="AD105" i="66"/>
  <c r="Y105" i="66"/>
  <c r="W105" i="66"/>
  <c r="V105" i="66"/>
  <c r="U105" i="66"/>
  <c r="T105" i="66"/>
  <c r="AN104" i="66"/>
  <c r="AM104" i="66"/>
  <c r="AL104" i="66"/>
  <c r="AK104" i="66"/>
  <c r="AJ104" i="66"/>
  <c r="AI104" i="66"/>
  <c r="AH104" i="66"/>
  <c r="AG104" i="66"/>
  <c r="AF104" i="66"/>
  <c r="AE104" i="66"/>
  <c r="AD104" i="66"/>
  <c r="Y104" i="66"/>
  <c r="W104" i="66"/>
  <c r="V104" i="66"/>
  <c r="U104" i="66"/>
  <c r="T104" i="66"/>
  <c r="AN103" i="66"/>
  <c r="AM103" i="66"/>
  <c r="AL103" i="66"/>
  <c r="AK103" i="66"/>
  <c r="AJ103" i="66"/>
  <c r="AI103" i="66"/>
  <c r="AH103" i="66"/>
  <c r="AG103" i="66"/>
  <c r="AF103" i="66"/>
  <c r="AE103" i="66"/>
  <c r="AD103" i="66"/>
  <c r="Y103" i="66"/>
  <c r="W103" i="66"/>
  <c r="V103" i="66"/>
  <c r="U103" i="66"/>
  <c r="T103" i="66"/>
  <c r="AN102" i="66"/>
  <c r="AM102" i="66"/>
  <c r="AL102" i="66"/>
  <c r="AK102" i="66"/>
  <c r="AJ102" i="66"/>
  <c r="AI102" i="66"/>
  <c r="AH102" i="66"/>
  <c r="AG102" i="66"/>
  <c r="AF102" i="66"/>
  <c r="AE102" i="66"/>
  <c r="AD102" i="66"/>
  <c r="Y102" i="66"/>
  <c r="W102" i="66"/>
  <c r="V102" i="66"/>
  <c r="U102" i="66"/>
  <c r="T102" i="66"/>
  <c r="AN101" i="66"/>
  <c r="AM101" i="66"/>
  <c r="AL101" i="66"/>
  <c r="AK101" i="66"/>
  <c r="AJ101" i="66"/>
  <c r="AI101" i="66"/>
  <c r="AH101" i="66"/>
  <c r="AG101" i="66"/>
  <c r="AF101" i="66"/>
  <c r="AE101" i="66"/>
  <c r="AD101" i="66"/>
  <c r="Y101" i="66"/>
  <c r="W101" i="66"/>
  <c r="V101" i="66"/>
  <c r="U101" i="66"/>
  <c r="T101" i="66"/>
  <c r="AN100" i="66"/>
  <c r="AM100" i="66"/>
  <c r="AL100" i="66"/>
  <c r="AK100" i="66"/>
  <c r="AJ100" i="66"/>
  <c r="AI100" i="66"/>
  <c r="AH100" i="66"/>
  <c r="AG100" i="66"/>
  <c r="AF100" i="66"/>
  <c r="AE100" i="66"/>
  <c r="AD100" i="66"/>
  <c r="Y100" i="66"/>
  <c r="W100" i="66"/>
  <c r="V100" i="66"/>
  <c r="U100" i="66"/>
  <c r="T100" i="66"/>
  <c r="AN99" i="66"/>
  <c r="AM99" i="66"/>
  <c r="AL99" i="66"/>
  <c r="AK99" i="66"/>
  <c r="AJ99" i="66"/>
  <c r="AI99" i="66"/>
  <c r="AH99" i="66"/>
  <c r="AG99" i="66"/>
  <c r="AF99" i="66"/>
  <c r="AE99" i="66"/>
  <c r="AD99" i="66"/>
  <c r="Y99" i="66"/>
  <c r="W99" i="66"/>
  <c r="V99" i="66"/>
  <c r="U99" i="66"/>
  <c r="T99" i="66"/>
  <c r="AN98" i="66"/>
  <c r="AM98" i="66"/>
  <c r="AL98" i="66"/>
  <c r="AK98" i="66"/>
  <c r="AJ98" i="66"/>
  <c r="AI98" i="66"/>
  <c r="AH98" i="66"/>
  <c r="AG98" i="66"/>
  <c r="AF98" i="66"/>
  <c r="AE98" i="66"/>
  <c r="AD98" i="66"/>
  <c r="Y98" i="66"/>
  <c r="W98" i="66"/>
  <c r="V98" i="66"/>
  <c r="U98" i="66"/>
  <c r="T98" i="66"/>
  <c r="AN97" i="66"/>
  <c r="AM97" i="66"/>
  <c r="AL97" i="66"/>
  <c r="AK97" i="66"/>
  <c r="AJ97" i="66"/>
  <c r="AI97" i="66"/>
  <c r="AH97" i="66"/>
  <c r="AG97" i="66"/>
  <c r="AF97" i="66"/>
  <c r="AE97" i="66"/>
  <c r="AD97" i="66"/>
  <c r="Y97" i="66"/>
  <c r="W97" i="66"/>
  <c r="V97" i="66"/>
  <c r="U97" i="66"/>
  <c r="T97" i="66"/>
  <c r="AN96" i="66"/>
  <c r="AM96" i="66"/>
  <c r="AL96" i="66"/>
  <c r="AK96" i="66"/>
  <c r="AJ96" i="66"/>
  <c r="AI96" i="66"/>
  <c r="AH96" i="66"/>
  <c r="AG96" i="66"/>
  <c r="AF96" i="66"/>
  <c r="AE96" i="66"/>
  <c r="AD96" i="66"/>
  <c r="Y96" i="66"/>
  <c r="W96" i="66"/>
  <c r="V96" i="66"/>
  <c r="U96" i="66"/>
  <c r="T96" i="66"/>
  <c r="AN95" i="66"/>
  <c r="AM95" i="66"/>
  <c r="AL95" i="66"/>
  <c r="AK95" i="66"/>
  <c r="AJ95" i="66"/>
  <c r="AI95" i="66"/>
  <c r="AH95" i="66"/>
  <c r="AG95" i="66"/>
  <c r="AF95" i="66"/>
  <c r="AE95" i="66"/>
  <c r="AD95" i="66"/>
  <c r="Y95" i="66"/>
  <c r="W95" i="66"/>
  <c r="V95" i="66"/>
  <c r="U95" i="66"/>
  <c r="T95" i="66"/>
  <c r="AN94" i="66"/>
  <c r="AM94" i="66"/>
  <c r="AL94" i="66"/>
  <c r="AK94" i="66"/>
  <c r="AJ94" i="66"/>
  <c r="AI94" i="66"/>
  <c r="AH94" i="66"/>
  <c r="AG94" i="66"/>
  <c r="AF94" i="66"/>
  <c r="AE94" i="66"/>
  <c r="AD94" i="66"/>
  <c r="Y94" i="66"/>
  <c r="W94" i="66"/>
  <c r="V94" i="66"/>
  <c r="U94" i="66"/>
  <c r="T94" i="66"/>
  <c r="AN93" i="66"/>
  <c r="AM93" i="66"/>
  <c r="AL93" i="66"/>
  <c r="AK93" i="66"/>
  <c r="AJ93" i="66"/>
  <c r="AI93" i="66"/>
  <c r="AH93" i="66"/>
  <c r="AG93" i="66"/>
  <c r="AF93" i="66"/>
  <c r="AE93" i="66"/>
  <c r="AD93" i="66"/>
  <c r="Y93" i="66"/>
  <c r="W93" i="66"/>
  <c r="V93" i="66"/>
  <c r="U93" i="66"/>
  <c r="T93" i="66"/>
  <c r="AN92" i="66"/>
  <c r="AM92" i="66"/>
  <c r="AL92" i="66"/>
  <c r="AK92" i="66"/>
  <c r="AJ92" i="66"/>
  <c r="AI92" i="66"/>
  <c r="AH92" i="66"/>
  <c r="AG92" i="66"/>
  <c r="AF92" i="66"/>
  <c r="AE92" i="66"/>
  <c r="AD92" i="66"/>
  <c r="Y92" i="66"/>
  <c r="W92" i="66"/>
  <c r="V92" i="66"/>
  <c r="U92" i="66"/>
  <c r="T92" i="66"/>
  <c r="AN91" i="66"/>
  <c r="AM91" i="66"/>
  <c r="AL91" i="66"/>
  <c r="AK91" i="66"/>
  <c r="AJ91" i="66"/>
  <c r="AI91" i="66"/>
  <c r="AH91" i="66"/>
  <c r="AG91" i="66"/>
  <c r="AF91" i="66"/>
  <c r="AE91" i="66"/>
  <c r="AD91" i="66"/>
  <c r="Y91" i="66"/>
  <c r="W91" i="66"/>
  <c r="V91" i="66"/>
  <c r="U91" i="66"/>
  <c r="T91" i="66"/>
  <c r="AN90" i="66"/>
  <c r="AM90" i="66"/>
  <c r="AL90" i="66"/>
  <c r="AK90" i="66"/>
  <c r="AJ90" i="66"/>
  <c r="AI90" i="66"/>
  <c r="AH90" i="66"/>
  <c r="AG90" i="66"/>
  <c r="AF90" i="66"/>
  <c r="AE90" i="66"/>
  <c r="AD90" i="66"/>
  <c r="Y90" i="66"/>
  <c r="W90" i="66"/>
  <c r="V90" i="66"/>
  <c r="U90" i="66"/>
  <c r="T90" i="66"/>
  <c r="AN89" i="66"/>
  <c r="AM89" i="66"/>
  <c r="AL89" i="66"/>
  <c r="AK89" i="66"/>
  <c r="AJ89" i="66"/>
  <c r="AI89" i="66"/>
  <c r="AH89" i="66"/>
  <c r="AG89" i="66"/>
  <c r="AF89" i="66"/>
  <c r="AE89" i="66"/>
  <c r="AD89" i="66"/>
  <c r="Y89" i="66"/>
  <c r="W89" i="66"/>
  <c r="V89" i="66"/>
  <c r="U89" i="66"/>
  <c r="T89" i="66"/>
  <c r="AN88" i="66"/>
  <c r="AM88" i="66"/>
  <c r="AL88" i="66"/>
  <c r="AK88" i="66"/>
  <c r="AJ88" i="66"/>
  <c r="AI88" i="66"/>
  <c r="AH88" i="66"/>
  <c r="AG88" i="66"/>
  <c r="AF88" i="66"/>
  <c r="AE88" i="66"/>
  <c r="AD88" i="66"/>
  <c r="Y88" i="66"/>
  <c r="W88" i="66"/>
  <c r="V88" i="66"/>
  <c r="U88" i="66"/>
  <c r="T88" i="66"/>
  <c r="AN87" i="66"/>
  <c r="AM87" i="66"/>
  <c r="AL87" i="66"/>
  <c r="AK87" i="66"/>
  <c r="AJ87" i="66"/>
  <c r="AI87" i="66"/>
  <c r="AH87" i="66"/>
  <c r="AG87" i="66"/>
  <c r="AF87" i="66"/>
  <c r="AE87" i="66"/>
  <c r="AD87" i="66"/>
  <c r="Y87" i="66"/>
  <c r="W87" i="66"/>
  <c r="V87" i="66"/>
  <c r="U87" i="66"/>
  <c r="T87" i="66"/>
  <c r="AN86" i="66"/>
  <c r="AM86" i="66"/>
  <c r="AL86" i="66"/>
  <c r="AK86" i="66"/>
  <c r="AJ86" i="66"/>
  <c r="AI86" i="66"/>
  <c r="AH86" i="66"/>
  <c r="AG86" i="66"/>
  <c r="AF86" i="66"/>
  <c r="AE86" i="66"/>
  <c r="AD86" i="66"/>
  <c r="Y86" i="66"/>
  <c r="W86" i="66"/>
  <c r="V86" i="66"/>
  <c r="U86" i="66"/>
  <c r="T86" i="66"/>
  <c r="AN85" i="66"/>
  <c r="AM85" i="66"/>
  <c r="AL85" i="66"/>
  <c r="AK85" i="66"/>
  <c r="AJ85" i="66"/>
  <c r="AI85" i="66"/>
  <c r="AH85" i="66"/>
  <c r="AG85" i="66"/>
  <c r="AF85" i="66"/>
  <c r="AE85" i="66"/>
  <c r="AD85" i="66"/>
  <c r="Y85" i="66"/>
  <c r="W85" i="66"/>
  <c r="V85" i="66"/>
  <c r="U85" i="66"/>
  <c r="T85" i="66"/>
  <c r="AN84" i="66"/>
  <c r="AM84" i="66"/>
  <c r="AL84" i="66"/>
  <c r="AK84" i="66"/>
  <c r="AJ84" i="66"/>
  <c r="AI84" i="66"/>
  <c r="AH84" i="66"/>
  <c r="AG84" i="66"/>
  <c r="AF84" i="66"/>
  <c r="AE84" i="66"/>
  <c r="AD84" i="66"/>
  <c r="Y84" i="66"/>
  <c r="W84" i="66"/>
  <c r="V84" i="66"/>
  <c r="U84" i="66"/>
  <c r="T84" i="66"/>
  <c r="AN83" i="66"/>
  <c r="AM83" i="66"/>
  <c r="AL83" i="66"/>
  <c r="AK83" i="66"/>
  <c r="AJ83" i="66"/>
  <c r="AI83" i="66"/>
  <c r="AH83" i="66"/>
  <c r="AG83" i="66"/>
  <c r="AF83" i="66"/>
  <c r="AE83" i="66"/>
  <c r="AD83" i="66"/>
  <c r="Y83" i="66"/>
  <c r="W83" i="66"/>
  <c r="V83" i="66"/>
  <c r="U83" i="66"/>
  <c r="T83" i="66"/>
  <c r="AN82" i="66"/>
  <c r="AM82" i="66"/>
  <c r="AL82" i="66"/>
  <c r="AK82" i="66"/>
  <c r="AJ82" i="66"/>
  <c r="AI82" i="66"/>
  <c r="AH82" i="66"/>
  <c r="AG82" i="66"/>
  <c r="AF82" i="66"/>
  <c r="AE82" i="66"/>
  <c r="AD82" i="66"/>
  <c r="Y82" i="66"/>
  <c r="W82" i="66"/>
  <c r="V82" i="66"/>
  <c r="U82" i="66"/>
  <c r="T82" i="66"/>
  <c r="AN81" i="66"/>
  <c r="AM81" i="66"/>
  <c r="AL81" i="66"/>
  <c r="AK81" i="66"/>
  <c r="AJ81" i="66"/>
  <c r="AI81" i="66"/>
  <c r="AH81" i="66"/>
  <c r="AG81" i="66"/>
  <c r="AF81" i="66"/>
  <c r="AE81" i="66"/>
  <c r="AD81" i="66"/>
  <c r="Y81" i="66"/>
  <c r="W81" i="66"/>
  <c r="V81" i="66"/>
  <c r="U81" i="66"/>
  <c r="T81" i="66"/>
  <c r="AN80" i="66"/>
  <c r="AM80" i="66"/>
  <c r="AL80" i="66"/>
  <c r="AK80" i="66"/>
  <c r="AJ80" i="66"/>
  <c r="AI80" i="66"/>
  <c r="AH80" i="66"/>
  <c r="AG80" i="66"/>
  <c r="AF80" i="66"/>
  <c r="AE80" i="66"/>
  <c r="AD80" i="66"/>
  <c r="Y80" i="66"/>
  <c r="W80" i="66"/>
  <c r="V80" i="66"/>
  <c r="U80" i="66"/>
  <c r="T80" i="66"/>
  <c r="AN79" i="66"/>
  <c r="AM79" i="66"/>
  <c r="AL79" i="66"/>
  <c r="AK79" i="66"/>
  <c r="AJ79" i="66"/>
  <c r="AI79" i="66"/>
  <c r="AH79" i="66"/>
  <c r="AG79" i="66"/>
  <c r="AF79" i="66"/>
  <c r="AE79" i="66"/>
  <c r="AD79" i="66"/>
  <c r="Y79" i="66"/>
  <c r="W79" i="66"/>
  <c r="V79" i="66"/>
  <c r="U79" i="66"/>
  <c r="T79" i="66"/>
  <c r="AN78" i="66"/>
  <c r="AM78" i="66"/>
  <c r="AL78" i="66"/>
  <c r="AK78" i="66"/>
  <c r="AJ78" i="66"/>
  <c r="AI78" i="66"/>
  <c r="AH78" i="66"/>
  <c r="AG78" i="66"/>
  <c r="AF78" i="66"/>
  <c r="AE78" i="66"/>
  <c r="AD78" i="66"/>
  <c r="Y78" i="66"/>
  <c r="W78" i="66"/>
  <c r="V78" i="66"/>
  <c r="U78" i="66"/>
  <c r="T78" i="66"/>
  <c r="AN77" i="66"/>
  <c r="AM77" i="66"/>
  <c r="AL77" i="66"/>
  <c r="AK77" i="66"/>
  <c r="AJ77" i="66"/>
  <c r="AI77" i="66"/>
  <c r="AH77" i="66"/>
  <c r="AG77" i="66"/>
  <c r="AF77" i="66"/>
  <c r="AE77" i="66"/>
  <c r="AD77" i="66"/>
  <c r="Y77" i="66"/>
  <c r="W77" i="66"/>
  <c r="V77" i="66"/>
  <c r="U77" i="66"/>
  <c r="T77" i="66"/>
  <c r="AN76" i="66"/>
  <c r="AM76" i="66"/>
  <c r="AL76" i="66"/>
  <c r="AK76" i="66"/>
  <c r="AJ76" i="66"/>
  <c r="AI76" i="66"/>
  <c r="AH76" i="66"/>
  <c r="AG76" i="66"/>
  <c r="AF76" i="66"/>
  <c r="AE76" i="66"/>
  <c r="AD76" i="66"/>
  <c r="Y76" i="66"/>
  <c r="W76" i="66"/>
  <c r="V76" i="66"/>
  <c r="U76" i="66"/>
  <c r="T76" i="66"/>
  <c r="AN75" i="66"/>
  <c r="AM75" i="66"/>
  <c r="AL75" i="66"/>
  <c r="AK75" i="66"/>
  <c r="AJ75" i="66"/>
  <c r="AI75" i="66"/>
  <c r="AH75" i="66"/>
  <c r="AG75" i="66"/>
  <c r="AF75" i="66"/>
  <c r="AE75" i="66"/>
  <c r="AD75" i="66"/>
  <c r="Y75" i="66"/>
  <c r="W75" i="66"/>
  <c r="V75" i="66"/>
  <c r="U75" i="66"/>
  <c r="T75" i="66"/>
  <c r="AN74" i="66"/>
  <c r="AM74" i="66"/>
  <c r="AL74" i="66"/>
  <c r="AK74" i="66"/>
  <c r="AJ74" i="66"/>
  <c r="AI74" i="66"/>
  <c r="AH74" i="66"/>
  <c r="AG74" i="66"/>
  <c r="AF74" i="66"/>
  <c r="AE74" i="66"/>
  <c r="AD74" i="66"/>
  <c r="Y74" i="66"/>
  <c r="W74" i="66"/>
  <c r="V74" i="66"/>
  <c r="U74" i="66"/>
  <c r="T74" i="66"/>
  <c r="AN73" i="66"/>
  <c r="AM73" i="66"/>
  <c r="AL73" i="66"/>
  <c r="AK73" i="66"/>
  <c r="AJ73" i="66"/>
  <c r="AI73" i="66"/>
  <c r="AH73" i="66"/>
  <c r="AG73" i="66"/>
  <c r="AF73" i="66"/>
  <c r="AE73" i="66"/>
  <c r="AD73" i="66"/>
  <c r="Y73" i="66"/>
  <c r="W73" i="66"/>
  <c r="V73" i="66"/>
  <c r="U73" i="66"/>
  <c r="T73" i="66"/>
  <c r="AN72" i="66"/>
  <c r="AM72" i="66"/>
  <c r="AL72" i="66"/>
  <c r="AK72" i="66"/>
  <c r="AJ72" i="66"/>
  <c r="AI72" i="66"/>
  <c r="AH72" i="66"/>
  <c r="AG72" i="66"/>
  <c r="AF72" i="66"/>
  <c r="AE72" i="66"/>
  <c r="AD72" i="66"/>
  <c r="Y72" i="66"/>
  <c r="W72" i="66"/>
  <c r="V72" i="66"/>
  <c r="U72" i="66"/>
  <c r="T72" i="66"/>
  <c r="AN71" i="66"/>
  <c r="AM71" i="66"/>
  <c r="AL71" i="66"/>
  <c r="AK71" i="66"/>
  <c r="AJ71" i="66"/>
  <c r="AI71" i="66"/>
  <c r="AH71" i="66"/>
  <c r="AG71" i="66"/>
  <c r="AF71" i="66"/>
  <c r="AE71" i="66"/>
  <c r="AD71" i="66"/>
  <c r="Y71" i="66"/>
  <c r="W71" i="66"/>
  <c r="V71" i="66"/>
  <c r="U71" i="66"/>
  <c r="T71" i="66"/>
  <c r="AN70" i="66"/>
  <c r="AM70" i="66"/>
  <c r="AL70" i="66"/>
  <c r="AK70" i="66"/>
  <c r="AJ70" i="66"/>
  <c r="AI70" i="66"/>
  <c r="AH70" i="66"/>
  <c r="AG70" i="66"/>
  <c r="AF70" i="66"/>
  <c r="AE70" i="66"/>
  <c r="AD70" i="66"/>
  <c r="Y70" i="66"/>
  <c r="W70" i="66"/>
  <c r="V70" i="66"/>
  <c r="U70" i="66"/>
  <c r="T70" i="66"/>
  <c r="AN69" i="66"/>
  <c r="AM69" i="66"/>
  <c r="AL69" i="66"/>
  <c r="AK69" i="66"/>
  <c r="AJ69" i="66"/>
  <c r="AI69" i="66"/>
  <c r="AH69" i="66"/>
  <c r="AG69" i="66"/>
  <c r="AF69" i="66"/>
  <c r="AE69" i="66"/>
  <c r="AD69" i="66"/>
  <c r="Y69" i="66"/>
  <c r="W69" i="66"/>
  <c r="V69" i="66"/>
  <c r="U69" i="66"/>
  <c r="T69" i="66"/>
  <c r="AN68" i="66"/>
  <c r="AM68" i="66"/>
  <c r="AL68" i="66"/>
  <c r="AK68" i="66"/>
  <c r="AJ68" i="66"/>
  <c r="AI68" i="66"/>
  <c r="AH68" i="66"/>
  <c r="AG68" i="66"/>
  <c r="AF68" i="66"/>
  <c r="AE68" i="66"/>
  <c r="AD68" i="66"/>
  <c r="Y68" i="66"/>
  <c r="W68" i="66"/>
  <c r="V68" i="66"/>
  <c r="U68" i="66"/>
  <c r="T68" i="66"/>
  <c r="AN67" i="66"/>
  <c r="AM67" i="66"/>
  <c r="AL67" i="66"/>
  <c r="AK67" i="66"/>
  <c r="AJ67" i="66"/>
  <c r="AI67" i="66"/>
  <c r="AH67" i="66"/>
  <c r="AG67" i="66"/>
  <c r="AF67" i="66"/>
  <c r="AE67" i="66"/>
  <c r="AD67" i="66"/>
  <c r="Y67" i="66"/>
  <c r="W67" i="66"/>
  <c r="V67" i="66"/>
  <c r="U67" i="66"/>
  <c r="T67" i="66"/>
  <c r="AN66" i="66"/>
  <c r="AM66" i="66"/>
  <c r="AL66" i="66"/>
  <c r="AK66" i="66"/>
  <c r="AJ66" i="66"/>
  <c r="AI66" i="66"/>
  <c r="AH66" i="66"/>
  <c r="AG66" i="66"/>
  <c r="AF66" i="66"/>
  <c r="AE66" i="66"/>
  <c r="AD66" i="66"/>
  <c r="Y66" i="66"/>
  <c r="W66" i="66"/>
  <c r="V66" i="66"/>
  <c r="U66" i="66"/>
  <c r="T66" i="66"/>
  <c r="AN65" i="66"/>
  <c r="AM65" i="66"/>
  <c r="AL65" i="66"/>
  <c r="AK65" i="66"/>
  <c r="AJ65" i="66"/>
  <c r="AI65" i="66"/>
  <c r="AH65" i="66"/>
  <c r="AG65" i="66"/>
  <c r="AF65" i="66"/>
  <c r="AE65" i="66"/>
  <c r="AD65" i="66"/>
  <c r="Y65" i="66"/>
  <c r="W65" i="66"/>
  <c r="V65" i="66"/>
  <c r="U65" i="66"/>
  <c r="T65" i="66"/>
  <c r="AN64" i="66"/>
  <c r="AM64" i="66"/>
  <c r="AL64" i="66"/>
  <c r="AK64" i="66"/>
  <c r="AJ64" i="66"/>
  <c r="AI64" i="66"/>
  <c r="AH64" i="66"/>
  <c r="AG64" i="66"/>
  <c r="AF64" i="66"/>
  <c r="AE64" i="66"/>
  <c r="AD64" i="66"/>
  <c r="Y64" i="66"/>
  <c r="W64" i="66"/>
  <c r="V64" i="66"/>
  <c r="U64" i="66"/>
  <c r="T64" i="66"/>
  <c r="AN63" i="66"/>
  <c r="AM63" i="66"/>
  <c r="AL63" i="66"/>
  <c r="AK63" i="66"/>
  <c r="AJ63" i="66"/>
  <c r="AI63" i="66"/>
  <c r="AH63" i="66"/>
  <c r="AG63" i="66"/>
  <c r="AF63" i="66"/>
  <c r="AE63" i="66"/>
  <c r="AD63" i="66"/>
  <c r="Y63" i="66"/>
  <c r="W63" i="66"/>
  <c r="V63" i="66"/>
  <c r="U63" i="66"/>
  <c r="T63" i="66"/>
  <c r="AN62" i="66"/>
  <c r="AM62" i="66"/>
  <c r="AL62" i="66"/>
  <c r="AK62" i="66"/>
  <c r="AJ62" i="66"/>
  <c r="AI62" i="66"/>
  <c r="AH62" i="66"/>
  <c r="AG62" i="66"/>
  <c r="AF62" i="66"/>
  <c r="AE62" i="66"/>
  <c r="AD62" i="66"/>
  <c r="Y62" i="66"/>
  <c r="W62" i="66"/>
  <c r="V62" i="66"/>
  <c r="U62" i="66"/>
  <c r="T62" i="66"/>
  <c r="AN61" i="66"/>
  <c r="AM61" i="66"/>
  <c r="AL61" i="66"/>
  <c r="AK61" i="66"/>
  <c r="AJ61" i="66"/>
  <c r="AI61" i="66"/>
  <c r="AH61" i="66"/>
  <c r="AG61" i="66"/>
  <c r="AF61" i="66"/>
  <c r="AE61" i="66"/>
  <c r="AD61" i="66"/>
  <c r="Y61" i="66"/>
  <c r="W61" i="66"/>
  <c r="V61" i="66"/>
  <c r="U61" i="66"/>
  <c r="T61" i="66"/>
  <c r="AN60" i="66"/>
  <c r="AM60" i="66"/>
  <c r="AL60" i="66"/>
  <c r="AK60" i="66"/>
  <c r="AJ60" i="66"/>
  <c r="AI60" i="66"/>
  <c r="AH60" i="66"/>
  <c r="AG60" i="66"/>
  <c r="AF60" i="66"/>
  <c r="AE60" i="66"/>
  <c r="AD60" i="66"/>
  <c r="Y60" i="66"/>
  <c r="W60" i="66"/>
  <c r="V60" i="66"/>
  <c r="U60" i="66"/>
  <c r="T60" i="66"/>
  <c r="AN59" i="66"/>
  <c r="AM59" i="66"/>
  <c r="AL59" i="66"/>
  <c r="AK59" i="66"/>
  <c r="AJ59" i="66"/>
  <c r="AI59" i="66"/>
  <c r="AH59" i="66"/>
  <c r="AG59" i="66"/>
  <c r="AF59" i="66"/>
  <c r="AE59" i="66"/>
  <c r="AD59" i="66"/>
  <c r="Y59" i="66"/>
  <c r="W59" i="66"/>
  <c r="V59" i="66"/>
  <c r="U59" i="66"/>
  <c r="T59" i="66"/>
  <c r="AN58" i="66"/>
  <c r="AM58" i="66"/>
  <c r="AL58" i="66"/>
  <c r="AK58" i="66"/>
  <c r="AJ58" i="66"/>
  <c r="AI58" i="66"/>
  <c r="AH58" i="66"/>
  <c r="AG58" i="66"/>
  <c r="AF58" i="66"/>
  <c r="AE58" i="66"/>
  <c r="AD58" i="66"/>
  <c r="Y58" i="66"/>
  <c r="W58" i="66"/>
  <c r="V58" i="66"/>
  <c r="U58" i="66"/>
  <c r="T58" i="66"/>
  <c r="AN57" i="66"/>
  <c r="AM57" i="66"/>
  <c r="AL57" i="66"/>
  <c r="AK57" i="66"/>
  <c r="AJ57" i="66"/>
  <c r="AI57" i="66"/>
  <c r="AH57" i="66"/>
  <c r="AG57" i="66"/>
  <c r="AF57" i="66"/>
  <c r="AE57" i="66"/>
  <c r="AD57" i="66"/>
  <c r="Y57" i="66"/>
  <c r="W57" i="66"/>
  <c r="V57" i="66"/>
  <c r="U57" i="66"/>
  <c r="T57" i="66"/>
  <c r="AN56" i="66"/>
  <c r="AM56" i="66"/>
  <c r="AL56" i="66"/>
  <c r="AK56" i="66"/>
  <c r="AJ56" i="66"/>
  <c r="AI56" i="66"/>
  <c r="AH56" i="66"/>
  <c r="AG56" i="66"/>
  <c r="AF56" i="66"/>
  <c r="AE56" i="66"/>
  <c r="AD56" i="66"/>
  <c r="Y56" i="66"/>
  <c r="W56" i="66"/>
  <c r="V56" i="66"/>
  <c r="U56" i="66"/>
  <c r="T56" i="66"/>
  <c r="AN55" i="66"/>
  <c r="AM55" i="66"/>
  <c r="AL55" i="66"/>
  <c r="AK55" i="66"/>
  <c r="AJ55" i="66"/>
  <c r="AI55" i="66"/>
  <c r="AH55" i="66"/>
  <c r="AG55" i="66"/>
  <c r="AF55" i="66"/>
  <c r="AE55" i="66"/>
  <c r="AD55" i="66"/>
  <c r="Y55" i="66"/>
  <c r="W55" i="66"/>
  <c r="V55" i="66"/>
  <c r="U55" i="66"/>
  <c r="T55" i="66"/>
  <c r="AN54" i="66"/>
  <c r="AM54" i="66"/>
  <c r="AL54" i="66"/>
  <c r="AK54" i="66"/>
  <c r="AJ54" i="66"/>
  <c r="AI54" i="66"/>
  <c r="AH54" i="66"/>
  <c r="AG54" i="66"/>
  <c r="AF54" i="66"/>
  <c r="AE54" i="66"/>
  <c r="AD54" i="66"/>
  <c r="Y54" i="66"/>
  <c r="W54" i="66"/>
  <c r="V54" i="66"/>
  <c r="U54" i="66"/>
  <c r="T54" i="66"/>
  <c r="AN53" i="66"/>
  <c r="AM53" i="66"/>
  <c r="AL53" i="66"/>
  <c r="AK53" i="66"/>
  <c r="AJ53" i="66"/>
  <c r="AI53" i="66"/>
  <c r="AH53" i="66"/>
  <c r="AG53" i="66"/>
  <c r="AF53" i="66"/>
  <c r="AE53" i="66"/>
  <c r="AD53" i="66"/>
  <c r="Y53" i="66"/>
  <c r="W53" i="66"/>
  <c r="V53" i="66"/>
  <c r="U53" i="66"/>
  <c r="T53" i="66"/>
  <c r="AN52" i="66"/>
  <c r="AM52" i="66"/>
  <c r="AL52" i="66"/>
  <c r="AK52" i="66"/>
  <c r="AJ52" i="66"/>
  <c r="AI52" i="66"/>
  <c r="AH52" i="66"/>
  <c r="AG52" i="66"/>
  <c r="AF52" i="66"/>
  <c r="AE52" i="66"/>
  <c r="AD52" i="66"/>
  <c r="Y52" i="66"/>
  <c r="W52" i="66"/>
  <c r="V52" i="66"/>
  <c r="U52" i="66"/>
  <c r="T52" i="66"/>
  <c r="AN51" i="66"/>
  <c r="AM51" i="66"/>
  <c r="AL51" i="66"/>
  <c r="AK51" i="66"/>
  <c r="AJ51" i="66"/>
  <c r="AI51" i="66"/>
  <c r="AH51" i="66"/>
  <c r="AG51" i="66"/>
  <c r="AF51" i="66"/>
  <c r="AE51" i="66"/>
  <c r="AD51" i="66"/>
  <c r="Y51" i="66"/>
  <c r="W51" i="66"/>
  <c r="V51" i="66"/>
  <c r="U51" i="66"/>
  <c r="T51" i="66"/>
  <c r="AN50" i="66"/>
  <c r="AM50" i="66"/>
  <c r="AL50" i="66"/>
  <c r="AK50" i="66"/>
  <c r="AJ50" i="66"/>
  <c r="AI50" i="66"/>
  <c r="AH50" i="66"/>
  <c r="AG50" i="66"/>
  <c r="AF50" i="66"/>
  <c r="AE50" i="66"/>
  <c r="AD50" i="66"/>
  <c r="Y50" i="66"/>
  <c r="W50" i="66"/>
  <c r="V50" i="66"/>
  <c r="U50" i="66"/>
  <c r="T50" i="66"/>
  <c r="AN49" i="66"/>
  <c r="AM49" i="66"/>
  <c r="AL49" i="66"/>
  <c r="AK49" i="66"/>
  <c r="AJ49" i="66"/>
  <c r="AI49" i="66"/>
  <c r="AH49" i="66"/>
  <c r="AG49" i="66"/>
  <c r="AF49" i="66"/>
  <c r="AE49" i="66"/>
  <c r="AD49" i="66"/>
  <c r="Y49" i="66"/>
  <c r="W49" i="66"/>
  <c r="V49" i="66"/>
  <c r="U49" i="66"/>
  <c r="T49" i="66"/>
  <c r="AN48" i="66"/>
  <c r="AM48" i="66"/>
  <c r="AL48" i="66"/>
  <c r="AK48" i="66"/>
  <c r="AJ48" i="66"/>
  <c r="AI48" i="66"/>
  <c r="AH48" i="66"/>
  <c r="AG48" i="66"/>
  <c r="AF48" i="66"/>
  <c r="AE48" i="66"/>
  <c r="AD48" i="66"/>
  <c r="Y48" i="66"/>
  <c r="W48" i="66"/>
  <c r="V48" i="66"/>
  <c r="U48" i="66"/>
  <c r="T48" i="66"/>
  <c r="AN47" i="66"/>
  <c r="AM47" i="66"/>
  <c r="AL47" i="66"/>
  <c r="AK47" i="66"/>
  <c r="AJ47" i="66"/>
  <c r="AI47" i="66"/>
  <c r="AH47" i="66"/>
  <c r="AG47" i="66"/>
  <c r="AF47" i="66"/>
  <c r="AE47" i="66"/>
  <c r="AD47" i="66"/>
  <c r="Y47" i="66"/>
  <c r="W47" i="66"/>
  <c r="V47" i="66"/>
  <c r="U47" i="66"/>
  <c r="T47" i="66"/>
  <c r="AN46" i="66"/>
  <c r="AM46" i="66"/>
  <c r="AL46" i="66"/>
  <c r="AK46" i="66"/>
  <c r="AJ46" i="66"/>
  <c r="AI46" i="66"/>
  <c r="AH46" i="66"/>
  <c r="AG46" i="66"/>
  <c r="AF46" i="66"/>
  <c r="AE46" i="66"/>
  <c r="AD46" i="66"/>
  <c r="Y46" i="66"/>
  <c r="W46" i="66"/>
  <c r="V46" i="66"/>
  <c r="U46" i="66"/>
  <c r="T46" i="66"/>
  <c r="AN45" i="66"/>
  <c r="AM45" i="66"/>
  <c r="AL45" i="66"/>
  <c r="AK45" i="66"/>
  <c r="AJ45" i="66"/>
  <c r="AI45" i="66"/>
  <c r="AH45" i="66"/>
  <c r="AG45" i="66"/>
  <c r="AF45" i="66"/>
  <c r="AE45" i="66"/>
  <c r="AD45" i="66"/>
  <c r="Y45" i="66"/>
  <c r="W45" i="66"/>
  <c r="V45" i="66"/>
  <c r="U45" i="66"/>
  <c r="T45" i="66"/>
  <c r="AN44" i="66"/>
  <c r="AM44" i="66"/>
  <c r="AL44" i="66"/>
  <c r="AK44" i="66"/>
  <c r="AJ44" i="66"/>
  <c r="AI44" i="66"/>
  <c r="AH44" i="66"/>
  <c r="AG44" i="66"/>
  <c r="AF44" i="66"/>
  <c r="AE44" i="66"/>
  <c r="AD44" i="66"/>
  <c r="Y44" i="66"/>
  <c r="W44" i="66"/>
  <c r="V44" i="66"/>
  <c r="U44" i="66"/>
  <c r="T44" i="66"/>
  <c r="AN43" i="66"/>
  <c r="AM43" i="66"/>
  <c r="AL43" i="66"/>
  <c r="AK43" i="66"/>
  <c r="AJ43" i="66"/>
  <c r="AI43" i="66"/>
  <c r="AH43" i="66"/>
  <c r="AG43" i="66"/>
  <c r="AF43" i="66"/>
  <c r="AE43" i="66"/>
  <c r="AD43" i="66"/>
  <c r="Y43" i="66"/>
  <c r="W43" i="66"/>
  <c r="V43" i="66"/>
  <c r="U43" i="66"/>
  <c r="T43" i="66"/>
  <c r="AN42" i="66"/>
  <c r="AM42" i="66"/>
  <c r="AL42" i="66"/>
  <c r="AK42" i="66"/>
  <c r="AJ42" i="66"/>
  <c r="AI42" i="66"/>
  <c r="AH42" i="66"/>
  <c r="AG42" i="66"/>
  <c r="AF42" i="66"/>
  <c r="AE42" i="66"/>
  <c r="AD42" i="66"/>
  <c r="Y42" i="66"/>
  <c r="W42" i="66"/>
  <c r="V42" i="66"/>
  <c r="U42" i="66"/>
  <c r="T42" i="66"/>
  <c r="AN41" i="66"/>
  <c r="AM41" i="66"/>
  <c r="AL41" i="66"/>
  <c r="AK41" i="66"/>
  <c r="AJ41" i="66"/>
  <c r="AI41" i="66"/>
  <c r="AH41" i="66"/>
  <c r="AG41" i="66"/>
  <c r="AF41" i="66"/>
  <c r="AE41" i="66"/>
  <c r="AD41" i="66"/>
  <c r="Y41" i="66"/>
  <c r="W41" i="66"/>
  <c r="V41" i="66"/>
  <c r="U41" i="66"/>
  <c r="T41" i="66"/>
  <c r="AN40" i="66"/>
  <c r="AM40" i="66"/>
  <c r="AL40" i="66"/>
  <c r="AK40" i="66"/>
  <c r="AJ40" i="66"/>
  <c r="AI40" i="66"/>
  <c r="AH40" i="66"/>
  <c r="AG40" i="66"/>
  <c r="AF40" i="66"/>
  <c r="AE40" i="66"/>
  <c r="AD40" i="66"/>
  <c r="Y40" i="66"/>
  <c r="W40" i="66"/>
  <c r="V40" i="66"/>
  <c r="U40" i="66"/>
  <c r="T40" i="66"/>
  <c r="AN39" i="66"/>
  <c r="AM39" i="66"/>
  <c r="AL39" i="66"/>
  <c r="AK39" i="66"/>
  <c r="AJ39" i="66"/>
  <c r="AI39" i="66"/>
  <c r="AH39" i="66"/>
  <c r="AG39" i="66"/>
  <c r="AF39" i="66"/>
  <c r="AE39" i="66"/>
  <c r="AD39" i="66"/>
  <c r="Y39" i="66"/>
  <c r="W39" i="66"/>
  <c r="V39" i="66"/>
  <c r="U39" i="66"/>
  <c r="T39" i="66"/>
  <c r="AN38" i="66"/>
  <c r="AM38" i="66"/>
  <c r="AL38" i="66"/>
  <c r="AK38" i="66"/>
  <c r="AJ38" i="66"/>
  <c r="AI38" i="66"/>
  <c r="AH38" i="66"/>
  <c r="AG38" i="66"/>
  <c r="AF38" i="66"/>
  <c r="AE38" i="66"/>
  <c r="AD38" i="66"/>
  <c r="Y38" i="66"/>
  <c r="W38" i="66"/>
  <c r="V38" i="66"/>
  <c r="U38" i="66"/>
  <c r="T38" i="66"/>
  <c r="AN37" i="66"/>
  <c r="AM37" i="66"/>
  <c r="AL37" i="66"/>
  <c r="AK37" i="66"/>
  <c r="AJ37" i="66"/>
  <c r="AI37" i="66"/>
  <c r="AH37" i="66"/>
  <c r="AG37" i="66"/>
  <c r="AF37" i="66"/>
  <c r="AE37" i="66"/>
  <c r="AD37" i="66"/>
  <c r="Y37" i="66"/>
  <c r="W37" i="66"/>
  <c r="V37" i="66"/>
  <c r="U37" i="66"/>
  <c r="T37" i="66"/>
  <c r="AN36" i="66"/>
  <c r="AM36" i="66"/>
  <c r="AL36" i="66"/>
  <c r="AK36" i="66"/>
  <c r="AJ36" i="66"/>
  <c r="AI36" i="66"/>
  <c r="AH36" i="66"/>
  <c r="AG36" i="66"/>
  <c r="AF36" i="66"/>
  <c r="AE36" i="66"/>
  <c r="AD36" i="66"/>
  <c r="Y36" i="66"/>
  <c r="W36" i="66"/>
  <c r="V36" i="66"/>
  <c r="U36" i="66"/>
  <c r="T36" i="66"/>
  <c r="AN35" i="66"/>
  <c r="AM35" i="66"/>
  <c r="AL35" i="66"/>
  <c r="AK35" i="66"/>
  <c r="AJ35" i="66"/>
  <c r="AI35" i="66"/>
  <c r="AH35" i="66"/>
  <c r="AG35" i="66"/>
  <c r="AF35" i="66"/>
  <c r="AE35" i="66"/>
  <c r="AD35" i="66"/>
  <c r="Y35" i="66"/>
  <c r="W35" i="66"/>
  <c r="V35" i="66"/>
  <c r="U35" i="66"/>
  <c r="T35" i="66"/>
  <c r="AN34" i="66"/>
  <c r="AM34" i="66"/>
  <c r="AL34" i="66"/>
  <c r="AK34" i="66"/>
  <c r="AJ34" i="66"/>
  <c r="AI34" i="66"/>
  <c r="AH34" i="66"/>
  <c r="AG34" i="66"/>
  <c r="AF34" i="66"/>
  <c r="AE34" i="66"/>
  <c r="AD34" i="66"/>
  <c r="Y34" i="66"/>
  <c r="W34" i="66"/>
  <c r="V34" i="66"/>
  <c r="U34" i="66"/>
  <c r="T34" i="66"/>
  <c r="AN33" i="66"/>
  <c r="AM33" i="66"/>
  <c r="AL33" i="66"/>
  <c r="AK33" i="66"/>
  <c r="AJ33" i="66"/>
  <c r="AI33" i="66"/>
  <c r="AH33" i="66"/>
  <c r="AG33" i="66"/>
  <c r="AF33" i="66"/>
  <c r="AE33" i="66"/>
  <c r="AD33" i="66"/>
  <c r="Y33" i="66"/>
  <c r="W33" i="66"/>
  <c r="V33" i="66"/>
  <c r="U33" i="66"/>
  <c r="T33" i="66"/>
  <c r="AN32" i="66"/>
  <c r="AM32" i="66"/>
  <c r="AL32" i="66"/>
  <c r="AK32" i="66"/>
  <c r="AJ32" i="66"/>
  <c r="AI32" i="66"/>
  <c r="AH32" i="66"/>
  <c r="AG32" i="66"/>
  <c r="AF32" i="66"/>
  <c r="AE32" i="66"/>
  <c r="AD32" i="66"/>
  <c r="Y32" i="66"/>
  <c r="W32" i="66"/>
  <c r="V32" i="66"/>
  <c r="U32" i="66"/>
  <c r="T32" i="66"/>
  <c r="AN31" i="66"/>
  <c r="AM31" i="66"/>
  <c r="AL31" i="66"/>
  <c r="AK31" i="66"/>
  <c r="AJ31" i="66"/>
  <c r="AI31" i="66"/>
  <c r="AH31" i="66"/>
  <c r="AG31" i="66"/>
  <c r="AF31" i="66"/>
  <c r="AE31" i="66"/>
  <c r="AD31" i="66"/>
  <c r="Y31" i="66"/>
  <c r="W31" i="66"/>
  <c r="V31" i="66"/>
  <c r="U31" i="66"/>
  <c r="T31" i="66"/>
  <c r="AN30" i="66"/>
  <c r="AM30" i="66"/>
  <c r="AL30" i="66"/>
  <c r="AK30" i="66"/>
  <c r="AJ30" i="66"/>
  <c r="AI30" i="66"/>
  <c r="AH30" i="66"/>
  <c r="AG30" i="66"/>
  <c r="AF30" i="66"/>
  <c r="AE30" i="66"/>
  <c r="AD30" i="66"/>
  <c r="Y30" i="66"/>
  <c r="W30" i="66"/>
  <c r="V30" i="66"/>
  <c r="U30" i="66"/>
  <c r="T30" i="66"/>
  <c r="AN29" i="66"/>
  <c r="AM29" i="66"/>
  <c r="AL29" i="66"/>
  <c r="AK29" i="66"/>
  <c r="AJ29" i="66"/>
  <c r="AI29" i="66"/>
  <c r="AH29" i="66"/>
  <c r="AG29" i="66"/>
  <c r="AF29" i="66"/>
  <c r="AE29" i="66"/>
  <c r="AD29" i="66"/>
  <c r="Y29" i="66"/>
  <c r="W29" i="66"/>
  <c r="V29" i="66"/>
  <c r="U29" i="66"/>
  <c r="T29" i="66"/>
  <c r="AN28" i="66"/>
  <c r="AM28" i="66"/>
  <c r="AL28" i="66"/>
  <c r="AK28" i="66"/>
  <c r="AJ28" i="66"/>
  <c r="AI28" i="66"/>
  <c r="AH28" i="66"/>
  <c r="AG28" i="66"/>
  <c r="AF28" i="66"/>
  <c r="AE28" i="66"/>
  <c r="AD28" i="66"/>
  <c r="Y28" i="66"/>
  <c r="W28" i="66"/>
  <c r="V28" i="66"/>
  <c r="U28" i="66"/>
  <c r="T28" i="66"/>
  <c r="AN27" i="66"/>
  <c r="AM27" i="66"/>
  <c r="AL27" i="66"/>
  <c r="AK27" i="66"/>
  <c r="AJ27" i="66"/>
  <c r="AI27" i="66"/>
  <c r="AH27" i="66"/>
  <c r="AG27" i="66"/>
  <c r="AF27" i="66"/>
  <c r="AE27" i="66"/>
  <c r="AD27" i="66"/>
  <c r="Y27" i="66"/>
  <c r="W27" i="66"/>
  <c r="V27" i="66"/>
  <c r="U27" i="66"/>
  <c r="T27" i="66"/>
  <c r="AN26" i="66"/>
  <c r="AM26" i="66"/>
  <c r="AL26" i="66"/>
  <c r="AK26" i="66"/>
  <c r="AJ26" i="66"/>
  <c r="AI26" i="66"/>
  <c r="AH26" i="66"/>
  <c r="AG26" i="66"/>
  <c r="AF26" i="66"/>
  <c r="AE26" i="66"/>
  <c r="AD26" i="66"/>
  <c r="Y26" i="66"/>
  <c r="W26" i="66"/>
  <c r="V26" i="66"/>
  <c r="U26" i="66"/>
  <c r="T26" i="66"/>
  <c r="AN25" i="66"/>
  <c r="AM25" i="66"/>
  <c r="AL25" i="66"/>
  <c r="AK25" i="66"/>
  <c r="AJ25" i="66"/>
  <c r="AI25" i="66"/>
  <c r="AH25" i="66"/>
  <c r="AG25" i="66"/>
  <c r="AF25" i="66"/>
  <c r="AE25" i="66"/>
  <c r="AD25" i="66"/>
  <c r="Y25" i="66"/>
  <c r="W25" i="66"/>
  <c r="V25" i="66"/>
  <c r="U25" i="66"/>
  <c r="T25" i="66"/>
  <c r="AN24" i="66"/>
  <c r="AM24" i="66"/>
  <c r="AL24" i="66"/>
  <c r="AK24" i="66"/>
  <c r="AJ24" i="66"/>
  <c r="AI24" i="66"/>
  <c r="AH24" i="66"/>
  <c r="AG24" i="66"/>
  <c r="AF24" i="66"/>
  <c r="AE24" i="66"/>
  <c r="AD24" i="66"/>
  <c r="Y24" i="66"/>
  <c r="W24" i="66"/>
  <c r="V24" i="66"/>
  <c r="U24" i="66"/>
  <c r="T24" i="66"/>
  <c r="AN23" i="66"/>
  <c r="AM23" i="66"/>
  <c r="AL23" i="66"/>
  <c r="AK23" i="66"/>
  <c r="AJ23" i="66"/>
  <c r="AI23" i="66"/>
  <c r="AH23" i="66"/>
  <c r="AG23" i="66"/>
  <c r="AF23" i="66"/>
  <c r="AE23" i="66"/>
  <c r="AD23" i="66"/>
  <c r="Y23" i="66"/>
  <c r="W23" i="66"/>
  <c r="V23" i="66"/>
  <c r="U23" i="66"/>
  <c r="T23" i="66"/>
  <c r="AN22" i="66"/>
  <c r="AM22" i="66"/>
  <c r="AL22" i="66"/>
  <c r="AK22" i="66"/>
  <c r="AJ22" i="66"/>
  <c r="AI22" i="66"/>
  <c r="AH22" i="66"/>
  <c r="AG22" i="66"/>
  <c r="AF22" i="66"/>
  <c r="AE22" i="66"/>
  <c r="AD22" i="66"/>
  <c r="Y22" i="66"/>
  <c r="W22" i="66"/>
  <c r="V22" i="66"/>
  <c r="U22" i="66"/>
  <c r="T22" i="66"/>
  <c r="AN21" i="66"/>
  <c r="AM21" i="66"/>
  <c r="AL21" i="66"/>
  <c r="AK21" i="66"/>
  <c r="AJ21" i="66"/>
  <c r="AI21" i="66"/>
  <c r="AH21" i="66"/>
  <c r="AG21" i="66"/>
  <c r="AF21" i="66"/>
  <c r="AE21" i="66"/>
  <c r="AD21" i="66"/>
  <c r="Y21" i="66"/>
  <c r="W21" i="66"/>
  <c r="V21" i="66"/>
  <c r="U21" i="66"/>
  <c r="T21" i="66"/>
  <c r="AN20" i="66"/>
  <c r="AM20" i="66"/>
  <c r="AL20" i="66"/>
  <c r="AK20" i="66"/>
  <c r="AJ20" i="66"/>
  <c r="AI20" i="66"/>
  <c r="AH20" i="66"/>
  <c r="AG20" i="66"/>
  <c r="AF20" i="66"/>
  <c r="AE20" i="66"/>
  <c r="AD20" i="66"/>
  <c r="Y20" i="66"/>
  <c r="W20" i="66"/>
  <c r="V20" i="66"/>
  <c r="U20" i="66"/>
  <c r="T20" i="66"/>
  <c r="AN19" i="66"/>
  <c r="AM19" i="66"/>
  <c r="AL19" i="66"/>
  <c r="AK19" i="66"/>
  <c r="AJ19" i="66"/>
  <c r="AI19" i="66"/>
  <c r="AH19" i="66"/>
  <c r="AG19" i="66"/>
  <c r="AF19" i="66"/>
  <c r="AE19" i="66"/>
  <c r="AD19" i="66"/>
  <c r="Y19" i="66"/>
  <c r="W19" i="66"/>
  <c r="V19" i="66"/>
  <c r="U19" i="66"/>
  <c r="T19" i="66"/>
  <c r="AN18" i="66"/>
  <c r="AM18" i="66"/>
  <c r="AL18" i="66"/>
  <c r="AK18" i="66"/>
  <c r="AJ18" i="66"/>
  <c r="AI18" i="66"/>
  <c r="AH18" i="66"/>
  <c r="AG18" i="66"/>
  <c r="AF18" i="66"/>
  <c r="AE18" i="66"/>
  <c r="AD18" i="66"/>
  <c r="Y18" i="66"/>
  <c r="W18" i="66"/>
  <c r="V18" i="66"/>
  <c r="U18" i="66"/>
  <c r="T18" i="66"/>
  <c r="AN17" i="66"/>
  <c r="AM17" i="66"/>
  <c r="AL17" i="66"/>
  <c r="AK17" i="66"/>
  <c r="AJ17" i="66"/>
  <c r="AI17" i="66"/>
  <c r="AH17" i="66"/>
  <c r="AG17" i="66"/>
  <c r="AF17" i="66"/>
  <c r="AE17" i="66"/>
  <c r="AD17" i="66"/>
  <c r="Y17" i="66"/>
  <c r="W17" i="66"/>
  <c r="V17" i="66"/>
  <c r="U17" i="66"/>
  <c r="T17" i="66"/>
  <c r="AN16" i="66"/>
  <c r="AM16" i="66"/>
  <c r="AL16" i="66"/>
  <c r="AK16" i="66"/>
  <c r="AJ16" i="66"/>
  <c r="AI16" i="66"/>
  <c r="AH16" i="66"/>
  <c r="AG16" i="66"/>
  <c r="AF16" i="66"/>
  <c r="AE16" i="66"/>
  <c r="AD16" i="66"/>
  <c r="Y16" i="66"/>
  <c r="W16" i="66"/>
  <c r="V16" i="66"/>
  <c r="U16" i="66"/>
  <c r="T16" i="66"/>
  <c r="A16" i="66"/>
  <c r="AN15" i="66"/>
  <c r="AM15" i="66"/>
  <c r="AL15" i="66"/>
  <c r="AK15" i="66"/>
  <c r="AJ15" i="66"/>
  <c r="AI15" i="66"/>
  <c r="AH15" i="66"/>
  <c r="AG15" i="66"/>
  <c r="AF15" i="66"/>
  <c r="AE15" i="66"/>
  <c r="AD15" i="66"/>
  <c r="Y15" i="66"/>
  <c r="W15" i="66"/>
  <c r="V15" i="66"/>
  <c r="U15" i="66"/>
  <c r="T15" i="66"/>
  <c r="AN14" i="66"/>
  <c r="AM14" i="66"/>
  <c r="AL14" i="66"/>
  <c r="AK14" i="66"/>
  <c r="AJ14" i="66"/>
  <c r="AI14" i="66"/>
  <c r="AH14" i="66"/>
  <c r="AG14" i="66"/>
  <c r="AF14" i="66"/>
  <c r="AE14" i="66"/>
  <c r="AD14" i="66"/>
  <c r="Y14" i="66"/>
  <c r="W14" i="66"/>
  <c r="V14" i="66"/>
  <c r="U14" i="66"/>
  <c r="T14" i="66"/>
  <c r="A14" i="66"/>
  <c r="AN13" i="66"/>
  <c r="AM13" i="66"/>
  <c r="AL13" i="66"/>
  <c r="AK13" i="66"/>
  <c r="AJ13" i="66"/>
  <c r="AI13" i="66"/>
  <c r="AH13" i="66"/>
  <c r="AG13" i="66"/>
  <c r="AF13" i="66"/>
  <c r="AE13" i="66"/>
  <c r="AD13" i="66"/>
  <c r="Y13" i="66"/>
  <c r="W13" i="66"/>
  <c r="V13" i="66"/>
  <c r="U13" i="66"/>
  <c r="T13" i="66"/>
  <c r="AN12" i="66"/>
  <c r="AM12" i="66"/>
  <c r="AL12" i="66"/>
  <c r="AK12" i="66"/>
  <c r="AJ12" i="66"/>
  <c r="AI12" i="66"/>
  <c r="AH12" i="66"/>
  <c r="AG12" i="66"/>
  <c r="AF12" i="66"/>
  <c r="AE12" i="66"/>
  <c r="AD12" i="66"/>
  <c r="Y12" i="66"/>
  <c r="W12" i="66"/>
  <c r="V12" i="66"/>
  <c r="U12" i="66"/>
  <c r="T12" i="66"/>
  <c r="A12" i="66"/>
  <c r="AN11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U11" i="66"/>
  <c r="T11" i="66"/>
  <c r="AN10" i="66"/>
  <c r="AM10" i="66"/>
  <c r="AL10" i="66"/>
  <c r="AK10" i="66"/>
  <c r="AJ10" i="66"/>
  <c r="AI10" i="66"/>
  <c r="AH10" i="66"/>
  <c r="AG10" i="66"/>
  <c r="AF10" i="66"/>
  <c r="AE10" i="66"/>
  <c r="AD10" i="66"/>
  <c r="Y10" i="66"/>
  <c r="W10" i="66"/>
  <c r="V10" i="66"/>
  <c r="U10" i="66"/>
  <c r="T10" i="66"/>
  <c r="A10" i="66"/>
  <c r="AN9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U9" i="66"/>
  <c r="T9" i="66"/>
  <c r="AN8" i="66"/>
  <c r="AM8" i="66"/>
  <c r="AL8" i="66"/>
  <c r="AK8" i="66"/>
  <c r="AJ8" i="66"/>
  <c r="AI8" i="66"/>
  <c r="AH8" i="66"/>
  <c r="AG8" i="66"/>
  <c r="AF8" i="66"/>
  <c r="AE8" i="66"/>
  <c r="AD8" i="66"/>
  <c r="Y8" i="66"/>
  <c r="W8" i="66"/>
  <c r="V8" i="66"/>
  <c r="U8" i="66"/>
  <c r="T8" i="66"/>
  <c r="AN7" i="66"/>
  <c r="AM7" i="66"/>
  <c r="AL7" i="66"/>
  <c r="AK7" i="66"/>
  <c r="AJ7" i="66"/>
  <c r="AI7" i="66"/>
  <c r="AH7" i="66"/>
  <c r="AG7" i="66"/>
  <c r="AF7" i="66"/>
  <c r="AE7" i="66"/>
  <c r="AD7" i="66"/>
  <c r="Y7" i="66"/>
  <c r="W7" i="66"/>
  <c r="V7" i="66"/>
  <c r="U7" i="66"/>
  <c r="T7" i="66"/>
  <c r="AN6" i="66"/>
  <c r="AM6" i="66"/>
  <c r="AL6" i="66"/>
  <c r="AK6" i="66"/>
  <c r="AJ6" i="66"/>
  <c r="AI6" i="66"/>
  <c r="AH6" i="66"/>
  <c r="AG6" i="66"/>
  <c r="AF6" i="66"/>
  <c r="AD6" i="66"/>
  <c r="Y6" i="66"/>
  <c r="W6" i="66"/>
  <c r="V6" i="66"/>
  <c r="U6" i="66"/>
  <c r="T6" i="66"/>
  <c r="A6" i="66"/>
  <c r="AN5" i="66"/>
  <c r="AM5" i="66"/>
  <c r="AL5" i="66"/>
  <c r="AK5" i="66"/>
  <c r="AJ5" i="66"/>
  <c r="AI5" i="66"/>
  <c r="AH5" i="66"/>
  <c r="AG5" i="66"/>
  <c r="AF5" i="66"/>
  <c r="AD5" i="66"/>
  <c r="Y5" i="66"/>
  <c r="W5" i="66"/>
  <c r="V5" i="66"/>
  <c r="U5" i="66"/>
  <c r="T5" i="66"/>
  <c r="F1" i="66"/>
  <c r="AN24" i="38"/>
  <c r="AM24" i="38"/>
  <c r="AL24" i="38"/>
  <c r="AK24" i="38"/>
  <c r="AJ24" i="38"/>
  <c r="AI24" i="38"/>
  <c r="AH24" i="38"/>
  <c r="AG24" i="38"/>
  <c r="AF24" i="38"/>
  <c r="AE24" i="38"/>
  <c r="AD24" i="38"/>
  <c r="Y24" i="38"/>
  <c r="W24" i="38"/>
  <c r="V24" i="38"/>
  <c r="U24" i="38"/>
  <c r="T24" i="38"/>
  <c r="AN23" i="38"/>
  <c r="AM23" i="38"/>
  <c r="AL23" i="38"/>
  <c r="AK23" i="38"/>
  <c r="AJ23" i="38"/>
  <c r="AI23" i="38"/>
  <c r="AH23" i="38"/>
  <c r="AG23" i="38"/>
  <c r="AF23" i="38"/>
  <c r="AE23" i="38"/>
  <c r="AD23" i="38"/>
  <c r="Y23" i="38"/>
  <c r="W23" i="38"/>
  <c r="V23" i="38"/>
  <c r="U23" i="38"/>
  <c r="T23" i="38"/>
  <c r="AN22" i="38"/>
  <c r="AM22" i="38"/>
  <c r="AL22" i="38"/>
  <c r="AK22" i="38"/>
  <c r="AJ22" i="38"/>
  <c r="AI22" i="38"/>
  <c r="AH22" i="38"/>
  <c r="AG22" i="38"/>
  <c r="AF22" i="38"/>
  <c r="AE22" i="38"/>
  <c r="AD22" i="38"/>
  <c r="Y22" i="38"/>
  <c r="W22" i="38"/>
  <c r="V22" i="38"/>
  <c r="U22" i="38"/>
  <c r="T22" i="38"/>
  <c r="AN21" i="38"/>
  <c r="AM21" i="38"/>
  <c r="AL21" i="38"/>
  <c r="AK21" i="38"/>
  <c r="AJ21" i="38"/>
  <c r="AI21" i="38"/>
  <c r="AH21" i="38"/>
  <c r="AG21" i="38"/>
  <c r="AF21" i="38"/>
  <c r="AE21" i="38"/>
  <c r="AD21" i="38"/>
  <c r="Y21" i="38"/>
  <c r="W21" i="38"/>
  <c r="V21" i="38"/>
  <c r="U21" i="38"/>
  <c r="T21" i="38"/>
  <c r="AN20" i="38"/>
  <c r="AM20" i="38"/>
  <c r="AL20" i="38"/>
  <c r="AK20" i="38"/>
  <c r="AJ20" i="38"/>
  <c r="AI20" i="38"/>
  <c r="AH20" i="38"/>
  <c r="AG20" i="38"/>
  <c r="AF20" i="38"/>
  <c r="AE20" i="38"/>
  <c r="AD20" i="38"/>
  <c r="Y20" i="38"/>
  <c r="W20" i="38"/>
  <c r="V20" i="38"/>
  <c r="U20" i="38"/>
  <c r="T20" i="38"/>
  <c r="AN19" i="38"/>
  <c r="AM19" i="38"/>
  <c r="AL19" i="38"/>
  <c r="AK19" i="38"/>
  <c r="AJ19" i="38"/>
  <c r="AI19" i="38"/>
  <c r="AH19" i="38"/>
  <c r="AG19" i="38"/>
  <c r="AF19" i="38"/>
  <c r="AE19" i="38"/>
  <c r="AD19" i="38"/>
  <c r="Y19" i="38"/>
  <c r="W19" i="38"/>
  <c r="V19" i="38"/>
  <c r="U19" i="38"/>
  <c r="T19" i="38"/>
  <c r="AN18" i="38"/>
  <c r="AM18" i="38"/>
  <c r="AL18" i="38"/>
  <c r="AK18" i="38"/>
  <c r="AJ18" i="38"/>
  <c r="AI18" i="38"/>
  <c r="AH18" i="38"/>
  <c r="AG18" i="38"/>
  <c r="AF18" i="38"/>
  <c r="AE18" i="38"/>
  <c r="AD18" i="38"/>
  <c r="Y18" i="38"/>
  <c r="W18" i="38"/>
  <c r="V18" i="38"/>
  <c r="U18" i="38"/>
  <c r="T18" i="38"/>
  <c r="AN17" i="38"/>
  <c r="AM17" i="38"/>
  <c r="AL17" i="38"/>
  <c r="AK17" i="38"/>
  <c r="AJ17" i="38"/>
  <c r="AI17" i="38"/>
  <c r="AH17" i="38"/>
  <c r="AG17" i="38"/>
  <c r="AF17" i="38"/>
  <c r="AE17" i="38"/>
  <c r="AD17" i="38"/>
  <c r="Y17" i="38"/>
  <c r="W17" i="38"/>
  <c r="V17" i="38"/>
  <c r="U17" i="38"/>
  <c r="T17" i="38"/>
  <c r="AN16" i="38"/>
  <c r="AM16" i="38"/>
  <c r="AL16" i="38"/>
  <c r="AK16" i="38"/>
  <c r="AJ16" i="38"/>
  <c r="AI16" i="38"/>
  <c r="AH16" i="38"/>
  <c r="AG16" i="38"/>
  <c r="AF16" i="38"/>
  <c r="AE16" i="38"/>
  <c r="AD16" i="38"/>
  <c r="Y16" i="38"/>
  <c r="W16" i="38"/>
  <c r="V16" i="38"/>
  <c r="U16" i="38"/>
  <c r="T16" i="38"/>
  <c r="A16" i="38"/>
  <c r="AN15" i="38"/>
  <c r="AM15" i="38"/>
  <c r="AL15" i="38"/>
  <c r="AK15" i="38"/>
  <c r="AJ15" i="38"/>
  <c r="AI15" i="38"/>
  <c r="AH15" i="38"/>
  <c r="AG15" i="38"/>
  <c r="AF15" i="38"/>
  <c r="AE15" i="38"/>
  <c r="AD15" i="38"/>
  <c r="Y15" i="38"/>
  <c r="W15" i="38"/>
  <c r="V15" i="38"/>
  <c r="U15" i="38"/>
  <c r="T15" i="38"/>
  <c r="AN14" i="38"/>
  <c r="AM14" i="38"/>
  <c r="AL14" i="38"/>
  <c r="AK14" i="38"/>
  <c r="AJ14" i="38"/>
  <c r="AI14" i="38"/>
  <c r="AH14" i="38"/>
  <c r="AG14" i="38"/>
  <c r="AF14" i="38"/>
  <c r="AE14" i="38"/>
  <c r="AD14" i="38"/>
  <c r="Y14" i="38"/>
  <c r="W14" i="38"/>
  <c r="V14" i="38"/>
  <c r="U14" i="38"/>
  <c r="T14" i="38"/>
  <c r="A14" i="38"/>
  <c r="AN13" i="38"/>
  <c r="AM13" i="38"/>
  <c r="AL13" i="38"/>
  <c r="AK13" i="38"/>
  <c r="AJ13" i="38"/>
  <c r="AI13" i="38"/>
  <c r="AH13" i="38"/>
  <c r="AG13" i="38"/>
  <c r="AF13" i="38"/>
  <c r="AE13" i="38"/>
  <c r="AD13" i="38"/>
  <c r="Y13" i="38"/>
  <c r="W13" i="38"/>
  <c r="V13" i="38"/>
  <c r="U13" i="38"/>
  <c r="T13" i="38"/>
  <c r="AN12" i="38"/>
  <c r="AM12" i="38"/>
  <c r="AL12" i="38"/>
  <c r="AK12" i="38"/>
  <c r="AJ12" i="38"/>
  <c r="AI12" i="38"/>
  <c r="AH12" i="38"/>
  <c r="AG12" i="38"/>
  <c r="AF12" i="38"/>
  <c r="AE12" i="38"/>
  <c r="AD12" i="38"/>
  <c r="Y12" i="38"/>
  <c r="W12" i="38"/>
  <c r="V12" i="38"/>
  <c r="U12" i="38"/>
  <c r="T12" i="38"/>
  <c r="A12" i="38"/>
  <c r="AN11" i="38"/>
  <c r="AM11" i="38"/>
  <c r="AL11" i="38"/>
  <c r="AK11" i="38"/>
  <c r="AJ11" i="38"/>
  <c r="AI11" i="38"/>
  <c r="AH11" i="38"/>
  <c r="AG11" i="38"/>
  <c r="AF11" i="38"/>
  <c r="AE11" i="38"/>
  <c r="AD11" i="38"/>
  <c r="Y11" i="38"/>
  <c r="W11" i="38"/>
  <c r="V11" i="38"/>
  <c r="U11" i="38"/>
  <c r="T11" i="38"/>
  <c r="AN10" i="38"/>
  <c r="AM10" i="38"/>
  <c r="AL10" i="38"/>
  <c r="AK10" i="38"/>
  <c r="AJ10" i="38"/>
  <c r="AI10" i="38"/>
  <c r="AH10" i="38"/>
  <c r="AG10" i="38"/>
  <c r="AF10" i="38"/>
  <c r="AE10" i="38"/>
  <c r="AD10" i="38"/>
  <c r="Y10" i="38"/>
  <c r="W10" i="38"/>
  <c r="V10" i="38"/>
  <c r="U10" i="38"/>
  <c r="T10" i="38"/>
  <c r="A10" i="38"/>
  <c r="AN9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U9" i="38"/>
  <c r="T9" i="38"/>
  <c r="AN8" i="38"/>
  <c r="AM8" i="38"/>
  <c r="AL8" i="38"/>
  <c r="AK8" i="38"/>
  <c r="AJ8" i="38"/>
  <c r="AI8" i="38"/>
  <c r="AH8" i="38"/>
  <c r="AG8" i="38"/>
  <c r="AF8" i="38"/>
  <c r="AD8" i="38"/>
  <c r="Y8" i="38"/>
  <c r="W8" i="38"/>
  <c r="V8" i="38"/>
  <c r="U8" i="38"/>
  <c r="T8" i="38"/>
  <c r="AN7" i="38"/>
  <c r="AM7" i="38"/>
  <c r="AL7" i="38"/>
  <c r="AK7" i="38"/>
  <c r="AJ7" i="38"/>
  <c r="AI7" i="38"/>
  <c r="AH7" i="38"/>
  <c r="AG7" i="38"/>
  <c r="AF7" i="38"/>
  <c r="AD7" i="38"/>
  <c r="Y7" i="38"/>
  <c r="W7" i="38"/>
  <c r="V7" i="38"/>
  <c r="U7" i="38"/>
  <c r="T7" i="38"/>
  <c r="AN6" i="38"/>
  <c r="AM6" i="38"/>
  <c r="AL6" i="38"/>
  <c r="AK6" i="38"/>
  <c r="AJ6" i="38"/>
  <c r="AI6" i="38"/>
  <c r="AH6" i="38"/>
  <c r="AG6" i="38"/>
  <c r="AF6" i="38"/>
  <c r="AD6" i="38"/>
  <c r="Y6" i="38"/>
  <c r="W6" i="38"/>
  <c r="V6" i="38"/>
  <c r="U6" i="38"/>
  <c r="T6" i="38"/>
  <c r="A6" i="38"/>
  <c r="AN5" i="38"/>
  <c r="AM5" i="38"/>
  <c r="AL5" i="38"/>
  <c r="AK5" i="38"/>
  <c r="AJ5" i="38"/>
  <c r="AI5" i="38"/>
  <c r="AH5" i="38"/>
  <c r="AG5" i="38"/>
  <c r="AF5" i="38"/>
  <c r="AD5" i="38"/>
  <c r="Y5" i="38"/>
  <c r="W5" i="38"/>
  <c r="V5" i="38"/>
  <c r="U5" i="38"/>
  <c r="T5" i="38"/>
  <c r="F1" i="38"/>
  <c r="AN24" i="37"/>
  <c r="AM24" i="37"/>
  <c r="AL24" i="37"/>
  <c r="AK24" i="37"/>
  <c r="AJ24" i="37"/>
  <c r="AI24" i="37"/>
  <c r="AH24" i="37"/>
  <c r="AG24" i="37"/>
  <c r="AF24" i="37"/>
  <c r="AE24" i="37"/>
  <c r="AD24" i="37"/>
  <c r="Y24" i="37"/>
  <c r="W24" i="37"/>
  <c r="V24" i="37"/>
  <c r="U24" i="37"/>
  <c r="T24" i="37"/>
  <c r="AN23" i="37"/>
  <c r="AM23" i="37"/>
  <c r="AL23" i="37"/>
  <c r="AK23" i="37"/>
  <c r="AJ23" i="37"/>
  <c r="AI23" i="37"/>
  <c r="AH23" i="37"/>
  <c r="AG23" i="37"/>
  <c r="AF23" i="37"/>
  <c r="AE23" i="37"/>
  <c r="AD23" i="37"/>
  <c r="Y23" i="37"/>
  <c r="W23" i="37"/>
  <c r="V23" i="37"/>
  <c r="U23" i="37"/>
  <c r="T23" i="37"/>
  <c r="AN22" i="37"/>
  <c r="AM22" i="37"/>
  <c r="AL22" i="37"/>
  <c r="AK22" i="37"/>
  <c r="AJ22" i="37"/>
  <c r="AI22" i="37"/>
  <c r="AH22" i="37"/>
  <c r="AG22" i="37"/>
  <c r="AF22" i="37"/>
  <c r="AE22" i="37"/>
  <c r="AD22" i="37"/>
  <c r="Y22" i="37"/>
  <c r="W22" i="37"/>
  <c r="V22" i="37"/>
  <c r="U22" i="37"/>
  <c r="T22" i="37"/>
  <c r="AN21" i="37"/>
  <c r="AM21" i="37"/>
  <c r="AL21" i="37"/>
  <c r="AK21" i="37"/>
  <c r="AJ21" i="37"/>
  <c r="AI21" i="37"/>
  <c r="AH21" i="37"/>
  <c r="AG21" i="37"/>
  <c r="AF21" i="37"/>
  <c r="AE21" i="37"/>
  <c r="AD21" i="37"/>
  <c r="Y21" i="37"/>
  <c r="W21" i="37"/>
  <c r="V21" i="37"/>
  <c r="U21" i="37"/>
  <c r="T21" i="37"/>
  <c r="AN20" i="37"/>
  <c r="AM20" i="37"/>
  <c r="AL20" i="37"/>
  <c r="AK20" i="37"/>
  <c r="AJ20" i="37"/>
  <c r="AI20" i="37"/>
  <c r="AH20" i="37"/>
  <c r="AG20" i="37"/>
  <c r="AF20" i="37"/>
  <c r="AE20" i="37"/>
  <c r="AD20" i="37"/>
  <c r="Y20" i="37"/>
  <c r="W20" i="37"/>
  <c r="V20" i="37"/>
  <c r="U20" i="37"/>
  <c r="T20" i="37"/>
  <c r="AN19" i="37"/>
  <c r="AM19" i="37"/>
  <c r="AL19" i="37"/>
  <c r="AK19" i="37"/>
  <c r="AJ19" i="37"/>
  <c r="AI19" i="37"/>
  <c r="AH19" i="37"/>
  <c r="AG19" i="37"/>
  <c r="AF19" i="37"/>
  <c r="AE19" i="37"/>
  <c r="AD19" i="37"/>
  <c r="Y19" i="37"/>
  <c r="W19" i="37"/>
  <c r="V19" i="37"/>
  <c r="U19" i="37"/>
  <c r="T19" i="37"/>
  <c r="AN18" i="37"/>
  <c r="AM18" i="37"/>
  <c r="AL18" i="37"/>
  <c r="AK18" i="37"/>
  <c r="AJ18" i="37"/>
  <c r="AI18" i="37"/>
  <c r="AH18" i="37"/>
  <c r="AG18" i="37"/>
  <c r="AF18" i="37"/>
  <c r="AE18" i="37"/>
  <c r="AD18" i="37"/>
  <c r="Y18" i="37"/>
  <c r="W18" i="37"/>
  <c r="V18" i="37"/>
  <c r="U18" i="37"/>
  <c r="T18" i="37"/>
  <c r="AN17" i="37"/>
  <c r="AM17" i="37"/>
  <c r="AL17" i="37"/>
  <c r="AK17" i="37"/>
  <c r="AJ17" i="37"/>
  <c r="AI17" i="37"/>
  <c r="AH17" i="37"/>
  <c r="AG17" i="37"/>
  <c r="AF17" i="37"/>
  <c r="AE17" i="37"/>
  <c r="AD17" i="37"/>
  <c r="Y17" i="37"/>
  <c r="W17" i="37"/>
  <c r="V17" i="37"/>
  <c r="U17" i="37"/>
  <c r="T17" i="37"/>
  <c r="AN16" i="37"/>
  <c r="AM16" i="37"/>
  <c r="AL16" i="37"/>
  <c r="AK16" i="37"/>
  <c r="AJ16" i="37"/>
  <c r="AI16" i="37"/>
  <c r="AH16" i="37"/>
  <c r="AG16" i="37"/>
  <c r="AF16" i="37"/>
  <c r="AE16" i="37"/>
  <c r="AD16" i="37"/>
  <c r="Y16" i="37"/>
  <c r="W16" i="37"/>
  <c r="V16" i="37"/>
  <c r="U16" i="37"/>
  <c r="T16" i="37"/>
  <c r="A16" i="37"/>
  <c r="AN15" i="37"/>
  <c r="AM15" i="37"/>
  <c r="AL15" i="37"/>
  <c r="AK15" i="37"/>
  <c r="AJ15" i="37"/>
  <c r="AI15" i="37"/>
  <c r="AH15" i="37"/>
  <c r="AG15" i="37"/>
  <c r="AF15" i="37"/>
  <c r="AE15" i="37"/>
  <c r="AD15" i="37"/>
  <c r="Y15" i="37"/>
  <c r="W15" i="37"/>
  <c r="V15" i="37"/>
  <c r="U15" i="37"/>
  <c r="T15" i="37"/>
  <c r="AN14" i="37"/>
  <c r="AM14" i="37"/>
  <c r="AL14" i="37"/>
  <c r="AK14" i="37"/>
  <c r="AJ14" i="37"/>
  <c r="AI14" i="37"/>
  <c r="AH14" i="37"/>
  <c r="AG14" i="37"/>
  <c r="AF14" i="37"/>
  <c r="AE14" i="37"/>
  <c r="AD14" i="37"/>
  <c r="Y14" i="37"/>
  <c r="W14" i="37"/>
  <c r="V14" i="37"/>
  <c r="U14" i="37"/>
  <c r="T14" i="37"/>
  <c r="A14" i="37"/>
  <c r="AN13" i="37"/>
  <c r="AM13" i="37"/>
  <c r="AL13" i="37"/>
  <c r="AK13" i="37"/>
  <c r="AJ13" i="37"/>
  <c r="AI13" i="37"/>
  <c r="AH13" i="37"/>
  <c r="AG13" i="37"/>
  <c r="AF13" i="37"/>
  <c r="AE13" i="37"/>
  <c r="AD13" i="37"/>
  <c r="Y13" i="37"/>
  <c r="W13" i="37"/>
  <c r="V13" i="37"/>
  <c r="U13" i="37"/>
  <c r="T13" i="37"/>
  <c r="AN12" i="37"/>
  <c r="AM12" i="37"/>
  <c r="AL12" i="37"/>
  <c r="AK12" i="37"/>
  <c r="AJ12" i="37"/>
  <c r="AI12" i="37"/>
  <c r="AH12" i="37"/>
  <c r="AG12" i="37"/>
  <c r="AF12" i="37"/>
  <c r="AE12" i="37"/>
  <c r="AD12" i="37"/>
  <c r="Y12" i="37"/>
  <c r="W12" i="37"/>
  <c r="V12" i="37"/>
  <c r="U12" i="37"/>
  <c r="T12" i="37"/>
  <c r="A12" i="37"/>
  <c r="AN11" i="37"/>
  <c r="AM11" i="37"/>
  <c r="AL11" i="37"/>
  <c r="AK11" i="37"/>
  <c r="AJ11" i="37"/>
  <c r="AI11" i="37"/>
  <c r="AH11" i="37"/>
  <c r="AG11" i="37"/>
  <c r="AF11" i="37"/>
  <c r="AE11" i="37"/>
  <c r="AD11" i="37"/>
  <c r="Y11" i="37"/>
  <c r="W11" i="37"/>
  <c r="V11" i="37"/>
  <c r="U11" i="37"/>
  <c r="T11" i="37"/>
  <c r="AN10" i="37"/>
  <c r="AM10" i="37"/>
  <c r="AL10" i="37"/>
  <c r="AK10" i="37"/>
  <c r="AJ10" i="37"/>
  <c r="AI10" i="37"/>
  <c r="AH10" i="37"/>
  <c r="AG10" i="37"/>
  <c r="AF10" i="37"/>
  <c r="AE10" i="37"/>
  <c r="AD10" i="37"/>
  <c r="Y10" i="37"/>
  <c r="W10" i="37"/>
  <c r="V10" i="37"/>
  <c r="U10" i="37"/>
  <c r="T10" i="37"/>
  <c r="A10" i="37"/>
  <c r="AN9" i="37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U9" i="37"/>
  <c r="T9" i="37"/>
  <c r="AN8" i="37"/>
  <c r="AM8" i="37"/>
  <c r="AL8" i="37"/>
  <c r="AK8" i="37"/>
  <c r="AJ8" i="37"/>
  <c r="AI8" i="37"/>
  <c r="AH8" i="37"/>
  <c r="AG8" i="37"/>
  <c r="AF8" i="37"/>
  <c r="AD8" i="37"/>
  <c r="Y8" i="37"/>
  <c r="W8" i="37"/>
  <c r="V8" i="37"/>
  <c r="U8" i="37"/>
  <c r="T8" i="37"/>
  <c r="AN7" i="37"/>
  <c r="AM7" i="37"/>
  <c r="AL7" i="37"/>
  <c r="AK7" i="37"/>
  <c r="AJ7" i="37"/>
  <c r="AI7" i="37"/>
  <c r="AH7" i="37"/>
  <c r="AG7" i="37"/>
  <c r="AF7" i="37"/>
  <c r="AD7" i="37"/>
  <c r="Y7" i="37"/>
  <c r="W7" i="37"/>
  <c r="V7" i="37"/>
  <c r="U7" i="37"/>
  <c r="T7" i="37"/>
  <c r="AN6" i="37"/>
  <c r="AM6" i="37"/>
  <c r="AL6" i="37"/>
  <c r="AK6" i="37"/>
  <c r="AJ6" i="37"/>
  <c r="AI6" i="37"/>
  <c r="AH6" i="37"/>
  <c r="AG6" i="37"/>
  <c r="AF6" i="37"/>
  <c r="AD6" i="37"/>
  <c r="Y6" i="37"/>
  <c r="W6" i="37"/>
  <c r="V6" i="37"/>
  <c r="U6" i="37"/>
  <c r="T6" i="37"/>
  <c r="A6" i="37"/>
  <c r="AN5" i="37"/>
  <c r="AM5" i="37"/>
  <c r="AL5" i="37"/>
  <c r="AK5" i="37"/>
  <c r="AJ5" i="37"/>
  <c r="AI5" i="37"/>
  <c r="AH5" i="37"/>
  <c r="AG5" i="37"/>
  <c r="AF5" i="37"/>
  <c r="AD5" i="37"/>
  <c r="Y5" i="37"/>
  <c r="W5" i="37"/>
  <c r="V5" i="37"/>
  <c r="U5" i="37"/>
  <c r="T5" i="37"/>
  <c r="F1" i="37"/>
  <c r="AN24" i="36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N23" i="36"/>
  <c r="AM23" i="36"/>
  <c r="AL23" i="36"/>
  <c r="AK23" i="36"/>
  <c r="AJ23" i="36"/>
  <c r="AI23" i="36"/>
  <c r="AH23" i="36"/>
  <c r="AG23" i="36"/>
  <c r="AF23" i="36"/>
  <c r="AE23" i="36"/>
  <c r="AD23" i="36"/>
  <c r="Y23" i="36"/>
  <c r="W23" i="36"/>
  <c r="V23" i="36"/>
  <c r="U23" i="36"/>
  <c r="T23" i="36"/>
  <c r="AN22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N21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N20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N19" i="36"/>
  <c r="AM19" i="36"/>
  <c r="AL19" i="36"/>
  <c r="AK19" i="36"/>
  <c r="AJ19" i="36"/>
  <c r="AI19" i="36"/>
  <c r="AH19" i="36"/>
  <c r="AG19" i="36"/>
  <c r="AF19" i="36"/>
  <c r="AE19" i="36"/>
  <c r="AD19" i="36"/>
  <c r="Y19" i="36"/>
  <c r="W19" i="36"/>
  <c r="V19" i="36"/>
  <c r="U19" i="36"/>
  <c r="T19" i="36"/>
  <c r="AN18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N17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N16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N15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N14" i="36"/>
  <c r="AM14" i="36"/>
  <c r="AL14" i="36"/>
  <c r="AK14" i="36"/>
  <c r="AJ14" i="36"/>
  <c r="AI14" i="36"/>
  <c r="AH14" i="36"/>
  <c r="AG14" i="36"/>
  <c r="AF14" i="36"/>
  <c r="AE14" i="36"/>
  <c r="AD14" i="36"/>
  <c r="Y14" i="36"/>
  <c r="W14" i="36"/>
  <c r="V14" i="36"/>
  <c r="U14" i="36"/>
  <c r="T14" i="36"/>
  <c r="A14" i="36"/>
  <c r="AN13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N12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N11" i="36"/>
  <c r="AM11" i="36"/>
  <c r="AL11" i="36"/>
  <c r="AK11" i="36"/>
  <c r="AJ11" i="36"/>
  <c r="AI11" i="36"/>
  <c r="AH11" i="36"/>
  <c r="AG11" i="36"/>
  <c r="AF11" i="36"/>
  <c r="AE11" i="36"/>
  <c r="AD11" i="36"/>
  <c r="Y11" i="36"/>
  <c r="W11" i="36"/>
  <c r="V11" i="36"/>
  <c r="U11" i="36"/>
  <c r="T11" i="36"/>
  <c r="AN10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N9" i="36"/>
  <c r="AM9" i="36"/>
  <c r="AL9" i="36"/>
  <c r="AK9" i="36"/>
  <c r="AJ9" i="36"/>
  <c r="AI9" i="36"/>
  <c r="AH9" i="36"/>
  <c r="AG9" i="36"/>
  <c r="AF9" i="36"/>
  <c r="AE9" i="36"/>
  <c r="AD9" i="36"/>
  <c r="Y9" i="36"/>
  <c r="W9" i="36"/>
  <c r="V9" i="36"/>
  <c r="U9" i="36"/>
  <c r="T9" i="36"/>
  <c r="AN8" i="36"/>
  <c r="AM8" i="36"/>
  <c r="AL8" i="36"/>
  <c r="AK8" i="36"/>
  <c r="AJ8" i="36"/>
  <c r="AI8" i="36"/>
  <c r="AH8" i="36"/>
  <c r="AG8" i="36"/>
  <c r="AF8" i="36"/>
  <c r="AD8" i="36"/>
  <c r="Y8" i="36"/>
  <c r="W8" i="36"/>
  <c r="V8" i="36"/>
  <c r="U8" i="36"/>
  <c r="T8" i="36"/>
  <c r="AN7" i="36"/>
  <c r="AM7" i="36"/>
  <c r="AL7" i="36"/>
  <c r="AK7" i="36"/>
  <c r="AJ7" i="36"/>
  <c r="AI7" i="36"/>
  <c r="AH7" i="36"/>
  <c r="AG7" i="36"/>
  <c r="AF7" i="36"/>
  <c r="AD7" i="36"/>
  <c r="Y7" i="36"/>
  <c r="W7" i="36"/>
  <c r="V7" i="36"/>
  <c r="U7" i="36"/>
  <c r="T7" i="36"/>
  <c r="AN6" i="36"/>
  <c r="AM6" i="36"/>
  <c r="AL6" i="36"/>
  <c r="AK6" i="36"/>
  <c r="AJ6" i="36"/>
  <c r="AI6" i="36"/>
  <c r="AH6" i="36"/>
  <c r="AG6" i="36"/>
  <c r="AF6" i="36"/>
  <c r="AD6" i="36"/>
  <c r="Y6" i="36"/>
  <c r="W6" i="36"/>
  <c r="V6" i="36"/>
  <c r="U6" i="36"/>
  <c r="T6" i="36"/>
  <c r="A6" i="36"/>
  <c r="AN5" i="36"/>
  <c r="AM5" i="36"/>
  <c r="AL5" i="36"/>
  <c r="AK5" i="36"/>
  <c r="AJ5" i="36"/>
  <c r="AI5" i="36"/>
  <c r="AH5" i="36"/>
  <c r="AG5" i="36"/>
  <c r="AF5" i="36"/>
  <c r="AD5" i="36"/>
  <c r="Y5" i="36"/>
  <c r="W5" i="36"/>
  <c r="V5" i="36"/>
  <c r="U5" i="36"/>
  <c r="T5" i="36"/>
  <c r="F1" i="36"/>
  <c r="AN24" i="35"/>
  <c r="AM24" i="35"/>
  <c r="AL24" i="35"/>
  <c r="AK24" i="35"/>
  <c r="AJ24" i="35"/>
  <c r="AI24" i="35"/>
  <c r="AH24" i="35"/>
  <c r="AG24" i="35"/>
  <c r="AF24" i="35"/>
  <c r="AE24" i="35"/>
  <c r="AD24" i="35"/>
  <c r="Y24" i="35"/>
  <c r="W24" i="35"/>
  <c r="V24" i="35"/>
  <c r="U24" i="35"/>
  <c r="T24" i="35"/>
  <c r="AN23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U23" i="35"/>
  <c r="T23" i="35"/>
  <c r="AN22" i="35"/>
  <c r="AM22" i="35"/>
  <c r="AL22" i="35"/>
  <c r="AK22" i="35"/>
  <c r="AJ22" i="35"/>
  <c r="AI22" i="35"/>
  <c r="AH22" i="35"/>
  <c r="AG22" i="35"/>
  <c r="AF22" i="35"/>
  <c r="AE22" i="35"/>
  <c r="AD22" i="35"/>
  <c r="Y22" i="35"/>
  <c r="W22" i="35"/>
  <c r="V22" i="35"/>
  <c r="U22" i="35"/>
  <c r="T22" i="35"/>
  <c r="AN21" i="35"/>
  <c r="AM21" i="35"/>
  <c r="AL21" i="35"/>
  <c r="AK21" i="35"/>
  <c r="AJ21" i="35"/>
  <c r="AI21" i="35"/>
  <c r="AH21" i="35"/>
  <c r="AG21" i="35"/>
  <c r="AF21" i="35"/>
  <c r="AE21" i="35"/>
  <c r="AD21" i="35"/>
  <c r="Y21" i="35"/>
  <c r="W21" i="35"/>
  <c r="V21" i="35"/>
  <c r="U21" i="35"/>
  <c r="T21" i="35"/>
  <c r="AN20" i="35"/>
  <c r="AM20" i="35"/>
  <c r="AL20" i="35"/>
  <c r="AK20" i="35"/>
  <c r="AJ20" i="35"/>
  <c r="AI20" i="35"/>
  <c r="AH20" i="35"/>
  <c r="AG20" i="35"/>
  <c r="AF20" i="35"/>
  <c r="AE20" i="35"/>
  <c r="AD20" i="35"/>
  <c r="Y20" i="35"/>
  <c r="W20" i="35"/>
  <c r="V20" i="35"/>
  <c r="U20" i="35"/>
  <c r="T20" i="35"/>
  <c r="AN19" i="35"/>
  <c r="AM19" i="35"/>
  <c r="AL19" i="35"/>
  <c r="AK19" i="35"/>
  <c r="AJ19" i="35"/>
  <c r="AI19" i="35"/>
  <c r="AH19" i="35"/>
  <c r="AG19" i="35"/>
  <c r="AF19" i="35"/>
  <c r="AE19" i="35"/>
  <c r="AD19" i="35"/>
  <c r="Y19" i="35"/>
  <c r="W19" i="35"/>
  <c r="V19" i="35"/>
  <c r="U19" i="35"/>
  <c r="T19" i="35"/>
  <c r="AN18" i="35"/>
  <c r="AM18" i="35"/>
  <c r="AL18" i="35"/>
  <c r="AK18" i="35"/>
  <c r="AJ18" i="35"/>
  <c r="AI18" i="35"/>
  <c r="AH18" i="35"/>
  <c r="AG18" i="35"/>
  <c r="AF18" i="35"/>
  <c r="AE18" i="35"/>
  <c r="AD18" i="35"/>
  <c r="Y18" i="35"/>
  <c r="W18" i="35"/>
  <c r="V18" i="35"/>
  <c r="U18" i="35"/>
  <c r="T18" i="35"/>
  <c r="AN17" i="35"/>
  <c r="AM17" i="35"/>
  <c r="AL17" i="35"/>
  <c r="AK17" i="35"/>
  <c r="AJ17" i="35"/>
  <c r="AI17" i="35"/>
  <c r="AH17" i="35"/>
  <c r="AG17" i="35"/>
  <c r="AF17" i="35"/>
  <c r="AE17" i="35"/>
  <c r="AD17" i="35"/>
  <c r="Y17" i="35"/>
  <c r="W17" i="35"/>
  <c r="V17" i="35"/>
  <c r="U17" i="35"/>
  <c r="T17" i="35"/>
  <c r="AN16" i="35"/>
  <c r="AM16" i="35"/>
  <c r="AL16" i="35"/>
  <c r="AK16" i="35"/>
  <c r="AJ16" i="35"/>
  <c r="AI16" i="35"/>
  <c r="AH16" i="35"/>
  <c r="AG16" i="35"/>
  <c r="AF16" i="35"/>
  <c r="AE16" i="35"/>
  <c r="AD16" i="35"/>
  <c r="Y16" i="35"/>
  <c r="W16" i="35"/>
  <c r="V16" i="35"/>
  <c r="U16" i="35"/>
  <c r="T16" i="35"/>
  <c r="A16" i="35"/>
  <c r="AN15" i="35"/>
  <c r="AM15" i="35"/>
  <c r="AL15" i="35"/>
  <c r="AK15" i="35"/>
  <c r="AJ15" i="35"/>
  <c r="AI15" i="35"/>
  <c r="AH15" i="35"/>
  <c r="AG15" i="35"/>
  <c r="AF15" i="35"/>
  <c r="AE15" i="35"/>
  <c r="AD15" i="35"/>
  <c r="Y15" i="35"/>
  <c r="W15" i="35"/>
  <c r="V15" i="35"/>
  <c r="U15" i="35"/>
  <c r="T15" i="35"/>
  <c r="AN14" i="35"/>
  <c r="AM14" i="35"/>
  <c r="AL14" i="35"/>
  <c r="AK14" i="35"/>
  <c r="AJ14" i="35"/>
  <c r="AI14" i="35"/>
  <c r="AH14" i="35"/>
  <c r="AG14" i="35"/>
  <c r="AF14" i="35"/>
  <c r="AE14" i="35"/>
  <c r="AD14" i="35"/>
  <c r="Y14" i="35"/>
  <c r="W14" i="35"/>
  <c r="V14" i="35"/>
  <c r="U14" i="35"/>
  <c r="T14" i="35"/>
  <c r="A14" i="35"/>
  <c r="AN13" i="35"/>
  <c r="AM13" i="35"/>
  <c r="AL13" i="35"/>
  <c r="AK13" i="35"/>
  <c r="AJ13" i="35"/>
  <c r="AI13" i="35"/>
  <c r="AH13" i="35"/>
  <c r="AG13" i="35"/>
  <c r="AF13" i="35"/>
  <c r="AE13" i="35"/>
  <c r="AD13" i="35"/>
  <c r="Y13" i="35"/>
  <c r="W13" i="35"/>
  <c r="V13" i="35"/>
  <c r="U13" i="35"/>
  <c r="T13" i="35"/>
  <c r="AN12" i="35"/>
  <c r="AM12" i="35"/>
  <c r="AL12" i="35"/>
  <c r="AK12" i="35"/>
  <c r="AJ12" i="35"/>
  <c r="AI12" i="35"/>
  <c r="AH12" i="35"/>
  <c r="AG12" i="35"/>
  <c r="AF12" i="35"/>
  <c r="AE12" i="35"/>
  <c r="AD12" i="35"/>
  <c r="Y12" i="35"/>
  <c r="W12" i="35"/>
  <c r="V12" i="35"/>
  <c r="U12" i="35"/>
  <c r="T12" i="35"/>
  <c r="A12" i="35"/>
  <c r="AN11" i="35"/>
  <c r="AM11" i="35"/>
  <c r="AL11" i="35"/>
  <c r="AK11" i="35"/>
  <c r="AJ11" i="35"/>
  <c r="AI11" i="35"/>
  <c r="AH11" i="35"/>
  <c r="AG11" i="35"/>
  <c r="AF11" i="35"/>
  <c r="AE11" i="35"/>
  <c r="AD11" i="35"/>
  <c r="Y11" i="35"/>
  <c r="W11" i="35"/>
  <c r="V11" i="35"/>
  <c r="U11" i="35"/>
  <c r="T11" i="35"/>
  <c r="AN10" i="35"/>
  <c r="AM10" i="35"/>
  <c r="AL10" i="35"/>
  <c r="AK10" i="35"/>
  <c r="AJ10" i="35"/>
  <c r="AI10" i="35"/>
  <c r="AH10" i="35"/>
  <c r="AG10" i="35"/>
  <c r="AF10" i="35"/>
  <c r="AE10" i="35"/>
  <c r="AD10" i="35"/>
  <c r="Y10" i="35"/>
  <c r="W10" i="35"/>
  <c r="V10" i="35"/>
  <c r="U10" i="35"/>
  <c r="T10" i="35"/>
  <c r="A10" i="35"/>
  <c r="AN9" i="35"/>
  <c r="AM9" i="35"/>
  <c r="AL9" i="35"/>
  <c r="AK9" i="35"/>
  <c r="AJ9" i="35"/>
  <c r="AI9" i="35"/>
  <c r="AH9" i="35"/>
  <c r="AG9" i="35"/>
  <c r="AF9" i="35"/>
  <c r="AE9" i="35"/>
  <c r="AD9" i="35"/>
  <c r="Y9" i="35"/>
  <c r="W9" i="35"/>
  <c r="V9" i="35"/>
  <c r="U9" i="35"/>
  <c r="T9" i="35"/>
  <c r="AN8" i="35"/>
  <c r="AM8" i="35"/>
  <c r="AL8" i="35"/>
  <c r="AK8" i="35"/>
  <c r="AJ8" i="35"/>
  <c r="AI8" i="35"/>
  <c r="AH8" i="35"/>
  <c r="AG8" i="35"/>
  <c r="AF8" i="35"/>
  <c r="AD8" i="35"/>
  <c r="Y8" i="35"/>
  <c r="W8" i="35"/>
  <c r="V8" i="35"/>
  <c r="U8" i="35"/>
  <c r="T8" i="35"/>
  <c r="AN7" i="35"/>
  <c r="AM7" i="35"/>
  <c r="AL7" i="35"/>
  <c r="AK7" i="35"/>
  <c r="AJ7" i="35"/>
  <c r="AI7" i="35"/>
  <c r="AH7" i="35"/>
  <c r="AG7" i="35"/>
  <c r="AF7" i="35"/>
  <c r="AD7" i="35"/>
  <c r="Y7" i="35"/>
  <c r="W7" i="35"/>
  <c r="V7" i="35"/>
  <c r="U7" i="35"/>
  <c r="T7" i="35"/>
  <c r="AN6" i="35"/>
  <c r="AM6" i="35"/>
  <c r="AL6" i="35"/>
  <c r="AK6" i="35"/>
  <c r="AJ6" i="35"/>
  <c r="AI6" i="35"/>
  <c r="AH6" i="35"/>
  <c r="AG6" i="35"/>
  <c r="AF6" i="35"/>
  <c r="AD6" i="35"/>
  <c r="Y6" i="35"/>
  <c r="W6" i="35"/>
  <c r="V6" i="35"/>
  <c r="U6" i="35"/>
  <c r="T6" i="35"/>
  <c r="A6" i="35"/>
  <c r="AN5" i="35"/>
  <c r="AM5" i="35"/>
  <c r="AL5" i="35"/>
  <c r="AK5" i="35"/>
  <c r="AJ5" i="35"/>
  <c r="AI5" i="35"/>
  <c r="AH5" i="35"/>
  <c r="AG5" i="35"/>
  <c r="AF5" i="35"/>
  <c r="AD5" i="35"/>
  <c r="Y5" i="35"/>
  <c r="W5" i="35"/>
  <c r="V5" i="35"/>
  <c r="U5" i="35"/>
  <c r="T5" i="35"/>
  <c r="F1" i="35"/>
  <c r="AN23" i="34"/>
  <c r="AM23" i="34"/>
  <c r="AL23" i="34"/>
  <c r="AK23" i="34"/>
  <c r="AJ23" i="34"/>
  <c r="AI23" i="34"/>
  <c r="AH23" i="34"/>
  <c r="AG23" i="34"/>
  <c r="AF23" i="34"/>
  <c r="AE23" i="34"/>
  <c r="AD23" i="34"/>
  <c r="Y23" i="34"/>
  <c r="W23" i="34"/>
  <c r="V23" i="34"/>
  <c r="U23" i="34"/>
  <c r="T23" i="34"/>
  <c r="AN22" i="34"/>
  <c r="AM22" i="34"/>
  <c r="AL22" i="34"/>
  <c r="AK22" i="34"/>
  <c r="AJ22" i="34"/>
  <c r="AI22" i="34"/>
  <c r="AH22" i="34"/>
  <c r="AG22" i="34"/>
  <c r="AF22" i="34"/>
  <c r="AE22" i="34"/>
  <c r="AD22" i="34"/>
  <c r="Y22" i="34"/>
  <c r="W22" i="34"/>
  <c r="V22" i="34"/>
  <c r="U22" i="34"/>
  <c r="T22" i="34"/>
  <c r="AN21" i="34"/>
  <c r="AM21" i="34"/>
  <c r="AL21" i="34"/>
  <c r="AK21" i="34"/>
  <c r="AJ21" i="34"/>
  <c r="AI21" i="34"/>
  <c r="AH21" i="34"/>
  <c r="AG21" i="34"/>
  <c r="AF21" i="34"/>
  <c r="AE21" i="34"/>
  <c r="AD21" i="34"/>
  <c r="Y21" i="34"/>
  <c r="W21" i="34"/>
  <c r="V21" i="34"/>
  <c r="U21" i="34"/>
  <c r="T21" i="34"/>
  <c r="AN20" i="34"/>
  <c r="AM20" i="34"/>
  <c r="AL20" i="34"/>
  <c r="AK20" i="34"/>
  <c r="AJ20" i="34"/>
  <c r="AI20" i="34"/>
  <c r="AH20" i="34"/>
  <c r="AG20" i="34"/>
  <c r="AF20" i="34"/>
  <c r="AE20" i="34"/>
  <c r="AD20" i="34"/>
  <c r="Y20" i="34"/>
  <c r="W20" i="34"/>
  <c r="V20" i="34"/>
  <c r="U20" i="34"/>
  <c r="T20" i="34"/>
  <c r="AN19" i="34"/>
  <c r="AM19" i="34"/>
  <c r="AL19" i="34"/>
  <c r="AK19" i="34"/>
  <c r="AJ19" i="34"/>
  <c r="AI19" i="34"/>
  <c r="AH19" i="34"/>
  <c r="AG19" i="34"/>
  <c r="AF19" i="34"/>
  <c r="AE19" i="34"/>
  <c r="AD19" i="34"/>
  <c r="Y19" i="34"/>
  <c r="W19" i="34"/>
  <c r="V19" i="34"/>
  <c r="U19" i="34"/>
  <c r="T19" i="34"/>
  <c r="AN18" i="34"/>
  <c r="AM18" i="34"/>
  <c r="AL18" i="34"/>
  <c r="AK18" i="34"/>
  <c r="AJ18" i="34"/>
  <c r="AI18" i="34"/>
  <c r="AH18" i="34"/>
  <c r="AG18" i="34"/>
  <c r="AF18" i="34"/>
  <c r="AE18" i="34"/>
  <c r="AD18" i="34"/>
  <c r="Y18" i="34"/>
  <c r="W18" i="34"/>
  <c r="V18" i="34"/>
  <c r="U18" i="34"/>
  <c r="T18" i="34"/>
  <c r="AN17" i="34"/>
  <c r="AM17" i="34"/>
  <c r="AL17" i="34"/>
  <c r="AK17" i="34"/>
  <c r="AJ17" i="34"/>
  <c r="AI17" i="34"/>
  <c r="AH17" i="34"/>
  <c r="AG17" i="34"/>
  <c r="AF17" i="34"/>
  <c r="AE17" i="34"/>
  <c r="AD17" i="34"/>
  <c r="Y17" i="34"/>
  <c r="W17" i="34"/>
  <c r="V17" i="34"/>
  <c r="U17" i="34"/>
  <c r="T17" i="34"/>
  <c r="AN16" i="34"/>
  <c r="AM16" i="34"/>
  <c r="AL16" i="34"/>
  <c r="AK16" i="34"/>
  <c r="AJ16" i="34"/>
  <c r="AI16" i="34"/>
  <c r="AH16" i="34"/>
  <c r="AG16" i="34"/>
  <c r="AF16" i="34"/>
  <c r="AE16" i="34"/>
  <c r="AD16" i="34"/>
  <c r="Y16" i="34"/>
  <c r="W16" i="34"/>
  <c r="V16" i="34"/>
  <c r="U16" i="34"/>
  <c r="T16" i="34"/>
  <c r="A16" i="34"/>
  <c r="AN15" i="34"/>
  <c r="AM15" i="34"/>
  <c r="AL15" i="34"/>
  <c r="AK15" i="34"/>
  <c r="AJ15" i="34"/>
  <c r="AI15" i="34"/>
  <c r="AH15" i="34"/>
  <c r="AG15" i="34"/>
  <c r="AF15" i="34"/>
  <c r="AE15" i="34"/>
  <c r="AD15" i="34"/>
  <c r="Y15" i="34"/>
  <c r="W15" i="34"/>
  <c r="V15" i="34"/>
  <c r="U15" i="34"/>
  <c r="T15" i="34"/>
  <c r="AN14" i="34"/>
  <c r="AM14" i="34"/>
  <c r="AL14" i="34"/>
  <c r="AK14" i="34"/>
  <c r="AJ14" i="34"/>
  <c r="AI14" i="34"/>
  <c r="AH14" i="34"/>
  <c r="AG14" i="34"/>
  <c r="AF14" i="34"/>
  <c r="AE14" i="34"/>
  <c r="AD14" i="34"/>
  <c r="Y14" i="34"/>
  <c r="W14" i="34"/>
  <c r="V14" i="34"/>
  <c r="U14" i="34"/>
  <c r="T14" i="34"/>
  <c r="A14" i="34"/>
  <c r="AN13" i="34"/>
  <c r="AM13" i="34"/>
  <c r="AL13" i="34"/>
  <c r="AK13" i="34"/>
  <c r="AJ13" i="34"/>
  <c r="AI13" i="34"/>
  <c r="AH13" i="34"/>
  <c r="AG13" i="34"/>
  <c r="AF13" i="34"/>
  <c r="AE13" i="34"/>
  <c r="AD13" i="34"/>
  <c r="Y13" i="34"/>
  <c r="W13" i="34"/>
  <c r="V13" i="34"/>
  <c r="U13" i="34"/>
  <c r="T13" i="34"/>
  <c r="AN12" i="34"/>
  <c r="AM12" i="34"/>
  <c r="AL12" i="34"/>
  <c r="AK12" i="34"/>
  <c r="AJ12" i="34"/>
  <c r="AI12" i="34"/>
  <c r="AH12" i="34"/>
  <c r="AG12" i="34"/>
  <c r="AF12" i="34"/>
  <c r="AE12" i="34"/>
  <c r="AD12" i="34"/>
  <c r="Y12" i="34"/>
  <c r="W12" i="34"/>
  <c r="V12" i="34"/>
  <c r="U12" i="34"/>
  <c r="T12" i="34"/>
  <c r="A12" i="34"/>
  <c r="AN11" i="34"/>
  <c r="AM11" i="34"/>
  <c r="AL11" i="34"/>
  <c r="AK11" i="34"/>
  <c r="AJ11" i="34"/>
  <c r="AI11" i="34"/>
  <c r="AH11" i="34"/>
  <c r="AG11" i="34"/>
  <c r="AF11" i="34"/>
  <c r="AE11" i="34"/>
  <c r="AD11" i="34"/>
  <c r="Y11" i="34"/>
  <c r="W11" i="34"/>
  <c r="V11" i="34"/>
  <c r="U11" i="34"/>
  <c r="T11" i="34"/>
  <c r="AN10" i="34"/>
  <c r="AM10" i="34"/>
  <c r="AL10" i="34"/>
  <c r="AK10" i="34"/>
  <c r="AJ10" i="34"/>
  <c r="AI10" i="34"/>
  <c r="AH10" i="34"/>
  <c r="AG10" i="34"/>
  <c r="AF10" i="34"/>
  <c r="AE10" i="34"/>
  <c r="AD10" i="34"/>
  <c r="Y10" i="34"/>
  <c r="W10" i="34"/>
  <c r="V10" i="34"/>
  <c r="U10" i="34"/>
  <c r="T10" i="34"/>
  <c r="A10" i="34"/>
  <c r="AN9" i="34"/>
  <c r="AM9" i="34"/>
  <c r="AL9" i="34"/>
  <c r="AK9" i="34"/>
  <c r="AJ9" i="34"/>
  <c r="AI9" i="34"/>
  <c r="AH9" i="34"/>
  <c r="AG9" i="34"/>
  <c r="AF9" i="34"/>
  <c r="AE9" i="34"/>
  <c r="AD9" i="34"/>
  <c r="Y9" i="34"/>
  <c r="W9" i="34"/>
  <c r="V9" i="34"/>
  <c r="U9" i="34"/>
  <c r="T9" i="34"/>
  <c r="AN8" i="34"/>
  <c r="AM8" i="34"/>
  <c r="AL8" i="34"/>
  <c r="AK8" i="34"/>
  <c r="AJ8" i="34"/>
  <c r="AI8" i="34"/>
  <c r="AH8" i="34"/>
  <c r="AG8" i="34"/>
  <c r="AF8" i="34"/>
  <c r="AE8" i="34"/>
  <c r="AD8" i="34"/>
  <c r="Y8" i="34"/>
  <c r="W8" i="34"/>
  <c r="V8" i="34"/>
  <c r="U8" i="34"/>
  <c r="T8" i="34"/>
  <c r="AN7" i="34"/>
  <c r="AM7" i="34"/>
  <c r="AL7" i="34"/>
  <c r="AK7" i="34"/>
  <c r="AJ7" i="34"/>
  <c r="AI7" i="34"/>
  <c r="AH7" i="34"/>
  <c r="AG7" i="34"/>
  <c r="AF7" i="34"/>
  <c r="AD7" i="34"/>
  <c r="Y7" i="34"/>
  <c r="W7" i="34"/>
  <c r="V7" i="34"/>
  <c r="U7" i="34"/>
  <c r="T7" i="34"/>
  <c r="AN6" i="34"/>
  <c r="AM6" i="34"/>
  <c r="AL6" i="34"/>
  <c r="AK6" i="34"/>
  <c r="AJ6" i="34"/>
  <c r="AI6" i="34"/>
  <c r="AH6" i="34"/>
  <c r="AG6" i="34"/>
  <c r="AF6" i="34"/>
  <c r="AD6" i="34"/>
  <c r="Y6" i="34"/>
  <c r="W6" i="34"/>
  <c r="V6" i="34"/>
  <c r="U6" i="34"/>
  <c r="T6" i="34"/>
  <c r="A6" i="34"/>
  <c r="AN5" i="34"/>
  <c r="AM5" i="34"/>
  <c r="AL5" i="34"/>
  <c r="AK5" i="34"/>
  <c r="AJ5" i="34"/>
  <c r="AI5" i="34"/>
  <c r="AH5" i="34"/>
  <c r="AG5" i="34"/>
  <c r="AF5" i="34"/>
  <c r="AD5" i="34"/>
  <c r="Y5" i="34"/>
  <c r="W5" i="34"/>
  <c r="V5" i="34"/>
  <c r="U5" i="34"/>
  <c r="T5" i="34"/>
  <c r="F1" i="34"/>
  <c r="AN24" i="33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N23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N22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N21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N20" i="33"/>
  <c r="AM20" i="33"/>
  <c r="AL20" i="33"/>
  <c r="AK20" i="33"/>
  <c r="AJ20" i="33"/>
  <c r="AI20" i="33"/>
  <c r="AH20" i="33"/>
  <c r="AG20" i="33"/>
  <c r="AF20" i="33"/>
  <c r="AE20" i="33"/>
  <c r="AD20" i="33"/>
  <c r="Y20" i="33"/>
  <c r="W20" i="33"/>
  <c r="V20" i="33"/>
  <c r="U20" i="33"/>
  <c r="T20" i="33"/>
  <c r="AN19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N18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N17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N16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N15" i="33"/>
  <c r="AM15" i="33"/>
  <c r="AL15" i="33"/>
  <c r="AK15" i="33"/>
  <c r="AJ15" i="33"/>
  <c r="AI15" i="33"/>
  <c r="AH15" i="33"/>
  <c r="AG15" i="33"/>
  <c r="AF15" i="33"/>
  <c r="AE15" i="33"/>
  <c r="AD15" i="33"/>
  <c r="Y15" i="33"/>
  <c r="W15" i="33"/>
  <c r="V15" i="33"/>
  <c r="U15" i="33"/>
  <c r="T15" i="33"/>
  <c r="AN14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N13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N12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N11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N10" i="33"/>
  <c r="AM10" i="33"/>
  <c r="AL10" i="33"/>
  <c r="AK10" i="33"/>
  <c r="AJ10" i="33"/>
  <c r="AI10" i="33"/>
  <c r="AH10" i="33"/>
  <c r="AG10" i="33"/>
  <c r="AF10" i="33"/>
  <c r="AE10" i="33"/>
  <c r="AD10" i="33"/>
  <c r="Y10" i="33"/>
  <c r="W10" i="33"/>
  <c r="V10" i="33"/>
  <c r="U10" i="33"/>
  <c r="T10" i="33"/>
  <c r="A10" i="33"/>
  <c r="AN9" i="33"/>
  <c r="AM9" i="33"/>
  <c r="AL9" i="33"/>
  <c r="AK9" i="33"/>
  <c r="AJ9" i="33"/>
  <c r="AI9" i="33"/>
  <c r="AH9" i="33"/>
  <c r="AG9" i="33"/>
  <c r="AF9" i="33"/>
  <c r="AE9" i="33"/>
  <c r="AD9" i="33"/>
  <c r="Y9" i="33"/>
  <c r="W9" i="33"/>
  <c r="V9" i="33"/>
  <c r="U9" i="33"/>
  <c r="T9" i="33"/>
  <c r="AN8" i="33"/>
  <c r="AM8" i="33"/>
  <c r="AL8" i="33"/>
  <c r="AK8" i="33"/>
  <c r="AJ8" i="33"/>
  <c r="AI8" i="33"/>
  <c r="AH8" i="33"/>
  <c r="AG8" i="33"/>
  <c r="AF8" i="33"/>
  <c r="AD8" i="33"/>
  <c r="Y8" i="33"/>
  <c r="W8" i="33"/>
  <c r="V8" i="33"/>
  <c r="U8" i="33"/>
  <c r="T8" i="33"/>
  <c r="AN7" i="33"/>
  <c r="AM7" i="33"/>
  <c r="AL7" i="33"/>
  <c r="AK7" i="33"/>
  <c r="AJ7" i="33"/>
  <c r="AI7" i="33"/>
  <c r="AH7" i="33"/>
  <c r="AG7" i="33"/>
  <c r="AF7" i="33"/>
  <c r="AD7" i="33"/>
  <c r="Y7" i="33"/>
  <c r="W7" i="33"/>
  <c r="V7" i="33"/>
  <c r="U7" i="33"/>
  <c r="T7" i="33"/>
  <c r="AN6" i="33"/>
  <c r="AM6" i="33"/>
  <c r="AL6" i="33"/>
  <c r="AK6" i="33"/>
  <c r="AJ6" i="33"/>
  <c r="AI6" i="33"/>
  <c r="AH6" i="33"/>
  <c r="AG6" i="33"/>
  <c r="AF6" i="33"/>
  <c r="AD6" i="33"/>
  <c r="Y6" i="33"/>
  <c r="W6" i="33"/>
  <c r="V6" i="33"/>
  <c r="U6" i="33"/>
  <c r="T6" i="33"/>
  <c r="A6" i="33"/>
  <c r="AN5" i="33"/>
  <c r="AM5" i="33"/>
  <c r="AL5" i="33"/>
  <c r="AK5" i="33"/>
  <c r="AJ5" i="33"/>
  <c r="AI5" i="33"/>
  <c r="AH5" i="33"/>
  <c r="AG5" i="33"/>
  <c r="AF5" i="33"/>
  <c r="AD5" i="33"/>
  <c r="Y5" i="33"/>
  <c r="W5" i="33"/>
  <c r="V5" i="33"/>
  <c r="U5" i="33"/>
  <c r="T5" i="33"/>
  <c r="F1" i="33"/>
  <c r="AN172" i="32"/>
  <c r="AM172" i="32"/>
  <c r="AL172" i="32"/>
  <c r="AK172" i="32"/>
  <c r="AJ172" i="32"/>
  <c r="AI172" i="32"/>
  <c r="AH172" i="32"/>
  <c r="AG172" i="32"/>
  <c r="AF172" i="32"/>
  <c r="AE172" i="32"/>
  <c r="AD172" i="32"/>
  <c r="Y172" i="32"/>
  <c r="W172" i="32"/>
  <c r="V172" i="32"/>
  <c r="U172" i="32"/>
  <c r="T172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Y171" i="32"/>
  <c r="W171" i="32"/>
  <c r="V171" i="32"/>
  <c r="U171" i="32"/>
  <c r="T171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Y170" i="32"/>
  <c r="W170" i="32"/>
  <c r="V170" i="32"/>
  <c r="U170" i="32"/>
  <c r="T170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Y169" i="32"/>
  <c r="W169" i="32"/>
  <c r="V169" i="32"/>
  <c r="U169" i="32"/>
  <c r="T169" i="32"/>
  <c r="AN168" i="32"/>
  <c r="AM168" i="32"/>
  <c r="AL168" i="32"/>
  <c r="AK168" i="32"/>
  <c r="AJ168" i="32"/>
  <c r="AI168" i="32"/>
  <c r="AH168" i="32"/>
  <c r="AG168" i="32"/>
  <c r="AF168" i="32"/>
  <c r="AE168" i="32"/>
  <c r="AD168" i="32"/>
  <c r="Y168" i="32"/>
  <c r="W168" i="32"/>
  <c r="V168" i="32"/>
  <c r="U168" i="32"/>
  <c r="T168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Y167" i="32"/>
  <c r="W167" i="32"/>
  <c r="V167" i="32"/>
  <c r="U167" i="32"/>
  <c r="T167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Y166" i="32"/>
  <c r="W166" i="32"/>
  <c r="V166" i="32"/>
  <c r="U166" i="32"/>
  <c r="T166" i="32"/>
  <c r="AN165" i="32"/>
  <c r="AM165" i="32"/>
  <c r="AL165" i="32"/>
  <c r="AK165" i="32"/>
  <c r="AJ165" i="32"/>
  <c r="AI165" i="32"/>
  <c r="AH165" i="32"/>
  <c r="AG165" i="32"/>
  <c r="AF165" i="32"/>
  <c r="AE165" i="32"/>
  <c r="AD165" i="32"/>
  <c r="Y165" i="32"/>
  <c r="W165" i="32"/>
  <c r="V165" i="32"/>
  <c r="U165" i="32"/>
  <c r="T165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Y164" i="32"/>
  <c r="W164" i="32"/>
  <c r="V164" i="32"/>
  <c r="U164" i="32"/>
  <c r="T164" i="32"/>
  <c r="AN163" i="32"/>
  <c r="AM163" i="32"/>
  <c r="AL163" i="32"/>
  <c r="AK163" i="32"/>
  <c r="AJ163" i="32"/>
  <c r="AI163" i="32"/>
  <c r="AH163" i="32"/>
  <c r="AG163" i="32"/>
  <c r="AF163" i="32"/>
  <c r="AE163" i="32"/>
  <c r="AD163" i="32"/>
  <c r="Y163" i="32"/>
  <c r="W163" i="32"/>
  <c r="V163" i="32"/>
  <c r="U163" i="32"/>
  <c r="T163" i="32"/>
  <c r="AN162" i="32"/>
  <c r="AM162" i="32"/>
  <c r="AL162" i="32"/>
  <c r="AK162" i="32"/>
  <c r="AJ162" i="32"/>
  <c r="AI162" i="32"/>
  <c r="AH162" i="32"/>
  <c r="AG162" i="32"/>
  <c r="AF162" i="32"/>
  <c r="AE162" i="32"/>
  <c r="AD162" i="32"/>
  <c r="Y162" i="32"/>
  <c r="W162" i="32"/>
  <c r="V162" i="32"/>
  <c r="U162" i="32"/>
  <c r="T162" i="32"/>
  <c r="AN161" i="32"/>
  <c r="AM161" i="32"/>
  <c r="AL161" i="32"/>
  <c r="AK161" i="32"/>
  <c r="AJ161" i="32"/>
  <c r="AI161" i="32"/>
  <c r="AH161" i="32"/>
  <c r="AG161" i="32"/>
  <c r="AF161" i="32"/>
  <c r="AE161" i="32"/>
  <c r="AD161" i="32"/>
  <c r="Y161" i="32"/>
  <c r="W161" i="32"/>
  <c r="V161" i="32"/>
  <c r="U161" i="32"/>
  <c r="T161" i="32"/>
  <c r="AN160" i="32"/>
  <c r="AM160" i="32"/>
  <c r="AL160" i="32"/>
  <c r="AK160" i="32"/>
  <c r="AJ160" i="32"/>
  <c r="AI160" i="32"/>
  <c r="AH160" i="32"/>
  <c r="AG160" i="32"/>
  <c r="AF160" i="32"/>
  <c r="AE160" i="32"/>
  <c r="AD160" i="32"/>
  <c r="Y160" i="32"/>
  <c r="W160" i="32"/>
  <c r="V160" i="32"/>
  <c r="U160" i="32"/>
  <c r="T160" i="32"/>
  <c r="AN159" i="32"/>
  <c r="AM159" i="32"/>
  <c r="AL159" i="32"/>
  <c r="AK159" i="32"/>
  <c r="AJ159" i="32"/>
  <c r="AI159" i="32"/>
  <c r="AH159" i="32"/>
  <c r="AG159" i="32"/>
  <c r="AF159" i="32"/>
  <c r="AE159" i="32"/>
  <c r="AD159" i="32"/>
  <c r="Y159" i="32"/>
  <c r="W159" i="32"/>
  <c r="V159" i="32"/>
  <c r="U159" i="32"/>
  <c r="T159" i="32"/>
  <c r="AN158" i="32"/>
  <c r="AM158" i="32"/>
  <c r="AL158" i="32"/>
  <c r="AK158" i="32"/>
  <c r="AJ158" i="32"/>
  <c r="AI158" i="32"/>
  <c r="AH158" i="32"/>
  <c r="AG158" i="32"/>
  <c r="AF158" i="32"/>
  <c r="AE158" i="32"/>
  <c r="AD158" i="32"/>
  <c r="Y158" i="32"/>
  <c r="W158" i="32"/>
  <c r="V158" i="32"/>
  <c r="U158" i="32"/>
  <c r="T158" i="32"/>
  <c r="AN157" i="32"/>
  <c r="AM157" i="32"/>
  <c r="AL157" i="32"/>
  <c r="AK157" i="32"/>
  <c r="AJ157" i="32"/>
  <c r="AI157" i="32"/>
  <c r="AH157" i="32"/>
  <c r="AG157" i="32"/>
  <c r="AF157" i="32"/>
  <c r="AE157" i="32"/>
  <c r="AD157" i="32"/>
  <c r="Y157" i="32"/>
  <c r="W157" i="32"/>
  <c r="V157" i="32"/>
  <c r="U157" i="32"/>
  <c r="T157" i="32"/>
  <c r="AN156" i="32"/>
  <c r="AM156" i="32"/>
  <c r="AL156" i="32"/>
  <c r="AK156" i="32"/>
  <c r="AJ156" i="32"/>
  <c r="AI156" i="32"/>
  <c r="AH156" i="32"/>
  <c r="AG156" i="32"/>
  <c r="AF156" i="32"/>
  <c r="AE156" i="32"/>
  <c r="AD156" i="32"/>
  <c r="Y156" i="32"/>
  <c r="W156" i="32"/>
  <c r="V156" i="32"/>
  <c r="U156" i="32"/>
  <c r="T156" i="32"/>
  <c r="AN155" i="32"/>
  <c r="AM155" i="32"/>
  <c r="AL155" i="32"/>
  <c r="AK155" i="32"/>
  <c r="AJ155" i="32"/>
  <c r="AI155" i="32"/>
  <c r="AH155" i="32"/>
  <c r="AG155" i="32"/>
  <c r="AF155" i="32"/>
  <c r="AE155" i="32"/>
  <c r="AD155" i="32"/>
  <c r="Y155" i="32"/>
  <c r="W155" i="32"/>
  <c r="V155" i="32"/>
  <c r="U155" i="32"/>
  <c r="T155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Y154" i="32"/>
  <c r="W154" i="32"/>
  <c r="V154" i="32"/>
  <c r="U154" i="32"/>
  <c r="T154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Y153" i="32"/>
  <c r="W153" i="32"/>
  <c r="V153" i="32"/>
  <c r="U153" i="32"/>
  <c r="T153" i="32"/>
  <c r="AN152" i="32"/>
  <c r="AM152" i="32"/>
  <c r="AL152" i="32"/>
  <c r="AK152" i="32"/>
  <c r="AJ152" i="32"/>
  <c r="AI152" i="32"/>
  <c r="AH152" i="32"/>
  <c r="AG152" i="32"/>
  <c r="AF152" i="32"/>
  <c r="AE152" i="32"/>
  <c r="AD152" i="32"/>
  <c r="Y152" i="32"/>
  <c r="W152" i="32"/>
  <c r="V152" i="32"/>
  <c r="U152" i="32"/>
  <c r="T152" i="32"/>
  <c r="AN151" i="32"/>
  <c r="AM151" i="32"/>
  <c r="AL151" i="32"/>
  <c r="AK151" i="32"/>
  <c r="AJ151" i="32"/>
  <c r="AI151" i="32"/>
  <c r="AH151" i="32"/>
  <c r="AG151" i="32"/>
  <c r="AF151" i="32"/>
  <c r="AE151" i="32"/>
  <c r="AD151" i="32"/>
  <c r="Y151" i="32"/>
  <c r="W151" i="32"/>
  <c r="V151" i="32"/>
  <c r="U151" i="32"/>
  <c r="T151" i="32"/>
  <c r="AN150" i="32"/>
  <c r="AM150" i="32"/>
  <c r="AL150" i="32"/>
  <c r="AK150" i="32"/>
  <c r="AJ150" i="32"/>
  <c r="AI150" i="32"/>
  <c r="AH150" i="32"/>
  <c r="AG150" i="32"/>
  <c r="AF150" i="32"/>
  <c r="AE150" i="32"/>
  <c r="AD150" i="32"/>
  <c r="Y150" i="32"/>
  <c r="W150" i="32"/>
  <c r="V150" i="32"/>
  <c r="U150" i="32"/>
  <c r="T150" i="32"/>
  <c r="AN149" i="32"/>
  <c r="AM149" i="32"/>
  <c r="AL149" i="32"/>
  <c r="AK149" i="32"/>
  <c r="AJ149" i="32"/>
  <c r="AI149" i="32"/>
  <c r="AH149" i="32"/>
  <c r="AG149" i="32"/>
  <c r="AF149" i="32"/>
  <c r="AE149" i="32"/>
  <c r="AD149" i="32"/>
  <c r="Y149" i="32"/>
  <c r="W149" i="32"/>
  <c r="V149" i="32"/>
  <c r="U149" i="32"/>
  <c r="T149" i="32"/>
  <c r="AN148" i="32"/>
  <c r="AM148" i="32"/>
  <c r="AL148" i="32"/>
  <c r="AK148" i="32"/>
  <c r="AJ148" i="32"/>
  <c r="AI148" i="32"/>
  <c r="AH148" i="32"/>
  <c r="AG148" i="32"/>
  <c r="AF148" i="32"/>
  <c r="AE148" i="32"/>
  <c r="AD148" i="32"/>
  <c r="Y148" i="32"/>
  <c r="W148" i="32"/>
  <c r="V148" i="32"/>
  <c r="U148" i="32"/>
  <c r="T148" i="32"/>
  <c r="AN147" i="32"/>
  <c r="AM147" i="32"/>
  <c r="AL147" i="32"/>
  <c r="AK147" i="32"/>
  <c r="AJ147" i="32"/>
  <c r="AI147" i="32"/>
  <c r="AH147" i="32"/>
  <c r="AG147" i="32"/>
  <c r="AF147" i="32"/>
  <c r="AE147" i="32"/>
  <c r="AD147" i="32"/>
  <c r="Y147" i="32"/>
  <c r="W147" i="32"/>
  <c r="V147" i="32"/>
  <c r="U147" i="32"/>
  <c r="T147" i="32"/>
  <c r="AN146" i="32"/>
  <c r="AM146" i="32"/>
  <c r="AL146" i="32"/>
  <c r="AK146" i="32"/>
  <c r="AJ146" i="32"/>
  <c r="AI146" i="32"/>
  <c r="AH146" i="32"/>
  <c r="AG146" i="32"/>
  <c r="AF146" i="32"/>
  <c r="AE146" i="32"/>
  <c r="AD146" i="32"/>
  <c r="Y146" i="32"/>
  <c r="W146" i="32"/>
  <c r="V146" i="32"/>
  <c r="U146" i="32"/>
  <c r="T146" i="32"/>
  <c r="AN145" i="32"/>
  <c r="AM145" i="32"/>
  <c r="AL145" i="32"/>
  <c r="AK145" i="32"/>
  <c r="AJ145" i="32"/>
  <c r="AI145" i="32"/>
  <c r="AH145" i="32"/>
  <c r="AG145" i="32"/>
  <c r="AF145" i="32"/>
  <c r="AE145" i="32"/>
  <c r="AD145" i="32"/>
  <c r="Y145" i="32"/>
  <c r="W145" i="32"/>
  <c r="V145" i="32"/>
  <c r="U145" i="32"/>
  <c r="T145" i="32"/>
  <c r="AN144" i="32"/>
  <c r="AM144" i="32"/>
  <c r="AL144" i="32"/>
  <c r="AK144" i="32"/>
  <c r="AJ144" i="32"/>
  <c r="AI144" i="32"/>
  <c r="AH144" i="32"/>
  <c r="AG144" i="32"/>
  <c r="AF144" i="32"/>
  <c r="AE144" i="32"/>
  <c r="AD144" i="32"/>
  <c r="Y144" i="32"/>
  <c r="W144" i="32"/>
  <c r="V144" i="32"/>
  <c r="U144" i="32"/>
  <c r="T144" i="32"/>
  <c r="AN143" i="32"/>
  <c r="AM143" i="32"/>
  <c r="AL143" i="32"/>
  <c r="AK143" i="32"/>
  <c r="AJ143" i="32"/>
  <c r="AI143" i="32"/>
  <c r="AH143" i="32"/>
  <c r="AG143" i="32"/>
  <c r="AF143" i="32"/>
  <c r="AE143" i="32"/>
  <c r="AD143" i="32"/>
  <c r="Y143" i="32"/>
  <c r="W143" i="32"/>
  <c r="V143" i="32"/>
  <c r="U143" i="32"/>
  <c r="T143" i="32"/>
  <c r="AN142" i="32"/>
  <c r="AM142" i="32"/>
  <c r="AL142" i="32"/>
  <c r="AK142" i="32"/>
  <c r="AJ142" i="32"/>
  <c r="AI142" i="32"/>
  <c r="AH142" i="32"/>
  <c r="AG142" i="32"/>
  <c r="AF142" i="32"/>
  <c r="AE142" i="32"/>
  <c r="AD142" i="32"/>
  <c r="Y142" i="32"/>
  <c r="W142" i="32"/>
  <c r="V142" i="32"/>
  <c r="U142" i="32"/>
  <c r="T142" i="32"/>
  <c r="AN141" i="32"/>
  <c r="AM141" i="32"/>
  <c r="AL141" i="32"/>
  <c r="AK141" i="32"/>
  <c r="AJ141" i="32"/>
  <c r="AI141" i="32"/>
  <c r="AH141" i="32"/>
  <c r="AG141" i="32"/>
  <c r="AF141" i="32"/>
  <c r="AE141" i="32"/>
  <c r="AD141" i="32"/>
  <c r="Y141" i="32"/>
  <c r="W141" i="32"/>
  <c r="V141" i="32"/>
  <c r="U141" i="32"/>
  <c r="T141" i="32"/>
  <c r="AN140" i="32"/>
  <c r="AM140" i="32"/>
  <c r="AL140" i="32"/>
  <c r="AK140" i="32"/>
  <c r="AJ140" i="32"/>
  <c r="AI140" i="32"/>
  <c r="AH140" i="32"/>
  <c r="AG140" i="32"/>
  <c r="AF140" i="32"/>
  <c r="AE140" i="32"/>
  <c r="AD140" i="32"/>
  <c r="Y140" i="32"/>
  <c r="W140" i="32"/>
  <c r="V140" i="32"/>
  <c r="U140" i="32"/>
  <c r="T140" i="32"/>
  <c r="AN139" i="32"/>
  <c r="AM139" i="32"/>
  <c r="AL139" i="32"/>
  <c r="AK139" i="32"/>
  <c r="AJ139" i="32"/>
  <c r="AI139" i="32"/>
  <c r="AH139" i="32"/>
  <c r="AG139" i="32"/>
  <c r="AF139" i="32"/>
  <c r="AE139" i="32"/>
  <c r="AD139" i="32"/>
  <c r="Y139" i="32"/>
  <c r="W139" i="32"/>
  <c r="V139" i="32"/>
  <c r="U139" i="32"/>
  <c r="T139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Y138" i="32"/>
  <c r="W138" i="32"/>
  <c r="V138" i="32"/>
  <c r="U138" i="32"/>
  <c r="T138" i="32"/>
  <c r="AN137" i="32"/>
  <c r="AM137" i="32"/>
  <c r="AL137" i="32"/>
  <c r="AK137" i="32"/>
  <c r="AJ137" i="32"/>
  <c r="AI137" i="32"/>
  <c r="AH137" i="32"/>
  <c r="AG137" i="32"/>
  <c r="AF137" i="32"/>
  <c r="AE137" i="32"/>
  <c r="AD137" i="32"/>
  <c r="Y137" i="32"/>
  <c r="W137" i="32"/>
  <c r="V137" i="32"/>
  <c r="U137" i="32"/>
  <c r="T137" i="32"/>
  <c r="AN136" i="32"/>
  <c r="AM136" i="32"/>
  <c r="AL136" i="32"/>
  <c r="AK136" i="32"/>
  <c r="AJ136" i="32"/>
  <c r="AI136" i="32"/>
  <c r="AH136" i="32"/>
  <c r="AG136" i="32"/>
  <c r="AF136" i="32"/>
  <c r="AE136" i="32"/>
  <c r="AD136" i="32"/>
  <c r="Y136" i="32"/>
  <c r="W136" i="32"/>
  <c r="V136" i="32"/>
  <c r="U136" i="32"/>
  <c r="T136" i="32"/>
  <c r="AN135" i="32"/>
  <c r="AM135" i="32"/>
  <c r="AL135" i="32"/>
  <c r="AK135" i="32"/>
  <c r="AJ135" i="32"/>
  <c r="AI135" i="32"/>
  <c r="AH135" i="32"/>
  <c r="AG135" i="32"/>
  <c r="AF135" i="32"/>
  <c r="AE135" i="32"/>
  <c r="AD135" i="32"/>
  <c r="Y135" i="32"/>
  <c r="W135" i="32"/>
  <c r="V135" i="32"/>
  <c r="U135" i="32"/>
  <c r="T135" i="32"/>
  <c r="AN134" i="32"/>
  <c r="AM134" i="32"/>
  <c r="AL134" i="32"/>
  <c r="AK134" i="32"/>
  <c r="AJ134" i="32"/>
  <c r="AI134" i="32"/>
  <c r="AH134" i="32"/>
  <c r="AG134" i="32"/>
  <c r="AF134" i="32"/>
  <c r="AE134" i="32"/>
  <c r="AD134" i="32"/>
  <c r="Y134" i="32"/>
  <c r="W134" i="32"/>
  <c r="V134" i="32"/>
  <c r="U134" i="32"/>
  <c r="T134" i="32"/>
  <c r="AN133" i="32"/>
  <c r="AM133" i="32"/>
  <c r="AL133" i="32"/>
  <c r="AK133" i="32"/>
  <c r="AJ133" i="32"/>
  <c r="AI133" i="32"/>
  <c r="AH133" i="32"/>
  <c r="AG133" i="32"/>
  <c r="AF133" i="32"/>
  <c r="AE133" i="32"/>
  <c r="AD133" i="32"/>
  <c r="Y133" i="32"/>
  <c r="W133" i="32"/>
  <c r="V133" i="32"/>
  <c r="U133" i="32"/>
  <c r="T133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Y132" i="32"/>
  <c r="W132" i="32"/>
  <c r="V132" i="32"/>
  <c r="U132" i="32"/>
  <c r="T132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Y131" i="32"/>
  <c r="W131" i="32"/>
  <c r="V131" i="32"/>
  <c r="U131" i="32"/>
  <c r="T131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Y130" i="32"/>
  <c r="W130" i="32"/>
  <c r="V130" i="32"/>
  <c r="U130" i="32"/>
  <c r="T130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Y129" i="32"/>
  <c r="W129" i="32"/>
  <c r="V129" i="32"/>
  <c r="U129" i="32"/>
  <c r="T129" i="32"/>
  <c r="AN128" i="32"/>
  <c r="AM128" i="32"/>
  <c r="AL128" i="32"/>
  <c r="AK128" i="32"/>
  <c r="AJ128" i="32"/>
  <c r="AI128" i="32"/>
  <c r="AH128" i="32"/>
  <c r="AG128" i="32"/>
  <c r="AF128" i="32"/>
  <c r="AE128" i="32"/>
  <c r="AD128" i="32"/>
  <c r="Y128" i="32"/>
  <c r="W128" i="32"/>
  <c r="V128" i="32"/>
  <c r="U128" i="32"/>
  <c r="T128" i="32"/>
  <c r="AN127" i="32"/>
  <c r="AM127" i="32"/>
  <c r="AL127" i="32"/>
  <c r="AK127" i="32"/>
  <c r="AJ127" i="32"/>
  <c r="AI127" i="32"/>
  <c r="AH127" i="32"/>
  <c r="AG127" i="32"/>
  <c r="AF127" i="32"/>
  <c r="AE127" i="32"/>
  <c r="AD127" i="32"/>
  <c r="Y127" i="32"/>
  <c r="W127" i="32"/>
  <c r="V127" i="32"/>
  <c r="U127" i="32"/>
  <c r="T127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Y126" i="32"/>
  <c r="W126" i="32"/>
  <c r="V126" i="32"/>
  <c r="U126" i="32"/>
  <c r="T126" i="32"/>
  <c r="AN125" i="32"/>
  <c r="AM125" i="32"/>
  <c r="AL125" i="32"/>
  <c r="AK125" i="32"/>
  <c r="AJ125" i="32"/>
  <c r="AI125" i="32"/>
  <c r="AH125" i="32"/>
  <c r="AG125" i="32"/>
  <c r="AF125" i="32"/>
  <c r="AE125" i="32"/>
  <c r="AD125" i="32"/>
  <c r="Y125" i="32"/>
  <c r="W125" i="32"/>
  <c r="V125" i="32"/>
  <c r="U125" i="32"/>
  <c r="T125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Y124" i="32"/>
  <c r="W124" i="32"/>
  <c r="V124" i="32"/>
  <c r="U124" i="32"/>
  <c r="T124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Y123" i="32"/>
  <c r="W123" i="32"/>
  <c r="V123" i="32"/>
  <c r="U123" i="32"/>
  <c r="T123" i="32"/>
  <c r="AN122" i="32"/>
  <c r="AM122" i="32"/>
  <c r="AL122" i="32"/>
  <c r="AK122" i="32"/>
  <c r="AJ122" i="32"/>
  <c r="AI122" i="32"/>
  <c r="AH122" i="32"/>
  <c r="AG122" i="32"/>
  <c r="AF122" i="32"/>
  <c r="AE122" i="32"/>
  <c r="AD122" i="32"/>
  <c r="Y122" i="32"/>
  <c r="W122" i="32"/>
  <c r="V122" i="32"/>
  <c r="U122" i="32"/>
  <c r="T122" i="32"/>
  <c r="AN121" i="32"/>
  <c r="AM121" i="32"/>
  <c r="AL121" i="32"/>
  <c r="AK121" i="32"/>
  <c r="AJ121" i="32"/>
  <c r="AI121" i="32"/>
  <c r="AH121" i="32"/>
  <c r="AG121" i="32"/>
  <c r="AF121" i="32"/>
  <c r="AE121" i="32"/>
  <c r="AD121" i="32"/>
  <c r="Y121" i="32"/>
  <c r="W121" i="32"/>
  <c r="V121" i="32"/>
  <c r="U121" i="32"/>
  <c r="T121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Y120" i="32"/>
  <c r="W120" i="32"/>
  <c r="V120" i="32"/>
  <c r="U120" i="32"/>
  <c r="T120" i="32"/>
  <c r="AN119" i="32"/>
  <c r="AM119" i="32"/>
  <c r="AL119" i="32"/>
  <c r="AK119" i="32"/>
  <c r="AJ119" i="32"/>
  <c r="AI119" i="32"/>
  <c r="AH119" i="32"/>
  <c r="AG119" i="32"/>
  <c r="AF119" i="32"/>
  <c r="AE119" i="32"/>
  <c r="AD119" i="32"/>
  <c r="Y119" i="32"/>
  <c r="W119" i="32"/>
  <c r="V119" i="32"/>
  <c r="U119" i="32"/>
  <c r="T119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Y118" i="32"/>
  <c r="W118" i="32"/>
  <c r="V118" i="32"/>
  <c r="U118" i="32"/>
  <c r="T118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Y117" i="32"/>
  <c r="W117" i="32"/>
  <c r="V117" i="32"/>
  <c r="U117" i="32"/>
  <c r="T117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Y116" i="32"/>
  <c r="W116" i="32"/>
  <c r="V116" i="32"/>
  <c r="U116" i="32"/>
  <c r="T116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Y115" i="32"/>
  <c r="W115" i="32"/>
  <c r="V115" i="32"/>
  <c r="U115" i="32"/>
  <c r="T115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Y114" i="32"/>
  <c r="W114" i="32"/>
  <c r="V114" i="32"/>
  <c r="U114" i="32"/>
  <c r="T114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Y113" i="32"/>
  <c r="W113" i="32"/>
  <c r="V113" i="32"/>
  <c r="U113" i="32"/>
  <c r="T113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Y112" i="32"/>
  <c r="W112" i="32"/>
  <c r="V112" i="32"/>
  <c r="U112" i="32"/>
  <c r="T112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Y111" i="32"/>
  <c r="W111" i="32"/>
  <c r="V111" i="32"/>
  <c r="U111" i="32"/>
  <c r="T111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Y110" i="32"/>
  <c r="W110" i="32"/>
  <c r="V110" i="32"/>
  <c r="U110" i="32"/>
  <c r="T110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Y109" i="32"/>
  <c r="W109" i="32"/>
  <c r="V109" i="32"/>
  <c r="U109" i="32"/>
  <c r="T109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Y108" i="32"/>
  <c r="W108" i="32"/>
  <c r="V108" i="32"/>
  <c r="U108" i="32"/>
  <c r="T108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Y107" i="32"/>
  <c r="W107" i="32"/>
  <c r="V107" i="32"/>
  <c r="U107" i="32"/>
  <c r="T107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Y106" i="32"/>
  <c r="W106" i="32"/>
  <c r="V106" i="32"/>
  <c r="U106" i="32"/>
  <c r="T106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Y105" i="32"/>
  <c r="W105" i="32"/>
  <c r="V105" i="32"/>
  <c r="U105" i="32"/>
  <c r="T105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Y104" i="32"/>
  <c r="W104" i="32"/>
  <c r="V104" i="32"/>
  <c r="U104" i="32"/>
  <c r="T104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Y103" i="32"/>
  <c r="W103" i="32"/>
  <c r="V103" i="32"/>
  <c r="U103" i="32"/>
  <c r="T103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Y102" i="32"/>
  <c r="W102" i="32"/>
  <c r="V102" i="32"/>
  <c r="U102" i="32"/>
  <c r="T102" i="32"/>
  <c r="AN101" i="32"/>
  <c r="AM101" i="32"/>
  <c r="AL101" i="32"/>
  <c r="AK101" i="32"/>
  <c r="AJ101" i="32"/>
  <c r="AI101" i="32"/>
  <c r="AH101" i="32"/>
  <c r="AG101" i="32"/>
  <c r="AF101" i="32"/>
  <c r="AE101" i="32"/>
  <c r="AD101" i="32"/>
  <c r="Y101" i="32"/>
  <c r="W101" i="32"/>
  <c r="V101" i="32"/>
  <c r="U101" i="32"/>
  <c r="T101" i="32"/>
  <c r="AN100" i="32"/>
  <c r="AM100" i="32"/>
  <c r="AL100" i="32"/>
  <c r="AK100" i="32"/>
  <c r="AJ100" i="32"/>
  <c r="AI100" i="32"/>
  <c r="AH100" i="32"/>
  <c r="AG100" i="32"/>
  <c r="AF100" i="32"/>
  <c r="AE100" i="32"/>
  <c r="AD100" i="32"/>
  <c r="Y100" i="32"/>
  <c r="W100" i="32"/>
  <c r="V100" i="32"/>
  <c r="U100" i="32"/>
  <c r="T100" i="32"/>
  <c r="AN99" i="32"/>
  <c r="AM99" i="32"/>
  <c r="AL99" i="32"/>
  <c r="AK99" i="32"/>
  <c r="AJ99" i="32"/>
  <c r="AI99" i="32"/>
  <c r="AH99" i="32"/>
  <c r="AG99" i="32"/>
  <c r="AF99" i="32"/>
  <c r="AE99" i="32"/>
  <c r="AD99" i="32"/>
  <c r="Y99" i="32"/>
  <c r="W99" i="32"/>
  <c r="V99" i="32"/>
  <c r="U99" i="32"/>
  <c r="T99" i="32"/>
  <c r="AN98" i="32"/>
  <c r="AM98" i="32"/>
  <c r="AL98" i="32"/>
  <c r="AK98" i="32"/>
  <c r="AJ98" i="32"/>
  <c r="AI98" i="32"/>
  <c r="AH98" i="32"/>
  <c r="AG98" i="32"/>
  <c r="AF98" i="32"/>
  <c r="AE98" i="32"/>
  <c r="AD98" i="32"/>
  <c r="Y98" i="32"/>
  <c r="W98" i="32"/>
  <c r="V98" i="32"/>
  <c r="U98" i="32"/>
  <c r="T98" i="32"/>
  <c r="AN97" i="32"/>
  <c r="AM97" i="32"/>
  <c r="AL97" i="32"/>
  <c r="AK97" i="32"/>
  <c r="AJ97" i="32"/>
  <c r="AI97" i="32"/>
  <c r="AH97" i="32"/>
  <c r="AG97" i="32"/>
  <c r="AF97" i="32"/>
  <c r="AE97" i="32"/>
  <c r="AD97" i="32"/>
  <c r="Y97" i="32"/>
  <c r="W97" i="32"/>
  <c r="V97" i="32"/>
  <c r="U97" i="32"/>
  <c r="T97" i="32"/>
  <c r="AN96" i="32"/>
  <c r="AM96" i="32"/>
  <c r="AL96" i="32"/>
  <c r="AK96" i="32"/>
  <c r="AJ96" i="32"/>
  <c r="AI96" i="32"/>
  <c r="AH96" i="32"/>
  <c r="AG96" i="32"/>
  <c r="AF96" i="32"/>
  <c r="AE96" i="32"/>
  <c r="AD96" i="32"/>
  <c r="Y96" i="32"/>
  <c r="W96" i="32"/>
  <c r="V96" i="32"/>
  <c r="U96" i="32"/>
  <c r="T96" i="32"/>
  <c r="AN95" i="32"/>
  <c r="AM95" i="32"/>
  <c r="AL95" i="32"/>
  <c r="AK95" i="32"/>
  <c r="AJ95" i="32"/>
  <c r="AI95" i="32"/>
  <c r="AH95" i="32"/>
  <c r="AG95" i="32"/>
  <c r="AF95" i="32"/>
  <c r="AE95" i="32"/>
  <c r="AD95" i="32"/>
  <c r="Y95" i="32"/>
  <c r="W95" i="32"/>
  <c r="V95" i="32"/>
  <c r="U95" i="32"/>
  <c r="T95" i="32"/>
  <c r="AN94" i="32"/>
  <c r="AM94" i="32"/>
  <c r="AL94" i="32"/>
  <c r="AK94" i="32"/>
  <c r="AJ94" i="32"/>
  <c r="AI94" i="32"/>
  <c r="AH94" i="32"/>
  <c r="AG94" i="32"/>
  <c r="AF94" i="32"/>
  <c r="AE94" i="32"/>
  <c r="AD94" i="32"/>
  <c r="Y94" i="32"/>
  <c r="W94" i="32"/>
  <c r="V94" i="32"/>
  <c r="U94" i="32"/>
  <c r="T94" i="32"/>
  <c r="AN93" i="32"/>
  <c r="AM93" i="32"/>
  <c r="AL93" i="32"/>
  <c r="AK93" i="32"/>
  <c r="AJ93" i="32"/>
  <c r="AI93" i="32"/>
  <c r="AH93" i="32"/>
  <c r="AG93" i="32"/>
  <c r="AF93" i="32"/>
  <c r="AE93" i="32"/>
  <c r="AD93" i="32"/>
  <c r="Y93" i="32"/>
  <c r="W93" i="32"/>
  <c r="V93" i="32"/>
  <c r="U93" i="32"/>
  <c r="T93" i="32"/>
  <c r="AN92" i="32"/>
  <c r="AM92" i="32"/>
  <c r="AL92" i="32"/>
  <c r="AK92" i="32"/>
  <c r="AJ92" i="32"/>
  <c r="AI92" i="32"/>
  <c r="AH92" i="32"/>
  <c r="AG92" i="32"/>
  <c r="AF92" i="32"/>
  <c r="AE92" i="32"/>
  <c r="AD92" i="32"/>
  <c r="Y92" i="32"/>
  <c r="W92" i="32"/>
  <c r="V92" i="32"/>
  <c r="U92" i="32"/>
  <c r="T92" i="32"/>
  <c r="AN91" i="32"/>
  <c r="AM91" i="32"/>
  <c r="AL91" i="32"/>
  <c r="AK91" i="32"/>
  <c r="AJ91" i="32"/>
  <c r="AI91" i="32"/>
  <c r="AH91" i="32"/>
  <c r="AG91" i="32"/>
  <c r="AF91" i="32"/>
  <c r="AE91" i="32"/>
  <c r="AD91" i="32"/>
  <c r="Y91" i="32"/>
  <c r="W91" i="32"/>
  <c r="V91" i="32"/>
  <c r="U91" i="32"/>
  <c r="T91" i="32"/>
  <c r="AN90" i="32"/>
  <c r="AM90" i="32"/>
  <c r="AL90" i="32"/>
  <c r="AK90" i="32"/>
  <c r="AJ90" i="32"/>
  <c r="AI90" i="32"/>
  <c r="AH90" i="32"/>
  <c r="AG90" i="32"/>
  <c r="AF90" i="32"/>
  <c r="AE90" i="32"/>
  <c r="AD90" i="32"/>
  <c r="Y90" i="32"/>
  <c r="W90" i="32"/>
  <c r="V90" i="32"/>
  <c r="U90" i="32"/>
  <c r="T90" i="32"/>
  <c r="AN89" i="32"/>
  <c r="AM89" i="32"/>
  <c r="AL89" i="32"/>
  <c r="AK89" i="32"/>
  <c r="AJ89" i="32"/>
  <c r="AI89" i="32"/>
  <c r="AH89" i="32"/>
  <c r="AG89" i="32"/>
  <c r="AF89" i="32"/>
  <c r="AE89" i="32"/>
  <c r="AD89" i="32"/>
  <c r="Y89" i="32"/>
  <c r="W89" i="32"/>
  <c r="V89" i="32"/>
  <c r="U89" i="32"/>
  <c r="T89" i="32"/>
  <c r="AN88" i="32"/>
  <c r="AM88" i="32"/>
  <c r="AL88" i="32"/>
  <c r="AK88" i="32"/>
  <c r="AJ88" i="32"/>
  <c r="AI88" i="32"/>
  <c r="AH88" i="32"/>
  <c r="AG88" i="32"/>
  <c r="AF88" i="32"/>
  <c r="AE88" i="32"/>
  <c r="AD88" i="32"/>
  <c r="Y88" i="32"/>
  <c r="W88" i="32"/>
  <c r="V88" i="32"/>
  <c r="U88" i="32"/>
  <c r="T88" i="32"/>
  <c r="AN87" i="32"/>
  <c r="AM87" i="32"/>
  <c r="AL87" i="32"/>
  <c r="AK87" i="32"/>
  <c r="AJ87" i="32"/>
  <c r="AI87" i="32"/>
  <c r="AH87" i="32"/>
  <c r="AG87" i="32"/>
  <c r="AF87" i="32"/>
  <c r="AE87" i="32"/>
  <c r="AD87" i="32"/>
  <c r="Y87" i="32"/>
  <c r="W87" i="32"/>
  <c r="V87" i="32"/>
  <c r="U87" i="32"/>
  <c r="T87" i="32"/>
  <c r="AN86" i="32"/>
  <c r="AM86" i="32"/>
  <c r="AL86" i="32"/>
  <c r="AK86" i="32"/>
  <c r="AJ86" i="32"/>
  <c r="AI86" i="32"/>
  <c r="AH86" i="32"/>
  <c r="AG86" i="32"/>
  <c r="AF86" i="32"/>
  <c r="AE86" i="32"/>
  <c r="AD86" i="32"/>
  <c r="Y86" i="32"/>
  <c r="W86" i="32"/>
  <c r="V86" i="32"/>
  <c r="U86" i="32"/>
  <c r="T86" i="32"/>
  <c r="AN85" i="32"/>
  <c r="AM85" i="32"/>
  <c r="AL85" i="32"/>
  <c r="AK85" i="32"/>
  <c r="AJ85" i="32"/>
  <c r="AI85" i="32"/>
  <c r="AH85" i="32"/>
  <c r="AG85" i="32"/>
  <c r="AF85" i="32"/>
  <c r="AE85" i="32"/>
  <c r="AD85" i="32"/>
  <c r="Y85" i="32"/>
  <c r="W85" i="32"/>
  <c r="V85" i="32"/>
  <c r="U85" i="32"/>
  <c r="T85" i="32"/>
  <c r="AN84" i="32"/>
  <c r="AM84" i="32"/>
  <c r="AL84" i="32"/>
  <c r="AK84" i="32"/>
  <c r="AJ84" i="32"/>
  <c r="AI84" i="32"/>
  <c r="AH84" i="32"/>
  <c r="AG84" i="32"/>
  <c r="AF84" i="32"/>
  <c r="AE84" i="32"/>
  <c r="AD84" i="32"/>
  <c r="Y84" i="32"/>
  <c r="W84" i="32"/>
  <c r="V84" i="32"/>
  <c r="U84" i="32"/>
  <c r="T84" i="32"/>
  <c r="AN83" i="32"/>
  <c r="AM83" i="32"/>
  <c r="AL83" i="32"/>
  <c r="AK83" i="32"/>
  <c r="AJ83" i="32"/>
  <c r="AI83" i="32"/>
  <c r="AH83" i="32"/>
  <c r="AG83" i="32"/>
  <c r="AF83" i="32"/>
  <c r="AE83" i="32"/>
  <c r="AD83" i="32"/>
  <c r="Y83" i="32"/>
  <c r="W83" i="32"/>
  <c r="V83" i="32"/>
  <c r="U83" i="32"/>
  <c r="T83" i="32"/>
  <c r="AN82" i="32"/>
  <c r="AM82" i="32"/>
  <c r="AL82" i="32"/>
  <c r="AK82" i="32"/>
  <c r="AJ82" i="32"/>
  <c r="AI82" i="32"/>
  <c r="AH82" i="32"/>
  <c r="AG82" i="32"/>
  <c r="AF82" i="32"/>
  <c r="AE82" i="32"/>
  <c r="AD82" i="32"/>
  <c r="Y82" i="32"/>
  <c r="W82" i="32"/>
  <c r="V82" i="32"/>
  <c r="U82" i="32"/>
  <c r="T82" i="32"/>
  <c r="AN81" i="32"/>
  <c r="AM81" i="32"/>
  <c r="AL81" i="32"/>
  <c r="AK81" i="32"/>
  <c r="AJ81" i="32"/>
  <c r="AI81" i="32"/>
  <c r="AH81" i="32"/>
  <c r="AG81" i="32"/>
  <c r="AF81" i="32"/>
  <c r="AE81" i="32"/>
  <c r="AD81" i="32"/>
  <c r="Y81" i="32"/>
  <c r="W81" i="32"/>
  <c r="V81" i="32"/>
  <c r="U81" i="32"/>
  <c r="T81" i="32"/>
  <c r="AN80" i="32"/>
  <c r="AM80" i="32"/>
  <c r="AL80" i="32"/>
  <c r="AK80" i="32"/>
  <c r="AJ80" i="32"/>
  <c r="AI80" i="32"/>
  <c r="AH80" i="32"/>
  <c r="AG80" i="32"/>
  <c r="AF80" i="32"/>
  <c r="AE80" i="32"/>
  <c r="AD80" i="32"/>
  <c r="Y80" i="32"/>
  <c r="W80" i="32"/>
  <c r="V80" i="32"/>
  <c r="U80" i="32"/>
  <c r="T80" i="32"/>
  <c r="AN79" i="32"/>
  <c r="AM79" i="32"/>
  <c r="AL79" i="32"/>
  <c r="AK79" i="32"/>
  <c r="AJ79" i="32"/>
  <c r="AI79" i="32"/>
  <c r="AH79" i="32"/>
  <c r="AG79" i="32"/>
  <c r="AF79" i="32"/>
  <c r="AE79" i="32"/>
  <c r="AD79" i="32"/>
  <c r="Y79" i="32"/>
  <c r="W79" i="32"/>
  <c r="V79" i="32"/>
  <c r="U79" i="32"/>
  <c r="T79" i="32"/>
  <c r="AN78" i="32"/>
  <c r="AM78" i="32"/>
  <c r="AL78" i="32"/>
  <c r="AK78" i="32"/>
  <c r="AJ78" i="32"/>
  <c r="AI78" i="32"/>
  <c r="AH78" i="32"/>
  <c r="AG78" i="32"/>
  <c r="AF78" i="32"/>
  <c r="AE78" i="32"/>
  <c r="AD78" i="32"/>
  <c r="Y78" i="32"/>
  <c r="W78" i="32"/>
  <c r="V78" i="32"/>
  <c r="U78" i="32"/>
  <c r="T78" i="32"/>
  <c r="AN77" i="32"/>
  <c r="AM77" i="32"/>
  <c r="AL77" i="32"/>
  <c r="AK77" i="32"/>
  <c r="AJ77" i="32"/>
  <c r="AI77" i="32"/>
  <c r="AH77" i="32"/>
  <c r="AG77" i="32"/>
  <c r="AF77" i="32"/>
  <c r="AE77" i="32"/>
  <c r="AD77" i="32"/>
  <c r="Y77" i="32"/>
  <c r="W77" i="32"/>
  <c r="V77" i="32"/>
  <c r="U77" i="32"/>
  <c r="T77" i="32"/>
  <c r="AN76" i="32"/>
  <c r="AM76" i="32"/>
  <c r="AL76" i="32"/>
  <c r="AK76" i="32"/>
  <c r="AJ76" i="32"/>
  <c r="AI76" i="32"/>
  <c r="AH76" i="32"/>
  <c r="AG76" i="32"/>
  <c r="AF76" i="32"/>
  <c r="AE76" i="32"/>
  <c r="AD76" i="32"/>
  <c r="Y76" i="32"/>
  <c r="W76" i="32"/>
  <c r="V76" i="32"/>
  <c r="U76" i="32"/>
  <c r="T76" i="32"/>
  <c r="AN75" i="32"/>
  <c r="AM75" i="32"/>
  <c r="AL75" i="32"/>
  <c r="AK75" i="32"/>
  <c r="AJ75" i="32"/>
  <c r="AI75" i="32"/>
  <c r="AH75" i="32"/>
  <c r="AG75" i="32"/>
  <c r="AF75" i="32"/>
  <c r="AE75" i="32"/>
  <c r="AD75" i="32"/>
  <c r="Y75" i="32"/>
  <c r="W75" i="32"/>
  <c r="V75" i="32"/>
  <c r="U75" i="32"/>
  <c r="T75" i="32"/>
  <c r="AN74" i="32"/>
  <c r="AM74" i="32"/>
  <c r="AL74" i="32"/>
  <c r="AK74" i="32"/>
  <c r="AJ74" i="32"/>
  <c r="AI74" i="32"/>
  <c r="AH74" i="32"/>
  <c r="AG74" i="32"/>
  <c r="AF74" i="32"/>
  <c r="AE74" i="32"/>
  <c r="AD74" i="32"/>
  <c r="Y74" i="32"/>
  <c r="W74" i="32"/>
  <c r="V74" i="32"/>
  <c r="U74" i="32"/>
  <c r="T74" i="32"/>
  <c r="AN73" i="32"/>
  <c r="AM73" i="32"/>
  <c r="AL73" i="32"/>
  <c r="AK73" i="32"/>
  <c r="AJ73" i="32"/>
  <c r="AI73" i="32"/>
  <c r="AH73" i="32"/>
  <c r="AG73" i="32"/>
  <c r="AF73" i="32"/>
  <c r="AE73" i="32"/>
  <c r="AD73" i="32"/>
  <c r="Y73" i="32"/>
  <c r="W73" i="32"/>
  <c r="V73" i="32"/>
  <c r="U73" i="32"/>
  <c r="T73" i="32"/>
  <c r="AN72" i="32"/>
  <c r="AM72" i="32"/>
  <c r="AL72" i="32"/>
  <c r="AK72" i="32"/>
  <c r="AJ72" i="32"/>
  <c r="AI72" i="32"/>
  <c r="AH72" i="32"/>
  <c r="AG72" i="32"/>
  <c r="AF72" i="32"/>
  <c r="AE72" i="32"/>
  <c r="AD72" i="32"/>
  <c r="Y72" i="32"/>
  <c r="W72" i="32"/>
  <c r="V72" i="32"/>
  <c r="U72" i="32"/>
  <c r="T72" i="32"/>
  <c r="AN71" i="32"/>
  <c r="AM71" i="32"/>
  <c r="AL71" i="32"/>
  <c r="AK71" i="32"/>
  <c r="AJ71" i="32"/>
  <c r="AI71" i="32"/>
  <c r="AH71" i="32"/>
  <c r="AG71" i="32"/>
  <c r="AF71" i="32"/>
  <c r="AE71" i="32"/>
  <c r="AD71" i="32"/>
  <c r="Y71" i="32"/>
  <c r="W71" i="32"/>
  <c r="V71" i="32"/>
  <c r="U71" i="32"/>
  <c r="T71" i="32"/>
  <c r="AN70" i="32"/>
  <c r="AM70" i="32"/>
  <c r="AL70" i="32"/>
  <c r="AK70" i="32"/>
  <c r="AJ70" i="32"/>
  <c r="AI70" i="32"/>
  <c r="AH70" i="32"/>
  <c r="AG70" i="32"/>
  <c r="AF70" i="32"/>
  <c r="AE70" i="32"/>
  <c r="AD70" i="32"/>
  <c r="Y70" i="32"/>
  <c r="W70" i="32"/>
  <c r="V70" i="32"/>
  <c r="U70" i="32"/>
  <c r="T70" i="32"/>
  <c r="AN69" i="32"/>
  <c r="AM69" i="32"/>
  <c r="AL69" i="32"/>
  <c r="AK69" i="32"/>
  <c r="AJ69" i="32"/>
  <c r="AI69" i="32"/>
  <c r="AH69" i="32"/>
  <c r="AG69" i="32"/>
  <c r="AF69" i="32"/>
  <c r="AE69" i="32"/>
  <c r="AD69" i="32"/>
  <c r="Y69" i="32"/>
  <c r="W69" i="32"/>
  <c r="V69" i="32"/>
  <c r="U69" i="32"/>
  <c r="T69" i="32"/>
  <c r="AN68" i="32"/>
  <c r="AM68" i="32"/>
  <c r="AL68" i="32"/>
  <c r="AK68" i="32"/>
  <c r="AJ68" i="32"/>
  <c r="AI68" i="32"/>
  <c r="AH68" i="32"/>
  <c r="AG68" i="32"/>
  <c r="AF68" i="32"/>
  <c r="AE68" i="32"/>
  <c r="AD68" i="32"/>
  <c r="Y68" i="32"/>
  <c r="W68" i="32"/>
  <c r="V68" i="32"/>
  <c r="U68" i="32"/>
  <c r="T68" i="32"/>
  <c r="AN67" i="32"/>
  <c r="AM67" i="32"/>
  <c r="AL67" i="32"/>
  <c r="AK67" i="32"/>
  <c r="AJ67" i="32"/>
  <c r="AI67" i="32"/>
  <c r="AH67" i="32"/>
  <c r="AG67" i="32"/>
  <c r="AF67" i="32"/>
  <c r="AE67" i="32"/>
  <c r="AD67" i="32"/>
  <c r="Y67" i="32"/>
  <c r="W67" i="32"/>
  <c r="V67" i="32"/>
  <c r="U67" i="32"/>
  <c r="T67" i="32"/>
  <c r="AN66" i="32"/>
  <c r="AM66" i="32"/>
  <c r="AL66" i="32"/>
  <c r="AK66" i="32"/>
  <c r="AJ66" i="32"/>
  <c r="AI66" i="32"/>
  <c r="AH66" i="32"/>
  <c r="AG66" i="32"/>
  <c r="AF66" i="32"/>
  <c r="AE66" i="32"/>
  <c r="AD66" i="32"/>
  <c r="Y66" i="32"/>
  <c r="W66" i="32"/>
  <c r="V66" i="32"/>
  <c r="U66" i="32"/>
  <c r="T66" i="32"/>
  <c r="AN65" i="32"/>
  <c r="AM65" i="32"/>
  <c r="AL65" i="32"/>
  <c r="AK65" i="32"/>
  <c r="AJ65" i="32"/>
  <c r="AI65" i="32"/>
  <c r="AH65" i="32"/>
  <c r="AG65" i="32"/>
  <c r="AF65" i="32"/>
  <c r="AE65" i="32"/>
  <c r="AD65" i="32"/>
  <c r="Y65" i="32"/>
  <c r="W65" i="32"/>
  <c r="V65" i="32"/>
  <c r="U65" i="32"/>
  <c r="T65" i="32"/>
  <c r="AN64" i="32"/>
  <c r="AM64" i="32"/>
  <c r="AL64" i="32"/>
  <c r="AK64" i="32"/>
  <c r="AJ64" i="32"/>
  <c r="AI64" i="32"/>
  <c r="AH64" i="32"/>
  <c r="AG64" i="32"/>
  <c r="AF64" i="32"/>
  <c r="AE64" i="32"/>
  <c r="AD64" i="32"/>
  <c r="Y64" i="32"/>
  <c r="W64" i="32"/>
  <c r="V64" i="32"/>
  <c r="U64" i="32"/>
  <c r="T64" i="32"/>
  <c r="AN63" i="32"/>
  <c r="AM63" i="32"/>
  <c r="AL63" i="32"/>
  <c r="AK63" i="32"/>
  <c r="AJ63" i="32"/>
  <c r="AI63" i="32"/>
  <c r="AH63" i="32"/>
  <c r="AG63" i="32"/>
  <c r="AF63" i="32"/>
  <c r="AE63" i="32"/>
  <c r="AD63" i="32"/>
  <c r="Y63" i="32"/>
  <c r="W63" i="32"/>
  <c r="V63" i="32"/>
  <c r="U63" i="32"/>
  <c r="T63" i="32"/>
  <c r="AN62" i="32"/>
  <c r="AM62" i="32"/>
  <c r="AL62" i="32"/>
  <c r="AK62" i="32"/>
  <c r="AJ62" i="32"/>
  <c r="AI62" i="32"/>
  <c r="AH62" i="32"/>
  <c r="AG62" i="32"/>
  <c r="AF62" i="32"/>
  <c r="AE62" i="32"/>
  <c r="AD62" i="32"/>
  <c r="Y62" i="32"/>
  <c r="W62" i="32"/>
  <c r="V62" i="32"/>
  <c r="U62" i="32"/>
  <c r="T62" i="32"/>
  <c r="AN61" i="32"/>
  <c r="AM61" i="32"/>
  <c r="AL61" i="32"/>
  <c r="AK61" i="32"/>
  <c r="AJ61" i="32"/>
  <c r="AI61" i="32"/>
  <c r="AH61" i="32"/>
  <c r="AG61" i="32"/>
  <c r="AF61" i="32"/>
  <c r="AE61" i="32"/>
  <c r="AD61" i="32"/>
  <c r="Y61" i="32"/>
  <c r="W61" i="32"/>
  <c r="V61" i="32"/>
  <c r="U61" i="32"/>
  <c r="T61" i="32"/>
  <c r="AN60" i="32"/>
  <c r="AM60" i="32"/>
  <c r="AL60" i="32"/>
  <c r="AK60" i="32"/>
  <c r="AJ60" i="32"/>
  <c r="AI60" i="32"/>
  <c r="AH60" i="32"/>
  <c r="AG60" i="32"/>
  <c r="AF60" i="32"/>
  <c r="AE60" i="32"/>
  <c r="AD60" i="32"/>
  <c r="Y60" i="32"/>
  <c r="W60" i="32"/>
  <c r="V60" i="32"/>
  <c r="U60" i="32"/>
  <c r="T60" i="32"/>
  <c r="AN59" i="32"/>
  <c r="AM59" i="32"/>
  <c r="AL59" i="32"/>
  <c r="AK59" i="32"/>
  <c r="AJ59" i="32"/>
  <c r="AI59" i="32"/>
  <c r="AH59" i="32"/>
  <c r="AG59" i="32"/>
  <c r="AF59" i="32"/>
  <c r="AE59" i="32"/>
  <c r="AD59" i="32"/>
  <c r="Y59" i="32"/>
  <c r="W59" i="32"/>
  <c r="V59" i="32"/>
  <c r="U59" i="32"/>
  <c r="T59" i="32"/>
  <c r="AN58" i="32"/>
  <c r="AM58" i="32"/>
  <c r="AL58" i="32"/>
  <c r="AK58" i="32"/>
  <c r="AJ58" i="32"/>
  <c r="AI58" i="32"/>
  <c r="AH58" i="32"/>
  <c r="AG58" i="32"/>
  <c r="AF58" i="32"/>
  <c r="AE58" i="32"/>
  <c r="AD58" i="32"/>
  <c r="Y58" i="32"/>
  <c r="W58" i="32"/>
  <c r="V58" i="32"/>
  <c r="U58" i="32"/>
  <c r="T58" i="32"/>
  <c r="AN57" i="32"/>
  <c r="AM57" i="32"/>
  <c r="AL57" i="32"/>
  <c r="AK57" i="32"/>
  <c r="AJ57" i="32"/>
  <c r="AI57" i="32"/>
  <c r="AH57" i="32"/>
  <c r="AG57" i="32"/>
  <c r="AF57" i="32"/>
  <c r="AE57" i="32"/>
  <c r="AD57" i="32"/>
  <c r="Y57" i="32"/>
  <c r="W57" i="32"/>
  <c r="V57" i="32"/>
  <c r="U57" i="32"/>
  <c r="T57" i="32"/>
  <c r="AN56" i="32"/>
  <c r="AM56" i="32"/>
  <c r="AL56" i="32"/>
  <c r="AK56" i="32"/>
  <c r="AJ56" i="32"/>
  <c r="AI56" i="32"/>
  <c r="AH56" i="32"/>
  <c r="AG56" i="32"/>
  <c r="AF56" i="32"/>
  <c r="AE56" i="32"/>
  <c r="AD56" i="32"/>
  <c r="Y56" i="32"/>
  <c r="W56" i="32"/>
  <c r="V56" i="32"/>
  <c r="U56" i="32"/>
  <c r="T56" i="32"/>
  <c r="AN55" i="32"/>
  <c r="AM55" i="32"/>
  <c r="AL55" i="32"/>
  <c r="AK55" i="32"/>
  <c r="AJ55" i="32"/>
  <c r="AI55" i="32"/>
  <c r="AH55" i="32"/>
  <c r="AG55" i="32"/>
  <c r="AF55" i="32"/>
  <c r="AE55" i="32"/>
  <c r="AD55" i="32"/>
  <c r="Y55" i="32"/>
  <c r="W55" i="32"/>
  <c r="V55" i="32"/>
  <c r="U55" i="32"/>
  <c r="T55" i="32"/>
  <c r="AN54" i="32"/>
  <c r="AM54" i="32"/>
  <c r="AL54" i="32"/>
  <c r="AK54" i="32"/>
  <c r="AJ54" i="32"/>
  <c r="AI54" i="32"/>
  <c r="AH54" i="32"/>
  <c r="AG54" i="32"/>
  <c r="AF54" i="32"/>
  <c r="AE54" i="32"/>
  <c r="AD54" i="32"/>
  <c r="Y54" i="32"/>
  <c r="W54" i="32"/>
  <c r="V54" i="32"/>
  <c r="U54" i="32"/>
  <c r="T54" i="32"/>
  <c r="AN53" i="32"/>
  <c r="AM53" i="32"/>
  <c r="AL53" i="32"/>
  <c r="AK53" i="32"/>
  <c r="AJ53" i="32"/>
  <c r="AI53" i="32"/>
  <c r="AH53" i="32"/>
  <c r="AG53" i="32"/>
  <c r="AF53" i="32"/>
  <c r="AE53" i="32"/>
  <c r="AD53" i="32"/>
  <c r="Y53" i="32"/>
  <c r="W53" i="32"/>
  <c r="V53" i="32"/>
  <c r="U53" i="32"/>
  <c r="T53" i="32"/>
  <c r="AN52" i="32"/>
  <c r="AM52" i="32"/>
  <c r="AL52" i="32"/>
  <c r="AK52" i="32"/>
  <c r="AJ52" i="32"/>
  <c r="AI52" i="32"/>
  <c r="AH52" i="32"/>
  <c r="AG52" i="32"/>
  <c r="AF52" i="32"/>
  <c r="AE52" i="32"/>
  <c r="AD52" i="32"/>
  <c r="Y52" i="32"/>
  <c r="W52" i="32"/>
  <c r="V52" i="32"/>
  <c r="U52" i="32"/>
  <c r="T52" i="32"/>
  <c r="AN51" i="32"/>
  <c r="AM51" i="32"/>
  <c r="AL51" i="32"/>
  <c r="AK51" i="32"/>
  <c r="AJ51" i="32"/>
  <c r="AI51" i="32"/>
  <c r="AH51" i="32"/>
  <c r="AG51" i="32"/>
  <c r="AF51" i="32"/>
  <c r="AE51" i="32"/>
  <c r="AD51" i="32"/>
  <c r="Y51" i="32"/>
  <c r="W51" i="32"/>
  <c r="V51" i="32"/>
  <c r="U51" i="32"/>
  <c r="T51" i="32"/>
  <c r="AN50" i="32"/>
  <c r="AM50" i="32"/>
  <c r="AL50" i="32"/>
  <c r="AK50" i="32"/>
  <c r="AJ50" i="32"/>
  <c r="AI50" i="32"/>
  <c r="AH50" i="32"/>
  <c r="AG50" i="32"/>
  <c r="AF50" i="32"/>
  <c r="AE50" i="32"/>
  <c r="AD50" i="32"/>
  <c r="Y50" i="32"/>
  <c r="W50" i="32"/>
  <c r="V50" i="32"/>
  <c r="U50" i="32"/>
  <c r="T50" i="32"/>
  <c r="AN49" i="32"/>
  <c r="AM49" i="32"/>
  <c r="AL49" i="32"/>
  <c r="AK49" i="32"/>
  <c r="AJ49" i="32"/>
  <c r="AI49" i="32"/>
  <c r="AH49" i="32"/>
  <c r="AG49" i="32"/>
  <c r="AF49" i="32"/>
  <c r="AE49" i="32"/>
  <c r="AD49" i="32"/>
  <c r="Y49" i="32"/>
  <c r="W49" i="32"/>
  <c r="V49" i="32"/>
  <c r="U49" i="32"/>
  <c r="T49" i="32"/>
  <c r="AN48" i="32"/>
  <c r="AM48" i="32"/>
  <c r="AL48" i="32"/>
  <c r="AK48" i="32"/>
  <c r="AJ48" i="32"/>
  <c r="AI48" i="32"/>
  <c r="AH48" i="32"/>
  <c r="AG48" i="32"/>
  <c r="AF48" i="32"/>
  <c r="AE48" i="32"/>
  <c r="AD48" i="32"/>
  <c r="Y48" i="32"/>
  <c r="W48" i="32"/>
  <c r="V48" i="32"/>
  <c r="U48" i="32"/>
  <c r="T48" i="32"/>
  <c r="AN47" i="32"/>
  <c r="AM47" i="32"/>
  <c r="AL47" i="32"/>
  <c r="AK47" i="32"/>
  <c r="AJ47" i="32"/>
  <c r="AI47" i="32"/>
  <c r="AH47" i="32"/>
  <c r="AG47" i="32"/>
  <c r="AF47" i="32"/>
  <c r="AE47" i="32"/>
  <c r="AD47" i="32"/>
  <c r="Y47" i="32"/>
  <c r="W47" i="32"/>
  <c r="V47" i="32"/>
  <c r="U47" i="32"/>
  <c r="T47" i="32"/>
  <c r="AN46" i="32"/>
  <c r="AM46" i="32"/>
  <c r="AL46" i="32"/>
  <c r="AK46" i="32"/>
  <c r="AJ46" i="32"/>
  <c r="AI46" i="32"/>
  <c r="AH46" i="32"/>
  <c r="AG46" i="32"/>
  <c r="AF46" i="32"/>
  <c r="AE46" i="32"/>
  <c r="AD46" i="32"/>
  <c r="Y46" i="32"/>
  <c r="W46" i="32"/>
  <c r="V46" i="32"/>
  <c r="U46" i="32"/>
  <c r="T46" i="32"/>
  <c r="AN45" i="32"/>
  <c r="AM45" i="32"/>
  <c r="AL45" i="32"/>
  <c r="AK45" i="32"/>
  <c r="AJ45" i="32"/>
  <c r="AI45" i="32"/>
  <c r="AH45" i="32"/>
  <c r="AG45" i="32"/>
  <c r="AF45" i="32"/>
  <c r="AE45" i="32"/>
  <c r="AD45" i="32"/>
  <c r="Y45" i="32"/>
  <c r="W45" i="32"/>
  <c r="V45" i="32"/>
  <c r="U45" i="32"/>
  <c r="T45" i="32"/>
  <c r="AN44" i="32"/>
  <c r="AM44" i="32"/>
  <c r="AL44" i="32"/>
  <c r="AK44" i="32"/>
  <c r="AJ44" i="32"/>
  <c r="AI44" i="32"/>
  <c r="AH44" i="32"/>
  <c r="AG44" i="32"/>
  <c r="AF44" i="32"/>
  <c r="AE44" i="32"/>
  <c r="AD44" i="32"/>
  <c r="Y44" i="32"/>
  <c r="W44" i="32"/>
  <c r="V44" i="32"/>
  <c r="U44" i="32"/>
  <c r="T44" i="32"/>
  <c r="AN43" i="32"/>
  <c r="AM43" i="32"/>
  <c r="AL43" i="32"/>
  <c r="AK43" i="32"/>
  <c r="AJ43" i="32"/>
  <c r="AI43" i="32"/>
  <c r="AH43" i="32"/>
  <c r="AG43" i="32"/>
  <c r="AF43" i="32"/>
  <c r="AE43" i="32"/>
  <c r="AD43" i="32"/>
  <c r="Y43" i="32"/>
  <c r="W43" i="32"/>
  <c r="V43" i="32"/>
  <c r="U43" i="32"/>
  <c r="T43" i="32"/>
  <c r="AN42" i="32"/>
  <c r="AM42" i="32"/>
  <c r="AL42" i="32"/>
  <c r="AK42" i="32"/>
  <c r="AJ42" i="32"/>
  <c r="AI42" i="32"/>
  <c r="AH42" i="32"/>
  <c r="AG42" i="32"/>
  <c r="AF42" i="32"/>
  <c r="AE42" i="32"/>
  <c r="AD42" i="32"/>
  <c r="Y42" i="32"/>
  <c r="W42" i="32"/>
  <c r="V42" i="32"/>
  <c r="U42" i="32"/>
  <c r="T42" i="32"/>
  <c r="AN41" i="32"/>
  <c r="AM41" i="32"/>
  <c r="AL41" i="32"/>
  <c r="AK41" i="32"/>
  <c r="AJ41" i="32"/>
  <c r="AI41" i="32"/>
  <c r="AH41" i="32"/>
  <c r="AG41" i="32"/>
  <c r="AF41" i="32"/>
  <c r="AE41" i="32"/>
  <c r="AD41" i="32"/>
  <c r="Y41" i="32"/>
  <c r="W41" i="32"/>
  <c r="V41" i="32"/>
  <c r="U41" i="32"/>
  <c r="T41" i="32"/>
  <c r="AN40" i="32"/>
  <c r="AM40" i="32"/>
  <c r="AL40" i="32"/>
  <c r="AK40" i="32"/>
  <c r="AJ40" i="32"/>
  <c r="AI40" i="32"/>
  <c r="AH40" i="32"/>
  <c r="AG40" i="32"/>
  <c r="AF40" i="32"/>
  <c r="AE40" i="32"/>
  <c r="AD40" i="32"/>
  <c r="Y40" i="32"/>
  <c r="W40" i="32"/>
  <c r="V40" i="32"/>
  <c r="U40" i="32"/>
  <c r="T40" i="32"/>
  <c r="AN39" i="32"/>
  <c r="AM39" i="32"/>
  <c r="AL39" i="32"/>
  <c r="AK39" i="32"/>
  <c r="AJ39" i="32"/>
  <c r="AI39" i="32"/>
  <c r="AH39" i="32"/>
  <c r="AG39" i="32"/>
  <c r="AF39" i="32"/>
  <c r="AE39" i="32"/>
  <c r="AD39" i="32"/>
  <c r="Y39" i="32"/>
  <c r="W39" i="32"/>
  <c r="V39" i="32"/>
  <c r="U39" i="32"/>
  <c r="T39" i="32"/>
  <c r="AN38" i="32"/>
  <c r="AM38" i="32"/>
  <c r="AL38" i="32"/>
  <c r="AK38" i="32"/>
  <c r="AJ38" i="32"/>
  <c r="AI38" i="32"/>
  <c r="AH38" i="32"/>
  <c r="AG38" i="32"/>
  <c r="AF38" i="32"/>
  <c r="AE38" i="32"/>
  <c r="AD38" i="32"/>
  <c r="Y38" i="32"/>
  <c r="W38" i="32"/>
  <c r="V38" i="32"/>
  <c r="U38" i="32"/>
  <c r="T38" i="32"/>
  <c r="AN37" i="32"/>
  <c r="AM37" i="32"/>
  <c r="AL37" i="32"/>
  <c r="AK37" i="32"/>
  <c r="AJ37" i="32"/>
  <c r="AI37" i="32"/>
  <c r="AH37" i="32"/>
  <c r="AG37" i="32"/>
  <c r="AF37" i="32"/>
  <c r="AE37" i="32"/>
  <c r="AD37" i="32"/>
  <c r="Y37" i="32"/>
  <c r="W37" i="32"/>
  <c r="V37" i="32"/>
  <c r="U37" i="32"/>
  <c r="T37" i="32"/>
  <c r="AN36" i="32"/>
  <c r="AM36" i="32"/>
  <c r="AL36" i="32"/>
  <c r="AK36" i="32"/>
  <c r="AJ36" i="32"/>
  <c r="AI36" i="32"/>
  <c r="AH36" i="32"/>
  <c r="AG36" i="32"/>
  <c r="AF36" i="32"/>
  <c r="AE36" i="32"/>
  <c r="AD36" i="32"/>
  <c r="Y36" i="32"/>
  <c r="W36" i="32"/>
  <c r="V36" i="32"/>
  <c r="U36" i="32"/>
  <c r="T36" i="32"/>
  <c r="AN35" i="32"/>
  <c r="AM35" i="32"/>
  <c r="AL35" i="32"/>
  <c r="AK35" i="32"/>
  <c r="AJ35" i="32"/>
  <c r="AI35" i="32"/>
  <c r="AH35" i="32"/>
  <c r="AG35" i="32"/>
  <c r="AF35" i="32"/>
  <c r="AE35" i="32"/>
  <c r="AD35" i="32"/>
  <c r="Y35" i="32"/>
  <c r="W35" i="32"/>
  <c r="V35" i="32"/>
  <c r="U35" i="32"/>
  <c r="T35" i="32"/>
  <c r="AN34" i="32"/>
  <c r="AM34" i="32"/>
  <c r="AL34" i="32"/>
  <c r="AK34" i="32"/>
  <c r="AJ34" i="32"/>
  <c r="AI34" i="32"/>
  <c r="AH34" i="32"/>
  <c r="AG34" i="32"/>
  <c r="AF34" i="32"/>
  <c r="AE34" i="32"/>
  <c r="AD34" i="32"/>
  <c r="Y34" i="32"/>
  <c r="W34" i="32"/>
  <c r="V34" i="32"/>
  <c r="U34" i="32"/>
  <c r="T34" i="32"/>
  <c r="AN33" i="32"/>
  <c r="AM33" i="32"/>
  <c r="AL33" i="32"/>
  <c r="AK33" i="32"/>
  <c r="AJ33" i="32"/>
  <c r="AI33" i="32"/>
  <c r="AH33" i="32"/>
  <c r="AG33" i="32"/>
  <c r="AF33" i="32"/>
  <c r="AE33" i="32"/>
  <c r="AD33" i="32"/>
  <c r="Y33" i="32"/>
  <c r="W33" i="32"/>
  <c r="V33" i="32"/>
  <c r="U33" i="32"/>
  <c r="T33" i="32"/>
  <c r="AN32" i="32"/>
  <c r="AM32" i="32"/>
  <c r="AL32" i="32"/>
  <c r="AK32" i="32"/>
  <c r="AJ32" i="32"/>
  <c r="AI32" i="32"/>
  <c r="AH32" i="32"/>
  <c r="AG32" i="32"/>
  <c r="AF32" i="32"/>
  <c r="AE32" i="32"/>
  <c r="AD32" i="32"/>
  <c r="Y32" i="32"/>
  <c r="W32" i="32"/>
  <c r="V32" i="32"/>
  <c r="U32" i="32"/>
  <c r="T32" i="32"/>
  <c r="AN31" i="32"/>
  <c r="AM31" i="32"/>
  <c r="AL31" i="32"/>
  <c r="AK31" i="32"/>
  <c r="AJ31" i="32"/>
  <c r="AI31" i="32"/>
  <c r="AH31" i="32"/>
  <c r="AG31" i="32"/>
  <c r="AF31" i="32"/>
  <c r="AE31" i="32"/>
  <c r="AD31" i="32"/>
  <c r="Y31" i="32"/>
  <c r="W31" i="32"/>
  <c r="V31" i="32"/>
  <c r="U31" i="32"/>
  <c r="T31" i="32"/>
  <c r="AN30" i="32"/>
  <c r="AM30" i="32"/>
  <c r="AL30" i="32"/>
  <c r="AK30" i="32"/>
  <c r="AJ30" i="32"/>
  <c r="AI30" i="32"/>
  <c r="AH30" i="32"/>
  <c r="AG30" i="32"/>
  <c r="AF30" i="32"/>
  <c r="AE30" i="32"/>
  <c r="AD30" i="32"/>
  <c r="Y30" i="32"/>
  <c r="W30" i="32"/>
  <c r="V30" i="32"/>
  <c r="U30" i="32"/>
  <c r="T30" i="32"/>
  <c r="AN29" i="32"/>
  <c r="AM29" i="32"/>
  <c r="AL29" i="32"/>
  <c r="AK29" i="32"/>
  <c r="AJ29" i="32"/>
  <c r="AI29" i="32"/>
  <c r="AH29" i="32"/>
  <c r="AG29" i="32"/>
  <c r="AF29" i="32"/>
  <c r="AE29" i="32"/>
  <c r="AD29" i="32"/>
  <c r="Y29" i="32"/>
  <c r="W29" i="32"/>
  <c r="V29" i="32"/>
  <c r="U29" i="32"/>
  <c r="T29" i="32"/>
  <c r="AN28" i="32"/>
  <c r="AM28" i="32"/>
  <c r="AL28" i="32"/>
  <c r="AK28" i="32"/>
  <c r="AJ28" i="32"/>
  <c r="AI28" i="32"/>
  <c r="AH28" i="32"/>
  <c r="AG28" i="32"/>
  <c r="AF28" i="32"/>
  <c r="AE28" i="32"/>
  <c r="AD28" i="32"/>
  <c r="Y28" i="32"/>
  <c r="W28" i="32"/>
  <c r="V28" i="32"/>
  <c r="U28" i="32"/>
  <c r="T28" i="32"/>
  <c r="AN27" i="32"/>
  <c r="AM27" i="32"/>
  <c r="AL27" i="32"/>
  <c r="AK27" i="32"/>
  <c r="AJ27" i="32"/>
  <c r="AI27" i="32"/>
  <c r="AH27" i="32"/>
  <c r="AG27" i="32"/>
  <c r="AF27" i="32"/>
  <c r="AE27" i="32"/>
  <c r="AD27" i="32"/>
  <c r="Y27" i="32"/>
  <c r="W27" i="32"/>
  <c r="V27" i="32"/>
  <c r="U27" i="32"/>
  <c r="T27" i="32"/>
  <c r="AN26" i="32"/>
  <c r="AM26" i="32"/>
  <c r="AL26" i="32"/>
  <c r="AK26" i="32"/>
  <c r="AJ26" i="32"/>
  <c r="AI26" i="32"/>
  <c r="AH26" i="32"/>
  <c r="AG26" i="32"/>
  <c r="AF26" i="32"/>
  <c r="AE26" i="32"/>
  <c r="AD26" i="32"/>
  <c r="Y26" i="32"/>
  <c r="W26" i="32"/>
  <c r="V26" i="32"/>
  <c r="U26" i="32"/>
  <c r="T26" i="32"/>
  <c r="AN25" i="32"/>
  <c r="AM25" i="32"/>
  <c r="AL25" i="32"/>
  <c r="AK25" i="32"/>
  <c r="AJ25" i="32"/>
  <c r="AI25" i="32"/>
  <c r="AH25" i="32"/>
  <c r="AG25" i="32"/>
  <c r="AF25" i="32"/>
  <c r="AE25" i="32"/>
  <c r="AD25" i="32"/>
  <c r="Y25" i="32"/>
  <c r="W25" i="32"/>
  <c r="V25" i="32"/>
  <c r="U25" i="32"/>
  <c r="T25" i="32"/>
  <c r="AN24" i="32"/>
  <c r="AM24" i="32"/>
  <c r="AL24" i="32"/>
  <c r="AK24" i="32"/>
  <c r="AJ24" i="32"/>
  <c r="AI24" i="32"/>
  <c r="AH24" i="32"/>
  <c r="AG24" i="32"/>
  <c r="AF24" i="32"/>
  <c r="AE24" i="32"/>
  <c r="AD24" i="32"/>
  <c r="Y24" i="32"/>
  <c r="W24" i="32"/>
  <c r="V24" i="32"/>
  <c r="U24" i="32"/>
  <c r="T24" i="32"/>
  <c r="AN23" i="32"/>
  <c r="AM23" i="32"/>
  <c r="AL23" i="32"/>
  <c r="AK23" i="32"/>
  <c r="AJ23" i="32"/>
  <c r="AI23" i="32"/>
  <c r="AH23" i="32"/>
  <c r="AG23" i="32"/>
  <c r="AF23" i="32"/>
  <c r="AE23" i="32"/>
  <c r="AD23" i="32"/>
  <c r="Y23" i="32"/>
  <c r="W23" i="32"/>
  <c r="V23" i="32"/>
  <c r="U23" i="32"/>
  <c r="T23" i="32"/>
  <c r="AN22" i="32"/>
  <c r="AM22" i="32"/>
  <c r="AL22" i="32"/>
  <c r="AK22" i="32"/>
  <c r="AJ22" i="32"/>
  <c r="AI22" i="32"/>
  <c r="AH22" i="32"/>
  <c r="AG22" i="32"/>
  <c r="AF22" i="32"/>
  <c r="AE22" i="32"/>
  <c r="AD22" i="32"/>
  <c r="Y22" i="32"/>
  <c r="W22" i="32"/>
  <c r="V22" i="32"/>
  <c r="U22" i="32"/>
  <c r="T22" i="32"/>
  <c r="AN21" i="32"/>
  <c r="AM21" i="32"/>
  <c r="AL21" i="32"/>
  <c r="AK21" i="32"/>
  <c r="AJ21" i="32"/>
  <c r="AI21" i="32"/>
  <c r="AH21" i="32"/>
  <c r="AG21" i="32"/>
  <c r="AF21" i="32"/>
  <c r="AE21" i="32"/>
  <c r="AD21" i="32"/>
  <c r="Y21" i="32"/>
  <c r="W21" i="32"/>
  <c r="V21" i="32"/>
  <c r="U21" i="32"/>
  <c r="T21" i="32"/>
  <c r="AN20" i="32"/>
  <c r="AM20" i="32"/>
  <c r="AL20" i="32"/>
  <c r="AK20" i="32"/>
  <c r="AJ20" i="32"/>
  <c r="AI20" i="32"/>
  <c r="AH20" i="32"/>
  <c r="AG20" i="32"/>
  <c r="AF20" i="32"/>
  <c r="AE20" i="32"/>
  <c r="AD20" i="32"/>
  <c r="Y20" i="32"/>
  <c r="W20" i="32"/>
  <c r="V20" i="32"/>
  <c r="U20" i="32"/>
  <c r="T20" i="32"/>
  <c r="AN19" i="32"/>
  <c r="AM19" i="32"/>
  <c r="AL19" i="32"/>
  <c r="AK19" i="32"/>
  <c r="AJ19" i="32"/>
  <c r="AI19" i="32"/>
  <c r="AH19" i="32"/>
  <c r="AG19" i="32"/>
  <c r="AF19" i="32"/>
  <c r="AE19" i="32"/>
  <c r="AD19" i="32"/>
  <c r="Y19" i="32"/>
  <c r="W19" i="32"/>
  <c r="V19" i="32"/>
  <c r="U19" i="32"/>
  <c r="T19" i="32"/>
  <c r="AN18" i="32"/>
  <c r="AM18" i="32"/>
  <c r="AL18" i="32"/>
  <c r="AK18" i="32"/>
  <c r="AJ18" i="32"/>
  <c r="AI18" i="32"/>
  <c r="AH18" i="32"/>
  <c r="AG18" i="32"/>
  <c r="AF18" i="32"/>
  <c r="AE18" i="32"/>
  <c r="AD18" i="32"/>
  <c r="Y18" i="32"/>
  <c r="W18" i="32"/>
  <c r="V18" i="32"/>
  <c r="U18" i="32"/>
  <c r="T18" i="32"/>
  <c r="AN17" i="32"/>
  <c r="AM17" i="32"/>
  <c r="AL17" i="32"/>
  <c r="AK17" i="32"/>
  <c r="AJ17" i="32"/>
  <c r="AI17" i="32"/>
  <c r="AH17" i="32"/>
  <c r="AG17" i="32"/>
  <c r="AF17" i="32"/>
  <c r="AE17" i="32"/>
  <c r="AD17" i="32"/>
  <c r="Y17" i="32"/>
  <c r="W17" i="32"/>
  <c r="V17" i="32"/>
  <c r="U17" i="32"/>
  <c r="T17" i="32"/>
  <c r="AN16" i="32"/>
  <c r="AM16" i="32"/>
  <c r="AL16" i="32"/>
  <c r="AK16" i="32"/>
  <c r="AJ16" i="32"/>
  <c r="AI16" i="32"/>
  <c r="AH16" i="32"/>
  <c r="AG16" i="32"/>
  <c r="AF16" i="32"/>
  <c r="AE16" i="32"/>
  <c r="AD16" i="32"/>
  <c r="Y16" i="32"/>
  <c r="W16" i="32"/>
  <c r="V16" i="32"/>
  <c r="U16" i="32"/>
  <c r="T16" i="32"/>
  <c r="A16" i="32"/>
  <c r="AN15" i="32"/>
  <c r="AM15" i="32"/>
  <c r="AL15" i="32"/>
  <c r="AK15" i="32"/>
  <c r="AJ15" i="32"/>
  <c r="AI15" i="32"/>
  <c r="AH15" i="32"/>
  <c r="AG15" i="32"/>
  <c r="AF15" i="32"/>
  <c r="AE15" i="32"/>
  <c r="AD15" i="32"/>
  <c r="Y15" i="32"/>
  <c r="W15" i="32"/>
  <c r="V15" i="32"/>
  <c r="U15" i="32"/>
  <c r="T15" i="32"/>
  <c r="AN14" i="32"/>
  <c r="AM14" i="32"/>
  <c r="AL14" i="32"/>
  <c r="AK14" i="32"/>
  <c r="AJ14" i="32"/>
  <c r="AI14" i="32"/>
  <c r="AH14" i="32"/>
  <c r="AG14" i="32"/>
  <c r="AF14" i="32"/>
  <c r="AE14" i="32"/>
  <c r="AD14" i="32"/>
  <c r="Y14" i="32"/>
  <c r="W14" i="32"/>
  <c r="V14" i="32"/>
  <c r="U14" i="32"/>
  <c r="T14" i="32"/>
  <c r="A14" i="32"/>
  <c r="AN13" i="32"/>
  <c r="AM13" i="32"/>
  <c r="AL13" i="32"/>
  <c r="AK13" i="32"/>
  <c r="AJ13" i="32"/>
  <c r="AI13" i="32"/>
  <c r="AH13" i="32"/>
  <c r="AG13" i="32"/>
  <c r="AF13" i="32"/>
  <c r="AE13" i="32"/>
  <c r="AD13" i="32"/>
  <c r="Y13" i="32"/>
  <c r="W13" i="32"/>
  <c r="V13" i="32"/>
  <c r="U13" i="32"/>
  <c r="T13" i="32"/>
  <c r="AN12" i="32"/>
  <c r="AM12" i="32"/>
  <c r="AL12" i="32"/>
  <c r="AK12" i="32"/>
  <c r="AJ12" i="32"/>
  <c r="AI12" i="32"/>
  <c r="AH12" i="32"/>
  <c r="AG12" i="32"/>
  <c r="AF12" i="32"/>
  <c r="AE12" i="32"/>
  <c r="AD12" i="32"/>
  <c r="Y12" i="32"/>
  <c r="W12" i="32"/>
  <c r="V12" i="32"/>
  <c r="U12" i="32"/>
  <c r="T12" i="32"/>
  <c r="A12" i="32"/>
  <c r="AN11" i="32"/>
  <c r="AM11" i="32"/>
  <c r="AL11" i="32"/>
  <c r="AK11" i="32"/>
  <c r="AJ11" i="32"/>
  <c r="AI11" i="32"/>
  <c r="AH11" i="32"/>
  <c r="AG11" i="32"/>
  <c r="AF11" i="32"/>
  <c r="AE11" i="32"/>
  <c r="AD11" i="32"/>
  <c r="Y11" i="32"/>
  <c r="W11" i="32"/>
  <c r="V11" i="32"/>
  <c r="U11" i="32"/>
  <c r="T11" i="32"/>
  <c r="AN10" i="32"/>
  <c r="AM10" i="32"/>
  <c r="AL10" i="32"/>
  <c r="AK10" i="32"/>
  <c r="AJ10" i="32"/>
  <c r="AI10" i="32"/>
  <c r="AH10" i="32"/>
  <c r="AG10" i="32"/>
  <c r="AF10" i="32"/>
  <c r="AE10" i="32"/>
  <c r="AD10" i="32"/>
  <c r="Y10" i="32"/>
  <c r="W10" i="32"/>
  <c r="V10" i="32"/>
  <c r="U10" i="32"/>
  <c r="T10" i="32"/>
  <c r="A10" i="32"/>
  <c r="AN9" i="32"/>
  <c r="AM9" i="32"/>
  <c r="AL9" i="32"/>
  <c r="AK9" i="32"/>
  <c r="AJ9" i="32"/>
  <c r="AI9" i="32"/>
  <c r="AH9" i="32"/>
  <c r="AG9" i="32"/>
  <c r="AF9" i="32"/>
  <c r="AE9" i="32"/>
  <c r="AD9" i="32"/>
  <c r="Y9" i="32"/>
  <c r="W9" i="32"/>
  <c r="V9" i="32"/>
  <c r="U9" i="32"/>
  <c r="T9" i="32"/>
  <c r="AN8" i="32"/>
  <c r="AM8" i="32"/>
  <c r="AL8" i="32"/>
  <c r="AK8" i="32"/>
  <c r="AJ8" i="32"/>
  <c r="AI8" i="32"/>
  <c r="AH8" i="32"/>
  <c r="AG8" i="32"/>
  <c r="AF8" i="32"/>
  <c r="AE8" i="32"/>
  <c r="AD8" i="32"/>
  <c r="Y8" i="32"/>
  <c r="W8" i="32"/>
  <c r="V8" i="32"/>
  <c r="U8" i="32"/>
  <c r="T8" i="32"/>
  <c r="AN7" i="32"/>
  <c r="AM7" i="32"/>
  <c r="AL7" i="32"/>
  <c r="AK7" i="32"/>
  <c r="AJ7" i="32"/>
  <c r="AI7" i="32"/>
  <c r="AH7" i="32"/>
  <c r="AG7" i="32"/>
  <c r="AF7" i="32"/>
  <c r="AD7" i="32"/>
  <c r="Y7" i="32"/>
  <c r="W7" i="32"/>
  <c r="V7" i="32"/>
  <c r="U7" i="32"/>
  <c r="T7" i="32"/>
  <c r="AN6" i="32"/>
  <c r="AM6" i="32"/>
  <c r="AL6" i="32"/>
  <c r="AK6" i="32"/>
  <c r="AJ6" i="32"/>
  <c r="AI6" i="32"/>
  <c r="AH6" i="32"/>
  <c r="AG6" i="32"/>
  <c r="AF6" i="32"/>
  <c r="AD6" i="32"/>
  <c r="Y6" i="32"/>
  <c r="W6" i="32"/>
  <c r="V6" i="32"/>
  <c r="U6" i="32"/>
  <c r="T6" i="32"/>
  <c r="A6" i="32"/>
  <c r="AN5" i="32"/>
  <c r="AM5" i="32"/>
  <c r="AL5" i="32"/>
  <c r="AK5" i="32"/>
  <c r="AJ5" i="32"/>
  <c r="AI5" i="32"/>
  <c r="AH5" i="32"/>
  <c r="AG5" i="32"/>
  <c r="AF5" i="32"/>
  <c r="AD5" i="32"/>
  <c r="Y5" i="32"/>
  <c r="W5" i="32"/>
  <c r="V5" i="32"/>
  <c r="U5" i="32"/>
  <c r="T5" i="32"/>
  <c r="F1" i="32"/>
  <c r="AN59" i="31"/>
  <c r="AM59" i="31"/>
  <c r="AL59" i="31"/>
  <c r="AK59" i="31"/>
  <c r="AJ59" i="31"/>
  <c r="AI59" i="31"/>
  <c r="AH59" i="31"/>
  <c r="AG59" i="31"/>
  <c r="AF59" i="31"/>
  <c r="AE59" i="31"/>
  <c r="AD59" i="31"/>
  <c r="Y59" i="31"/>
  <c r="W59" i="31"/>
  <c r="V59" i="31"/>
  <c r="U59" i="31"/>
  <c r="T59" i="31"/>
  <c r="AN58" i="31"/>
  <c r="AM58" i="31"/>
  <c r="AL58" i="31"/>
  <c r="AK58" i="31"/>
  <c r="AJ58" i="31"/>
  <c r="AI58" i="31"/>
  <c r="AH58" i="31"/>
  <c r="AG58" i="31"/>
  <c r="AF58" i="31"/>
  <c r="AE58" i="31"/>
  <c r="AD58" i="31"/>
  <c r="Y58" i="31"/>
  <c r="W58" i="31"/>
  <c r="V58" i="31"/>
  <c r="U58" i="31"/>
  <c r="T58" i="31"/>
  <c r="AN57" i="31"/>
  <c r="AM57" i="31"/>
  <c r="AL57" i="31"/>
  <c r="AK57" i="31"/>
  <c r="AJ57" i="31"/>
  <c r="AI57" i="31"/>
  <c r="AH57" i="31"/>
  <c r="AG57" i="31"/>
  <c r="AF57" i="31"/>
  <c r="AE57" i="31"/>
  <c r="AD57" i="31"/>
  <c r="Y57" i="31"/>
  <c r="W57" i="31"/>
  <c r="V57" i="31"/>
  <c r="U57" i="31"/>
  <c r="T57" i="31"/>
  <c r="AN56" i="31"/>
  <c r="AM56" i="31"/>
  <c r="AL56" i="31"/>
  <c r="AK56" i="31"/>
  <c r="AJ56" i="31"/>
  <c r="AI56" i="31"/>
  <c r="AH56" i="31"/>
  <c r="AG56" i="31"/>
  <c r="AF56" i="31"/>
  <c r="AE56" i="31"/>
  <c r="AD56" i="31"/>
  <c r="Y56" i="31"/>
  <c r="W56" i="31"/>
  <c r="V56" i="31"/>
  <c r="U56" i="31"/>
  <c r="T56" i="31"/>
  <c r="AN55" i="31"/>
  <c r="AM55" i="31"/>
  <c r="AL55" i="31"/>
  <c r="AK55" i="31"/>
  <c r="AJ55" i="31"/>
  <c r="AI55" i="31"/>
  <c r="AH55" i="31"/>
  <c r="AG55" i="31"/>
  <c r="AF55" i="31"/>
  <c r="AE55" i="31"/>
  <c r="AD55" i="31"/>
  <c r="Y55" i="31"/>
  <c r="W55" i="31"/>
  <c r="V55" i="31"/>
  <c r="U55" i="31"/>
  <c r="T55" i="31"/>
  <c r="AN54" i="31"/>
  <c r="AM54" i="31"/>
  <c r="AL54" i="31"/>
  <c r="AK54" i="31"/>
  <c r="AJ54" i="31"/>
  <c r="AI54" i="31"/>
  <c r="AH54" i="31"/>
  <c r="AG54" i="31"/>
  <c r="AF54" i="31"/>
  <c r="AE54" i="31"/>
  <c r="AD54" i="31"/>
  <c r="Y54" i="31"/>
  <c r="W54" i="31"/>
  <c r="V54" i="31"/>
  <c r="U54" i="31"/>
  <c r="T54" i="31"/>
  <c r="AN53" i="31"/>
  <c r="AM53" i="31"/>
  <c r="AL53" i="31"/>
  <c r="AK53" i="31"/>
  <c r="AJ53" i="31"/>
  <c r="AI53" i="31"/>
  <c r="AH53" i="31"/>
  <c r="AG53" i="31"/>
  <c r="AF53" i="31"/>
  <c r="AE53" i="31"/>
  <c r="AD53" i="31"/>
  <c r="Y53" i="31"/>
  <c r="W53" i="31"/>
  <c r="V53" i="31"/>
  <c r="U53" i="31"/>
  <c r="T53" i="31"/>
  <c r="AN52" i="31"/>
  <c r="AM52" i="31"/>
  <c r="AL52" i="31"/>
  <c r="AK52" i="31"/>
  <c r="AJ52" i="31"/>
  <c r="AI52" i="31"/>
  <c r="AH52" i="31"/>
  <c r="AG52" i="31"/>
  <c r="AF52" i="31"/>
  <c r="AE52" i="31"/>
  <c r="AD52" i="31"/>
  <c r="Y52" i="31"/>
  <c r="W52" i="31"/>
  <c r="V52" i="31"/>
  <c r="U52" i="31"/>
  <c r="T52" i="31"/>
  <c r="AN51" i="31"/>
  <c r="AM51" i="31"/>
  <c r="AL51" i="31"/>
  <c r="AK51" i="31"/>
  <c r="AJ51" i="31"/>
  <c r="AI51" i="31"/>
  <c r="AH51" i="31"/>
  <c r="AG51" i="31"/>
  <c r="AF51" i="31"/>
  <c r="AE51" i="31"/>
  <c r="AD51" i="31"/>
  <c r="Y51" i="31"/>
  <c r="W51" i="31"/>
  <c r="V51" i="31"/>
  <c r="U51" i="31"/>
  <c r="T51" i="31"/>
  <c r="AN50" i="31"/>
  <c r="AM50" i="31"/>
  <c r="AL50" i="31"/>
  <c r="AK50" i="31"/>
  <c r="AJ50" i="31"/>
  <c r="AI50" i="31"/>
  <c r="AH50" i="31"/>
  <c r="AG50" i="31"/>
  <c r="AF50" i="31"/>
  <c r="AE50" i="31"/>
  <c r="AD50" i="31"/>
  <c r="Y50" i="31"/>
  <c r="W50" i="31"/>
  <c r="V50" i="31"/>
  <c r="U50" i="31"/>
  <c r="T50" i="31"/>
  <c r="AN49" i="31"/>
  <c r="AM49" i="31"/>
  <c r="AL49" i="31"/>
  <c r="AK49" i="31"/>
  <c r="AJ49" i="31"/>
  <c r="AI49" i="31"/>
  <c r="AH49" i="31"/>
  <c r="AG49" i="31"/>
  <c r="AF49" i="31"/>
  <c r="AE49" i="31"/>
  <c r="AD49" i="31"/>
  <c r="Y49" i="31"/>
  <c r="W49" i="31"/>
  <c r="V49" i="31"/>
  <c r="U49" i="31"/>
  <c r="T49" i="31"/>
  <c r="AN48" i="31"/>
  <c r="AM48" i="31"/>
  <c r="AL48" i="31"/>
  <c r="AK48" i="31"/>
  <c r="AJ48" i="31"/>
  <c r="AI48" i="31"/>
  <c r="AH48" i="31"/>
  <c r="AG48" i="31"/>
  <c r="AF48" i="31"/>
  <c r="AE48" i="31"/>
  <c r="AD48" i="31"/>
  <c r="Y48" i="31"/>
  <c r="W48" i="31"/>
  <c r="V48" i="31"/>
  <c r="U48" i="31"/>
  <c r="T48" i="31"/>
  <c r="AN47" i="31"/>
  <c r="AM47" i="31"/>
  <c r="AL47" i="31"/>
  <c r="AK47" i="31"/>
  <c r="AJ47" i="31"/>
  <c r="AI47" i="31"/>
  <c r="AH47" i="31"/>
  <c r="AG47" i="31"/>
  <c r="AF47" i="31"/>
  <c r="AE47" i="31"/>
  <c r="AD47" i="31"/>
  <c r="Y47" i="31"/>
  <c r="W47" i="31"/>
  <c r="V47" i="31"/>
  <c r="U47" i="31"/>
  <c r="T47" i="31"/>
  <c r="AN46" i="31"/>
  <c r="AM46" i="31"/>
  <c r="AL46" i="31"/>
  <c r="AK46" i="31"/>
  <c r="AJ46" i="31"/>
  <c r="AI46" i="31"/>
  <c r="AH46" i="31"/>
  <c r="AG46" i="31"/>
  <c r="AF46" i="31"/>
  <c r="AE46" i="31"/>
  <c r="AD46" i="31"/>
  <c r="Y46" i="31"/>
  <c r="W46" i="31"/>
  <c r="V46" i="31"/>
  <c r="U46" i="31"/>
  <c r="T46" i="31"/>
  <c r="AN45" i="31"/>
  <c r="AM45" i="31"/>
  <c r="AL45" i="31"/>
  <c r="AK45" i="31"/>
  <c r="AJ45" i="31"/>
  <c r="AI45" i="31"/>
  <c r="AH45" i="31"/>
  <c r="AG45" i="31"/>
  <c r="AF45" i="31"/>
  <c r="AE45" i="31"/>
  <c r="AD45" i="31"/>
  <c r="Y45" i="31"/>
  <c r="W45" i="31"/>
  <c r="V45" i="31"/>
  <c r="U45" i="31"/>
  <c r="T45" i="31"/>
  <c r="AN44" i="31"/>
  <c r="AM44" i="31"/>
  <c r="AL44" i="31"/>
  <c r="AK44" i="31"/>
  <c r="AJ44" i="31"/>
  <c r="AI44" i="31"/>
  <c r="AH44" i="31"/>
  <c r="AG44" i="31"/>
  <c r="AF44" i="31"/>
  <c r="AE44" i="31"/>
  <c r="AD44" i="31"/>
  <c r="Y44" i="31"/>
  <c r="W44" i="31"/>
  <c r="V44" i="31"/>
  <c r="U44" i="31"/>
  <c r="T44" i="31"/>
  <c r="AN43" i="31"/>
  <c r="AM43" i="31"/>
  <c r="AL43" i="31"/>
  <c r="AK43" i="31"/>
  <c r="AJ43" i="31"/>
  <c r="AI43" i="31"/>
  <c r="AH43" i="31"/>
  <c r="AG43" i="31"/>
  <c r="AF43" i="31"/>
  <c r="AE43" i="31"/>
  <c r="AD43" i="31"/>
  <c r="Y43" i="31"/>
  <c r="W43" i="31"/>
  <c r="V43" i="31"/>
  <c r="U43" i="31"/>
  <c r="T43" i="31"/>
  <c r="AN42" i="31"/>
  <c r="AM42" i="31"/>
  <c r="AL42" i="31"/>
  <c r="AK42" i="31"/>
  <c r="AJ42" i="31"/>
  <c r="AI42" i="31"/>
  <c r="AH42" i="31"/>
  <c r="AG42" i="31"/>
  <c r="AF42" i="31"/>
  <c r="AE42" i="31"/>
  <c r="AD42" i="31"/>
  <c r="Y42" i="31"/>
  <c r="W42" i="31"/>
  <c r="V42" i="31"/>
  <c r="U42" i="31"/>
  <c r="T42" i="31"/>
  <c r="AN41" i="31"/>
  <c r="AM41" i="31"/>
  <c r="AL41" i="31"/>
  <c r="AK41" i="31"/>
  <c r="AJ41" i="31"/>
  <c r="AI41" i="31"/>
  <c r="AH41" i="31"/>
  <c r="AG41" i="31"/>
  <c r="AF41" i="31"/>
  <c r="AE41" i="31"/>
  <c r="AD41" i="31"/>
  <c r="Y41" i="31"/>
  <c r="W41" i="31"/>
  <c r="V41" i="31"/>
  <c r="U41" i="31"/>
  <c r="T41" i="31"/>
  <c r="AN40" i="31"/>
  <c r="AM40" i="31"/>
  <c r="AL40" i="31"/>
  <c r="AK40" i="31"/>
  <c r="AJ40" i="31"/>
  <c r="AI40" i="31"/>
  <c r="AH40" i="31"/>
  <c r="AG40" i="31"/>
  <c r="AF40" i="31"/>
  <c r="AE40" i="31"/>
  <c r="AD40" i="31"/>
  <c r="Y40" i="31"/>
  <c r="W40" i="31"/>
  <c r="V40" i="31"/>
  <c r="U40" i="31"/>
  <c r="T40" i="31"/>
  <c r="AN39" i="31"/>
  <c r="AM39" i="31"/>
  <c r="AL39" i="31"/>
  <c r="AK39" i="31"/>
  <c r="AJ39" i="31"/>
  <c r="AI39" i="31"/>
  <c r="AH39" i="31"/>
  <c r="AG39" i="31"/>
  <c r="AF39" i="31"/>
  <c r="AE39" i="31"/>
  <c r="AD39" i="31"/>
  <c r="Y39" i="31"/>
  <c r="W39" i="31"/>
  <c r="V39" i="31"/>
  <c r="U39" i="31"/>
  <c r="T39" i="31"/>
  <c r="AN38" i="31"/>
  <c r="AM38" i="31"/>
  <c r="AL38" i="31"/>
  <c r="AK38" i="31"/>
  <c r="AJ38" i="31"/>
  <c r="AI38" i="31"/>
  <c r="AH38" i="31"/>
  <c r="AG38" i="31"/>
  <c r="AF38" i="31"/>
  <c r="AE38" i="31"/>
  <c r="AD38" i="31"/>
  <c r="Y38" i="31"/>
  <c r="W38" i="31"/>
  <c r="V38" i="31"/>
  <c r="U38" i="31"/>
  <c r="T38" i="31"/>
  <c r="AN37" i="31"/>
  <c r="AM37" i="31"/>
  <c r="AL37" i="31"/>
  <c r="AK37" i="31"/>
  <c r="AJ37" i="31"/>
  <c r="AI37" i="31"/>
  <c r="AH37" i="31"/>
  <c r="AG37" i="31"/>
  <c r="AF37" i="31"/>
  <c r="AE37" i="31"/>
  <c r="AD37" i="31"/>
  <c r="Y37" i="31"/>
  <c r="W37" i="31"/>
  <c r="V37" i="31"/>
  <c r="U37" i="31"/>
  <c r="T37" i="31"/>
  <c r="AN36" i="31"/>
  <c r="AM36" i="31"/>
  <c r="AL36" i="31"/>
  <c r="AK36" i="31"/>
  <c r="AJ36" i="31"/>
  <c r="AI36" i="31"/>
  <c r="AH36" i="31"/>
  <c r="AG36" i="31"/>
  <c r="AF36" i="31"/>
  <c r="AE36" i="31"/>
  <c r="AD36" i="31"/>
  <c r="Y36" i="31"/>
  <c r="W36" i="31"/>
  <c r="V36" i="31"/>
  <c r="U36" i="31"/>
  <c r="T36" i="31"/>
  <c r="AN35" i="31"/>
  <c r="AM35" i="31"/>
  <c r="AL35" i="31"/>
  <c r="AK35" i="31"/>
  <c r="AJ35" i="31"/>
  <c r="AI35" i="31"/>
  <c r="AH35" i="31"/>
  <c r="AG35" i="31"/>
  <c r="AF35" i="31"/>
  <c r="AE35" i="31"/>
  <c r="AD35" i="31"/>
  <c r="Y35" i="31"/>
  <c r="W35" i="31"/>
  <c r="V35" i="31"/>
  <c r="U35" i="31"/>
  <c r="T35" i="31"/>
  <c r="AN34" i="31"/>
  <c r="AM34" i="31"/>
  <c r="AL34" i="31"/>
  <c r="AK34" i="31"/>
  <c r="AJ34" i="31"/>
  <c r="AI34" i="31"/>
  <c r="AH34" i="31"/>
  <c r="AG34" i="31"/>
  <c r="AF34" i="31"/>
  <c r="AE34" i="31"/>
  <c r="AD34" i="31"/>
  <c r="Y34" i="31"/>
  <c r="W34" i="31"/>
  <c r="V34" i="31"/>
  <c r="U34" i="31"/>
  <c r="T34" i="31"/>
  <c r="AN33" i="31"/>
  <c r="AM33" i="31"/>
  <c r="AL33" i="31"/>
  <c r="AK33" i="31"/>
  <c r="AJ33" i="31"/>
  <c r="AI33" i="31"/>
  <c r="AH33" i="31"/>
  <c r="AG33" i="31"/>
  <c r="AF33" i="31"/>
  <c r="AE33" i="31"/>
  <c r="AD33" i="31"/>
  <c r="Y33" i="31"/>
  <c r="W33" i="31"/>
  <c r="V33" i="31"/>
  <c r="U33" i="31"/>
  <c r="T33" i="31"/>
  <c r="AN32" i="31"/>
  <c r="AM32" i="31"/>
  <c r="AL32" i="31"/>
  <c r="AK32" i="31"/>
  <c r="AJ32" i="31"/>
  <c r="AI32" i="31"/>
  <c r="AH32" i="31"/>
  <c r="AG32" i="31"/>
  <c r="AF32" i="31"/>
  <c r="AE32" i="31"/>
  <c r="AD32" i="31"/>
  <c r="Y32" i="31"/>
  <c r="W32" i="31"/>
  <c r="V32" i="31"/>
  <c r="U32" i="31"/>
  <c r="T32" i="31"/>
  <c r="AN31" i="31"/>
  <c r="AM31" i="31"/>
  <c r="AL31" i="31"/>
  <c r="AK31" i="31"/>
  <c r="AJ31" i="31"/>
  <c r="AI31" i="31"/>
  <c r="AH31" i="31"/>
  <c r="AG31" i="31"/>
  <c r="AF31" i="31"/>
  <c r="AE31" i="31"/>
  <c r="AD31" i="31"/>
  <c r="Y31" i="31"/>
  <c r="W31" i="31"/>
  <c r="V31" i="31"/>
  <c r="U31" i="31"/>
  <c r="T31" i="31"/>
  <c r="AN30" i="31"/>
  <c r="AM30" i="31"/>
  <c r="AL30" i="31"/>
  <c r="AK30" i="31"/>
  <c r="AJ30" i="31"/>
  <c r="AI30" i="31"/>
  <c r="AH30" i="31"/>
  <c r="AG30" i="31"/>
  <c r="AF30" i="31"/>
  <c r="AE30" i="31"/>
  <c r="AD30" i="31"/>
  <c r="Y30" i="31"/>
  <c r="W30" i="31"/>
  <c r="V30" i="31"/>
  <c r="U30" i="31"/>
  <c r="T30" i="31"/>
  <c r="AN29" i="31"/>
  <c r="AM29" i="31"/>
  <c r="AL29" i="31"/>
  <c r="AK29" i="31"/>
  <c r="AJ29" i="31"/>
  <c r="AI29" i="31"/>
  <c r="AH29" i="31"/>
  <c r="AG29" i="31"/>
  <c r="AF29" i="31"/>
  <c r="AE29" i="31"/>
  <c r="AD29" i="31"/>
  <c r="Y29" i="31"/>
  <c r="W29" i="31"/>
  <c r="V29" i="31"/>
  <c r="U29" i="31"/>
  <c r="T29" i="31"/>
  <c r="AN28" i="31"/>
  <c r="AM28" i="31"/>
  <c r="AL28" i="31"/>
  <c r="AK28" i="31"/>
  <c r="AJ28" i="31"/>
  <c r="AI28" i="31"/>
  <c r="AH28" i="31"/>
  <c r="AG28" i="31"/>
  <c r="AF28" i="31"/>
  <c r="AE28" i="31"/>
  <c r="AD28" i="31"/>
  <c r="Y28" i="31"/>
  <c r="W28" i="31"/>
  <c r="V28" i="31"/>
  <c r="U28" i="31"/>
  <c r="T28" i="31"/>
  <c r="AN27" i="31"/>
  <c r="AM27" i="31"/>
  <c r="AL27" i="31"/>
  <c r="AK27" i="31"/>
  <c r="AJ27" i="31"/>
  <c r="AI27" i="31"/>
  <c r="AH27" i="31"/>
  <c r="AG27" i="31"/>
  <c r="AF27" i="31"/>
  <c r="AE27" i="31"/>
  <c r="AD27" i="31"/>
  <c r="Y27" i="31"/>
  <c r="W27" i="31"/>
  <c r="V27" i="31"/>
  <c r="U27" i="31"/>
  <c r="T27" i="31"/>
  <c r="AN26" i="31"/>
  <c r="AM26" i="31"/>
  <c r="AL26" i="31"/>
  <c r="AK26" i="31"/>
  <c r="AJ26" i="31"/>
  <c r="AI26" i="31"/>
  <c r="AH26" i="31"/>
  <c r="AG26" i="31"/>
  <c r="AF26" i="31"/>
  <c r="AE26" i="31"/>
  <c r="AD26" i="31"/>
  <c r="Y26" i="31"/>
  <c r="W26" i="31"/>
  <c r="V26" i="31"/>
  <c r="U26" i="31"/>
  <c r="T26" i="31"/>
  <c r="AN25" i="31"/>
  <c r="AM25" i="31"/>
  <c r="AL25" i="31"/>
  <c r="AK25" i="31"/>
  <c r="AJ25" i="31"/>
  <c r="AI25" i="31"/>
  <c r="AH25" i="31"/>
  <c r="AG25" i="31"/>
  <c r="AF25" i="31"/>
  <c r="AE25" i="31"/>
  <c r="AD25" i="31"/>
  <c r="Y25" i="31"/>
  <c r="W25" i="31"/>
  <c r="V25" i="31"/>
  <c r="U25" i="31"/>
  <c r="T25" i="31"/>
  <c r="AN24" i="31"/>
  <c r="AM24" i="31"/>
  <c r="AL24" i="31"/>
  <c r="AK24" i="31"/>
  <c r="AJ24" i="31"/>
  <c r="AI24" i="31"/>
  <c r="AH24" i="31"/>
  <c r="AG24" i="31"/>
  <c r="AF24" i="31"/>
  <c r="AE24" i="31"/>
  <c r="AD24" i="31"/>
  <c r="Y24" i="31"/>
  <c r="W24" i="31"/>
  <c r="V24" i="31"/>
  <c r="U24" i="31"/>
  <c r="T24" i="31"/>
  <c r="AN23" i="31"/>
  <c r="AM23" i="31"/>
  <c r="AL23" i="31"/>
  <c r="AK23" i="31"/>
  <c r="AJ23" i="31"/>
  <c r="AI23" i="31"/>
  <c r="AH23" i="31"/>
  <c r="AG23" i="31"/>
  <c r="AF23" i="31"/>
  <c r="AE23" i="31"/>
  <c r="AD23" i="31"/>
  <c r="Y23" i="31"/>
  <c r="W23" i="31"/>
  <c r="V23" i="31"/>
  <c r="U23" i="31"/>
  <c r="T23" i="31"/>
  <c r="AN22" i="31"/>
  <c r="AM22" i="31"/>
  <c r="AL22" i="31"/>
  <c r="AK22" i="31"/>
  <c r="AJ22" i="31"/>
  <c r="AI22" i="31"/>
  <c r="AH22" i="31"/>
  <c r="AG22" i="31"/>
  <c r="AF22" i="31"/>
  <c r="AE22" i="31"/>
  <c r="AD22" i="31"/>
  <c r="Y22" i="31"/>
  <c r="W22" i="31"/>
  <c r="V22" i="31"/>
  <c r="U22" i="31"/>
  <c r="T22" i="31"/>
  <c r="AN21" i="31"/>
  <c r="AM21" i="31"/>
  <c r="AL21" i="31"/>
  <c r="AK21" i="31"/>
  <c r="AJ21" i="31"/>
  <c r="AI21" i="31"/>
  <c r="AH21" i="31"/>
  <c r="AG21" i="31"/>
  <c r="AF21" i="31"/>
  <c r="AE21" i="31"/>
  <c r="AD21" i="31"/>
  <c r="Y21" i="31"/>
  <c r="W21" i="31"/>
  <c r="V21" i="31"/>
  <c r="U21" i="31"/>
  <c r="T21" i="31"/>
  <c r="AN20" i="31"/>
  <c r="AM20" i="31"/>
  <c r="AL20" i="31"/>
  <c r="AK20" i="31"/>
  <c r="AJ20" i="31"/>
  <c r="AI20" i="31"/>
  <c r="AH20" i="31"/>
  <c r="AG20" i="31"/>
  <c r="AF20" i="31"/>
  <c r="AE20" i="31"/>
  <c r="AD20" i="31"/>
  <c r="Y20" i="31"/>
  <c r="W20" i="31"/>
  <c r="V20" i="31"/>
  <c r="U20" i="31"/>
  <c r="T20" i="31"/>
  <c r="AN19" i="31"/>
  <c r="AM19" i="31"/>
  <c r="AL19" i="31"/>
  <c r="AK19" i="31"/>
  <c r="AJ19" i="31"/>
  <c r="AI19" i="31"/>
  <c r="AH19" i="31"/>
  <c r="AG19" i="31"/>
  <c r="AF19" i="31"/>
  <c r="AE19" i="31"/>
  <c r="AD19" i="31"/>
  <c r="Y19" i="31"/>
  <c r="W19" i="31"/>
  <c r="V19" i="31"/>
  <c r="U19" i="31"/>
  <c r="T19" i="31"/>
  <c r="AN18" i="31"/>
  <c r="AM18" i="31"/>
  <c r="AL18" i="31"/>
  <c r="AK18" i="31"/>
  <c r="AJ18" i="31"/>
  <c r="AI18" i="31"/>
  <c r="AH18" i="31"/>
  <c r="AG18" i="31"/>
  <c r="AF18" i="31"/>
  <c r="AE18" i="31"/>
  <c r="AD18" i="31"/>
  <c r="Y18" i="31"/>
  <c r="W18" i="31"/>
  <c r="V18" i="31"/>
  <c r="U18" i="31"/>
  <c r="T18" i="31"/>
  <c r="AN17" i="31"/>
  <c r="AM17" i="31"/>
  <c r="AL17" i="31"/>
  <c r="AK17" i="31"/>
  <c r="AJ17" i="31"/>
  <c r="AI17" i="31"/>
  <c r="AH17" i="31"/>
  <c r="AG17" i="31"/>
  <c r="AF17" i="31"/>
  <c r="AE17" i="31"/>
  <c r="AD17" i="31"/>
  <c r="Y17" i="31"/>
  <c r="W17" i="31"/>
  <c r="V17" i="31"/>
  <c r="U17" i="31"/>
  <c r="T17" i="31"/>
  <c r="AN16" i="31"/>
  <c r="AM16" i="31"/>
  <c r="AL16" i="31"/>
  <c r="AK16" i="31"/>
  <c r="AJ16" i="31"/>
  <c r="AI16" i="31"/>
  <c r="AH16" i="31"/>
  <c r="AG16" i="31"/>
  <c r="AF16" i="31"/>
  <c r="AE16" i="31"/>
  <c r="AD16" i="31"/>
  <c r="Y16" i="31"/>
  <c r="W16" i="31"/>
  <c r="V16" i="31"/>
  <c r="U16" i="31"/>
  <c r="T16" i="31"/>
  <c r="A16" i="31"/>
  <c r="AN15" i="31"/>
  <c r="AM15" i="31"/>
  <c r="AL15" i="31"/>
  <c r="AK15" i="31"/>
  <c r="AJ15" i="31"/>
  <c r="AI15" i="31"/>
  <c r="AH15" i="31"/>
  <c r="AG15" i="31"/>
  <c r="AF15" i="31"/>
  <c r="AE15" i="31"/>
  <c r="AD15" i="31"/>
  <c r="Y15" i="31"/>
  <c r="W15" i="31"/>
  <c r="V15" i="31"/>
  <c r="U15" i="31"/>
  <c r="T15" i="31"/>
  <c r="AN14" i="31"/>
  <c r="AM14" i="31"/>
  <c r="AL14" i="31"/>
  <c r="AK14" i="31"/>
  <c r="AJ14" i="31"/>
  <c r="AI14" i="31"/>
  <c r="AH14" i="31"/>
  <c r="AG14" i="31"/>
  <c r="AF14" i="31"/>
  <c r="AE14" i="31"/>
  <c r="AD14" i="31"/>
  <c r="Y14" i="31"/>
  <c r="W14" i="31"/>
  <c r="V14" i="31"/>
  <c r="U14" i="31"/>
  <c r="T14" i="31"/>
  <c r="A14" i="31"/>
  <c r="AN13" i="31"/>
  <c r="AM13" i="31"/>
  <c r="AL13" i="31"/>
  <c r="AK13" i="31"/>
  <c r="AJ13" i="31"/>
  <c r="AI13" i="31"/>
  <c r="AH13" i="31"/>
  <c r="AG13" i="31"/>
  <c r="AF13" i="31"/>
  <c r="AE13" i="31"/>
  <c r="AD13" i="31"/>
  <c r="Y13" i="31"/>
  <c r="W13" i="31"/>
  <c r="V13" i="31"/>
  <c r="U13" i="31"/>
  <c r="T13" i="31"/>
  <c r="AN12" i="31"/>
  <c r="AM12" i="31"/>
  <c r="AL12" i="31"/>
  <c r="AK12" i="31"/>
  <c r="AJ12" i="31"/>
  <c r="AI12" i="31"/>
  <c r="AH12" i="31"/>
  <c r="AG12" i="31"/>
  <c r="AF12" i="31"/>
  <c r="AE12" i="31"/>
  <c r="AD12" i="31"/>
  <c r="Y12" i="31"/>
  <c r="W12" i="31"/>
  <c r="V12" i="31"/>
  <c r="U12" i="31"/>
  <c r="T12" i="31"/>
  <c r="A12" i="31"/>
  <c r="AN11" i="31"/>
  <c r="AM11" i="31"/>
  <c r="AL11" i="31"/>
  <c r="AK11" i="31"/>
  <c r="AJ11" i="31"/>
  <c r="AI11" i="31"/>
  <c r="AH11" i="31"/>
  <c r="AG11" i="31"/>
  <c r="AF11" i="31"/>
  <c r="AE11" i="31"/>
  <c r="AD11" i="31"/>
  <c r="Y11" i="31"/>
  <c r="W11" i="31"/>
  <c r="V11" i="31"/>
  <c r="U11" i="31"/>
  <c r="T11" i="31"/>
  <c r="AN10" i="31"/>
  <c r="AM10" i="31"/>
  <c r="AL10" i="31"/>
  <c r="AK10" i="31"/>
  <c r="AJ10" i="31"/>
  <c r="AI10" i="31"/>
  <c r="AH10" i="31"/>
  <c r="AG10" i="31"/>
  <c r="AF10" i="31"/>
  <c r="AE10" i="31"/>
  <c r="AD10" i="31"/>
  <c r="Y10" i="31"/>
  <c r="W10" i="31"/>
  <c r="V10" i="31"/>
  <c r="U10" i="31"/>
  <c r="T10" i="31"/>
  <c r="A10" i="31"/>
  <c r="AN9" i="3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U9" i="31"/>
  <c r="T9" i="31"/>
  <c r="AN8" i="31"/>
  <c r="AM8" i="31"/>
  <c r="AL8" i="31"/>
  <c r="AK8" i="31"/>
  <c r="AJ8" i="31"/>
  <c r="AI8" i="31"/>
  <c r="AH8" i="31"/>
  <c r="AG8" i="31"/>
  <c r="AF8" i="31"/>
  <c r="AD8" i="31"/>
  <c r="Y8" i="31"/>
  <c r="W8" i="31"/>
  <c r="V8" i="31"/>
  <c r="U8" i="31"/>
  <c r="T8" i="31"/>
  <c r="AN7" i="31"/>
  <c r="AM7" i="31"/>
  <c r="AL7" i="31"/>
  <c r="AK7" i="31"/>
  <c r="AJ7" i="31"/>
  <c r="AI7" i="31"/>
  <c r="AH7" i="31"/>
  <c r="AG7" i="31"/>
  <c r="AF7" i="31"/>
  <c r="AD7" i="31"/>
  <c r="Y7" i="31"/>
  <c r="W7" i="31"/>
  <c r="V7" i="31"/>
  <c r="U7" i="31"/>
  <c r="T7" i="31"/>
  <c r="AN6" i="31"/>
  <c r="AM6" i="31"/>
  <c r="AL6" i="31"/>
  <c r="AK6" i="31"/>
  <c r="AJ6" i="31"/>
  <c r="AI6" i="31"/>
  <c r="AH6" i="31"/>
  <c r="AG6" i="31"/>
  <c r="AF6" i="31"/>
  <c r="AD6" i="31"/>
  <c r="Y6" i="31"/>
  <c r="W6" i="31"/>
  <c r="V6" i="31"/>
  <c r="U6" i="31"/>
  <c r="T6" i="31"/>
  <c r="A6" i="31"/>
  <c r="AN5" i="31"/>
  <c r="AM5" i="31"/>
  <c r="AL5" i="31"/>
  <c r="AK5" i="31"/>
  <c r="AJ5" i="31"/>
  <c r="AI5" i="31"/>
  <c r="AH5" i="31"/>
  <c r="AG5" i="31"/>
  <c r="AF5" i="31"/>
  <c r="AD5" i="31"/>
  <c r="Y5" i="31"/>
  <c r="W5" i="31"/>
  <c r="V5" i="31"/>
  <c r="U5" i="31"/>
  <c r="T5" i="31"/>
  <c r="F1" i="31"/>
  <c r="AN24" i="30"/>
  <c r="AM24" i="30"/>
  <c r="AL24" i="30"/>
  <c r="AK24" i="30"/>
  <c r="AJ24" i="30"/>
  <c r="AI24" i="30"/>
  <c r="AH24" i="30"/>
  <c r="AG24" i="30"/>
  <c r="AF24" i="30"/>
  <c r="AE24" i="30"/>
  <c r="AD24" i="30"/>
  <c r="Y24" i="30"/>
  <c r="W24" i="30"/>
  <c r="V24" i="30"/>
  <c r="U24" i="30"/>
  <c r="T24" i="30"/>
  <c r="AN23" i="30"/>
  <c r="AM23" i="30"/>
  <c r="AL23" i="30"/>
  <c r="AK23" i="30"/>
  <c r="AJ23" i="30"/>
  <c r="AI23" i="30"/>
  <c r="AH23" i="30"/>
  <c r="AG23" i="30"/>
  <c r="AF23" i="30"/>
  <c r="AE23" i="30"/>
  <c r="AD23" i="30"/>
  <c r="Y23" i="30"/>
  <c r="W23" i="30"/>
  <c r="V23" i="30"/>
  <c r="U23" i="30"/>
  <c r="T23" i="30"/>
  <c r="AN22" i="30"/>
  <c r="AM22" i="30"/>
  <c r="AL22" i="30"/>
  <c r="AK22" i="30"/>
  <c r="AJ22" i="30"/>
  <c r="AI22" i="30"/>
  <c r="AH22" i="30"/>
  <c r="AG22" i="30"/>
  <c r="AF22" i="30"/>
  <c r="AE22" i="30"/>
  <c r="AD22" i="30"/>
  <c r="Y22" i="30"/>
  <c r="W22" i="30"/>
  <c r="V22" i="30"/>
  <c r="U22" i="30"/>
  <c r="T22" i="30"/>
  <c r="AN21" i="30"/>
  <c r="AM21" i="30"/>
  <c r="AL21" i="30"/>
  <c r="AK21" i="30"/>
  <c r="AJ21" i="30"/>
  <c r="AI21" i="30"/>
  <c r="AH21" i="30"/>
  <c r="AG21" i="30"/>
  <c r="AF21" i="30"/>
  <c r="AE21" i="30"/>
  <c r="AD21" i="30"/>
  <c r="Y21" i="30"/>
  <c r="W21" i="30"/>
  <c r="V21" i="30"/>
  <c r="U21" i="30"/>
  <c r="T21" i="30"/>
  <c r="AN20" i="30"/>
  <c r="AM20" i="30"/>
  <c r="AL20" i="30"/>
  <c r="AK20" i="30"/>
  <c r="AJ20" i="30"/>
  <c r="AI20" i="30"/>
  <c r="AH20" i="30"/>
  <c r="AG20" i="30"/>
  <c r="AF20" i="30"/>
  <c r="AE20" i="30"/>
  <c r="AD20" i="30"/>
  <c r="Y20" i="30"/>
  <c r="W20" i="30"/>
  <c r="V20" i="30"/>
  <c r="U20" i="30"/>
  <c r="T20" i="30"/>
  <c r="AN19" i="30"/>
  <c r="AM19" i="30"/>
  <c r="AL19" i="30"/>
  <c r="AK19" i="30"/>
  <c r="AJ19" i="30"/>
  <c r="AI19" i="30"/>
  <c r="AH19" i="30"/>
  <c r="AG19" i="30"/>
  <c r="AF19" i="30"/>
  <c r="AE19" i="30"/>
  <c r="AD19" i="30"/>
  <c r="Y19" i="30"/>
  <c r="W19" i="30"/>
  <c r="V19" i="30"/>
  <c r="U19" i="30"/>
  <c r="T19" i="30"/>
  <c r="AN18" i="30"/>
  <c r="AM18" i="30"/>
  <c r="AL18" i="30"/>
  <c r="AK18" i="30"/>
  <c r="AJ18" i="30"/>
  <c r="AI18" i="30"/>
  <c r="AH18" i="30"/>
  <c r="AG18" i="30"/>
  <c r="AF18" i="30"/>
  <c r="AE18" i="30"/>
  <c r="AD18" i="30"/>
  <c r="Y18" i="30"/>
  <c r="W18" i="30"/>
  <c r="V18" i="30"/>
  <c r="U18" i="30"/>
  <c r="T18" i="30"/>
  <c r="AN17" i="30"/>
  <c r="AM17" i="30"/>
  <c r="AL17" i="30"/>
  <c r="AK17" i="30"/>
  <c r="AJ17" i="30"/>
  <c r="AI17" i="30"/>
  <c r="AH17" i="30"/>
  <c r="AG17" i="30"/>
  <c r="AF17" i="30"/>
  <c r="AE17" i="30"/>
  <c r="AD17" i="30"/>
  <c r="Y17" i="30"/>
  <c r="W17" i="30"/>
  <c r="V17" i="30"/>
  <c r="U17" i="30"/>
  <c r="T17" i="30"/>
  <c r="AN16" i="30"/>
  <c r="AM16" i="30"/>
  <c r="AL16" i="30"/>
  <c r="AK16" i="30"/>
  <c r="AJ16" i="30"/>
  <c r="AI16" i="30"/>
  <c r="AH16" i="30"/>
  <c r="AG16" i="30"/>
  <c r="AF16" i="30"/>
  <c r="AE16" i="30"/>
  <c r="AD16" i="30"/>
  <c r="Y16" i="30"/>
  <c r="W16" i="30"/>
  <c r="V16" i="30"/>
  <c r="U16" i="30"/>
  <c r="T16" i="30"/>
  <c r="A16" i="30"/>
  <c r="AN15" i="30"/>
  <c r="AM15" i="30"/>
  <c r="AL15" i="30"/>
  <c r="AK15" i="30"/>
  <c r="AJ15" i="30"/>
  <c r="AI15" i="30"/>
  <c r="AH15" i="30"/>
  <c r="AG15" i="30"/>
  <c r="AF15" i="30"/>
  <c r="AE15" i="30"/>
  <c r="AD15" i="30"/>
  <c r="Y15" i="30"/>
  <c r="W15" i="30"/>
  <c r="V15" i="30"/>
  <c r="U15" i="30"/>
  <c r="T15" i="30"/>
  <c r="AN14" i="30"/>
  <c r="AM14" i="30"/>
  <c r="AL14" i="30"/>
  <c r="AK14" i="30"/>
  <c r="AJ14" i="30"/>
  <c r="AI14" i="30"/>
  <c r="AH14" i="30"/>
  <c r="AG14" i="30"/>
  <c r="AF14" i="30"/>
  <c r="AE14" i="30"/>
  <c r="AD14" i="30"/>
  <c r="Y14" i="30"/>
  <c r="W14" i="30"/>
  <c r="V14" i="30"/>
  <c r="U14" i="30"/>
  <c r="T14" i="30"/>
  <c r="A14" i="30"/>
  <c r="AN13" i="30"/>
  <c r="AM13" i="30"/>
  <c r="AL13" i="30"/>
  <c r="AK13" i="30"/>
  <c r="AJ13" i="30"/>
  <c r="AI13" i="30"/>
  <c r="AH13" i="30"/>
  <c r="AG13" i="30"/>
  <c r="AF13" i="30"/>
  <c r="AE13" i="30"/>
  <c r="AD13" i="30"/>
  <c r="Y13" i="30"/>
  <c r="W13" i="30"/>
  <c r="V13" i="30"/>
  <c r="U13" i="30"/>
  <c r="T13" i="30"/>
  <c r="AN12" i="30"/>
  <c r="AM12" i="30"/>
  <c r="AL12" i="30"/>
  <c r="AK12" i="30"/>
  <c r="AJ12" i="30"/>
  <c r="AI12" i="30"/>
  <c r="AH12" i="30"/>
  <c r="AG12" i="30"/>
  <c r="AF12" i="30"/>
  <c r="AE12" i="30"/>
  <c r="AD12" i="30"/>
  <c r="Y12" i="30"/>
  <c r="W12" i="30"/>
  <c r="V12" i="30"/>
  <c r="U12" i="30"/>
  <c r="T12" i="30"/>
  <c r="A12" i="30"/>
  <c r="AN11" i="30"/>
  <c r="AM11" i="30"/>
  <c r="AL11" i="30"/>
  <c r="AK11" i="30"/>
  <c r="AJ11" i="30"/>
  <c r="AI11" i="30"/>
  <c r="AH11" i="30"/>
  <c r="AG11" i="30"/>
  <c r="AF11" i="30"/>
  <c r="AE11" i="30"/>
  <c r="AD11" i="30"/>
  <c r="Y11" i="30"/>
  <c r="W11" i="30"/>
  <c r="V11" i="30"/>
  <c r="U11" i="30"/>
  <c r="T11" i="30"/>
  <c r="AN10" i="30"/>
  <c r="AM10" i="30"/>
  <c r="AL10" i="30"/>
  <c r="AK10" i="30"/>
  <c r="AJ10" i="30"/>
  <c r="AI10" i="30"/>
  <c r="AH10" i="30"/>
  <c r="AG10" i="30"/>
  <c r="AF10" i="30"/>
  <c r="AE10" i="30"/>
  <c r="AD10" i="30"/>
  <c r="Y10" i="30"/>
  <c r="W10" i="30"/>
  <c r="V10" i="30"/>
  <c r="U10" i="30"/>
  <c r="T10" i="30"/>
  <c r="A10" i="30"/>
  <c r="AN9" i="30"/>
  <c r="AM9" i="30"/>
  <c r="AL9" i="30"/>
  <c r="AK9" i="30"/>
  <c r="AJ9" i="30"/>
  <c r="AI9" i="30"/>
  <c r="AH9" i="30"/>
  <c r="AG9" i="30"/>
  <c r="AF9" i="30"/>
  <c r="AE9" i="30"/>
  <c r="AD9" i="30"/>
  <c r="Y9" i="30"/>
  <c r="W9" i="30"/>
  <c r="V9" i="30"/>
  <c r="U9" i="30"/>
  <c r="T9" i="30"/>
  <c r="AN8" i="30"/>
  <c r="AM8" i="30"/>
  <c r="AL8" i="30"/>
  <c r="AK8" i="30"/>
  <c r="AJ8" i="30"/>
  <c r="AI8" i="30"/>
  <c r="AH8" i="30"/>
  <c r="AG8" i="30"/>
  <c r="AF8" i="30"/>
  <c r="AD8" i="30"/>
  <c r="Y8" i="30"/>
  <c r="W8" i="30"/>
  <c r="V8" i="30"/>
  <c r="U8" i="30"/>
  <c r="T8" i="30"/>
  <c r="AN7" i="30"/>
  <c r="AM7" i="30"/>
  <c r="AL7" i="30"/>
  <c r="AK7" i="30"/>
  <c r="AJ7" i="30"/>
  <c r="AI7" i="30"/>
  <c r="AH7" i="30"/>
  <c r="AG7" i="30"/>
  <c r="AF7" i="30"/>
  <c r="AD7" i="30"/>
  <c r="Y7" i="30"/>
  <c r="W7" i="30"/>
  <c r="V7" i="30"/>
  <c r="U7" i="30"/>
  <c r="T7" i="30"/>
  <c r="AN6" i="30"/>
  <c r="AM6" i="30"/>
  <c r="AL6" i="30"/>
  <c r="AK6" i="30"/>
  <c r="AJ6" i="30"/>
  <c r="AI6" i="30"/>
  <c r="AH6" i="30"/>
  <c r="AG6" i="30"/>
  <c r="AF6" i="30"/>
  <c r="AD6" i="30"/>
  <c r="Y6" i="30"/>
  <c r="W6" i="30"/>
  <c r="V6" i="30"/>
  <c r="U6" i="30"/>
  <c r="T6" i="30"/>
  <c r="A6" i="30"/>
  <c r="AN5" i="30"/>
  <c r="AM5" i="30"/>
  <c r="AL5" i="30"/>
  <c r="AK5" i="30"/>
  <c r="AJ5" i="30"/>
  <c r="AI5" i="30"/>
  <c r="AH5" i="30"/>
  <c r="AG5" i="30"/>
  <c r="AF5" i="30"/>
  <c r="AD5" i="30"/>
  <c r="Y5" i="30"/>
  <c r="W5" i="30"/>
  <c r="V5" i="30"/>
  <c r="U5" i="30"/>
  <c r="T5" i="30"/>
  <c r="F1" i="30"/>
  <c r="AN83" i="29"/>
  <c r="AM83" i="29"/>
  <c r="AL83" i="29"/>
  <c r="AK83" i="29"/>
  <c r="AJ83" i="29"/>
  <c r="AI83" i="29"/>
  <c r="AH83" i="29"/>
  <c r="AG83" i="29"/>
  <c r="AF83" i="29"/>
  <c r="AE83" i="29"/>
  <c r="AD83" i="29"/>
  <c r="Y83" i="29"/>
  <c r="W83" i="29"/>
  <c r="V83" i="29"/>
  <c r="U83" i="29"/>
  <c r="T83" i="29"/>
  <c r="AN82" i="29"/>
  <c r="AM82" i="29"/>
  <c r="AL82" i="29"/>
  <c r="AK82" i="29"/>
  <c r="AJ82" i="29"/>
  <c r="AI82" i="29"/>
  <c r="AH82" i="29"/>
  <c r="AG82" i="29"/>
  <c r="AF82" i="29"/>
  <c r="AE82" i="29"/>
  <c r="AD82" i="29"/>
  <c r="Y82" i="29"/>
  <c r="W82" i="29"/>
  <c r="V82" i="29"/>
  <c r="U82" i="29"/>
  <c r="T82" i="29"/>
  <c r="AN81" i="29"/>
  <c r="AM81" i="29"/>
  <c r="AL81" i="29"/>
  <c r="AK81" i="29"/>
  <c r="AJ81" i="29"/>
  <c r="AI81" i="29"/>
  <c r="AH81" i="29"/>
  <c r="AG81" i="29"/>
  <c r="AF81" i="29"/>
  <c r="AE81" i="29"/>
  <c r="AD81" i="29"/>
  <c r="Y81" i="29"/>
  <c r="W81" i="29"/>
  <c r="V81" i="29"/>
  <c r="U81" i="29"/>
  <c r="T81" i="29"/>
  <c r="AN80" i="29"/>
  <c r="AM80" i="29"/>
  <c r="AL80" i="29"/>
  <c r="AK80" i="29"/>
  <c r="AJ80" i="29"/>
  <c r="AI80" i="29"/>
  <c r="AH80" i="29"/>
  <c r="AG80" i="29"/>
  <c r="AF80" i="29"/>
  <c r="AE80" i="29"/>
  <c r="AD80" i="29"/>
  <c r="Y80" i="29"/>
  <c r="W80" i="29"/>
  <c r="V80" i="29"/>
  <c r="U80" i="29"/>
  <c r="T80" i="29"/>
  <c r="AN79" i="29"/>
  <c r="AM79" i="29"/>
  <c r="AL79" i="29"/>
  <c r="AK79" i="29"/>
  <c r="AJ79" i="29"/>
  <c r="AI79" i="29"/>
  <c r="AH79" i="29"/>
  <c r="AG79" i="29"/>
  <c r="AF79" i="29"/>
  <c r="AE79" i="29"/>
  <c r="AD79" i="29"/>
  <c r="Y79" i="29"/>
  <c r="W79" i="29"/>
  <c r="V79" i="29"/>
  <c r="U79" i="29"/>
  <c r="T79" i="29"/>
  <c r="AN78" i="29"/>
  <c r="AM78" i="29"/>
  <c r="AL78" i="29"/>
  <c r="AK78" i="29"/>
  <c r="AJ78" i="29"/>
  <c r="AI78" i="29"/>
  <c r="AH78" i="29"/>
  <c r="AG78" i="29"/>
  <c r="AF78" i="29"/>
  <c r="AE78" i="29"/>
  <c r="AD78" i="29"/>
  <c r="Y78" i="29"/>
  <c r="W78" i="29"/>
  <c r="V78" i="29"/>
  <c r="U78" i="29"/>
  <c r="T78" i="29"/>
  <c r="AN77" i="29"/>
  <c r="AM77" i="29"/>
  <c r="AL77" i="29"/>
  <c r="AK77" i="29"/>
  <c r="AJ77" i="29"/>
  <c r="AI77" i="29"/>
  <c r="AH77" i="29"/>
  <c r="AG77" i="29"/>
  <c r="AF77" i="29"/>
  <c r="AE77" i="29"/>
  <c r="AD77" i="29"/>
  <c r="Y77" i="29"/>
  <c r="W77" i="29"/>
  <c r="V77" i="29"/>
  <c r="U77" i="29"/>
  <c r="T77" i="29"/>
  <c r="AN76" i="29"/>
  <c r="AM76" i="29"/>
  <c r="AL76" i="29"/>
  <c r="AK76" i="29"/>
  <c r="AJ76" i="29"/>
  <c r="AI76" i="29"/>
  <c r="AH76" i="29"/>
  <c r="AG76" i="29"/>
  <c r="AF76" i="29"/>
  <c r="AE76" i="29"/>
  <c r="AD76" i="29"/>
  <c r="Y76" i="29"/>
  <c r="W76" i="29"/>
  <c r="V76" i="29"/>
  <c r="U76" i="29"/>
  <c r="T76" i="29"/>
  <c r="AN75" i="29"/>
  <c r="AM75" i="29"/>
  <c r="AL75" i="29"/>
  <c r="AK75" i="29"/>
  <c r="AJ75" i="29"/>
  <c r="AI75" i="29"/>
  <c r="AH75" i="29"/>
  <c r="AG75" i="29"/>
  <c r="AF75" i="29"/>
  <c r="AE75" i="29"/>
  <c r="AD75" i="29"/>
  <c r="Y75" i="29"/>
  <c r="W75" i="29"/>
  <c r="V75" i="29"/>
  <c r="U75" i="29"/>
  <c r="T75" i="29"/>
  <c r="AN74" i="29"/>
  <c r="AM74" i="29"/>
  <c r="AL74" i="29"/>
  <c r="AK74" i="29"/>
  <c r="AJ74" i="29"/>
  <c r="AI74" i="29"/>
  <c r="AH74" i="29"/>
  <c r="AG74" i="29"/>
  <c r="AF74" i="29"/>
  <c r="AE74" i="29"/>
  <c r="AD74" i="29"/>
  <c r="Y74" i="29"/>
  <c r="W74" i="29"/>
  <c r="V74" i="29"/>
  <c r="U74" i="29"/>
  <c r="T74" i="29"/>
  <c r="AN73" i="29"/>
  <c r="AM73" i="29"/>
  <c r="AL73" i="29"/>
  <c r="AK73" i="29"/>
  <c r="AJ73" i="29"/>
  <c r="AI73" i="29"/>
  <c r="AH73" i="29"/>
  <c r="AG73" i="29"/>
  <c r="AF73" i="29"/>
  <c r="AE73" i="29"/>
  <c r="AD73" i="29"/>
  <c r="Y73" i="29"/>
  <c r="W73" i="29"/>
  <c r="V73" i="29"/>
  <c r="U73" i="29"/>
  <c r="T73" i="29"/>
  <c r="AN72" i="29"/>
  <c r="AM72" i="29"/>
  <c r="AL72" i="29"/>
  <c r="AK72" i="29"/>
  <c r="AJ72" i="29"/>
  <c r="AI72" i="29"/>
  <c r="AH72" i="29"/>
  <c r="AG72" i="29"/>
  <c r="AF72" i="29"/>
  <c r="AE72" i="29"/>
  <c r="AD72" i="29"/>
  <c r="Y72" i="29"/>
  <c r="W72" i="29"/>
  <c r="V72" i="29"/>
  <c r="U72" i="29"/>
  <c r="T72" i="29"/>
  <c r="AN71" i="29"/>
  <c r="AM71" i="29"/>
  <c r="AL71" i="29"/>
  <c r="AK71" i="29"/>
  <c r="AJ71" i="29"/>
  <c r="AI71" i="29"/>
  <c r="AH71" i="29"/>
  <c r="AG71" i="29"/>
  <c r="AF71" i="29"/>
  <c r="AE71" i="29"/>
  <c r="AD71" i="29"/>
  <c r="Y71" i="29"/>
  <c r="W71" i="29"/>
  <c r="V71" i="29"/>
  <c r="U71" i="29"/>
  <c r="T71" i="29"/>
  <c r="AN70" i="29"/>
  <c r="AM70" i="29"/>
  <c r="AL70" i="29"/>
  <c r="AK70" i="29"/>
  <c r="AJ70" i="29"/>
  <c r="AI70" i="29"/>
  <c r="AH70" i="29"/>
  <c r="AG70" i="29"/>
  <c r="AF70" i="29"/>
  <c r="AE70" i="29"/>
  <c r="AD70" i="29"/>
  <c r="Y70" i="29"/>
  <c r="W70" i="29"/>
  <c r="V70" i="29"/>
  <c r="U70" i="29"/>
  <c r="T70" i="29"/>
  <c r="AN69" i="29"/>
  <c r="AM69" i="29"/>
  <c r="AL69" i="29"/>
  <c r="AK69" i="29"/>
  <c r="AJ69" i="29"/>
  <c r="AI69" i="29"/>
  <c r="AH69" i="29"/>
  <c r="AG69" i="29"/>
  <c r="AF69" i="29"/>
  <c r="AE69" i="29"/>
  <c r="AD69" i="29"/>
  <c r="Y69" i="29"/>
  <c r="W69" i="29"/>
  <c r="V69" i="29"/>
  <c r="U69" i="29"/>
  <c r="T69" i="29"/>
  <c r="AN68" i="29"/>
  <c r="AM68" i="29"/>
  <c r="AL68" i="29"/>
  <c r="AK68" i="29"/>
  <c r="AJ68" i="29"/>
  <c r="AI68" i="29"/>
  <c r="AH68" i="29"/>
  <c r="AG68" i="29"/>
  <c r="AF68" i="29"/>
  <c r="AE68" i="29"/>
  <c r="AD68" i="29"/>
  <c r="Y68" i="29"/>
  <c r="W68" i="29"/>
  <c r="V68" i="29"/>
  <c r="U68" i="29"/>
  <c r="T68" i="29"/>
  <c r="AN67" i="29"/>
  <c r="AM67" i="29"/>
  <c r="AL67" i="29"/>
  <c r="AK67" i="29"/>
  <c r="AJ67" i="29"/>
  <c r="AI67" i="29"/>
  <c r="AH67" i="29"/>
  <c r="AG67" i="29"/>
  <c r="AF67" i="29"/>
  <c r="AE67" i="29"/>
  <c r="AD67" i="29"/>
  <c r="Y67" i="29"/>
  <c r="W67" i="29"/>
  <c r="V67" i="29"/>
  <c r="U67" i="29"/>
  <c r="T67" i="29"/>
  <c r="AN66" i="29"/>
  <c r="AM66" i="29"/>
  <c r="AL66" i="29"/>
  <c r="AK66" i="29"/>
  <c r="AJ66" i="29"/>
  <c r="AI66" i="29"/>
  <c r="AH66" i="29"/>
  <c r="AG66" i="29"/>
  <c r="AF66" i="29"/>
  <c r="AE66" i="29"/>
  <c r="AD66" i="29"/>
  <c r="Y66" i="29"/>
  <c r="W66" i="29"/>
  <c r="V66" i="29"/>
  <c r="U66" i="29"/>
  <c r="T66" i="29"/>
  <c r="AN65" i="29"/>
  <c r="AM65" i="29"/>
  <c r="AL65" i="29"/>
  <c r="AK65" i="29"/>
  <c r="AJ65" i="29"/>
  <c r="AI65" i="29"/>
  <c r="AH65" i="29"/>
  <c r="AG65" i="29"/>
  <c r="AF65" i="29"/>
  <c r="AE65" i="29"/>
  <c r="AD65" i="29"/>
  <c r="Y65" i="29"/>
  <c r="W65" i="29"/>
  <c r="V65" i="29"/>
  <c r="U65" i="29"/>
  <c r="T65" i="29"/>
  <c r="AN64" i="29"/>
  <c r="AM64" i="29"/>
  <c r="AL64" i="29"/>
  <c r="AK64" i="29"/>
  <c r="AJ64" i="29"/>
  <c r="AI64" i="29"/>
  <c r="AH64" i="29"/>
  <c r="AG64" i="29"/>
  <c r="AF64" i="29"/>
  <c r="AE64" i="29"/>
  <c r="AD64" i="29"/>
  <c r="Y64" i="29"/>
  <c r="W64" i="29"/>
  <c r="V64" i="29"/>
  <c r="U64" i="29"/>
  <c r="T64" i="29"/>
  <c r="AN63" i="29"/>
  <c r="AM63" i="29"/>
  <c r="AL63" i="29"/>
  <c r="AK63" i="29"/>
  <c r="AJ63" i="29"/>
  <c r="AI63" i="29"/>
  <c r="AH63" i="29"/>
  <c r="AG63" i="29"/>
  <c r="AF63" i="29"/>
  <c r="AE63" i="29"/>
  <c r="AD63" i="29"/>
  <c r="Y63" i="29"/>
  <c r="W63" i="29"/>
  <c r="V63" i="29"/>
  <c r="U63" i="29"/>
  <c r="T63" i="29"/>
  <c r="AN62" i="29"/>
  <c r="AM62" i="29"/>
  <c r="AL62" i="29"/>
  <c r="AK62" i="29"/>
  <c r="AJ62" i="29"/>
  <c r="AI62" i="29"/>
  <c r="AH62" i="29"/>
  <c r="AG62" i="29"/>
  <c r="AF62" i="29"/>
  <c r="AE62" i="29"/>
  <c r="AD62" i="29"/>
  <c r="Y62" i="29"/>
  <c r="W62" i="29"/>
  <c r="V62" i="29"/>
  <c r="U62" i="29"/>
  <c r="T62" i="29"/>
  <c r="AN61" i="29"/>
  <c r="AM61" i="29"/>
  <c r="AL61" i="29"/>
  <c r="AK61" i="29"/>
  <c r="AJ61" i="29"/>
  <c r="AI61" i="29"/>
  <c r="AH61" i="29"/>
  <c r="AG61" i="29"/>
  <c r="AF61" i="29"/>
  <c r="AE61" i="29"/>
  <c r="AD61" i="29"/>
  <c r="Y61" i="29"/>
  <c r="W61" i="29"/>
  <c r="V61" i="29"/>
  <c r="U61" i="29"/>
  <c r="T61" i="29"/>
  <c r="AN60" i="29"/>
  <c r="AM60" i="29"/>
  <c r="AL60" i="29"/>
  <c r="AK60" i="29"/>
  <c r="AJ60" i="29"/>
  <c r="AI60" i="29"/>
  <c r="AH60" i="29"/>
  <c r="AG60" i="29"/>
  <c r="AF60" i="29"/>
  <c r="AE60" i="29"/>
  <c r="AD60" i="29"/>
  <c r="Y60" i="29"/>
  <c r="W60" i="29"/>
  <c r="V60" i="29"/>
  <c r="U60" i="29"/>
  <c r="T60" i="29"/>
  <c r="AN59" i="29"/>
  <c r="AM59" i="29"/>
  <c r="AL59" i="29"/>
  <c r="AK59" i="29"/>
  <c r="AJ59" i="29"/>
  <c r="AI59" i="29"/>
  <c r="AH59" i="29"/>
  <c r="AG59" i="29"/>
  <c r="AF59" i="29"/>
  <c r="AE59" i="29"/>
  <c r="AD59" i="29"/>
  <c r="Y59" i="29"/>
  <c r="W59" i="29"/>
  <c r="V59" i="29"/>
  <c r="U59" i="29"/>
  <c r="T59" i="29"/>
  <c r="AN58" i="29"/>
  <c r="AM58" i="29"/>
  <c r="AL58" i="29"/>
  <c r="AK58" i="29"/>
  <c r="AJ58" i="29"/>
  <c r="AI58" i="29"/>
  <c r="AH58" i="29"/>
  <c r="AG58" i="29"/>
  <c r="AF58" i="29"/>
  <c r="AE58" i="29"/>
  <c r="AD58" i="29"/>
  <c r="Y58" i="29"/>
  <c r="W58" i="29"/>
  <c r="V58" i="29"/>
  <c r="U58" i="29"/>
  <c r="T58" i="29"/>
  <c r="AN57" i="29"/>
  <c r="AM57" i="29"/>
  <c r="AL57" i="29"/>
  <c r="AK57" i="29"/>
  <c r="AJ57" i="29"/>
  <c r="AI57" i="29"/>
  <c r="AH57" i="29"/>
  <c r="AG57" i="29"/>
  <c r="AF57" i="29"/>
  <c r="AE57" i="29"/>
  <c r="AD57" i="29"/>
  <c r="Y57" i="29"/>
  <c r="W57" i="29"/>
  <c r="V57" i="29"/>
  <c r="U57" i="29"/>
  <c r="T57" i="29"/>
  <c r="AN56" i="29"/>
  <c r="AM56" i="29"/>
  <c r="AL56" i="29"/>
  <c r="AK56" i="29"/>
  <c r="AJ56" i="29"/>
  <c r="AI56" i="29"/>
  <c r="AH56" i="29"/>
  <c r="AG56" i="29"/>
  <c r="AF56" i="29"/>
  <c r="AE56" i="29"/>
  <c r="AD56" i="29"/>
  <c r="Y56" i="29"/>
  <c r="W56" i="29"/>
  <c r="V56" i="29"/>
  <c r="U56" i="29"/>
  <c r="T56" i="29"/>
  <c r="AN55" i="29"/>
  <c r="AM55" i="29"/>
  <c r="AL55" i="29"/>
  <c r="AK55" i="29"/>
  <c r="AJ55" i="29"/>
  <c r="AI55" i="29"/>
  <c r="AH55" i="29"/>
  <c r="AG55" i="29"/>
  <c r="AF55" i="29"/>
  <c r="AE55" i="29"/>
  <c r="AD55" i="29"/>
  <c r="Y55" i="29"/>
  <c r="W55" i="29"/>
  <c r="V55" i="29"/>
  <c r="U55" i="29"/>
  <c r="T55" i="29"/>
  <c r="AN54" i="29"/>
  <c r="AM54" i="29"/>
  <c r="AL54" i="29"/>
  <c r="AK54" i="29"/>
  <c r="AJ54" i="29"/>
  <c r="AI54" i="29"/>
  <c r="AH54" i="29"/>
  <c r="AG54" i="29"/>
  <c r="AF54" i="29"/>
  <c r="AE54" i="29"/>
  <c r="AD54" i="29"/>
  <c r="Y54" i="29"/>
  <c r="W54" i="29"/>
  <c r="V54" i="29"/>
  <c r="U54" i="29"/>
  <c r="T54" i="29"/>
  <c r="AN53" i="29"/>
  <c r="AM53" i="29"/>
  <c r="AL53" i="29"/>
  <c r="AK53" i="29"/>
  <c r="AJ53" i="29"/>
  <c r="AI53" i="29"/>
  <c r="AH53" i="29"/>
  <c r="AG53" i="29"/>
  <c r="AF53" i="29"/>
  <c r="AE53" i="29"/>
  <c r="AD53" i="29"/>
  <c r="Y53" i="29"/>
  <c r="W53" i="29"/>
  <c r="V53" i="29"/>
  <c r="U53" i="29"/>
  <c r="T53" i="29"/>
  <c r="AN52" i="29"/>
  <c r="AM52" i="29"/>
  <c r="AL52" i="29"/>
  <c r="AK52" i="29"/>
  <c r="AJ52" i="29"/>
  <c r="AI52" i="29"/>
  <c r="AH52" i="29"/>
  <c r="AG52" i="29"/>
  <c r="AF52" i="29"/>
  <c r="AE52" i="29"/>
  <c r="AD52" i="29"/>
  <c r="Y52" i="29"/>
  <c r="W52" i="29"/>
  <c r="V52" i="29"/>
  <c r="U52" i="29"/>
  <c r="T52" i="29"/>
  <c r="AN51" i="29"/>
  <c r="AM51" i="29"/>
  <c r="AL51" i="29"/>
  <c r="AK51" i="29"/>
  <c r="AJ51" i="29"/>
  <c r="AI51" i="29"/>
  <c r="AH51" i="29"/>
  <c r="AG51" i="29"/>
  <c r="AF51" i="29"/>
  <c r="AE51" i="29"/>
  <c r="AD51" i="29"/>
  <c r="Y51" i="29"/>
  <c r="W51" i="29"/>
  <c r="V51" i="29"/>
  <c r="U51" i="29"/>
  <c r="T51" i="29"/>
  <c r="AN50" i="29"/>
  <c r="AM50" i="29"/>
  <c r="AL50" i="29"/>
  <c r="AK50" i="29"/>
  <c r="AJ50" i="29"/>
  <c r="AI50" i="29"/>
  <c r="AH50" i="29"/>
  <c r="AG50" i="29"/>
  <c r="AF50" i="29"/>
  <c r="AE50" i="29"/>
  <c r="AD50" i="29"/>
  <c r="Y50" i="29"/>
  <c r="W50" i="29"/>
  <c r="V50" i="29"/>
  <c r="U50" i="29"/>
  <c r="T50" i="29"/>
  <c r="AN49" i="29"/>
  <c r="AM49" i="29"/>
  <c r="AL49" i="29"/>
  <c r="AK49" i="29"/>
  <c r="AJ49" i="29"/>
  <c r="AI49" i="29"/>
  <c r="AH49" i="29"/>
  <c r="AG49" i="29"/>
  <c r="AF49" i="29"/>
  <c r="AE49" i="29"/>
  <c r="AD49" i="29"/>
  <c r="Y49" i="29"/>
  <c r="W49" i="29"/>
  <c r="V49" i="29"/>
  <c r="U49" i="29"/>
  <c r="T49" i="29"/>
  <c r="AN48" i="29"/>
  <c r="AM48" i="29"/>
  <c r="AL48" i="29"/>
  <c r="AK48" i="29"/>
  <c r="AJ48" i="29"/>
  <c r="AI48" i="29"/>
  <c r="AH48" i="29"/>
  <c r="AG48" i="29"/>
  <c r="AF48" i="29"/>
  <c r="AE48" i="29"/>
  <c r="AD48" i="29"/>
  <c r="Y48" i="29"/>
  <c r="W48" i="29"/>
  <c r="V48" i="29"/>
  <c r="U48" i="29"/>
  <c r="T48" i="29"/>
  <c r="AN47" i="29"/>
  <c r="AM47" i="29"/>
  <c r="AL47" i="29"/>
  <c r="AK47" i="29"/>
  <c r="AJ47" i="29"/>
  <c r="AI47" i="29"/>
  <c r="AH47" i="29"/>
  <c r="AG47" i="29"/>
  <c r="AF47" i="29"/>
  <c r="AE47" i="29"/>
  <c r="AD47" i="29"/>
  <c r="Y47" i="29"/>
  <c r="W47" i="29"/>
  <c r="V47" i="29"/>
  <c r="U47" i="29"/>
  <c r="T47" i="29"/>
  <c r="AN46" i="29"/>
  <c r="AM46" i="29"/>
  <c r="AL46" i="29"/>
  <c r="AK46" i="29"/>
  <c r="AJ46" i="29"/>
  <c r="AI46" i="29"/>
  <c r="AH46" i="29"/>
  <c r="AG46" i="29"/>
  <c r="AF46" i="29"/>
  <c r="AE46" i="29"/>
  <c r="AD46" i="29"/>
  <c r="Y46" i="29"/>
  <c r="W46" i="29"/>
  <c r="V46" i="29"/>
  <c r="U46" i="29"/>
  <c r="T46" i="29"/>
  <c r="AN45" i="29"/>
  <c r="AM45" i="29"/>
  <c r="AL45" i="29"/>
  <c r="AK45" i="29"/>
  <c r="AJ45" i="29"/>
  <c r="AI45" i="29"/>
  <c r="AH45" i="29"/>
  <c r="AG45" i="29"/>
  <c r="AF45" i="29"/>
  <c r="AE45" i="29"/>
  <c r="AD45" i="29"/>
  <c r="Y45" i="29"/>
  <c r="W45" i="29"/>
  <c r="V45" i="29"/>
  <c r="U45" i="29"/>
  <c r="T45" i="29"/>
  <c r="AN44" i="29"/>
  <c r="AM44" i="29"/>
  <c r="AL44" i="29"/>
  <c r="AK44" i="29"/>
  <c r="AJ44" i="29"/>
  <c r="AI44" i="29"/>
  <c r="AH44" i="29"/>
  <c r="AG44" i="29"/>
  <c r="AF44" i="29"/>
  <c r="AE44" i="29"/>
  <c r="AD44" i="29"/>
  <c r="Y44" i="29"/>
  <c r="W44" i="29"/>
  <c r="V44" i="29"/>
  <c r="U44" i="29"/>
  <c r="T44" i="29"/>
  <c r="AN43" i="29"/>
  <c r="AM43" i="29"/>
  <c r="AL43" i="29"/>
  <c r="AK43" i="29"/>
  <c r="AJ43" i="29"/>
  <c r="AI43" i="29"/>
  <c r="AH43" i="29"/>
  <c r="AG43" i="29"/>
  <c r="AF43" i="29"/>
  <c r="AE43" i="29"/>
  <c r="AD43" i="29"/>
  <c r="Y43" i="29"/>
  <c r="W43" i="29"/>
  <c r="V43" i="29"/>
  <c r="U43" i="29"/>
  <c r="T43" i="29"/>
  <c r="AN42" i="29"/>
  <c r="AM42" i="29"/>
  <c r="AL42" i="29"/>
  <c r="AK42" i="29"/>
  <c r="AJ42" i="29"/>
  <c r="AI42" i="29"/>
  <c r="AH42" i="29"/>
  <c r="AG42" i="29"/>
  <c r="AF42" i="29"/>
  <c r="AE42" i="29"/>
  <c r="AD42" i="29"/>
  <c r="Y42" i="29"/>
  <c r="W42" i="29"/>
  <c r="V42" i="29"/>
  <c r="U42" i="29"/>
  <c r="T42" i="29"/>
  <c r="AN41" i="29"/>
  <c r="AM41" i="29"/>
  <c r="AL41" i="29"/>
  <c r="AK41" i="29"/>
  <c r="AJ41" i="29"/>
  <c r="AI41" i="29"/>
  <c r="AH41" i="29"/>
  <c r="AG41" i="29"/>
  <c r="AF41" i="29"/>
  <c r="AE41" i="29"/>
  <c r="AD41" i="29"/>
  <c r="Y41" i="29"/>
  <c r="W41" i="29"/>
  <c r="V41" i="29"/>
  <c r="U41" i="29"/>
  <c r="T41" i="29"/>
  <c r="AN40" i="29"/>
  <c r="AM40" i="29"/>
  <c r="AL40" i="29"/>
  <c r="AK40" i="29"/>
  <c r="AJ40" i="29"/>
  <c r="AI40" i="29"/>
  <c r="AH40" i="29"/>
  <c r="AG40" i="29"/>
  <c r="AF40" i="29"/>
  <c r="AE40" i="29"/>
  <c r="AD40" i="29"/>
  <c r="Y40" i="29"/>
  <c r="W40" i="29"/>
  <c r="V40" i="29"/>
  <c r="U40" i="29"/>
  <c r="T40" i="29"/>
  <c r="AN39" i="29"/>
  <c r="AM39" i="29"/>
  <c r="AL39" i="29"/>
  <c r="AK39" i="29"/>
  <c r="AJ39" i="29"/>
  <c r="AI39" i="29"/>
  <c r="AH39" i="29"/>
  <c r="AG39" i="29"/>
  <c r="AF39" i="29"/>
  <c r="AE39" i="29"/>
  <c r="AD39" i="29"/>
  <c r="Y39" i="29"/>
  <c r="W39" i="29"/>
  <c r="V39" i="29"/>
  <c r="U39" i="29"/>
  <c r="T39" i="29"/>
  <c r="AN38" i="29"/>
  <c r="AM38" i="29"/>
  <c r="AL38" i="29"/>
  <c r="AK38" i="29"/>
  <c r="AJ38" i="29"/>
  <c r="AI38" i="29"/>
  <c r="AH38" i="29"/>
  <c r="AG38" i="29"/>
  <c r="AF38" i="29"/>
  <c r="AE38" i="29"/>
  <c r="AD38" i="29"/>
  <c r="Y38" i="29"/>
  <c r="W38" i="29"/>
  <c r="V38" i="29"/>
  <c r="U38" i="29"/>
  <c r="T38" i="29"/>
  <c r="AN37" i="29"/>
  <c r="AM37" i="29"/>
  <c r="AL37" i="29"/>
  <c r="AK37" i="29"/>
  <c r="AJ37" i="29"/>
  <c r="AI37" i="29"/>
  <c r="AH37" i="29"/>
  <c r="AG37" i="29"/>
  <c r="AF37" i="29"/>
  <c r="AE37" i="29"/>
  <c r="AD37" i="29"/>
  <c r="Y37" i="29"/>
  <c r="W37" i="29"/>
  <c r="V37" i="29"/>
  <c r="U37" i="29"/>
  <c r="T37" i="29"/>
  <c r="AN36" i="29"/>
  <c r="AM36" i="29"/>
  <c r="AL36" i="29"/>
  <c r="AK36" i="29"/>
  <c r="AJ36" i="29"/>
  <c r="AI36" i="29"/>
  <c r="AH36" i="29"/>
  <c r="AG36" i="29"/>
  <c r="AF36" i="29"/>
  <c r="AE36" i="29"/>
  <c r="AD36" i="29"/>
  <c r="Y36" i="29"/>
  <c r="W36" i="29"/>
  <c r="V36" i="29"/>
  <c r="U36" i="29"/>
  <c r="T36" i="29"/>
  <c r="AN35" i="29"/>
  <c r="AM35" i="29"/>
  <c r="AL35" i="29"/>
  <c r="AK35" i="29"/>
  <c r="AJ35" i="29"/>
  <c r="AI35" i="29"/>
  <c r="AH35" i="29"/>
  <c r="AG35" i="29"/>
  <c r="AF35" i="29"/>
  <c r="AE35" i="29"/>
  <c r="AD35" i="29"/>
  <c r="Y35" i="29"/>
  <c r="W35" i="29"/>
  <c r="V35" i="29"/>
  <c r="U35" i="29"/>
  <c r="T35" i="29"/>
  <c r="AN34" i="29"/>
  <c r="AM34" i="29"/>
  <c r="AL34" i="29"/>
  <c r="AK34" i="29"/>
  <c r="AJ34" i="29"/>
  <c r="AI34" i="29"/>
  <c r="AH34" i="29"/>
  <c r="AG34" i="29"/>
  <c r="AF34" i="29"/>
  <c r="AE34" i="29"/>
  <c r="AD34" i="29"/>
  <c r="Y34" i="29"/>
  <c r="W34" i="29"/>
  <c r="V34" i="29"/>
  <c r="U34" i="29"/>
  <c r="T34" i="29"/>
  <c r="AN33" i="29"/>
  <c r="AM33" i="29"/>
  <c r="AL33" i="29"/>
  <c r="AK33" i="29"/>
  <c r="AJ33" i="29"/>
  <c r="AI33" i="29"/>
  <c r="AH33" i="29"/>
  <c r="AG33" i="29"/>
  <c r="AF33" i="29"/>
  <c r="AE33" i="29"/>
  <c r="AD33" i="29"/>
  <c r="Y33" i="29"/>
  <c r="W33" i="29"/>
  <c r="V33" i="29"/>
  <c r="U33" i="29"/>
  <c r="T33" i="29"/>
  <c r="AN32" i="29"/>
  <c r="AM32" i="29"/>
  <c r="AL32" i="29"/>
  <c r="AK32" i="29"/>
  <c r="AJ32" i="29"/>
  <c r="AI32" i="29"/>
  <c r="AH32" i="29"/>
  <c r="AG32" i="29"/>
  <c r="AF32" i="29"/>
  <c r="AE32" i="29"/>
  <c r="AD32" i="29"/>
  <c r="Y32" i="29"/>
  <c r="W32" i="29"/>
  <c r="V32" i="29"/>
  <c r="U32" i="29"/>
  <c r="T32" i="29"/>
  <c r="AN31" i="29"/>
  <c r="AM31" i="29"/>
  <c r="AL31" i="29"/>
  <c r="AK31" i="29"/>
  <c r="AJ31" i="29"/>
  <c r="AI31" i="29"/>
  <c r="AH31" i="29"/>
  <c r="AG31" i="29"/>
  <c r="AF31" i="29"/>
  <c r="AE31" i="29"/>
  <c r="AD31" i="29"/>
  <c r="Y31" i="29"/>
  <c r="W31" i="29"/>
  <c r="V31" i="29"/>
  <c r="U31" i="29"/>
  <c r="T31" i="29"/>
  <c r="AN30" i="29"/>
  <c r="AM30" i="29"/>
  <c r="AL30" i="29"/>
  <c r="AK30" i="29"/>
  <c r="AJ30" i="29"/>
  <c r="AI30" i="29"/>
  <c r="AH30" i="29"/>
  <c r="AG30" i="29"/>
  <c r="AF30" i="29"/>
  <c r="AE30" i="29"/>
  <c r="AD30" i="29"/>
  <c r="Y30" i="29"/>
  <c r="W30" i="29"/>
  <c r="V30" i="29"/>
  <c r="U30" i="29"/>
  <c r="T30" i="29"/>
  <c r="AN29" i="29"/>
  <c r="AM29" i="29"/>
  <c r="AL29" i="29"/>
  <c r="AK29" i="29"/>
  <c r="AJ29" i="29"/>
  <c r="AI29" i="29"/>
  <c r="AH29" i="29"/>
  <c r="AG29" i="29"/>
  <c r="AF29" i="29"/>
  <c r="AE29" i="29"/>
  <c r="AD29" i="29"/>
  <c r="Y29" i="29"/>
  <c r="W29" i="29"/>
  <c r="V29" i="29"/>
  <c r="U29" i="29"/>
  <c r="T29" i="29"/>
  <c r="AN28" i="29"/>
  <c r="AM28" i="29"/>
  <c r="AL28" i="29"/>
  <c r="AK28" i="29"/>
  <c r="AJ28" i="29"/>
  <c r="AI28" i="29"/>
  <c r="AH28" i="29"/>
  <c r="AG28" i="29"/>
  <c r="AF28" i="29"/>
  <c r="AE28" i="29"/>
  <c r="AD28" i="29"/>
  <c r="Y28" i="29"/>
  <c r="W28" i="29"/>
  <c r="V28" i="29"/>
  <c r="U28" i="29"/>
  <c r="T28" i="29"/>
  <c r="AN27" i="29"/>
  <c r="AM27" i="29"/>
  <c r="AL27" i="29"/>
  <c r="AK27" i="29"/>
  <c r="AJ27" i="29"/>
  <c r="AI27" i="29"/>
  <c r="AH27" i="29"/>
  <c r="AG27" i="29"/>
  <c r="AF27" i="29"/>
  <c r="AE27" i="29"/>
  <c r="AD27" i="29"/>
  <c r="Y27" i="29"/>
  <c r="W27" i="29"/>
  <c r="V27" i="29"/>
  <c r="U27" i="29"/>
  <c r="T27" i="29"/>
  <c r="AN26" i="29"/>
  <c r="AM26" i="29"/>
  <c r="AL26" i="29"/>
  <c r="AK26" i="29"/>
  <c r="AJ26" i="29"/>
  <c r="AI26" i="29"/>
  <c r="AH26" i="29"/>
  <c r="AG26" i="29"/>
  <c r="AF26" i="29"/>
  <c r="AE26" i="29"/>
  <c r="AD26" i="29"/>
  <c r="Y26" i="29"/>
  <c r="W26" i="29"/>
  <c r="V26" i="29"/>
  <c r="U26" i="29"/>
  <c r="T26" i="29"/>
  <c r="AN25" i="29"/>
  <c r="AM25" i="29"/>
  <c r="AL25" i="29"/>
  <c r="AK25" i="29"/>
  <c r="AJ25" i="29"/>
  <c r="AI25" i="29"/>
  <c r="AH25" i="29"/>
  <c r="AG25" i="29"/>
  <c r="AF25" i="29"/>
  <c r="AE25" i="29"/>
  <c r="AD25" i="29"/>
  <c r="Y25" i="29"/>
  <c r="W25" i="29"/>
  <c r="V25" i="29"/>
  <c r="U25" i="29"/>
  <c r="T25" i="29"/>
  <c r="AN24" i="29"/>
  <c r="AM24" i="29"/>
  <c r="AL24" i="29"/>
  <c r="AK24" i="29"/>
  <c r="AJ24" i="29"/>
  <c r="AI24" i="29"/>
  <c r="AH24" i="29"/>
  <c r="AG24" i="29"/>
  <c r="AF24" i="29"/>
  <c r="AE24" i="29"/>
  <c r="AD24" i="29"/>
  <c r="Y24" i="29"/>
  <c r="W24" i="29"/>
  <c r="V24" i="29"/>
  <c r="U24" i="29"/>
  <c r="T24" i="29"/>
  <c r="AN23" i="29"/>
  <c r="AM23" i="29"/>
  <c r="AL23" i="29"/>
  <c r="AK23" i="29"/>
  <c r="AJ23" i="29"/>
  <c r="AI23" i="29"/>
  <c r="AH23" i="29"/>
  <c r="AG23" i="29"/>
  <c r="AF23" i="29"/>
  <c r="AE23" i="29"/>
  <c r="AD23" i="29"/>
  <c r="Y23" i="29"/>
  <c r="W23" i="29"/>
  <c r="V23" i="29"/>
  <c r="U23" i="29"/>
  <c r="T23" i="29"/>
  <c r="AN22" i="29"/>
  <c r="AM22" i="29"/>
  <c r="AL22" i="29"/>
  <c r="AK22" i="29"/>
  <c r="AJ22" i="29"/>
  <c r="AI22" i="29"/>
  <c r="AH22" i="29"/>
  <c r="AG22" i="29"/>
  <c r="AF22" i="29"/>
  <c r="AE22" i="29"/>
  <c r="AD22" i="29"/>
  <c r="Y22" i="29"/>
  <c r="W22" i="29"/>
  <c r="V22" i="29"/>
  <c r="U22" i="29"/>
  <c r="T22" i="29"/>
  <c r="AN21" i="29"/>
  <c r="AM21" i="29"/>
  <c r="AL21" i="29"/>
  <c r="AK21" i="29"/>
  <c r="AJ21" i="29"/>
  <c r="AI21" i="29"/>
  <c r="AH21" i="29"/>
  <c r="AG21" i="29"/>
  <c r="AF21" i="29"/>
  <c r="AE21" i="29"/>
  <c r="AD21" i="29"/>
  <c r="Y21" i="29"/>
  <c r="W21" i="29"/>
  <c r="V21" i="29"/>
  <c r="U21" i="29"/>
  <c r="T21" i="29"/>
  <c r="AN20" i="29"/>
  <c r="AM20" i="29"/>
  <c r="AL20" i="29"/>
  <c r="AK20" i="29"/>
  <c r="AJ20" i="29"/>
  <c r="AI20" i="29"/>
  <c r="AH20" i="29"/>
  <c r="AG20" i="29"/>
  <c r="AF20" i="29"/>
  <c r="AE20" i="29"/>
  <c r="AD20" i="29"/>
  <c r="Y20" i="29"/>
  <c r="W20" i="29"/>
  <c r="V20" i="29"/>
  <c r="U20" i="29"/>
  <c r="T20" i="29"/>
  <c r="AN19" i="29"/>
  <c r="AM19" i="29"/>
  <c r="AL19" i="29"/>
  <c r="AK19" i="29"/>
  <c r="AJ19" i="29"/>
  <c r="AI19" i="29"/>
  <c r="AH19" i="29"/>
  <c r="AG19" i="29"/>
  <c r="AF19" i="29"/>
  <c r="AE19" i="29"/>
  <c r="AD19" i="29"/>
  <c r="Y19" i="29"/>
  <c r="W19" i="29"/>
  <c r="V19" i="29"/>
  <c r="U19" i="29"/>
  <c r="T19" i="29"/>
  <c r="AN18" i="29"/>
  <c r="AM18" i="29"/>
  <c r="AL18" i="29"/>
  <c r="AK18" i="29"/>
  <c r="AJ18" i="29"/>
  <c r="AI18" i="29"/>
  <c r="AH18" i="29"/>
  <c r="AG18" i="29"/>
  <c r="AF18" i="29"/>
  <c r="AE18" i="29"/>
  <c r="AD18" i="29"/>
  <c r="Y18" i="29"/>
  <c r="W18" i="29"/>
  <c r="V18" i="29"/>
  <c r="U18" i="29"/>
  <c r="T18" i="29"/>
  <c r="AN17" i="29"/>
  <c r="AM17" i="29"/>
  <c r="AL17" i="29"/>
  <c r="AK17" i="29"/>
  <c r="AJ17" i="29"/>
  <c r="AI17" i="29"/>
  <c r="AH17" i="29"/>
  <c r="AG17" i="29"/>
  <c r="AF17" i="29"/>
  <c r="AE17" i="29"/>
  <c r="AD17" i="29"/>
  <c r="Y17" i="29"/>
  <c r="W17" i="29"/>
  <c r="V17" i="29"/>
  <c r="U17" i="29"/>
  <c r="T17" i="29"/>
  <c r="AN16" i="29"/>
  <c r="AM16" i="29"/>
  <c r="AL16" i="29"/>
  <c r="AK16" i="29"/>
  <c r="AJ16" i="29"/>
  <c r="AI16" i="29"/>
  <c r="AH16" i="29"/>
  <c r="AG16" i="29"/>
  <c r="AF16" i="29"/>
  <c r="AE16" i="29"/>
  <c r="AD16" i="29"/>
  <c r="Y16" i="29"/>
  <c r="W16" i="29"/>
  <c r="V16" i="29"/>
  <c r="U16" i="29"/>
  <c r="T16" i="29"/>
  <c r="A16" i="29"/>
  <c r="AN15" i="29"/>
  <c r="AM15" i="29"/>
  <c r="AL15" i="29"/>
  <c r="AK15" i="29"/>
  <c r="AJ15" i="29"/>
  <c r="AI15" i="29"/>
  <c r="AH15" i="29"/>
  <c r="AG15" i="29"/>
  <c r="AF15" i="29"/>
  <c r="AE15" i="29"/>
  <c r="AD15" i="29"/>
  <c r="Y15" i="29"/>
  <c r="W15" i="29"/>
  <c r="V15" i="29"/>
  <c r="U15" i="29"/>
  <c r="T15" i="29"/>
  <c r="AN14" i="29"/>
  <c r="AM14" i="29"/>
  <c r="AL14" i="29"/>
  <c r="AK14" i="29"/>
  <c r="AJ14" i="29"/>
  <c r="AI14" i="29"/>
  <c r="AH14" i="29"/>
  <c r="AG14" i="29"/>
  <c r="AF14" i="29"/>
  <c r="AE14" i="29"/>
  <c r="AD14" i="29"/>
  <c r="Y14" i="29"/>
  <c r="W14" i="29"/>
  <c r="V14" i="29"/>
  <c r="U14" i="29"/>
  <c r="T14" i="29"/>
  <c r="A14" i="29"/>
  <c r="AN13" i="29"/>
  <c r="AM13" i="29"/>
  <c r="AL13" i="29"/>
  <c r="AK13" i="29"/>
  <c r="AJ13" i="29"/>
  <c r="AI13" i="29"/>
  <c r="AH13" i="29"/>
  <c r="AG13" i="29"/>
  <c r="AF13" i="29"/>
  <c r="AE13" i="29"/>
  <c r="AD13" i="29"/>
  <c r="Y13" i="29"/>
  <c r="W13" i="29"/>
  <c r="V13" i="29"/>
  <c r="U13" i="29"/>
  <c r="T13" i="29"/>
  <c r="AN12" i="29"/>
  <c r="AM12" i="29"/>
  <c r="AL12" i="29"/>
  <c r="AK12" i="29"/>
  <c r="AJ12" i="29"/>
  <c r="AI12" i="29"/>
  <c r="AH12" i="29"/>
  <c r="AG12" i="29"/>
  <c r="AF12" i="29"/>
  <c r="AE12" i="29"/>
  <c r="AD12" i="29"/>
  <c r="Y12" i="29"/>
  <c r="W12" i="29"/>
  <c r="V12" i="29"/>
  <c r="U12" i="29"/>
  <c r="T12" i="29"/>
  <c r="A12" i="29"/>
  <c r="AN11" i="29"/>
  <c r="AM11" i="29"/>
  <c r="AL11" i="29"/>
  <c r="AK11" i="29"/>
  <c r="AJ11" i="29"/>
  <c r="AI11" i="29"/>
  <c r="AH11" i="29"/>
  <c r="AG11" i="29"/>
  <c r="AF11" i="29"/>
  <c r="AE11" i="29"/>
  <c r="AD11" i="29"/>
  <c r="Y11" i="29"/>
  <c r="W11" i="29"/>
  <c r="V11" i="29"/>
  <c r="U11" i="29"/>
  <c r="T11" i="29"/>
  <c r="AN10" i="29"/>
  <c r="AM10" i="29"/>
  <c r="AL10" i="29"/>
  <c r="AK10" i="29"/>
  <c r="AJ10" i="29"/>
  <c r="AI10" i="29"/>
  <c r="AH10" i="29"/>
  <c r="AG10" i="29"/>
  <c r="AF10" i="29"/>
  <c r="AE10" i="29"/>
  <c r="AD10" i="29"/>
  <c r="Y10" i="29"/>
  <c r="W10" i="29"/>
  <c r="V10" i="29"/>
  <c r="U10" i="29"/>
  <c r="T10" i="29"/>
  <c r="A10" i="29"/>
  <c r="AN9" i="29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U9" i="29"/>
  <c r="T9" i="29"/>
  <c r="AN8" i="29"/>
  <c r="AM8" i="29"/>
  <c r="AL8" i="29"/>
  <c r="AK8" i="29"/>
  <c r="AJ8" i="29"/>
  <c r="AI8" i="29"/>
  <c r="AH8" i="29"/>
  <c r="AG8" i="29"/>
  <c r="AF8" i="29"/>
  <c r="AE8" i="29"/>
  <c r="AD8" i="29"/>
  <c r="Y8" i="29"/>
  <c r="W8" i="29"/>
  <c r="V8" i="29"/>
  <c r="U8" i="29"/>
  <c r="T8" i="29"/>
  <c r="AN7" i="29"/>
  <c r="AM7" i="29"/>
  <c r="AL7" i="29"/>
  <c r="AK7" i="29"/>
  <c r="AJ7" i="29"/>
  <c r="AI7" i="29"/>
  <c r="AH7" i="29"/>
  <c r="AG7" i="29"/>
  <c r="AF7" i="29"/>
  <c r="AE7" i="29"/>
  <c r="AD7" i="29"/>
  <c r="Y7" i="29"/>
  <c r="W7" i="29"/>
  <c r="V7" i="29"/>
  <c r="U7" i="29"/>
  <c r="T7" i="29"/>
  <c r="AN6" i="29"/>
  <c r="AM6" i="29"/>
  <c r="AL6" i="29"/>
  <c r="AK6" i="29"/>
  <c r="AJ6" i="29"/>
  <c r="AI6" i="29"/>
  <c r="AH6" i="29"/>
  <c r="AG6" i="29"/>
  <c r="AF6" i="29"/>
  <c r="AE6" i="29"/>
  <c r="AD6" i="29"/>
  <c r="Y6" i="29"/>
  <c r="W6" i="29"/>
  <c r="V6" i="29"/>
  <c r="U6" i="29"/>
  <c r="T6" i="29"/>
  <c r="A6" i="29"/>
  <c r="AN5" i="29"/>
  <c r="AM5" i="29"/>
  <c r="AL5" i="29"/>
  <c r="AK5" i="29"/>
  <c r="AJ5" i="29"/>
  <c r="AI5" i="29"/>
  <c r="AH5" i="29"/>
  <c r="AG5" i="29"/>
  <c r="AF5" i="29"/>
  <c r="AE5" i="29"/>
  <c r="AD5" i="29"/>
  <c r="Y5" i="29"/>
  <c r="W5" i="29"/>
  <c r="V5" i="29"/>
  <c r="U5" i="29"/>
  <c r="T5" i="29"/>
  <c r="F1" i="29"/>
  <c r="AN48" i="28"/>
  <c r="AM48" i="28"/>
  <c r="AL48" i="28"/>
  <c r="AK48" i="28"/>
  <c r="AJ48" i="28"/>
  <c r="AI48" i="28"/>
  <c r="AH48" i="28"/>
  <c r="AG48" i="28"/>
  <c r="AF48" i="28"/>
  <c r="AE48" i="28"/>
  <c r="AD48" i="28"/>
  <c r="Y48" i="28"/>
  <c r="W48" i="28"/>
  <c r="V48" i="28"/>
  <c r="U48" i="28"/>
  <c r="T48" i="28"/>
  <c r="AN47" i="28"/>
  <c r="AM47" i="28"/>
  <c r="AL47" i="28"/>
  <c r="AK47" i="28"/>
  <c r="AJ47" i="28"/>
  <c r="AI47" i="28"/>
  <c r="AH47" i="28"/>
  <c r="AG47" i="28"/>
  <c r="AF47" i="28"/>
  <c r="AE47" i="28"/>
  <c r="AD47" i="28"/>
  <c r="Y47" i="28"/>
  <c r="W47" i="28"/>
  <c r="V47" i="28"/>
  <c r="U47" i="28"/>
  <c r="T47" i="28"/>
  <c r="AN46" i="28"/>
  <c r="AM46" i="28"/>
  <c r="AL46" i="28"/>
  <c r="AK46" i="28"/>
  <c r="AJ46" i="28"/>
  <c r="AI46" i="28"/>
  <c r="AH46" i="28"/>
  <c r="AG46" i="28"/>
  <c r="AF46" i="28"/>
  <c r="AE46" i="28"/>
  <c r="AD46" i="28"/>
  <c r="Y46" i="28"/>
  <c r="W46" i="28"/>
  <c r="V46" i="28"/>
  <c r="U46" i="28"/>
  <c r="T46" i="28"/>
  <c r="AN45" i="28"/>
  <c r="AM45" i="28"/>
  <c r="AL45" i="28"/>
  <c r="AK45" i="28"/>
  <c r="AJ45" i="28"/>
  <c r="AI45" i="28"/>
  <c r="AH45" i="28"/>
  <c r="AG45" i="28"/>
  <c r="AF45" i="28"/>
  <c r="AE45" i="28"/>
  <c r="AD45" i="28"/>
  <c r="Y45" i="28"/>
  <c r="W45" i="28"/>
  <c r="V45" i="28"/>
  <c r="U45" i="28"/>
  <c r="T45" i="28"/>
  <c r="AN44" i="28"/>
  <c r="AM44" i="28"/>
  <c r="AL44" i="28"/>
  <c r="AK44" i="28"/>
  <c r="AJ44" i="28"/>
  <c r="AI44" i="28"/>
  <c r="AH44" i="28"/>
  <c r="AG44" i="28"/>
  <c r="AF44" i="28"/>
  <c r="AE44" i="28"/>
  <c r="AD44" i="28"/>
  <c r="Y44" i="28"/>
  <c r="W44" i="28"/>
  <c r="V44" i="28"/>
  <c r="U44" i="28"/>
  <c r="T44" i="28"/>
  <c r="AN43" i="28"/>
  <c r="AM43" i="28"/>
  <c r="AL43" i="28"/>
  <c r="AK43" i="28"/>
  <c r="AJ43" i="28"/>
  <c r="AI43" i="28"/>
  <c r="AH43" i="28"/>
  <c r="AG43" i="28"/>
  <c r="AF43" i="28"/>
  <c r="AE43" i="28"/>
  <c r="AD43" i="28"/>
  <c r="Y43" i="28"/>
  <c r="W43" i="28"/>
  <c r="V43" i="28"/>
  <c r="U43" i="28"/>
  <c r="T43" i="28"/>
  <c r="AN42" i="28"/>
  <c r="AM42" i="28"/>
  <c r="AL42" i="28"/>
  <c r="AK42" i="28"/>
  <c r="AJ42" i="28"/>
  <c r="AI42" i="28"/>
  <c r="AH42" i="28"/>
  <c r="AG42" i="28"/>
  <c r="AF42" i="28"/>
  <c r="AE42" i="28"/>
  <c r="AD42" i="28"/>
  <c r="Y42" i="28"/>
  <c r="W42" i="28"/>
  <c r="V42" i="28"/>
  <c r="U42" i="28"/>
  <c r="T42" i="28"/>
  <c r="AN41" i="28"/>
  <c r="AM41" i="28"/>
  <c r="AL41" i="28"/>
  <c r="AK41" i="28"/>
  <c r="AJ41" i="28"/>
  <c r="AI41" i="28"/>
  <c r="AH41" i="28"/>
  <c r="AG41" i="28"/>
  <c r="AF41" i="28"/>
  <c r="AE41" i="28"/>
  <c r="AD41" i="28"/>
  <c r="Y41" i="28"/>
  <c r="W41" i="28"/>
  <c r="V41" i="28"/>
  <c r="U41" i="28"/>
  <c r="T41" i="28"/>
  <c r="AN40" i="28"/>
  <c r="AM40" i="28"/>
  <c r="AL40" i="28"/>
  <c r="AK40" i="28"/>
  <c r="AJ40" i="28"/>
  <c r="AI40" i="28"/>
  <c r="AH40" i="28"/>
  <c r="AG40" i="28"/>
  <c r="AF40" i="28"/>
  <c r="AE40" i="28"/>
  <c r="AD40" i="28"/>
  <c r="Y40" i="28"/>
  <c r="W40" i="28"/>
  <c r="V40" i="28"/>
  <c r="U40" i="28"/>
  <c r="T40" i="28"/>
  <c r="AN39" i="28"/>
  <c r="AM39" i="28"/>
  <c r="AL39" i="28"/>
  <c r="AK39" i="28"/>
  <c r="AJ39" i="28"/>
  <c r="AI39" i="28"/>
  <c r="AH39" i="28"/>
  <c r="AG39" i="28"/>
  <c r="AF39" i="28"/>
  <c r="AE39" i="28"/>
  <c r="AD39" i="28"/>
  <c r="Y39" i="28"/>
  <c r="W39" i="28"/>
  <c r="V39" i="28"/>
  <c r="U39" i="28"/>
  <c r="T39" i="28"/>
  <c r="AN38" i="28"/>
  <c r="AM38" i="28"/>
  <c r="AL38" i="28"/>
  <c r="AK38" i="28"/>
  <c r="AJ38" i="28"/>
  <c r="AI38" i="28"/>
  <c r="AH38" i="28"/>
  <c r="AG38" i="28"/>
  <c r="AF38" i="28"/>
  <c r="AE38" i="28"/>
  <c r="AD38" i="28"/>
  <c r="Y38" i="28"/>
  <c r="W38" i="28"/>
  <c r="V38" i="28"/>
  <c r="U38" i="28"/>
  <c r="T38" i="28"/>
  <c r="AN37" i="28"/>
  <c r="AM37" i="28"/>
  <c r="AL37" i="28"/>
  <c r="AK37" i="28"/>
  <c r="AJ37" i="28"/>
  <c r="AI37" i="28"/>
  <c r="AH37" i="28"/>
  <c r="AG37" i="28"/>
  <c r="AF37" i="28"/>
  <c r="AE37" i="28"/>
  <c r="AD37" i="28"/>
  <c r="Y37" i="28"/>
  <c r="W37" i="28"/>
  <c r="V37" i="28"/>
  <c r="U37" i="28"/>
  <c r="T37" i="28"/>
  <c r="AN36" i="28"/>
  <c r="AM36" i="28"/>
  <c r="AL36" i="28"/>
  <c r="AK36" i="28"/>
  <c r="AJ36" i="28"/>
  <c r="AI36" i="28"/>
  <c r="AH36" i="28"/>
  <c r="AG36" i="28"/>
  <c r="AF36" i="28"/>
  <c r="AE36" i="28"/>
  <c r="AD36" i="28"/>
  <c r="Y36" i="28"/>
  <c r="W36" i="28"/>
  <c r="V36" i="28"/>
  <c r="U36" i="28"/>
  <c r="T36" i="28"/>
  <c r="AN35" i="28"/>
  <c r="AM35" i="28"/>
  <c r="AL35" i="28"/>
  <c r="AK35" i="28"/>
  <c r="AJ35" i="28"/>
  <c r="AI35" i="28"/>
  <c r="AH35" i="28"/>
  <c r="AG35" i="28"/>
  <c r="AF35" i="28"/>
  <c r="AE35" i="28"/>
  <c r="AD35" i="28"/>
  <c r="Y35" i="28"/>
  <c r="W35" i="28"/>
  <c r="V35" i="28"/>
  <c r="U35" i="28"/>
  <c r="T35" i="28"/>
  <c r="AN34" i="28"/>
  <c r="AM34" i="28"/>
  <c r="AL34" i="28"/>
  <c r="AK34" i="28"/>
  <c r="AJ34" i="28"/>
  <c r="AI34" i="28"/>
  <c r="AH34" i="28"/>
  <c r="AG34" i="28"/>
  <c r="AF34" i="28"/>
  <c r="AE34" i="28"/>
  <c r="AD34" i="28"/>
  <c r="Y34" i="28"/>
  <c r="W34" i="28"/>
  <c r="V34" i="28"/>
  <c r="U34" i="28"/>
  <c r="T34" i="28"/>
  <c r="AN33" i="28"/>
  <c r="AM33" i="28"/>
  <c r="AL33" i="28"/>
  <c r="AK33" i="28"/>
  <c r="AJ33" i="28"/>
  <c r="AI33" i="28"/>
  <c r="AH33" i="28"/>
  <c r="AG33" i="28"/>
  <c r="AF33" i="28"/>
  <c r="AE33" i="28"/>
  <c r="AD33" i="28"/>
  <c r="Y33" i="28"/>
  <c r="W33" i="28"/>
  <c r="V33" i="28"/>
  <c r="U33" i="28"/>
  <c r="T33" i="28"/>
  <c r="AN32" i="28"/>
  <c r="AM32" i="28"/>
  <c r="AL32" i="28"/>
  <c r="AK32" i="28"/>
  <c r="AJ32" i="28"/>
  <c r="AI32" i="28"/>
  <c r="AH32" i="28"/>
  <c r="AG32" i="28"/>
  <c r="AF32" i="28"/>
  <c r="AE32" i="28"/>
  <c r="AD32" i="28"/>
  <c r="Y32" i="28"/>
  <c r="W32" i="28"/>
  <c r="V32" i="28"/>
  <c r="U32" i="28"/>
  <c r="T32" i="28"/>
  <c r="AN31" i="28"/>
  <c r="AM31" i="28"/>
  <c r="AL31" i="28"/>
  <c r="AK31" i="28"/>
  <c r="AJ31" i="28"/>
  <c r="AI31" i="28"/>
  <c r="AH31" i="28"/>
  <c r="AG31" i="28"/>
  <c r="AF31" i="28"/>
  <c r="AE31" i="28"/>
  <c r="AD31" i="28"/>
  <c r="Y31" i="28"/>
  <c r="W31" i="28"/>
  <c r="V31" i="28"/>
  <c r="U31" i="28"/>
  <c r="T31" i="28"/>
  <c r="AN30" i="28"/>
  <c r="AM30" i="28"/>
  <c r="AL30" i="28"/>
  <c r="AK30" i="28"/>
  <c r="AJ30" i="28"/>
  <c r="AI30" i="28"/>
  <c r="AH30" i="28"/>
  <c r="AG30" i="28"/>
  <c r="AF30" i="28"/>
  <c r="AE30" i="28"/>
  <c r="AD30" i="28"/>
  <c r="Y30" i="28"/>
  <c r="W30" i="28"/>
  <c r="V30" i="28"/>
  <c r="U30" i="28"/>
  <c r="T30" i="28"/>
  <c r="AN29" i="28"/>
  <c r="AM29" i="28"/>
  <c r="AL29" i="28"/>
  <c r="AK29" i="28"/>
  <c r="AJ29" i="28"/>
  <c r="AI29" i="28"/>
  <c r="AH29" i="28"/>
  <c r="AG29" i="28"/>
  <c r="AF29" i="28"/>
  <c r="AE29" i="28"/>
  <c r="AD29" i="28"/>
  <c r="Y29" i="28"/>
  <c r="W29" i="28"/>
  <c r="V29" i="28"/>
  <c r="U29" i="28"/>
  <c r="T29" i="28"/>
  <c r="AN28" i="28"/>
  <c r="AM28" i="28"/>
  <c r="AL28" i="28"/>
  <c r="AK28" i="28"/>
  <c r="AJ28" i="28"/>
  <c r="AI28" i="28"/>
  <c r="AH28" i="28"/>
  <c r="AG28" i="28"/>
  <c r="AF28" i="28"/>
  <c r="AE28" i="28"/>
  <c r="AD28" i="28"/>
  <c r="Y28" i="28"/>
  <c r="W28" i="28"/>
  <c r="V28" i="28"/>
  <c r="U28" i="28"/>
  <c r="T28" i="28"/>
  <c r="AN27" i="28"/>
  <c r="AM27" i="28"/>
  <c r="AL27" i="28"/>
  <c r="AK27" i="28"/>
  <c r="AJ27" i="28"/>
  <c r="AI27" i="28"/>
  <c r="AH27" i="28"/>
  <c r="AG27" i="28"/>
  <c r="AF27" i="28"/>
  <c r="AE27" i="28"/>
  <c r="AD27" i="28"/>
  <c r="Y27" i="28"/>
  <c r="W27" i="28"/>
  <c r="V27" i="28"/>
  <c r="U27" i="28"/>
  <c r="T27" i="28"/>
  <c r="AN26" i="28"/>
  <c r="AM26" i="28"/>
  <c r="AL26" i="28"/>
  <c r="AK26" i="28"/>
  <c r="AJ26" i="28"/>
  <c r="AI26" i="28"/>
  <c r="AH26" i="28"/>
  <c r="AG26" i="28"/>
  <c r="AF26" i="28"/>
  <c r="AE26" i="28"/>
  <c r="AD26" i="28"/>
  <c r="Y26" i="28"/>
  <c r="W26" i="28"/>
  <c r="V26" i="28"/>
  <c r="U26" i="28"/>
  <c r="T26" i="28"/>
  <c r="AN25" i="28"/>
  <c r="AM25" i="28"/>
  <c r="AL25" i="28"/>
  <c r="AK25" i="28"/>
  <c r="AJ25" i="28"/>
  <c r="AI25" i="28"/>
  <c r="AH25" i="28"/>
  <c r="AG25" i="28"/>
  <c r="AF25" i="28"/>
  <c r="AE25" i="28"/>
  <c r="AD25" i="28"/>
  <c r="Y25" i="28"/>
  <c r="W25" i="28"/>
  <c r="V25" i="28"/>
  <c r="U25" i="28"/>
  <c r="T25" i="28"/>
  <c r="AN24" i="28"/>
  <c r="AM24" i="28"/>
  <c r="AL24" i="28"/>
  <c r="AK24" i="28"/>
  <c r="AJ24" i="28"/>
  <c r="AI24" i="28"/>
  <c r="AH24" i="28"/>
  <c r="AG24" i="28"/>
  <c r="AF24" i="28"/>
  <c r="AE24" i="28"/>
  <c r="AD24" i="28"/>
  <c r="Y24" i="28"/>
  <c r="W24" i="28"/>
  <c r="V24" i="28"/>
  <c r="U24" i="28"/>
  <c r="T24" i="28"/>
  <c r="AN23" i="28"/>
  <c r="AM23" i="28"/>
  <c r="AL23" i="28"/>
  <c r="AK23" i="28"/>
  <c r="AJ23" i="28"/>
  <c r="AI23" i="28"/>
  <c r="AH23" i="28"/>
  <c r="AG23" i="28"/>
  <c r="AF23" i="28"/>
  <c r="AE23" i="28"/>
  <c r="AD23" i="28"/>
  <c r="Y23" i="28"/>
  <c r="W23" i="28"/>
  <c r="V23" i="28"/>
  <c r="U23" i="28"/>
  <c r="T23" i="28"/>
  <c r="AN22" i="28"/>
  <c r="AM22" i="28"/>
  <c r="AL22" i="28"/>
  <c r="AK22" i="28"/>
  <c r="AJ22" i="28"/>
  <c r="AI22" i="28"/>
  <c r="AH22" i="28"/>
  <c r="AG22" i="28"/>
  <c r="AF22" i="28"/>
  <c r="AE22" i="28"/>
  <c r="AD22" i="28"/>
  <c r="Y22" i="28"/>
  <c r="W22" i="28"/>
  <c r="V22" i="28"/>
  <c r="U22" i="28"/>
  <c r="T22" i="28"/>
  <c r="AN21" i="28"/>
  <c r="AM21" i="28"/>
  <c r="AL21" i="28"/>
  <c r="AK21" i="28"/>
  <c r="AJ21" i="28"/>
  <c r="AI21" i="28"/>
  <c r="AH21" i="28"/>
  <c r="AG21" i="28"/>
  <c r="AF21" i="28"/>
  <c r="AE21" i="28"/>
  <c r="AD21" i="28"/>
  <c r="Y21" i="28"/>
  <c r="W21" i="28"/>
  <c r="V21" i="28"/>
  <c r="U21" i="28"/>
  <c r="T21" i="28"/>
  <c r="AN20" i="28"/>
  <c r="AM20" i="28"/>
  <c r="AL20" i="28"/>
  <c r="AK20" i="28"/>
  <c r="AJ20" i="28"/>
  <c r="AI20" i="28"/>
  <c r="AH20" i="28"/>
  <c r="AG20" i="28"/>
  <c r="AF20" i="28"/>
  <c r="AE20" i="28"/>
  <c r="AD20" i="28"/>
  <c r="Y20" i="28"/>
  <c r="W20" i="28"/>
  <c r="V20" i="28"/>
  <c r="U20" i="28"/>
  <c r="T20" i="28"/>
  <c r="AN19" i="28"/>
  <c r="AM19" i="28"/>
  <c r="AL19" i="28"/>
  <c r="AK19" i="28"/>
  <c r="AJ19" i="28"/>
  <c r="AI19" i="28"/>
  <c r="AH19" i="28"/>
  <c r="AG19" i="28"/>
  <c r="AF19" i="28"/>
  <c r="AE19" i="28"/>
  <c r="AD19" i="28"/>
  <c r="Y19" i="28"/>
  <c r="W19" i="28"/>
  <c r="V19" i="28"/>
  <c r="U19" i="28"/>
  <c r="T19" i="28"/>
  <c r="AN18" i="28"/>
  <c r="AM18" i="28"/>
  <c r="AL18" i="28"/>
  <c r="AK18" i="28"/>
  <c r="AJ18" i="28"/>
  <c r="AI18" i="28"/>
  <c r="AH18" i="28"/>
  <c r="AG18" i="28"/>
  <c r="AF18" i="28"/>
  <c r="AE18" i="28"/>
  <c r="AD18" i="28"/>
  <c r="Y18" i="28"/>
  <c r="W18" i="28"/>
  <c r="V18" i="28"/>
  <c r="U18" i="28"/>
  <c r="T18" i="28"/>
  <c r="AN17" i="28"/>
  <c r="AM17" i="28"/>
  <c r="AL17" i="28"/>
  <c r="AK17" i="28"/>
  <c r="AJ17" i="28"/>
  <c r="AI17" i="28"/>
  <c r="AH17" i="28"/>
  <c r="AG17" i="28"/>
  <c r="AF17" i="28"/>
  <c r="AE17" i="28"/>
  <c r="AD17" i="28"/>
  <c r="Y17" i="28"/>
  <c r="W17" i="28"/>
  <c r="V17" i="28"/>
  <c r="U17" i="28"/>
  <c r="T17" i="28"/>
  <c r="AN16" i="28"/>
  <c r="AM16" i="28"/>
  <c r="AL16" i="28"/>
  <c r="AK16" i="28"/>
  <c r="AJ16" i="28"/>
  <c r="AI16" i="28"/>
  <c r="AH16" i="28"/>
  <c r="AG16" i="28"/>
  <c r="AF16" i="28"/>
  <c r="AE16" i="28"/>
  <c r="AD16" i="28"/>
  <c r="Y16" i="28"/>
  <c r="W16" i="28"/>
  <c r="V16" i="28"/>
  <c r="U16" i="28"/>
  <c r="T16" i="28"/>
  <c r="A16" i="28"/>
  <c r="AN15" i="28"/>
  <c r="AM15" i="28"/>
  <c r="AL15" i="28"/>
  <c r="AK15" i="28"/>
  <c r="AJ15" i="28"/>
  <c r="AI15" i="28"/>
  <c r="AH15" i="28"/>
  <c r="AG15" i="28"/>
  <c r="AF15" i="28"/>
  <c r="AE15" i="28"/>
  <c r="AD15" i="28"/>
  <c r="Y15" i="28"/>
  <c r="W15" i="28"/>
  <c r="V15" i="28"/>
  <c r="U15" i="28"/>
  <c r="T15" i="28"/>
  <c r="AN14" i="28"/>
  <c r="AM14" i="28"/>
  <c r="AL14" i="28"/>
  <c r="AK14" i="28"/>
  <c r="AJ14" i="28"/>
  <c r="AI14" i="28"/>
  <c r="AH14" i="28"/>
  <c r="AG14" i="28"/>
  <c r="AF14" i="28"/>
  <c r="AE14" i="28"/>
  <c r="AD14" i="28"/>
  <c r="Y14" i="28"/>
  <c r="W14" i="28"/>
  <c r="V14" i="28"/>
  <c r="U14" i="28"/>
  <c r="T14" i="28"/>
  <c r="A14" i="28"/>
  <c r="AN13" i="28"/>
  <c r="AM13" i="28"/>
  <c r="AL13" i="28"/>
  <c r="AK13" i="28"/>
  <c r="AJ13" i="28"/>
  <c r="AI13" i="28"/>
  <c r="AH13" i="28"/>
  <c r="AG13" i="28"/>
  <c r="AF13" i="28"/>
  <c r="AE13" i="28"/>
  <c r="AD13" i="28"/>
  <c r="Y13" i="28"/>
  <c r="W13" i="28"/>
  <c r="V13" i="28"/>
  <c r="U13" i="28"/>
  <c r="T13" i="28"/>
  <c r="AN12" i="28"/>
  <c r="AM12" i="28"/>
  <c r="AL12" i="28"/>
  <c r="AK12" i="28"/>
  <c r="AJ12" i="28"/>
  <c r="AI12" i="28"/>
  <c r="AH12" i="28"/>
  <c r="AG12" i="28"/>
  <c r="AF12" i="28"/>
  <c r="AE12" i="28"/>
  <c r="AD12" i="28"/>
  <c r="Y12" i="28"/>
  <c r="W12" i="28"/>
  <c r="V12" i="28"/>
  <c r="U12" i="28"/>
  <c r="T12" i="28"/>
  <c r="A12" i="28"/>
  <c r="AN11" i="28"/>
  <c r="AM11" i="28"/>
  <c r="AL11" i="28"/>
  <c r="AK11" i="28"/>
  <c r="AJ11" i="28"/>
  <c r="AI11" i="28"/>
  <c r="AH11" i="28"/>
  <c r="AG11" i="28"/>
  <c r="AF11" i="28"/>
  <c r="AE11" i="28"/>
  <c r="AD11" i="28"/>
  <c r="Y11" i="28"/>
  <c r="W11" i="28"/>
  <c r="V11" i="28"/>
  <c r="U11" i="28"/>
  <c r="T11" i="28"/>
  <c r="AN10" i="28"/>
  <c r="AM10" i="28"/>
  <c r="AL10" i="28"/>
  <c r="AK10" i="28"/>
  <c r="AJ10" i="28"/>
  <c r="AI10" i="28"/>
  <c r="AH10" i="28"/>
  <c r="AG10" i="28"/>
  <c r="AF10" i="28"/>
  <c r="AE10" i="28"/>
  <c r="AD10" i="28"/>
  <c r="Y10" i="28"/>
  <c r="W10" i="28"/>
  <c r="V10" i="28"/>
  <c r="U10" i="28"/>
  <c r="T10" i="28"/>
  <c r="A10" i="28"/>
  <c r="AN9" i="28"/>
  <c r="AM9" i="28"/>
  <c r="AL9" i="28"/>
  <c r="AK9" i="28"/>
  <c r="AJ9" i="28"/>
  <c r="AI9" i="28"/>
  <c r="AH9" i="28"/>
  <c r="AG9" i="28"/>
  <c r="AF9" i="28"/>
  <c r="AE9" i="28"/>
  <c r="AD9" i="28"/>
  <c r="Y9" i="28"/>
  <c r="W9" i="28"/>
  <c r="V9" i="28"/>
  <c r="U9" i="28"/>
  <c r="T9" i="28"/>
  <c r="AN8" i="28"/>
  <c r="AM8" i="28"/>
  <c r="AL8" i="28"/>
  <c r="AK8" i="28"/>
  <c r="AJ8" i="28"/>
  <c r="AI8" i="28"/>
  <c r="AH8" i="28"/>
  <c r="AG8" i="28"/>
  <c r="AF8" i="28"/>
  <c r="AD8" i="28"/>
  <c r="Y8" i="28"/>
  <c r="W8" i="28"/>
  <c r="V8" i="28"/>
  <c r="U8" i="28"/>
  <c r="T8" i="28"/>
  <c r="AN7" i="28"/>
  <c r="AM7" i="28"/>
  <c r="AL7" i="28"/>
  <c r="AK7" i="28"/>
  <c r="AJ7" i="28"/>
  <c r="AI7" i="28"/>
  <c r="AH7" i="28"/>
  <c r="AG7" i="28"/>
  <c r="AF7" i="28"/>
  <c r="AD7" i="28"/>
  <c r="Y7" i="28"/>
  <c r="W7" i="28"/>
  <c r="V7" i="28"/>
  <c r="U7" i="28"/>
  <c r="T7" i="28"/>
  <c r="AN6" i="28"/>
  <c r="AM6" i="28"/>
  <c r="AL6" i="28"/>
  <c r="AK6" i="28"/>
  <c r="AJ6" i="28"/>
  <c r="AI6" i="28"/>
  <c r="AH6" i="28"/>
  <c r="AG6" i="28"/>
  <c r="AF6" i="28"/>
  <c r="AD6" i="28"/>
  <c r="Y6" i="28"/>
  <c r="W6" i="28"/>
  <c r="V6" i="28"/>
  <c r="U6" i="28"/>
  <c r="T6" i="28"/>
  <c r="A6" i="28"/>
  <c r="AN5" i="28"/>
  <c r="AM5" i="28"/>
  <c r="AL5" i="28"/>
  <c r="AK5" i="28"/>
  <c r="AJ5" i="28"/>
  <c r="AI5" i="28"/>
  <c r="AH5" i="28"/>
  <c r="AG5" i="28"/>
  <c r="AF5" i="28"/>
  <c r="AD5" i="28"/>
  <c r="Y5" i="28"/>
  <c r="W5" i="28"/>
  <c r="V5" i="28"/>
  <c r="U5" i="28"/>
  <c r="T5" i="28"/>
  <c r="F1" i="28"/>
  <c r="AN24" i="27"/>
  <c r="AM24" i="27"/>
  <c r="AL24" i="27"/>
  <c r="AK24" i="27"/>
  <c r="AJ24" i="27"/>
  <c r="AI24" i="27"/>
  <c r="AH24" i="27"/>
  <c r="AG24" i="27"/>
  <c r="AF24" i="27"/>
  <c r="AE24" i="27"/>
  <c r="AD24" i="27"/>
  <c r="Y24" i="27"/>
  <c r="W24" i="27"/>
  <c r="V24" i="27"/>
  <c r="U24" i="27"/>
  <c r="T24" i="27"/>
  <c r="AN23" i="27"/>
  <c r="AM23" i="27"/>
  <c r="AL23" i="27"/>
  <c r="AK23" i="27"/>
  <c r="AJ23" i="27"/>
  <c r="AI23" i="27"/>
  <c r="AH23" i="27"/>
  <c r="AG23" i="27"/>
  <c r="AF23" i="27"/>
  <c r="AE23" i="27"/>
  <c r="AD23" i="27"/>
  <c r="Y23" i="27"/>
  <c r="W23" i="27"/>
  <c r="V23" i="27"/>
  <c r="U23" i="27"/>
  <c r="T23" i="27"/>
  <c r="AN22" i="27"/>
  <c r="AM22" i="27"/>
  <c r="AL22" i="27"/>
  <c r="AK22" i="27"/>
  <c r="AJ22" i="27"/>
  <c r="AI22" i="27"/>
  <c r="AH22" i="27"/>
  <c r="AG22" i="27"/>
  <c r="AF22" i="27"/>
  <c r="AE22" i="27"/>
  <c r="AD22" i="27"/>
  <c r="Y22" i="27"/>
  <c r="W22" i="27"/>
  <c r="V22" i="27"/>
  <c r="U22" i="27"/>
  <c r="T22" i="27"/>
  <c r="AN21" i="27"/>
  <c r="AM21" i="27"/>
  <c r="AL21" i="27"/>
  <c r="AK21" i="27"/>
  <c r="AJ21" i="27"/>
  <c r="AI21" i="27"/>
  <c r="AH21" i="27"/>
  <c r="AG21" i="27"/>
  <c r="AF21" i="27"/>
  <c r="AE21" i="27"/>
  <c r="AD21" i="27"/>
  <c r="Y21" i="27"/>
  <c r="W21" i="27"/>
  <c r="V21" i="27"/>
  <c r="U21" i="27"/>
  <c r="T21" i="27"/>
  <c r="AN20" i="27"/>
  <c r="AM20" i="27"/>
  <c r="AL20" i="27"/>
  <c r="AK20" i="27"/>
  <c r="AJ20" i="27"/>
  <c r="AI20" i="27"/>
  <c r="AH20" i="27"/>
  <c r="AG20" i="27"/>
  <c r="AF20" i="27"/>
  <c r="AE20" i="27"/>
  <c r="AD20" i="27"/>
  <c r="Y20" i="27"/>
  <c r="W20" i="27"/>
  <c r="V20" i="27"/>
  <c r="U20" i="27"/>
  <c r="T20" i="27"/>
  <c r="A20" i="27"/>
  <c r="O32" i="68" s="1"/>
  <c r="AN19" i="27"/>
  <c r="AM19" i="27"/>
  <c r="AL19" i="27"/>
  <c r="AK19" i="27"/>
  <c r="AJ19" i="27"/>
  <c r="AI19" i="27"/>
  <c r="AH19" i="27"/>
  <c r="AG19" i="27"/>
  <c r="AF19" i="27"/>
  <c r="AE19" i="27"/>
  <c r="AD19" i="27"/>
  <c r="Y19" i="27"/>
  <c r="W19" i="27"/>
  <c r="V19" i="27"/>
  <c r="U19" i="27"/>
  <c r="T19" i="27"/>
  <c r="AN18" i="27"/>
  <c r="AM18" i="27"/>
  <c r="AL18" i="27"/>
  <c r="AK18" i="27"/>
  <c r="AJ18" i="27"/>
  <c r="AI18" i="27"/>
  <c r="AH18" i="27"/>
  <c r="AG18" i="27"/>
  <c r="AF18" i="27"/>
  <c r="AE18" i="27"/>
  <c r="AD18" i="27"/>
  <c r="Y18" i="27"/>
  <c r="W18" i="27"/>
  <c r="V18" i="27"/>
  <c r="U18" i="27"/>
  <c r="T18" i="27"/>
  <c r="AN17" i="27"/>
  <c r="AM17" i="27"/>
  <c r="AL17" i="27"/>
  <c r="AK17" i="27"/>
  <c r="AJ17" i="27"/>
  <c r="AI17" i="27"/>
  <c r="AH17" i="27"/>
  <c r="AG17" i="27"/>
  <c r="AF17" i="27"/>
  <c r="AE17" i="27"/>
  <c r="AD17" i="27"/>
  <c r="Y17" i="27"/>
  <c r="W17" i="27"/>
  <c r="V17" i="27"/>
  <c r="U17" i="27"/>
  <c r="T17" i="27"/>
  <c r="AN16" i="27"/>
  <c r="AM16" i="27"/>
  <c r="AL16" i="27"/>
  <c r="AK16" i="27"/>
  <c r="AJ16" i="27"/>
  <c r="AI16" i="27"/>
  <c r="AH16" i="27"/>
  <c r="AG16" i="27"/>
  <c r="AF16" i="27"/>
  <c r="AE16" i="27"/>
  <c r="AD16" i="27"/>
  <c r="Y16" i="27"/>
  <c r="W16" i="27"/>
  <c r="V16" i="27"/>
  <c r="U16" i="27"/>
  <c r="T16" i="27"/>
  <c r="A16" i="27"/>
  <c r="AN15" i="27"/>
  <c r="AM15" i="27"/>
  <c r="AL15" i="27"/>
  <c r="AK15" i="27"/>
  <c r="AJ15" i="27"/>
  <c r="AI15" i="27"/>
  <c r="AH15" i="27"/>
  <c r="AG15" i="27"/>
  <c r="AF15" i="27"/>
  <c r="AE15" i="27"/>
  <c r="AD15" i="27"/>
  <c r="Y15" i="27"/>
  <c r="W15" i="27"/>
  <c r="V15" i="27"/>
  <c r="U15" i="27"/>
  <c r="T15" i="27"/>
  <c r="AN14" i="27"/>
  <c r="AM14" i="27"/>
  <c r="AL14" i="27"/>
  <c r="AK14" i="27"/>
  <c r="AJ14" i="27"/>
  <c r="AI14" i="27"/>
  <c r="AH14" i="27"/>
  <c r="AG14" i="27"/>
  <c r="AF14" i="27"/>
  <c r="AE14" i="27"/>
  <c r="AD14" i="27"/>
  <c r="Y14" i="27"/>
  <c r="W14" i="27"/>
  <c r="V14" i="27"/>
  <c r="U14" i="27"/>
  <c r="T14" i="27"/>
  <c r="A14" i="27"/>
  <c r="AN13" i="27"/>
  <c r="AM13" i="27"/>
  <c r="AL13" i="27"/>
  <c r="AK13" i="27"/>
  <c r="AJ13" i="27"/>
  <c r="AI13" i="27"/>
  <c r="AH13" i="27"/>
  <c r="AG13" i="27"/>
  <c r="AF13" i="27"/>
  <c r="AE13" i="27"/>
  <c r="AD13" i="27"/>
  <c r="Y13" i="27"/>
  <c r="W13" i="27"/>
  <c r="V13" i="27"/>
  <c r="U13" i="27"/>
  <c r="T13" i="27"/>
  <c r="AN12" i="27"/>
  <c r="AM12" i="27"/>
  <c r="AL12" i="27"/>
  <c r="AK12" i="27"/>
  <c r="AJ12" i="27"/>
  <c r="AI12" i="27"/>
  <c r="AH12" i="27"/>
  <c r="AG12" i="27"/>
  <c r="AF12" i="27"/>
  <c r="AE12" i="27"/>
  <c r="AD12" i="27"/>
  <c r="Y12" i="27"/>
  <c r="W12" i="27"/>
  <c r="V12" i="27"/>
  <c r="U12" i="27"/>
  <c r="T12" i="27"/>
  <c r="A12" i="27"/>
  <c r="AN11" i="27"/>
  <c r="AM11" i="27"/>
  <c r="AL11" i="27"/>
  <c r="AK11" i="27"/>
  <c r="AJ11" i="27"/>
  <c r="AI11" i="27"/>
  <c r="AH11" i="27"/>
  <c r="AG11" i="27"/>
  <c r="AF11" i="27"/>
  <c r="AE11" i="27"/>
  <c r="AD11" i="27"/>
  <c r="Y11" i="27"/>
  <c r="W11" i="27"/>
  <c r="V11" i="27"/>
  <c r="U11" i="27"/>
  <c r="T11" i="27"/>
  <c r="AN10" i="27"/>
  <c r="AM10" i="27"/>
  <c r="AL10" i="27"/>
  <c r="AK10" i="27"/>
  <c r="AJ10" i="27"/>
  <c r="AI10" i="27"/>
  <c r="AH10" i="27"/>
  <c r="AG10" i="27"/>
  <c r="AF10" i="27"/>
  <c r="AE10" i="27"/>
  <c r="AD10" i="27"/>
  <c r="Y10" i="27"/>
  <c r="W10" i="27"/>
  <c r="V10" i="27"/>
  <c r="U10" i="27"/>
  <c r="T10" i="27"/>
  <c r="A10" i="27"/>
  <c r="AN9" i="27"/>
  <c r="AM9" i="27"/>
  <c r="AL9" i="27"/>
  <c r="AK9" i="27"/>
  <c r="AJ9" i="27"/>
  <c r="AI9" i="27"/>
  <c r="AH9" i="27"/>
  <c r="AG9" i="27"/>
  <c r="AF9" i="27"/>
  <c r="AE9" i="27"/>
  <c r="AD9" i="27"/>
  <c r="Y9" i="27"/>
  <c r="W9" i="27"/>
  <c r="V9" i="27"/>
  <c r="U9" i="27"/>
  <c r="T9" i="27"/>
  <c r="AN8" i="27"/>
  <c r="AM8" i="27"/>
  <c r="AL8" i="27"/>
  <c r="AK8" i="27"/>
  <c r="AJ8" i="27"/>
  <c r="AI8" i="27"/>
  <c r="AH8" i="27"/>
  <c r="AG8" i="27"/>
  <c r="AF8" i="27"/>
  <c r="AD8" i="27"/>
  <c r="Y8" i="27"/>
  <c r="W8" i="27"/>
  <c r="V8" i="27"/>
  <c r="U8" i="27"/>
  <c r="T8" i="27"/>
  <c r="AN7" i="27"/>
  <c r="AM7" i="27"/>
  <c r="AL7" i="27"/>
  <c r="AK7" i="27"/>
  <c r="AJ7" i="27"/>
  <c r="AI7" i="27"/>
  <c r="AH7" i="27"/>
  <c r="AG7" i="27"/>
  <c r="AF7" i="27"/>
  <c r="AD7" i="27"/>
  <c r="Y7" i="27"/>
  <c r="W7" i="27"/>
  <c r="V7" i="27"/>
  <c r="U7" i="27"/>
  <c r="T7" i="27"/>
  <c r="AN6" i="27"/>
  <c r="AM6" i="27"/>
  <c r="AL6" i="27"/>
  <c r="AK6" i="27"/>
  <c r="AJ6" i="27"/>
  <c r="AI6" i="27"/>
  <c r="AH6" i="27"/>
  <c r="AG6" i="27"/>
  <c r="AF6" i="27"/>
  <c r="AD6" i="27"/>
  <c r="Y6" i="27"/>
  <c r="W6" i="27"/>
  <c r="V6" i="27"/>
  <c r="U6" i="27"/>
  <c r="T6" i="27"/>
  <c r="AN5" i="27"/>
  <c r="AM5" i="27"/>
  <c r="AL5" i="27"/>
  <c r="AK5" i="27"/>
  <c r="AJ5" i="27"/>
  <c r="AI5" i="27"/>
  <c r="AH5" i="27"/>
  <c r="AG5" i="27"/>
  <c r="AF5" i="27"/>
  <c r="AD5" i="27"/>
  <c r="Y5" i="27"/>
  <c r="W5" i="27"/>
  <c r="V5" i="27"/>
  <c r="U5" i="27"/>
  <c r="T5" i="27"/>
  <c r="F1" i="27"/>
  <c r="AN24" i="26"/>
  <c r="AM24" i="26"/>
  <c r="AL24" i="26"/>
  <c r="AK24" i="26"/>
  <c r="AJ24" i="26"/>
  <c r="AI24" i="26"/>
  <c r="AH24" i="26"/>
  <c r="AG24" i="26"/>
  <c r="AF24" i="26"/>
  <c r="AE24" i="26"/>
  <c r="AD24" i="26"/>
  <c r="Y24" i="26"/>
  <c r="W24" i="26"/>
  <c r="V24" i="26"/>
  <c r="U24" i="26"/>
  <c r="T24" i="26"/>
  <c r="AN23" i="26"/>
  <c r="AM23" i="26"/>
  <c r="AL23" i="26"/>
  <c r="AK23" i="26"/>
  <c r="AJ23" i="26"/>
  <c r="AI23" i="26"/>
  <c r="AH23" i="26"/>
  <c r="AG23" i="26"/>
  <c r="AF23" i="26"/>
  <c r="AE23" i="26"/>
  <c r="AD23" i="26"/>
  <c r="Y23" i="26"/>
  <c r="W23" i="26"/>
  <c r="V23" i="26"/>
  <c r="U23" i="26"/>
  <c r="T23" i="26"/>
  <c r="AN22" i="26"/>
  <c r="AM22" i="26"/>
  <c r="AL22" i="26"/>
  <c r="AK22" i="26"/>
  <c r="AJ22" i="26"/>
  <c r="AI22" i="26"/>
  <c r="AH22" i="26"/>
  <c r="AG22" i="26"/>
  <c r="AF22" i="26"/>
  <c r="AE22" i="26"/>
  <c r="AD22" i="26"/>
  <c r="Y22" i="26"/>
  <c r="W22" i="26"/>
  <c r="V22" i="26"/>
  <c r="U22" i="26"/>
  <c r="T22" i="26"/>
  <c r="AN21" i="26"/>
  <c r="AM21" i="26"/>
  <c r="AL21" i="26"/>
  <c r="AK21" i="26"/>
  <c r="AJ21" i="26"/>
  <c r="AI21" i="26"/>
  <c r="AH21" i="26"/>
  <c r="AG21" i="26"/>
  <c r="AF21" i="26"/>
  <c r="AE21" i="26"/>
  <c r="AD21" i="26"/>
  <c r="Y21" i="26"/>
  <c r="W21" i="26"/>
  <c r="V21" i="26"/>
  <c r="U21" i="26"/>
  <c r="T21" i="26"/>
  <c r="AN20" i="26"/>
  <c r="AM20" i="26"/>
  <c r="AL20" i="26"/>
  <c r="AK20" i="26"/>
  <c r="AJ20" i="26"/>
  <c r="AI20" i="26"/>
  <c r="AH20" i="26"/>
  <c r="AG20" i="26"/>
  <c r="AF20" i="26"/>
  <c r="AE20" i="26"/>
  <c r="AD20" i="26"/>
  <c r="Y20" i="26"/>
  <c r="W20" i="26"/>
  <c r="V20" i="26"/>
  <c r="U20" i="26"/>
  <c r="T20" i="26"/>
  <c r="AN19" i="26"/>
  <c r="AM19" i="26"/>
  <c r="AL19" i="26"/>
  <c r="AK19" i="26"/>
  <c r="AJ19" i="26"/>
  <c r="AI19" i="26"/>
  <c r="AH19" i="26"/>
  <c r="AG19" i="26"/>
  <c r="AF19" i="26"/>
  <c r="AE19" i="26"/>
  <c r="AD19" i="26"/>
  <c r="Y19" i="26"/>
  <c r="W19" i="26"/>
  <c r="V19" i="26"/>
  <c r="U19" i="26"/>
  <c r="T19" i="26"/>
  <c r="AN18" i="26"/>
  <c r="AM18" i="26"/>
  <c r="AL18" i="26"/>
  <c r="AK18" i="26"/>
  <c r="AJ18" i="26"/>
  <c r="AI18" i="26"/>
  <c r="AH18" i="26"/>
  <c r="AG18" i="26"/>
  <c r="AF18" i="26"/>
  <c r="AE18" i="26"/>
  <c r="AD18" i="26"/>
  <c r="Y18" i="26"/>
  <c r="W18" i="26"/>
  <c r="V18" i="26"/>
  <c r="U18" i="26"/>
  <c r="T18" i="26"/>
  <c r="AN17" i="26"/>
  <c r="AM17" i="26"/>
  <c r="AL17" i="26"/>
  <c r="AK17" i="26"/>
  <c r="AJ17" i="26"/>
  <c r="AI17" i="26"/>
  <c r="AH17" i="26"/>
  <c r="AG17" i="26"/>
  <c r="AF17" i="26"/>
  <c r="AE17" i="26"/>
  <c r="AD17" i="26"/>
  <c r="Y17" i="26"/>
  <c r="W17" i="26"/>
  <c r="V17" i="26"/>
  <c r="U17" i="26"/>
  <c r="T17" i="26"/>
  <c r="AN16" i="26"/>
  <c r="AM16" i="26"/>
  <c r="AL16" i="26"/>
  <c r="AK16" i="26"/>
  <c r="AJ16" i="26"/>
  <c r="AI16" i="26"/>
  <c r="AH16" i="26"/>
  <c r="AG16" i="26"/>
  <c r="AF16" i="26"/>
  <c r="AE16" i="26"/>
  <c r="AD16" i="26"/>
  <c r="Y16" i="26"/>
  <c r="W16" i="26"/>
  <c r="V16" i="26"/>
  <c r="U16" i="26"/>
  <c r="T16" i="26"/>
  <c r="A16" i="26"/>
  <c r="AN15" i="26"/>
  <c r="AM15" i="26"/>
  <c r="AL15" i="26"/>
  <c r="AK15" i="26"/>
  <c r="AJ15" i="26"/>
  <c r="AI15" i="26"/>
  <c r="AH15" i="26"/>
  <c r="AG15" i="26"/>
  <c r="AF15" i="26"/>
  <c r="AE15" i="26"/>
  <c r="AD15" i="26"/>
  <c r="Y15" i="26"/>
  <c r="W15" i="26"/>
  <c r="V15" i="26"/>
  <c r="U15" i="26"/>
  <c r="T15" i="26"/>
  <c r="AN14" i="26"/>
  <c r="AM14" i="26"/>
  <c r="AL14" i="26"/>
  <c r="AK14" i="26"/>
  <c r="AJ14" i="26"/>
  <c r="AI14" i="26"/>
  <c r="AH14" i="26"/>
  <c r="AG14" i="26"/>
  <c r="AF14" i="26"/>
  <c r="AE14" i="26"/>
  <c r="AD14" i="26"/>
  <c r="Y14" i="26"/>
  <c r="W14" i="26"/>
  <c r="V14" i="26"/>
  <c r="U14" i="26"/>
  <c r="T14" i="26"/>
  <c r="A14" i="26"/>
  <c r="AN13" i="26"/>
  <c r="AM13" i="26"/>
  <c r="AL13" i="26"/>
  <c r="AK13" i="26"/>
  <c r="AJ13" i="26"/>
  <c r="AI13" i="26"/>
  <c r="AH13" i="26"/>
  <c r="AG13" i="26"/>
  <c r="AF13" i="26"/>
  <c r="AE13" i="26"/>
  <c r="AD13" i="26"/>
  <c r="Y13" i="26"/>
  <c r="W13" i="26"/>
  <c r="V13" i="26"/>
  <c r="U13" i="26"/>
  <c r="T13" i="26"/>
  <c r="AN12" i="26"/>
  <c r="AM12" i="26"/>
  <c r="AL12" i="26"/>
  <c r="AK12" i="26"/>
  <c r="AJ12" i="26"/>
  <c r="AI12" i="26"/>
  <c r="AH12" i="26"/>
  <c r="AG12" i="26"/>
  <c r="AF12" i="26"/>
  <c r="AE12" i="26"/>
  <c r="AD12" i="26"/>
  <c r="Y12" i="26"/>
  <c r="W12" i="26"/>
  <c r="V12" i="26"/>
  <c r="U12" i="26"/>
  <c r="T12" i="26"/>
  <c r="A12" i="26"/>
  <c r="AN11" i="26"/>
  <c r="AM11" i="26"/>
  <c r="AL11" i="26"/>
  <c r="AK11" i="26"/>
  <c r="AJ11" i="26"/>
  <c r="AI11" i="26"/>
  <c r="AH11" i="26"/>
  <c r="AG11" i="26"/>
  <c r="AF11" i="26"/>
  <c r="AE11" i="26"/>
  <c r="AD11" i="26"/>
  <c r="Y11" i="26"/>
  <c r="W11" i="26"/>
  <c r="V11" i="26"/>
  <c r="U11" i="26"/>
  <c r="T11" i="26"/>
  <c r="AN10" i="26"/>
  <c r="AM10" i="26"/>
  <c r="AL10" i="26"/>
  <c r="AK10" i="26"/>
  <c r="AJ10" i="26"/>
  <c r="AI10" i="26"/>
  <c r="AH10" i="26"/>
  <c r="AG10" i="26"/>
  <c r="AF10" i="26"/>
  <c r="AE10" i="26"/>
  <c r="AD10" i="26"/>
  <c r="Y10" i="26"/>
  <c r="W10" i="26"/>
  <c r="V10" i="26"/>
  <c r="U10" i="26"/>
  <c r="T10" i="26"/>
  <c r="A10" i="26"/>
  <c r="AN9" i="26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U9" i="26"/>
  <c r="T9" i="26"/>
  <c r="AN8" i="26"/>
  <c r="AM8" i="26"/>
  <c r="AL8" i="26"/>
  <c r="AK8" i="26"/>
  <c r="AJ8" i="26"/>
  <c r="AI8" i="26"/>
  <c r="AH8" i="26"/>
  <c r="AG8" i="26"/>
  <c r="AF8" i="26"/>
  <c r="AD8" i="26"/>
  <c r="Y8" i="26"/>
  <c r="W8" i="26"/>
  <c r="V8" i="26"/>
  <c r="U8" i="26"/>
  <c r="T8" i="26"/>
  <c r="AN7" i="26"/>
  <c r="AM7" i="26"/>
  <c r="AL7" i="26"/>
  <c r="AK7" i="26"/>
  <c r="AJ7" i="26"/>
  <c r="AI7" i="26"/>
  <c r="AH7" i="26"/>
  <c r="AG7" i="26"/>
  <c r="AF7" i="26"/>
  <c r="AD7" i="26"/>
  <c r="Y7" i="26"/>
  <c r="W7" i="26"/>
  <c r="V7" i="26"/>
  <c r="U7" i="26"/>
  <c r="T7" i="26"/>
  <c r="AN6" i="26"/>
  <c r="AM6" i="26"/>
  <c r="AL6" i="26"/>
  <c r="AK6" i="26"/>
  <c r="AJ6" i="26"/>
  <c r="AI6" i="26"/>
  <c r="AH6" i="26"/>
  <c r="AG6" i="26"/>
  <c r="AF6" i="26"/>
  <c r="AD6" i="26"/>
  <c r="Y6" i="26"/>
  <c r="W6" i="26"/>
  <c r="V6" i="26"/>
  <c r="U6" i="26"/>
  <c r="T6" i="26"/>
  <c r="A6" i="26"/>
  <c r="AN5" i="26"/>
  <c r="AM5" i="26"/>
  <c r="AL5" i="26"/>
  <c r="AK5" i="26"/>
  <c r="AJ5" i="26"/>
  <c r="AI5" i="26"/>
  <c r="AH5" i="26"/>
  <c r="AG5" i="26"/>
  <c r="AF5" i="26"/>
  <c r="AD5" i="26"/>
  <c r="Y5" i="26"/>
  <c r="W5" i="26"/>
  <c r="V5" i="26"/>
  <c r="U5" i="26"/>
  <c r="T5" i="26"/>
  <c r="F1" i="26"/>
  <c r="AN24" i="25"/>
  <c r="AM24" i="25"/>
  <c r="AL24" i="25"/>
  <c r="AK24" i="25"/>
  <c r="AJ24" i="25"/>
  <c r="AI24" i="25"/>
  <c r="AH24" i="25"/>
  <c r="AG24" i="25"/>
  <c r="AF24" i="25"/>
  <c r="AE24" i="25"/>
  <c r="AD24" i="25"/>
  <c r="Y24" i="25"/>
  <c r="W24" i="25"/>
  <c r="V24" i="25"/>
  <c r="U24" i="25"/>
  <c r="T24" i="25"/>
  <c r="AN23" i="25"/>
  <c r="AM23" i="25"/>
  <c r="AL23" i="25"/>
  <c r="AK23" i="25"/>
  <c r="AJ23" i="25"/>
  <c r="AI23" i="25"/>
  <c r="AH23" i="25"/>
  <c r="AG23" i="25"/>
  <c r="AF23" i="25"/>
  <c r="AE23" i="25"/>
  <c r="AD23" i="25"/>
  <c r="Y23" i="25"/>
  <c r="W23" i="25"/>
  <c r="V23" i="25"/>
  <c r="U23" i="25"/>
  <c r="T23" i="25"/>
  <c r="AN22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N21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N20" i="25"/>
  <c r="AM20" i="25"/>
  <c r="AL20" i="25"/>
  <c r="AK20" i="25"/>
  <c r="AJ20" i="25"/>
  <c r="AI20" i="25"/>
  <c r="AH20" i="25"/>
  <c r="AG20" i="25"/>
  <c r="AF20" i="25"/>
  <c r="AE20" i="25"/>
  <c r="AD20" i="25"/>
  <c r="Y20" i="25"/>
  <c r="W20" i="25"/>
  <c r="V20" i="25"/>
  <c r="U20" i="25"/>
  <c r="T20" i="25"/>
  <c r="AN19" i="25"/>
  <c r="AM19" i="25"/>
  <c r="AL19" i="25"/>
  <c r="AK19" i="25"/>
  <c r="AJ19" i="25"/>
  <c r="AI19" i="25"/>
  <c r="AH19" i="25"/>
  <c r="AG19" i="25"/>
  <c r="AF19" i="25"/>
  <c r="AE19" i="25"/>
  <c r="AD19" i="25"/>
  <c r="Y19" i="25"/>
  <c r="W19" i="25"/>
  <c r="V19" i="25"/>
  <c r="U19" i="25"/>
  <c r="T19" i="25"/>
  <c r="AN18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N16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N15" i="25"/>
  <c r="AM15" i="25"/>
  <c r="AL15" i="25"/>
  <c r="AK15" i="25"/>
  <c r="AJ15" i="25"/>
  <c r="AI15" i="25"/>
  <c r="AH15" i="25"/>
  <c r="AG15" i="25"/>
  <c r="AF15" i="25"/>
  <c r="AE15" i="25"/>
  <c r="AD15" i="25"/>
  <c r="Y15" i="25"/>
  <c r="W15" i="25"/>
  <c r="V15" i="25"/>
  <c r="U15" i="25"/>
  <c r="T15" i="25"/>
  <c r="AN14" i="25"/>
  <c r="AM14" i="25"/>
  <c r="AL14" i="25"/>
  <c r="AK14" i="25"/>
  <c r="AJ14" i="25"/>
  <c r="AI14" i="25"/>
  <c r="AH14" i="25"/>
  <c r="AG14" i="25"/>
  <c r="AF14" i="25"/>
  <c r="AE14" i="25"/>
  <c r="AD14" i="25"/>
  <c r="Y14" i="25"/>
  <c r="W14" i="25"/>
  <c r="V14" i="25"/>
  <c r="U14" i="25"/>
  <c r="T14" i="25"/>
  <c r="A14" i="25"/>
  <c r="AN13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N12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N11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N10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N9" i="25"/>
  <c r="AM9" i="25"/>
  <c r="AL9" i="25"/>
  <c r="AK9" i="25"/>
  <c r="AJ9" i="25"/>
  <c r="AI9" i="25"/>
  <c r="AH9" i="25"/>
  <c r="AG9" i="25"/>
  <c r="AF9" i="25"/>
  <c r="AE9" i="25"/>
  <c r="AD9" i="25"/>
  <c r="Y9" i="25"/>
  <c r="W9" i="25"/>
  <c r="V9" i="25"/>
  <c r="U9" i="25"/>
  <c r="T9" i="25"/>
  <c r="AN8" i="25"/>
  <c r="AM8" i="25"/>
  <c r="AL8" i="25"/>
  <c r="AK8" i="25"/>
  <c r="AJ8" i="25"/>
  <c r="AI8" i="25"/>
  <c r="AH8" i="25"/>
  <c r="AG8" i="25"/>
  <c r="AF8" i="25"/>
  <c r="AD8" i="25"/>
  <c r="Y8" i="25"/>
  <c r="W8" i="25"/>
  <c r="V8" i="25"/>
  <c r="U8" i="25"/>
  <c r="T8" i="25"/>
  <c r="AN7" i="25"/>
  <c r="AM7" i="25"/>
  <c r="AL7" i="25"/>
  <c r="AK7" i="25"/>
  <c r="AJ7" i="25"/>
  <c r="AI7" i="25"/>
  <c r="AH7" i="25"/>
  <c r="AG7" i="25"/>
  <c r="AF7" i="25"/>
  <c r="AD7" i="25"/>
  <c r="Y7" i="25"/>
  <c r="W7" i="25"/>
  <c r="V7" i="25"/>
  <c r="U7" i="25"/>
  <c r="T7" i="25"/>
  <c r="AN6" i="25"/>
  <c r="AM6" i="25"/>
  <c r="AL6" i="25"/>
  <c r="AK6" i="25"/>
  <c r="AJ6" i="25"/>
  <c r="AI6" i="25"/>
  <c r="AH6" i="25"/>
  <c r="AG6" i="25"/>
  <c r="AF6" i="25"/>
  <c r="AD6" i="25"/>
  <c r="Y6" i="25"/>
  <c r="W6" i="25"/>
  <c r="V6" i="25"/>
  <c r="U6" i="25"/>
  <c r="T6" i="25"/>
  <c r="A6" i="25"/>
  <c r="AN5" i="25"/>
  <c r="AM5" i="25"/>
  <c r="AL5" i="25"/>
  <c r="AK5" i="25"/>
  <c r="AJ5" i="25"/>
  <c r="AI5" i="25"/>
  <c r="AH5" i="25"/>
  <c r="AG5" i="25"/>
  <c r="AF5" i="25"/>
  <c r="AD5" i="25"/>
  <c r="Y5" i="25"/>
  <c r="W5" i="25"/>
  <c r="V5" i="25"/>
  <c r="U5" i="25"/>
  <c r="T5" i="25"/>
  <c r="F1" i="25"/>
  <c r="AN28" i="24"/>
  <c r="AM28" i="24"/>
  <c r="AL28" i="24"/>
  <c r="AK28" i="24"/>
  <c r="AJ28" i="24"/>
  <c r="AI28" i="24"/>
  <c r="AH28" i="24"/>
  <c r="AG28" i="24"/>
  <c r="AF28" i="24"/>
  <c r="AE28" i="24"/>
  <c r="AD28" i="24"/>
  <c r="Y28" i="24"/>
  <c r="W28" i="24"/>
  <c r="V28" i="24"/>
  <c r="U28" i="24"/>
  <c r="T28" i="24"/>
  <c r="AN27" i="24"/>
  <c r="AM27" i="24"/>
  <c r="AL27" i="24"/>
  <c r="AK27" i="24"/>
  <c r="AJ27" i="24"/>
  <c r="AI27" i="24"/>
  <c r="AH27" i="24"/>
  <c r="AG27" i="24"/>
  <c r="AF27" i="24"/>
  <c r="AE27" i="24"/>
  <c r="AD27" i="24"/>
  <c r="Y27" i="24"/>
  <c r="W27" i="24"/>
  <c r="V27" i="24"/>
  <c r="U27" i="24"/>
  <c r="T27" i="24"/>
  <c r="AN26" i="24"/>
  <c r="AM26" i="24"/>
  <c r="AL26" i="24"/>
  <c r="AK26" i="24"/>
  <c r="AJ26" i="24"/>
  <c r="AI26" i="24"/>
  <c r="AH26" i="24"/>
  <c r="AG26" i="24"/>
  <c r="AF26" i="24"/>
  <c r="AE26" i="24"/>
  <c r="AD26" i="24"/>
  <c r="Y26" i="24"/>
  <c r="W26" i="24"/>
  <c r="V26" i="24"/>
  <c r="U26" i="24"/>
  <c r="T26" i="24"/>
  <c r="AN25" i="24"/>
  <c r="AM25" i="24"/>
  <c r="AL25" i="24"/>
  <c r="AK25" i="24"/>
  <c r="AJ25" i="24"/>
  <c r="AI25" i="24"/>
  <c r="AH25" i="24"/>
  <c r="AG25" i="24"/>
  <c r="AF25" i="24"/>
  <c r="AE25" i="24"/>
  <c r="AD25" i="24"/>
  <c r="Y25" i="24"/>
  <c r="W25" i="24"/>
  <c r="V25" i="24"/>
  <c r="U25" i="24"/>
  <c r="T25" i="24"/>
  <c r="AN24" i="24"/>
  <c r="AM24" i="24"/>
  <c r="AL24" i="24"/>
  <c r="AK24" i="24"/>
  <c r="AJ24" i="24"/>
  <c r="AI24" i="24"/>
  <c r="AH24" i="24"/>
  <c r="AG24" i="24"/>
  <c r="AF24" i="24"/>
  <c r="AE24" i="24"/>
  <c r="AD24" i="24"/>
  <c r="Y24" i="24"/>
  <c r="W24" i="24"/>
  <c r="V24" i="24"/>
  <c r="U24" i="24"/>
  <c r="T24" i="24"/>
  <c r="AN23" i="24"/>
  <c r="AM23" i="24"/>
  <c r="AL23" i="24"/>
  <c r="AK23" i="24"/>
  <c r="AJ23" i="24"/>
  <c r="AI23" i="24"/>
  <c r="AH23" i="24"/>
  <c r="AG23" i="24"/>
  <c r="AF23" i="24"/>
  <c r="AE23" i="24"/>
  <c r="AD23" i="24"/>
  <c r="Y23" i="24"/>
  <c r="W23" i="24"/>
  <c r="V23" i="24"/>
  <c r="U23" i="24"/>
  <c r="T23" i="24"/>
  <c r="AN22" i="24"/>
  <c r="AM22" i="24"/>
  <c r="AL22" i="24"/>
  <c r="AK22" i="24"/>
  <c r="AJ22" i="24"/>
  <c r="AI22" i="24"/>
  <c r="AH22" i="24"/>
  <c r="AG22" i="24"/>
  <c r="AF22" i="24"/>
  <c r="AE22" i="24"/>
  <c r="AD22" i="24"/>
  <c r="Y22" i="24"/>
  <c r="W22" i="24"/>
  <c r="V22" i="24"/>
  <c r="U22" i="24"/>
  <c r="T22" i="24"/>
  <c r="AN21" i="24"/>
  <c r="AM21" i="24"/>
  <c r="AL21" i="24"/>
  <c r="AK21" i="24"/>
  <c r="AJ21" i="24"/>
  <c r="AI21" i="24"/>
  <c r="AH21" i="24"/>
  <c r="AG21" i="24"/>
  <c r="AF21" i="24"/>
  <c r="AE21" i="24"/>
  <c r="AD21" i="24"/>
  <c r="Y21" i="24"/>
  <c r="W21" i="24"/>
  <c r="V21" i="24"/>
  <c r="U21" i="24"/>
  <c r="T21" i="24"/>
  <c r="AN20" i="24"/>
  <c r="AM20" i="24"/>
  <c r="AL20" i="24"/>
  <c r="AK20" i="24"/>
  <c r="AJ20" i="24"/>
  <c r="AI20" i="24"/>
  <c r="AH20" i="24"/>
  <c r="AG20" i="24"/>
  <c r="AF20" i="24"/>
  <c r="AE20" i="24"/>
  <c r="AD20" i="24"/>
  <c r="Y20" i="24"/>
  <c r="W20" i="24"/>
  <c r="V20" i="24"/>
  <c r="U20" i="24"/>
  <c r="T20" i="24"/>
  <c r="AN19" i="24"/>
  <c r="AM19" i="24"/>
  <c r="AL19" i="24"/>
  <c r="AK19" i="24"/>
  <c r="AJ19" i="24"/>
  <c r="AI19" i="24"/>
  <c r="AH19" i="24"/>
  <c r="AG19" i="24"/>
  <c r="AF19" i="24"/>
  <c r="AE19" i="24"/>
  <c r="AD19" i="24"/>
  <c r="Y19" i="24"/>
  <c r="W19" i="24"/>
  <c r="V19" i="24"/>
  <c r="U19" i="24"/>
  <c r="T19" i="24"/>
  <c r="AN18" i="24"/>
  <c r="AM18" i="24"/>
  <c r="AL18" i="24"/>
  <c r="AK18" i="24"/>
  <c r="AJ18" i="24"/>
  <c r="AI18" i="24"/>
  <c r="AH18" i="24"/>
  <c r="AG18" i="24"/>
  <c r="AF18" i="24"/>
  <c r="AE18" i="24"/>
  <c r="AD18" i="24"/>
  <c r="Y18" i="24"/>
  <c r="W18" i="24"/>
  <c r="V18" i="24"/>
  <c r="U18" i="24"/>
  <c r="T18" i="24"/>
  <c r="AN17" i="24"/>
  <c r="AM17" i="24"/>
  <c r="AL17" i="24"/>
  <c r="AK17" i="24"/>
  <c r="AJ17" i="24"/>
  <c r="AI17" i="24"/>
  <c r="AH17" i="24"/>
  <c r="AG17" i="24"/>
  <c r="AF17" i="24"/>
  <c r="AE17" i="24"/>
  <c r="AD17" i="24"/>
  <c r="Y17" i="24"/>
  <c r="W17" i="24"/>
  <c r="V17" i="24"/>
  <c r="U17" i="24"/>
  <c r="T17" i="24"/>
  <c r="AN16" i="24"/>
  <c r="AM16" i="24"/>
  <c r="AL16" i="24"/>
  <c r="AK16" i="24"/>
  <c r="AJ16" i="24"/>
  <c r="AI16" i="24"/>
  <c r="AH16" i="24"/>
  <c r="AG16" i="24"/>
  <c r="AF16" i="24"/>
  <c r="AE16" i="24"/>
  <c r="AD16" i="24"/>
  <c r="Y16" i="24"/>
  <c r="W16" i="24"/>
  <c r="V16" i="24"/>
  <c r="U16" i="24"/>
  <c r="T16" i="24"/>
  <c r="A16" i="24"/>
  <c r="AN15" i="24"/>
  <c r="AM15" i="24"/>
  <c r="AL15" i="24"/>
  <c r="AK15" i="24"/>
  <c r="AJ15" i="24"/>
  <c r="AI15" i="24"/>
  <c r="AH15" i="24"/>
  <c r="AG15" i="24"/>
  <c r="AF15" i="24"/>
  <c r="AE15" i="24"/>
  <c r="AD15" i="24"/>
  <c r="Y15" i="24"/>
  <c r="W15" i="24"/>
  <c r="V15" i="24"/>
  <c r="U15" i="24"/>
  <c r="T15" i="24"/>
  <c r="AN14" i="24"/>
  <c r="AM14" i="24"/>
  <c r="AL14" i="24"/>
  <c r="AK14" i="24"/>
  <c r="AJ14" i="24"/>
  <c r="AI14" i="24"/>
  <c r="AH14" i="24"/>
  <c r="AG14" i="24"/>
  <c r="AF14" i="24"/>
  <c r="AE14" i="24"/>
  <c r="AD14" i="24"/>
  <c r="Y14" i="24"/>
  <c r="W14" i="24"/>
  <c r="V14" i="24"/>
  <c r="U14" i="24"/>
  <c r="T14" i="24"/>
  <c r="A14" i="24"/>
  <c r="AN13" i="24"/>
  <c r="AM13" i="24"/>
  <c r="AL13" i="24"/>
  <c r="AK13" i="24"/>
  <c r="AJ13" i="24"/>
  <c r="AI13" i="24"/>
  <c r="AH13" i="24"/>
  <c r="AG13" i="24"/>
  <c r="AF13" i="24"/>
  <c r="AE13" i="24"/>
  <c r="AD13" i="24"/>
  <c r="Y13" i="24"/>
  <c r="W13" i="24"/>
  <c r="V13" i="24"/>
  <c r="U13" i="24"/>
  <c r="T13" i="24"/>
  <c r="AN12" i="24"/>
  <c r="AM12" i="24"/>
  <c r="AL12" i="24"/>
  <c r="AK12" i="24"/>
  <c r="AJ12" i="24"/>
  <c r="AI12" i="24"/>
  <c r="AH12" i="24"/>
  <c r="AG12" i="24"/>
  <c r="AF12" i="24"/>
  <c r="AE12" i="24"/>
  <c r="AD12" i="24"/>
  <c r="Y12" i="24"/>
  <c r="W12" i="24"/>
  <c r="V12" i="24"/>
  <c r="U12" i="24"/>
  <c r="T12" i="24"/>
  <c r="A12" i="24"/>
  <c r="AN11" i="24"/>
  <c r="AM11" i="24"/>
  <c r="AL11" i="24"/>
  <c r="AK11" i="24"/>
  <c r="AJ11" i="24"/>
  <c r="AI11" i="24"/>
  <c r="AH11" i="24"/>
  <c r="AG11" i="24"/>
  <c r="AF11" i="24"/>
  <c r="AE11" i="24"/>
  <c r="AD11" i="24"/>
  <c r="Y11" i="24"/>
  <c r="W11" i="24"/>
  <c r="V11" i="24"/>
  <c r="U11" i="24"/>
  <c r="T11" i="24"/>
  <c r="AN10" i="24"/>
  <c r="AM10" i="24"/>
  <c r="AL10" i="24"/>
  <c r="AK10" i="24"/>
  <c r="AJ10" i="24"/>
  <c r="AI10" i="24"/>
  <c r="AH10" i="24"/>
  <c r="AG10" i="24"/>
  <c r="AF10" i="24"/>
  <c r="AE10" i="24"/>
  <c r="AD10" i="24"/>
  <c r="Y10" i="24"/>
  <c r="W10" i="24"/>
  <c r="V10" i="24"/>
  <c r="U10" i="24"/>
  <c r="T10" i="24"/>
  <c r="A10" i="24"/>
  <c r="AN9" i="24"/>
  <c r="AM9" i="24"/>
  <c r="AL9" i="24"/>
  <c r="AK9" i="24"/>
  <c r="AJ9" i="24"/>
  <c r="AI9" i="24"/>
  <c r="AH9" i="24"/>
  <c r="AG9" i="24"/>
  <c r="AF9" i="24"/>
  <c r="AE9" i="24"/>
  <c r="AD9" i="24"/>
  <c r="Y9" i="24"/>
  <c r="W9" i="24"/>
  <c r="V9" i="24"/>
  <c r="U9" i="24"/>
  <c r="T9" i="24"/>
  <c r="AN8" i="24"/>
  <c r="AM8" i="24"/>
  <c r="AL8" i="24"/>
  <c r="AK8" i="24"/>
  <c r="AJ8" i="24"/>
  <c r="AI8" i="24"/>
  <c r="AH8" i="24"/>
  <c r="AG8" i="24"/>
  <c r="AF8" i="24"/>
  <c r="AD8" i="24"/>
  <c r="Y8" i="24"/>
  <c r="W8" i="24"/>
  <c r="V8" i="24"/>
  <c r="U8" i="24"/>
  <c r="T8" i="24"/>
  <c r="AN7" i="24"/>
  <c r="AM7" i="24"/>
  <c r="AL7" i="24"/>
  <c r="AK7" i="24"/>
  <c r="AJ7" i="24"/>
  <c r="AI7" i="24"/>
  <c r="AH7" i="24"/>
  <c r="AG7" i="24"/>
  <c r="AF7" i="24"/>
  <c r="AD7" i="24"/>
  <c r="Y7" i="24"/>
  <c r="W7" i="24"/>
  <c r="V7" i="24"/>
  <c r="U7" i="24"/>
  <c r="T7" i="24"/>
  <c r="AN6" i="24"/>
  <c r="AM6" i="24"/>
  <c r="AL6" i="24"/>
  <c r="AK6" i="24"/>
  <c r="AJ6" i="24"/>
  <c r="AI6" i="24"/>
  <c r="AH6" i="24"/>
  <c r="AG6" i="24"/>
  <c r="AF6" i="24"/>
  <c r="AD6" i="24"/>
  <c r="Y6" i="24"/>
  <c r="W6" i="24"/>
  <c r="V6" i="24"/>
  <c r="U6" i="24"/>
  <c r="T6" i="24"/>
  <c r="A6" i="24"/>
  <c r="AN5" i="24"/>
  <c r="AM5" i="24"/>
  <c r="AL5" i="24"/>
  <c r="AK5" i="24"/>
  <c r="AJ5" i="24"/>
  <c r="AI5" i="24"/>
  <c r="AH5" i="24"/>
  <c r="AG5" i="24"/>
  <c r="AF5" i="24"/>
  <c r="AD5" i="24"/>
  <c r="Y5" i="24"/>
  <c r="W5" i="24"/>
  <c r="V5" i="24"/>
  <c r="U5" i="24"/>
  <c r="T5" i="24"/>
  <c r="F1" i="24"/>
  <c r="AN27" i="23"/>
  <c r="AM27" i="23"/>
  <c r="AL27" i="23"/>
  <c r="AK27" i="23"/>
  <c r="AJ27" i="23"/>
  <c r="AI27" i="23"/>
  <c r="AH27" i="23"/>
  <c r="AG27" i="23"/>
  <c r="AF27" i="23"/>
  <c r="AE27" i="23"/>
  <c r="AD27" i="23"/>
  <c r="Y27" i="23"/>
  <c r="W27" i="23"/>
  <c r="V27" i="23"/>
  <c r="U27" i="23"/>
  <c r="T27" i="23"/>
  <c r="AN26" i="23"/>
  <c r="AM26" i="23"/>
  <c r="AL26" i="23"/>
  <c r="AK26" i="23"/>
  <c r="AJ26" i="23"/>
  <c r="AI26" i="23"/>
  <c r="AH26" i="23"/>
  <c r="AG26" i="23"/>
  <c r="AF26" i="23"/>
  <c r="AE26" i="23"/>
  <c r="AD26" i="23"/>
  <c r="Y26" i="23"/>
  <c r="W26" i="23"/>
  <c r="V26" i="23"/>
  <c r="U26" i="23"/>
  <c r="T26" i="23"/>
  <c r="AN25" i="23"/>
  <c r="AM25" i="23"/>
  <c r="AL25" i="23"/>
  <c r="AK25" i="23"/>
  <c r="AJ25" i="23"/>
  <c r="AI25" i="23"/>
  <c r="AH25" i="23"/>
  <c r="AG25" i="23"/>
  <c r="AF25" i="23"/>
  <c r="AE25" i="23"/>
  <c r="AD25" i="23"/>
  <c r="Y25" i="23"/>
  <c r="W25" i="23"/>
  <c r="V25" i="23"/>
  <c r="U25" i="23"/>
  <c r="T25" i="23"/>
  <c r="AN24" i="23"/>
  <c r="AM24" i="23"/>
  <c r="AL24" i="23"/>
  <c r="AK24" i="23"/>
  <c r="AJ24" i="23"/>
  <c r="AI24" i="23"/>
  <c r="AH24" i="23"/>
  <c r="AG24" i="23"/>
  <c r="AF24" i="23"/>
  <c r="AE24" i="23"/>
  <c r="AD24" i="23"/>
  <c r="Y24" i="23"/>
  <c r="W24" i="23"/>
  <c r="V24" i="23"/>
  <c r="U24" i="23"/>
  <c r="T24" i="23"/>
  <c r="AN23" i="23"/>
  <c r="AM23" i="23"/>
  <c r="AL23" i="23"/>
  <c r="AK23" i="23"/>
  <c r="AJ23" i="23"/>
  <c r="AI23" i="23"/>
  <c r="AH23" i="23"/>
  <c r="AG23" i="23"/>
  <c r="AF23" i="23"/>
  <c r="AE23" i="23"/>
  <c r="AD23" i="23"/>
  <c r="Y23" i="23"/>
  <c r="W23" i="23"/>
  <c r="V23" i="23"/>
  <c r="U23" i="23"/>
  <c r="T23" i="23"/>
  <c r="AN22" i="23"/>
  <c r="AM22" i="23"/>
  <c r="AL22" i="23"/>
  <c r="AK22" i="23"/>
  <c r="AJ22" i="23"/>
  <c r="AI22" i="23"/>
  <c r="AH22" i="23"/>
  <c r="AG22" i="23"/>
  <c r="AF22" i="23"/>
  <c r="AE22" i="23"/>
  <c r="AD22" i="23"/>
  <c r="Y22" i="23"/>
  <c r="W22" i="23"/>
  <c r="V22" i="23"/>
  <c r="U22" i="23"/>
  <c r="T22" i="23"/>
  <c r="AN21" i="23"/>
  <c r="AM21" i="23"/>
  <c r="AL21" i="23"/>
  <c r="AK21" i="23"/>
  <c r="AJ21" i="23"/>
  <c r="AI21" i="23"/>
  <c r="AH21" i="23"/>
  <c r="AG21" i="23"/>
  <c r="AF21" i="23"/>
  <c r="AE21" i="23"/>
  <c r="AD21" i="23"/>
  <c r="Y21" i="23"/>
  <c r="W21" i="23"/>
  <c r="V21" i="23"/>
  <c r="U21" i="23"/>
  <c r="T21" i="23"/>
  <c r="AN20" i="23"/>
  <c r="AM20" i="23"/>
  <c r="AL20" i="23"/>
  <c r="AK20" i="23"/>
  <c r="AJ20" i="23"/>
  <c r="AI20" i="23"/>
  <c r="AH20" i="23"/>
  <c r="AG20" i="23"/>
  <c r="AF20" i="23"/>
  <c r="AE20" i="23"/>
  <c r="AD20" i="23"/>
  <c r="Y20" i="23"/>
  <c r="W20" i="23"/>
  <c r="V20" i="23"/>
  <c r="U20" i="23"/>
  <c r="T20" i="23"/>
  <c r="AN19" i="23"/>
  <c r="AM19" i="23"/>
  <c r="AL19" i="23"/>
  <c r="AK19" i="23"/>
  <c r="AJ19" i="23"/>
  <c r="AI19" i="23"/>
  <c r="AH19" i="23"/>
  <c r="AG19" i="23"/>
  <c r="AF19" i="23"/>
  <c r="AE19" i="23"/>
  <c r="AD19" i="23"/>
  <c r="Y19" i="23"/>
  <c r="W19" i="23"/>
  <c r="V19" i="23"/>
  <c r="U19" i="23"/>
  <c r="T19" i="23"/>
  <c r="AN18" i="23"/>
  <c r="AM18" i="23"/>
  <c r="AL18" i="23"/>
  <c r="AK18" i="23"/>
  <c r="AJ18" i="23"/>
  <c r="AI18" i="23"/>
  <c r="AH18" i="23"/>
  <c r="AG18" i="23"/>
  <c r="AF18" i="23"/>
  <c r="AE18" i="23"/>
  <c r="AD18" i="23"/>
  <c r="Y18" i="23"/>
  <c r="W18" i="23"/>
  <c r="V18" i="23"/>
  <c r="U18" i="23"/>
  <c r="T18" i="23"/>
  <c r="AN17" i="23"/>
  <c r="AM17" i="23"/>
  <c r="AL17" i="23"/>
  <c r="AK17" i="23"/>
  <c r="AJ17" i="23"/>
  <c r="AI17" i="23"/>
  <c r="AH17" i="23"/>
  <c r="AG17" i="23"/>
  <c r="AF17" i="23"/>
  <c r="AE17" i="23"/>
  <c r="AD17" i="23"/>
  <c r="Y17" i="23"/>
  <c r="W17" i="23"/>
  <c r="V17" i="23"/>
  <c r="U17" i="23"/>
  <c r="T17" i="23"/>
  <c r="AN16" i="23"/>
  <c r="AM16" i="23"/>
  <c r="AL16" i="23"/>
  <c r="AK16" i="23"/>
  <c r="AJ16" i="23"/>
  <c r="AI16" i="23"/>
  <c r="AH16" i="23"/>
  <c r="AG16" i="23"/>
  <c r="AF16" i="23"/>
  <c r="AE16" i="23"/>
  <c r="AD16" i="23"/>
  <c r="Y16" i="23"/>
  <c r="W16" i="23"/>
  <c r="V16" i="23"/>
  <c r="U16" i="23"/>
  <c r="T16" i="23"/>
  <c r="A16" i="23"/>
  <c r="AN15" i="23"/>
  <c r="AM15" i="23"/>
  <c r="AL15" i="23"/>
  <c r="AK15" i="23"/>
  <c r="AJ15" i="23"/>
  <c r="AI15" i="23"/>
  <c r="AH15" i="23"/>
  <c r="AG15" i="23"/>
  <c r="AF15" i="23"/>
  <c r="AE15" i="23"/>
  <c r="AD15" i="23"/>
  <c r="Y15" i="23"/>
  <c r="W15" i="23"/>
  <c r="V15" i="23"/>
  <c r="U15" i="23"/>
  <c r="T15" i="23"/>
  <c r="AN14" i="23"/>
  <c r="AM14" i="23"/>
  <c r="AL14" i="23"/>
  <c r="AK14" i="23"/>
  <c r="AJ14" i="23"/>
  <c r="AI14" i="23"/>
  <c r="AH14" i="23"/>
  <c r="AG14" i="23"/>
  <c r="AF14" i="23"/>
  <c r="AE14" i="23"/>
  <c r="AD14" i="23"/>
  <c r="Y14" i="23"/>
  <c r="W14" i="23"/>
  <c r="V14" i="23"/>
  <c r="U14" i="23"/>
  <c r="T14" i="23"/>
  <c r="A14" i="23"/>
  <c r="AN13" i="23"/>
  <c r="AM13" i="23"/>
  <c r="AL13" i="23"/>
  <c r="AK13" i="23"/>
  <c r="AJ13" i="23"/>
  <c r="AI13" i="23"/>
  <c r="AH13" i="23"/>
  <c r="AG13" i="23"/>
  <c r="AF13" i="23"/>
  <c r="AE13" i="23"/>
  <c r="AD13" i="23"/>
  <c r="Y13" i="23"/>
  <c r="W13" i="23"/>
  <c r="V13" i="23"/>
  <c r="U13" i="23"/>
  <c r="T13" i="23"/>
  <c r="AN12" i="23"/>
  <c r="AM12" i="23"/>
  <c r="AL12" i="23"/>
  <c r="AK12" i="23"/>
  <c r="AJ12" i="23"/>
  <c r="AI12" i="23"/>
  <c r="AH12" i="23"/>
  <c r="AG12" i="23"/>
  <c r="AF12" i="23"/>
  <c r="AE12" i="23"/>
  <c r="AD12" i="23"/>
  <c r="Y12" i="23"/>
  <c r="W12" i="23"/>
  <c r="V12" i="23"/>
  <c r="U12" i="23"/>
  <c r="T12" i="23"/>
  <c r="A12" i="23"/>
  <c r="AN11" i="23"/>
  <c r="AM11" i="23"/>
  <c r="AL11" i="23"/>
  <c r="AK11" i="23"/>
  <c r="AJ11" i="23"/>
  <c r="AI11" i="23"/>
  <c r="AH11" i="23"/>
  <c r="AG11" i="23"/>
  <c r="AF11" i="23"/>
  <c r="AE11" i="23"/>
  <c r="AD11" i="23"/>
  <c r="Y11" i="23"/>
  <c r="W11" i="23"/>
  <c r="V11" i="23"/>
  <c r="U11" i="23"/>
  <c r="T11" i="23"/>
  <c r="AN10" i="23"/>
  <c r="AM10" i="23"/>
  <c r="AL10" i="23"/>
  <c r="AK10" i="23"/>
  <c r="AJ10" i="23"/>
  <c r="AI10" i="23"/>
  <c r="AH10" i="23"/>
  <c r="AG10" i="23"/>
  <c r="AF10" i="23"/>
  <c r="AE10" i="23"/>
  <c r="AD10" i="23"/>
  <c r="Y10" i="23"/>
  <c r="W10" i="23"/>
  <c r="V10" i="23"/>
  <c r="U10" i="23"/>
  <c r="T10" i="23"/>
  <c r="A10" i="23"/>
  <c r="AN9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U9" i="23"/>
  <c r="T9" i="23"/>
  <c r="AN8" i="23"/>
  <c r="AM8" i="23"/>
  <c r="AL8" i="23"/>
  <c r="AK8" i="23"/>
  <c r="AJ8" i="23"/>
  <c r="AI8" i="23"/>
  <c r="AH8" i="23"/>
  <c r="AG8" i="23"/>
  <c r="AF8" i="23"/>
  <c r="AD8" i="23"/>
  <c r="Y8" i="23"/>
  <c r="W8" i="23"/>
  <c r="V8" i="23"/>
  <c r="U8" i="23"/>
  <c r="T8" i="23"/>
  <c r="AN7" i="23"/>
  <c r="AM7" i="23"/>
  <c r="AL7" i="23"/>
  <c r="AK7" i="23"/>
  <c r="AJ7" i="23"/>
  <c r="AI7" i="23"/>
  <c r="AH7" i="23"/>
  <c r="AG7" i="23"/>
  <c r="AF7" i="23"/>
  <c r="AD7" i="23"/>
  <c r="Y7" i="23"/>
  <c r="W7" i="23"/>
  <c r="V7" i="23"/>
  <c r="U7" i="23"/>
  <c r="T7" i="23"/>
  <c r="AN6" i="23"/>
  <c r="AM6" i="23"/>
  <c r="AL6" i="23"/>
  <c r="AK6" i="23"/>
  <c r="AJ6" i="23"/>
  <c r="AI6" i="23"/>
  <c r="AH6" i="23"/>
  <c r="AG6" i="23"/>
  <c r="AF6" i="23"/>
  <c r="AD6" i="23"/>
  <c r="Y6" i="23"/>
  <c r="W6" i="23"/>
  <c r="V6" i="23"/>
  <c r="U6" i="23"/>
  <c r="T6" i="23"/>
  <c r="A6" i="23"/>
  <c r="AN5" i="23"/>
  <c r="AM5" i="23"/>
  <c r="AL5" i="23"/>
  <c r="AK5" i="23"/>
  <c r="AJ5" i="23"/>
  <c r="AI5" i="23"/>
  <c r="AH5" i="23"/>
  <c r="AG5" i="23"/>
  <c r="AF5" i="23"/>
  <c r="AD5" i="23"/>
  <c r="Y5" i="23"/>
  <c r="W5" i="23"/>
  <c r="V5" i="23"/>
  <c r="U5" i="23"/>
  <c r="T5" i="23"/>
  <c r="F1" i="23"/>
  <c r="AN24" i="72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N23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N22" i="72"/>
  <c r="AM22" i="72"/>
  <c r="AL22" i="72"/>
  <c r="AK22" i="72"/>
  <c r="AJ22" i="72"/>
  <c r="AI22" i="72"/>
  <c r="AH22" i="72"/>
  <c r="AG22" i="72"/>
  <c r="AF22" i="72"/>
  <c r="AE22" i="72"/>
  <c r="AD22" i="72"/>
  <c r="Y22" i="72"/>
  <c r="W22" i="72"/>
  <c r="V22" i="72"/>
  <c r="U22" i="72"/>
  <c r="T22" i="72"/>
  <c r="AN21" i="72"/>
  <c r="AM21" i="72"/>
  <c r="AL21" i="72"/>
  <c r="AK21" i="72"/>
  <c r="AJ21" i="72"/>
  <c r="AI21" i="72"/>
  <c r="AH21" i="72"/>
  <c r="AG21" i="72"/>
  <c r="AF21" i="72"/>
  <c r="AE21" i="72"/>
  <c r="AD21" i="72"/>
  <c r="Y21" i="72"/>
  <c r="W21" i="72"/>
  <c r="V21" i="72"/>
  <c r="U21" i="72"/>
  <c r="T21" i="72"/>
  <c r="AN20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N19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N18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N17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N16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N15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N14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N13" i="72"/>
  <c r="AM13" i="72"/>
  <c r="AL13" i="72"/>
  <c r="AK13" i="72"/>
  <c r="AJ13" i="72"/>
  <c r="AI13" i="72"/>
  <c r="AH13" i="72"/>
  <c r="AG13" i="72"/>
  <c r="AF13" i="72"/>
  <c r="AE13" i="72"/>
  <c r="AD13" i="72"/>
  <c r="Y13" i="72"/>
  <c r="W13" i="72"/>
  <c r="V13" i="72"/>
  <c r="U13" i="72"/>
  <c r="T13" i="72"/>
  <c r="AN12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N11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N10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N9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N8" i="72"/>
  <c r="AM8" i="72"/>
  <c r="AL8" i="72"/>
  <c r="AK8" i="72"/>
  <c r="AJ8" i="72"/>
  <c r="AI8" i="72"/>
  <c r="AH8" i="72"/>
  <c r="AG8" i="72"/>
  <c r="AF8" i="72"/>
  <c r="AD8" i="72"/>
  <c r="Y8" i="72"/>
  <c r="W8" i="72"/>
  <c r="V8" i="72"/>
  <c r="U8" i="72"/>
  <c r="T8" i="72"/>
  <c r="AN7" i="72"/>
  <c r="AM7" i="72"/>
  <c r="AL7" i="72"/>
  <c r="AK7" i="72"/>
  <c r="AJ7" i="72"/>
  <c r="AI7" i="72"/>
  <c r="AH7" i="72"/>
  <c r="AG7" i="72"/>
  <c r="AF7" i="72"/>
  <c r="AD7" i="72"/>
  <c r="Y7" i="72"/>
  <c r="W7" i="72"/>
  <c r="V7" i="72"/>
  <c r="U7" i="72"/>
  <c r="T7" i="72"/>
  <c r="AN6" i="72"/>
  <c r="AM6" i="72"/>
  <c r="AL6" i="72"/>
  <c r="AK6" i="72"/>
  <c r="AJ6" i="72"/>
  <c r="AI6" i="72"/>
  <c r="AH6" i="72"/>
  <c r="AG6" i="72"/>
  <c r="AF6" i="72"/>
  <c r="AD6" i="72"/>
  <c r="Y6" i="72"/>
  <c r="W6" i="72"/>
  <c r="V6" i="72"/>
  <c r="U6" i="72"/>
  <c r="T6" i="72"/>
  <c r="A6" i="72"/>
  <c r="AN5" i="72"/>
  <c r="AM5" i="72"/>
  <c r="AL5" i="72"/>
  <c r="AK5" i="72"/>
  <c r="AJ5" i="72"/>
  <c r="AI5" i="72"/>
  <c r="AH5" i="72"/>
  <c r="AG5" i="72"/>
  <c r="AF5" i="72"/>
  <c r="AD5" i="72"/>
  <c r="Y5" i="72"/>
  <c r="W5" i="72"/>
  <c r="V5" i="72"/>
  <c r="U5" i="72"/>
  <c r="T5" i="72"/>
  <c r="F1" i="72"/>
  <c r="AN24" i="70"/>
  <c r="AM24" i="70"/>
  <c r="AL24" i="70"/>
  <c r="AK24" i="70"/>
  <c r="AJ24" i="70"/>
  <c r="AI24" i="70"/>
  <c r="AH24" i="70"/>
  <c r="AG24" i="70"/>
  <c r="AF24" i="70"/>
  <c r="AE24" i="70"/>
  <c r="AD24" i="70"/>
  <c r="Y24" i="70"/>
  <c r="W24" i="70"/>
  <c r="V24" i="70"/>
  <c r="U24" i="70"/>
  <c r="T24" i="70"/>
  <c r="AN23" i="70"/>
  <c r="AM23" i="70"/>
  <c r="AL23" i="70"/>
  <c r="AK23" i="70"/>
  <c r="AJ23" i="70"/>
  <c r="AI23" i="70"/>
  <c r="AH23" i="70"/>
  <c r="AG23" i="70"/>
  <c r="AF23" i="70"/>
  <c r="AE23" i="70"/>
  <c r="AD23" i="70"/>
  <c r="Y23" i="70"/>
  <c r="W23" i="70"/>
  <c r="V23" i="70"/>
  <c r="U23" i="70"/>
  <c r="T23" i="70"/>
  <c r="AN22" i="70"/>
  <c r="AM22" i="70"/>
  <c r="AL22" i="70"/>
  <c r="AK22" i="70"/>
  <c r="AJ22" i="70"/>
  <c r="AI22" i="70"/>
  <c r="AH22" i="70"/>
  <c r="AG22" i="70"/>
  <c r="AF22" i="70"/>
  <c r="AE22" i="70"/>
  <c r="AD22" i="70"/>
  <c r="Y22" i="70"/>
  <c r="W22" i="70"/>
  <c r="V22" i="70"/>
  <c r="U22" i="70"/>
  <c r="T22" i="70"/>
  <c r="AN21" i="70"/>
  <c r="AM21" i="70"/>
  <c r="AL21" i="70"/>
  <c r="AK21" i="70"/>
  <c r="AJ21" i="70"/>
  <c r="AI21" i="70"/>
  <c r="AH21" i="70"/>
  <c r="AG21" i="70"/>
  <c r="AF21" i="70"/>
  <c r="AE21" i="70"/>
  <c r="AD21" i="70"/>
  <c r="Y21" i="70"/>
  <c r="W21" i="70"/>
  <c r="V21" i="70"/>
  <c r="U21" i="70"/>
  <c r="T21" i="70"/>
  <c r="AN20" i="70"/>
  <c r="AM20" i="70"/>
  <c r="AL20" i="70"/>
  <c r="AK20" i="70"/>
  <c r="AJ20" i="70"/>
  <c r="AI20" i="70"/>
  <c r="AH20" i="70"/>
  <c r="AG20" i="70"/>
  <c r="AF20" i="70"/>
  <c r="AE20" i="70"/>
  <c r="AD20" i="70"/>
  <c r="Y20" i="70"/>
  <c r="W20" i="70"/>
  <c r="V20" i="70"/>
  <c r="U20" i="70"/>
  <c r="T20" i="70"/>
  <c r="AN19" i="70"/>
  <c r="AM19" i="70"/>
  <c r="AL19" i="70"/>
  <c r="AK19" i="70"/>
  <c r="AJ19" i="70"/>
  <c r="AI19" i="70"/>
  <c r="AH19" i="70"/>
  <c r="AG19" i="70"/>
  <c r="AF19" i="70"/>
  <c r="AE19" i="70"/>
  <c r="AD19" i="70"/>
  <c r="Y19" i="70"/>
  <c r="W19" i="70"/>
  <c r="V19" i="70"/>
  <c r="U19" i="70"/>
  <c r="T19" i="70"/>
  <c r="AN18" i="70"/>
  <c r="AM18" i="70"/>
  <c r="AL18" i="70"/>
  <c r="AK18" i="70"/>
  <c r="AJ18" i="70"/>
  <c r="AI18" i="70"/>
  <c r="AH18" i="70"/>
  <c r="AG18" i="70"/>
  <c r="AF18" i="70"/>
  <c r="AE18" i="70"/>
  <c r="AD18" i="70"/>
  <c r="Y18" i="70"/>
  <c r="W18" i="70"/>
  <c r="V18" i="70"/>
  <c r="U18" i="70"/>
  <c r="T18" i="70"/>
  <c r="AN17" i="70"/>
  <c r="AM17" i="70"/>
  <c r="AL17" i="70"/>
  <c r="AK17" i="70"/>
  <c r="AJ17" i="70"/>
  <c r="AI17" i="70"/>
  <c r="AH17" i="70"/>
  <c r="AG17" i="70"/>
  <c r="AF17" i="70"/>
  <c r="AE17" i="70"/>
  <c r="AD17" i="70"/>
  <c r="Y17" i="70"/>
  <c r="W17" i="70"/>
  <c r="V17" i="70"/>
  <c r="U17" i="70"/>
  <c r="T17" i="70"/>
  <c r="AN16" i="70"/>
  <c r="AM16" i="70"/>
  <c r="AL16" i="70"/>
  <c r="AK16" i="70"/>
  <c r="AJ16" i="70"/>
  <c r="AI16" i="70"/>
  <c r="AH16" i="70"/>
  <c r="AG16" i="70"/>
  <c r="AF16" i="70"/>
  <c r="AE16" i="70"/>
  <c r="AD16" i="70"/>
  <c r="Y16" i="70"/>
  <c r="W16" i="70"/>
  <c r="V16" i="70"/>
  <c r="U16" i="70"/>
  <c r="T16" i="70"/>
  <c r="A16" i="70"/>
  <c r="AN15" i="70"/>
  <c r="AM15" i="70"/>
  <c r="AL15" i="70"/>
  <c r="AK15" i="70"/>
  <c r="AJ15" i="70"/>
  <c r="AI15" i="70"/>
  <c r="AH15" i="70"/>
  <c r="AG15" i="70"/>
  <c r="AF15" i="70"/>
  <c r="AE15" i="70"/>
  <c r="AD15" i="70"/>
  <c r="Y15" i="70"/>
  <c r="W15" i="70"/>
  <c r="V15" i="70"/>
  <c r="U15" i="70"/>
  <c r="T15" i="70"/>
  <c r="AN14" i="70"/>
  <c r="AM14" i="70"/>
  <c r="AL14" i="70"/>
  <c r="AK14" i="70"/>
  <c r="AJ14" i="70"/>
  <c r="AI14" i="70"/>
  <c r="AH14" i="70"/>
  <c r="AG14" i="70"/>
  <c r="AF14" i="70"/>
  <c r="AE14" i="70"/>
  <c r="AD14" i="70"/>
  <c r="Y14" i="70"/>
  <c r="W14" i="70"/>
  <c r="V14" i="70"/>
  <c r="U14" i="70"/>
  <c r="T14" i="70"/>
  <c r="A14" i="70"/>
  <c r="AN13" i="70"/>
  <c r="AM13" i="70"/>
  <c r="AL13" i="70"/>
  <c r="AK13" i="70"/>
  <c r="AJ13" i="70"/>
  <c r="AI13" i="70"/>
  <c r="AH13" i="70"/>
  <c r="AG13" i="70"/>
  <c r="AF13" i="70"/>
  <c r="AE13" i="70"/>
  <c r="AD13" i="70"/>
  <c r="Y13" i="70"/>
  <c r="W13" i="70"/>
  <c r="V13" i="70"/>
  <c r="U13" i="70"/>
  <c r="T13" i="70"/>
  <c r="AN12" i="70"/>
  <c r="AM12" i="70"/>
  <c r="AL12" i="70"/>
  <c r="AK12" i="70"/>
  <c r="AJ12" i="70"/>
  <c r="AI12" i="70"/>
  <c r="AH12" i="70"/>
  <c r="AG12" i="70"/>
  <c r="AF12" i="70"/>
  <c r="AE12" i="70"/>
  <c r="AD12" i="70"/>
  <c r="Y12" i="70"/>
  <c r="W12" i="70"/>
  <c r="V12" i="70"/>
  <c r="U12" i="70"/>
  <c r="T12" i="70"/>
  <c r="A12" i="70"/>
  <c r="AN11" i="70"/>
  <c r="AM11" i="70"/>
  <c r="AL11" i="70"/>
  <c r="AK11" i="70"/>
  <c r="AJ11" i="70"/>
  <c r="AI11" i="70"/>
  <c r="AH11" i="70"/>
  <c r="AG11" i="70"/>
  <c r="AF11" i="70"/>
  <c r="AE11" i="70"/>
  <c r="AD11" i="70"/>
  <c r="Y11" i="70"/>
  <c r="W11" i="70"/>
  <c r="V11" i="70"/>
  <c r="U11" i="70"/>
  <c r="T11" i="70"/>
  <c r="AN10" i="70"/>
  <c r="AM10" i="70"/>
  <c r="AL10" i="70"/>
  <c r="AK10" i="70"/>
  <c r="AJ10" i="70"/>
  <c r="AI10" i="70"/>
  <c r="AH10" i="70"/>
  <c r="AG10" i="70"/>
  <c r="AF10" i="70"/>
  <c r="AE10" i="70"/>
  <c r="AD10" i="70"/>
  <c r="Y10" i="70"/>
  <c r="W10" i="70"/>
  <c r="V10" i="70"/>
  <c r="U10" i="70"/>
  <c r="T10" i="70"/>
  <c r="A10" i="70"/>
  <c r="AN9" i="70"/>
  <c r="AM9" i="70"/>
  <c r="AL9" i="70"/>
  <c r="AK9" i="70"/>
  <c r="AJ9" i="70"/>
  <c r="AI9" i="70"/>
  <c r="AH9" i="70"/>
  <c r="AG9" i="70"/>
  <c r="AF9" i="70"/>
  <c r="AE9" i="70"/>
  <c r="AD9" i="70"/>
  <c r="Y9" i="70"/>
  <c r="W9" i="70"/>
  <c r="V9" i="70"/>
  <c r="U9" i="70"/>
  <c r="T9" i="70"/>
  <c r="AN8" i="70"/>
  <c r="AM8" i="70"/>
  <c r="AL8" i="70"/>
  <c r="AK8" i="70"/>
  <c r="AJ8" i="70"/>
  <c r="AI8" i="70"/>
  <c r="AH8" i="70"/>
  <c r="AG8" i="70"/>
  <c r="AF8" i="70"/>
  <c r="AD8" i="70"/>
  <c r="Y8" i="70"/>
  <c r="W8" i="70"/>
  <c r="V8" i="70"/>
  <c r="U8" i="70"/>
  <c r="T8" i="70"/>
  <c r="AN7" i="70"/>
  <c r="AM7" i="70"/>
  <c r="AL7" i="70"/>
  <c r="AK7" i="70"/>
  <c r="AJ7" i="70"/>
  <c r="AI7" i="70"/>
  <c r="AH7" i="70"/>
  <c r="AG7" i="70"/>
  <c r="AF7" i="70"/>
  <c r="AD7" i="70"/>
  <c r="Y7" i="70"/>
  <c r="W7" i="70"/>
  <c r="V7" i="70"/>
  <c r="U7" i="70"/>
  <c r="T7" i="70"/>
  <c r="AN6" i="70"/>
  <c r="AM6" i="70"/>
  <c r="AL6" i="70"/>
  <c r="AK6" i="70"/>
  <c r="AJ6" i="70"/>
  <c r="AI6" i="70"/>
  <c r="AH6" i="70"/>
  <c r="AG6" i="70"/>
  <c r="AF6" i="70"/>
  <c r="AD6" i="70"/>
  <c r="Y6" i="70"/>
  <c r="W6" i="70"/>
  <c r="V6" i="70"/>
  <c r="U6" i="70"/>
  <c r="T6" i="70"/>
  <c r="A6" i="70"/>
  <c r="AN5" i="70"/>
  <c r="AM5" i="70"/>
  <c r="AL5" i="70"/>
  <c r="AK5" i="70"/>
  <c r="AJ5" i="70"/>
  <c r="AI5" i="70"/>
  <c r="AH5" i="70"/>
  <c r="AG5" i="70"/>
  <c r="AF5" i="70"/>
  <c r="AD5" i="70"/>
  <c r="Y5" i="70"/>
  <c r="W5" i="70"/>
  <c r="V5" i="70"/>
  <c r="U5" i="70"/>
  <c r="T5" i="70"/>
  <c r="F1" i="70"/>
  <c r="AN67" i="69"/>
  <c r="AM67" i="69"/>
  <c r="AL67" i="69"/>
  <c r="AK67" i="69"/>
  <c r="AJ67" i="69"/>
  <c r="AI67" i="69"/>
  <c r="AH67" i="69"/>
  <c r="AG67" i="69"/>
  <c r="AF67" i="69"/>
  <c r="AE67" i="69"/>
  <c r="AD67" i="69"/>
  <c r="Y67" i="69"/>
  <c r="W67" i="69"/>
  <c r="V67" i="69"/>
  <c r="U67" i="69"/>
  <c r="T67" i="69"/>
  <c r="AN66" i="69"/>
  <c r="AM66" i="69"/>
  <c r="AL66" i="69"/>
  <c r="AK66" i="69"/>
  <c r="AJ66" i="69"/>
  <c r="AI66" i="69"/>
  <c r="AH66" i="69"/>
  <c r="AG66" i="69"/>
  <c r="AF66" i="69"/>
  <c r="AE66" i="69"/>
  <c r="AD66" i="69"/>
  <c r="Y66" i="69"/>
  <c r="W66" i="69"/>
  <c r="V66" i="69"/>
  <c r="U66" i="69"/>
  <c r="T66" i="69"/>
  <c r="AN65" i="69"/>
  <c r="AM65" i="69"/>
  <c r="AL65" i="69"/>
  <c r="AK65" i="69"/>
  <c r="AJ65" i="69"/>
  <c r="AI65" i="69"/>
  <c r="AH65" i="69"/>
  <c r="AG65" i="69"/>
  <c r="AF65" i="69"/>
  <c r="AE65" i="69"/>
  <c r="AD65" i="69"/>
  <c r="Y65" i="69"/>
  <c r="W65" i="69"/>
  <c r="V65" i="69"/>
  <c r="U65" i="69"/>
  <c r="T65" i="69"/>
  <c r="AN64" i="69"/>
  <c r="AM64" i="69"/>
  <c r="AL64" i="69"/>
  <c r="AK64" i="69"/>
  <c r="AJ64" i="69"/>
  <c r="AI64" i="69"/>
  <c r="AH64" i="69"/>
  <c r="AG64" i="69"/>
  <c r="AF64" i="69"/>
  <c r="AE64" i="69"/>
  <c r="AD64" i="69"/>
  <c r="Y64" i="69"/>
  <c r="W64" i="69"/>
  <c r="V64" i="69"/>
  <c r="U64" i="69"/>
  <c r="T64" i="69"/>
  <c r="AN63" i="69"/>
  <c r="AM63" i="69"/>
  <c r="AL63" i="69"/>
  <c r="AK63" i="69"/>
  <c r="AJ63" i="69"/>
  <c r="AI63" i="69"/>
  <c r="AH63" i="69"/>
  <c r="AG63" i="69"/>
  <c r="AF63" i="69"/>
  <c r="AE63" i="69"/>
  <c r="AD63" i="69"/>
  <c r="Y63" i="69"/>
  <c r="W63" i="69"/>
  <c r="V63" i="69"/>
  <c r="U63" i="69"/>
  <c r="T63" i="69"/>
  <c r="AN62" i="69"/>
  <c r="AM62" i="69"/>
  <c r="AL62" i="69"/>
  <c r="AK62" i="69"/>
  <c r="AJ62" i="69"/>
  <c r="AI62" i="69"/>
  <c r="AH62" i="69"/>
  <c r="AG62" i="69"/>
  <c r="AF62" i="69"/>
  <c r="AE62" i="69"/>
  <c r="AD62" i="69"/>
  <c r="Y62" i="69"/>
  <c r="W62" i="69"/>
  <c r="V62" i="69"/>
  <c r="U62" i="69"/>
  <c r="T62" i="69"/>
  <c r="AN61" i="69"/>
  <c r="AM61" i="69"/>
  <c r="AL61" i="69"/>
  <c r="AK61" i="69"/>
  <c r="AJ61" i="69"/>
  <c r="AI61" i="69"/>
  <c r="AH61" i="69"/>
  <c r="AG61" i="69"/>
  <c r="AF61" i="69"/>
  <c r="AE61" i="69"/>
  <c r="AD61" i="69"/>
  <c r="Y61" i="69"/>
  <c r="W61" i="69"/>
  <c r="V61" i="69"/>
  <c r="U61" i="69"/>
  <c r="T61" i="69"/>
  <c r="AN60" i="69"/>
  <c r="AM60" i="69"/>
  <c r="AL60" i="69"/>
  <c r="AK60" i="69"/>
  <c r="AJ60" i="69"/>
  <c r="AI60" i="69"/>
  <c r="AH60" i="69"/>
  <c r="AG60" i="69"/>
  <c r="AF60" i="69"/>
  <c r="AE60" i="69"/>
  <c r="AD60" i="69"/>
  <c r="Y60" i="69"/>
  <c r="W60" i="69"/>
  <c r="V60" i="69"/>
  <c r="U60" i="69"/>
  <c r="T60" i="69"/>
  <c r="AN59" i="69"/>
  <c r="AM59" i="69"/>
  <c r="AL59" i="69"/>
  <c r="AK59" i="69"/>
  <c r="AJ59" i="69"/>
  <c r="AI59" i="69"/>
  <c r="AH59" i="69"/>
  <c r="AG59" i="69"/>
  <c r="AF59" i="69"/>
  <c r="AE59" i="69"/>
  <c r="AD59" i="69"/>
  <c r="Y59" i="69"/>
  <c r="W59" i="69"/>
  <c r="V59" i="69"/>
  <c r="U59" i="69"/>
  <c r="T59" i="69"/>
  <c r="AN58" i="69"/>
  <c r="AM58" i="69"/>
  <c r="AL58" i="69"/>
  <c r="AK58" i="69"/>
  <c r="AJ58" i="69"/>
  <c r="AI58" i="69"/>
  <c r="AH58" i="69"/>
  <c r="AG58" i="69"/>
  <c r="AF58" i="69"/>
  <c r="AE58" i="69"/>
  <c r="AD58" i="69"/>
  <c r="Y58" i="69"/>
  <c r="W58" i="69"/>
  <c r="V58" i="69"/>
  <c r="U58" i="69"/>
  <c r="T58" i="69"/>
  <c r="AN57" i="69"/>
  <c r="AM57" i="69"/>
  <c r="AL57" i="69"/>
  <c r="AK57" i="69"/>
  <c r="AJ57" i="69"/>
  <c r="AI57" i="69"/>
  <c r="AH57" i="69"/>
  <c r="AG57" i="69"/>
  <c r="AF57" i="69"/>
  <c r="AE57" i="69"/>
  <c r="AD57" i="69"/>
  <c r="Y57" i="69"/>
  <c r="W57" i="69"/>
  <c r="V57" i="69"/>
  <c r="U57" i="69"/>
  <c r="T57" i="69"/>
  <c r="AN56" i="69"/>
  <c r="AM56" i="69"/>
  <c r="AL56" i="69"/>
  <c r="AK56" i="69"/>
  <c r="AJ56" i="69"/>
  <c r="AI56" i="69"/>
  <c r="AH56" i="69"/>
  <c r="AG56" i="69"/>
  <c r="AF56" i="69"/>
  <c r="AE56" i="69"/>
  <c r="AD56" i="69"/>
  <c r="Y56" i="69"/>
  <c r="W56" i="69"/>
  <c r="V56" i="69"/>
  <c r="U56" i="69"/>
  <c r="T56" i="69"/>
  <c r="AN55" i="69"/>
  <c r="AM55" i="69"/>
  <c r="AL55" i="69"/>
  <c r="AK55" i="69"/>
  <c r="AJ55" i="69"/>
  <c r="AI55" i="69"/>
  <c r="AH55" i="69"/>
  <c r="AG55" i="69"/>
  <c r="AF55" i="69"/>
  <c r="AE55" i="69"/>
  <c r="AD55" i="69"/>
  <c r="Y55" i="69"/>
  <c r="W55" i="69"/>
  <c r="V55" i="69"/>
  <c r="U55" i="69"/>
  <c r="T55" i="69"/>
  <c r="AN54" i="69"/>
  <c r="AM54" i="69"/>
  <c r="AL54" i="69"/>
  <c r="AK54" i="69"/>
  <c r="AJ54" i="69"/>
  <c r="AI54" i="69"/>
  <c r="AH54" i="69"/>
  <c r="AG54" i="69"/>
  <c r="AF54" i="69"/>
  <c r="AE54" i="69"/>
  <c r="AD54" i="69"/>
  <c r="Y54" i="69"/>
  <c r="W54" i="69"/>
  <c r="V54" i="69"/>
  <c r="U54" i="69"/>
  <c r="T54" i="69"/>
  <c r="AN53" i="69"/>
  <c r="AM53" i="69"/>
  <c r="AL53" i="69"/>
  <c r="AK53" i="69"/>
  <c r="AJ53" i="69"/>
  <c r="AI53" i="69"/>
  <c r="AH53" i="69"/>
  <c r="AG53" i="69"/>
  <c r="AF53" i="69"/>
  <c r="AE53" i="69"/>
  <c r="AD53" i="69"/>
  <c r="Y53" i="69"/>
  <c r="W53" i="69"/>
  <c r="V53" i="69"/>
  <c r="U53" i="69"/>
  <c r="T53" i="69"/>
  <c r="AN52" i="69"/>
  <c r="AM52" i="69"/>
  <c r="AL52" i="69"/>
  <c r="AK52" i="69"/>
  <c r="AJ52" i="69"/>
  <c r="AI52" i="69"/>
  <c r="AH52" i="69"/>
  <c r="AG52" i="69"/>
  <c r="AF52" i="69"/>
  <c r="AE52" i="69"/>
  <c r="AD52" i="69"/>
  <c r="Y52" i="69"/>
  <c r="W52" i="69"/>
  <c r="V52" i="69"/>
  <c r="U52" i="69"/>
  <c r="T52" i="69"/>
  <c r="AN51" i="69"/>
  <c r="AM51" i="69"/>
  <c r="AL51" i="69"/>
  <c r="AK51" i="69"/>
  <c r="AJ51" i="69"/>
  <c r="AI51" i="69"/>
  <c r="AH51" i="69"/>
  <c r="AG51" i="69"/>
  <c r="AF51" i="69"/>
  <c r="AE51" i="69"/>
  <c r="AD51" i="69"/>
  <c r="Y51" i="69"/>
  <c r="W51" i="69"/>
  <c r="V51" i="69"/>
  <c r="U51" i="69"/>
  <c r="T51" i="69"/>
  <c r="AN50" i="69"/>
  <c r="AM50" i="69"/>
  <c r="AL50" i="69"/>
  <c r="AK50" i="69"/>
  <c r="AJ50" i="69"/>
  <c r="AI50" i="69"/>
  <c r="AH50" i="69"/>
  <c r="AG50" i="69"/>
  <c r="AF50" i="69"/>
  <c r="AE50" i="69"/>
  <c r="AD50" i="69"/>
  <c r="Y50" i="69"/>
  <c r="W50" i="69"/>
  <c r="V50" i="69"/>
  <c r="U50" i="69"/>
  <c r="T50" i="69"/>
  <c r="AN49" i="69"/>
  <c r="AM49" i="69"/>
  <c r="AL49" i="69"/>
  <c r="AK49" i="69"/>
  <c r="AJ49" i="69"/>
  <c r="AI49" i="69"/>
  <c r="AH49" i="69"/>
  <c r="AG49" i="69"/>
  <c r="AF49" i="69"/>
  <c r="AE49" i="69"/>
  <c r="AD49" i="69"/>
  <c r="Y49" i="69"/>
  <c r="W49" i="69"/>
  <c r="V49" i="69"/>
  <c r="U49" i="69"/>
  <c r="T49" i="69"/>
  <c r="AN48" i="69"/>
  <c r="AM48" i="69"/>
  <c r="AL48" i="69"/>
  <c r="AK48" i="69"/>
  <c r="AJ48" i="69"/>
  <c r="AI48" i="69"/>
  <c r="AH48" i="69"/>
  <c r="AG48" i="69"/>
  <c r="AF48" i="69"/>
  <c r="AE48" i="69"/>
  <c r="AD48" i="69"/>
  <c r="Y48" i="69"/>
  <c r="W48" i="69"/>
  <c r="V48" i="69"/>
  <c r="U48" i="69"/>
  <c r="T48" i="69"/>
  <c r="AN47" i="69"/>
  <c r="AM47" i="69"/>
  <c r="AL47" i="69"/>
  <c r="AK47" i="69"/>
  <c r="AJ47" i="69"/>
  <c r="AI47" i="69"/>
  <c r="AH47" i="69"/>
  <c r="AG47" i="69"/>
  <c r="AF47" i="69"/>
  <c r="AE47" i="69"/>
  <c r="AD47" i="69"/>
  <c r="Y47" i="69"/>
  <c r="W47" i="69"/>
  <c r="V47" i="69"/>
  <c r="U47" i="69"/>
  <c r="T47" i="69"/>
  <c r="AN46" i="69"/>
  <c r="AM46" i="69"/>
  <c r="AL46" i="69"/>
  <c r="AK46" i="69"/>
  <c r="AJ46" i="69"/>
  <c r="AI46" i="69"/>
  <c r="AH46" i="69"/>
  <c r="AG46" i="69"/>
  <c r="AF46" i="69"/>
  <c r="AE46" i="69"/>
  <c r="AD46" i="69"/>
  <c r="Y46" i="69"/>
  <c r="W46" i="69"/>
  <c r="V46" i="69"/>
  <c r="U46" i="69"/>
  <c r="T46" i="69"/>
  <c r="AN45" i="69"/>
  <c r="AM45" i="69"/>
  <c r="AL45" i="69"/>
  <c r="AK45" i="69"/>
  <c r="AJ45" i="69"/>
  <c r="AI45" i="69"/>
  <c r="AH45" i="69"/>
  <c r="AG45" i="69"/>
  <c r="AF45" i="69"/>
  <c r="AE45" i="69"/>
  <c r="AD45" i="69"/>
  <c r="Y45" i="69"/>
  <c r="W45" i="69"/>
  <c r="V45" i="69"/>
  <c r="U45" i="69"/>
  <c r="T45" i="69"/>
  <c r="AN44" i="69"/>
  <c r="AM44" i="69"/>
  <c r="AL44" i="69"/>
  <c r="AK44" i="69"/>
  <c r="AJ44" i="69"/>
  <c r="AI44" i="69"/>
  <c r="AH44" i="69"/>
  <c r="AG44" i="69"/>
  <c r="AF44" i="69"/>
  <c r="AE44" i="69"/>
  <c r="AD44" i="69"/>
  <c r="Y44" i="69"/>
  <c r="W44" i="69"/>
  <c r="V44" i="69"/>
  <c r="U44" i="69"/>
  <c r="T44" i="69"/>
  <c r="AN43" i="69"/>
  <c r="AM43" i="69"/>
  <c r="AL43" i="69"/>
  <c r="AK43" i="69"/>
  <c r="AJ43" i="69"/>
  <c r="AI43" i="69"/>
  <c r="AH43" i="69"/>
  <c r="AG43" i="69"/>
  <c r="AF43" i="69"/>
  <c r="AE43" i="69"/>
  <c r="AD43" i="69"/>
  <c r="Y43" i="69"/>
  <c r="W43" i="69"/>
  <c r="V43" i="69"/>
  <c r="U43" i="69"/>
  <c r="T43" i="69"/>
  <c r="AN42" i="69"/>
  <c r="AM42" i="69"/>
  <c r="AL42" i="69"/>
  <c r="AK42" i="69"/>
  <c r="AJ42" i="69"/>
  <c r="AI42" i="69"/>
  <c r="AH42" i="69"/>
  <c r="AG42" i="69"/>
  <c r="AF42" i="69"/>
  <c r="AE42" i="69"/>
  <c r="AD42" i="69"/>
  <c r="Y42" i="69"/>
  <c r="W42" i="69"/>
  <c r="V42" i="69"/>
  <c r="U42" i="69"/>
  <c r="T42" i="69"/>
  <c r="AN41" i="69"/>
  <c r="AM41" i="69"/>
  <c r="AL41" i="69"/>
  <c r="AK41" i="69"/>
  <c r="AJ41" i="69"/>
  <c r="AI41" i="69"/>
  <c r="AH41" i="69"/>
  <c r="AG41" i="69"/>
  <c r="AF41" i="69"/>
  <c r="AE41" i="69"/>
  <c r="AD41" i="69"/>
  <c r="Y41" i="69"/>
  <c r="W41" i="69"/>
  <c r="V41" i="69"/>
  <c r="U41" i="69"/>
  <c r="T41" i="69"/>
  <c r="AN40" i="69"/>
  <c r="AM40" i="69"/>
  <c r="AL40" i="69"/>
  <c r="AK40" i="69"/>
  <c r="AJ40" i="69"/>
  <c r="AI40" i="69"/>
  <c r="AH40" i="69"/>
  <c r="AG40" i="69"/>
  <c r="AF40" i="69"/>
  <c r="AE40" i="69"/>
  <c r="AD40" i="69"/>
  <c r="Y40" i="69"/>
  <c r="W40" i="69"/>
  <c r="V40" i="69"/>
  <c r="U40" i="69"/>
  <c r="T40" i="69"/>
  <c r="AN39" i="69"/>
  <c r="AM39" i="69"/>
  <c r="AL39" i="69"/>
  <c r="AK39" i="69"/>
  <c r="AJ39" i="69"/>
  <c r="AI39" i="69"/>
  <c r="AH39" i="69"/>
  <c r="AG39" i="69"/>
  <c r="AF39" i="69"/>
  <c r="AE39" i="69"/>
  <c r="AD39" i="69"/>
  <c r="Y39" i="69"/>
  <c r="W39" i="69"/>
  <c r="V39" i="69"/>
  <c r="U39" i="69"/>
  <c r="T39" i="69"/>
  <c r="AN38" i="69"/>
  <c r="AM38" i="69"/>
  <c r="AL38" i="69"/>
  <c r="AK38" i="69"/>
  <c r="AJ38" i="69"/>
  <c r="AI38" i="69"/>
  <c r="AH38" i="69"/>
  <c r="AG38" i="69"/>
  <c r="AF38" i="69"/>
  <c r="AE38" i="69"/>
  <c r="AD38" i="69"/>
  <c r="Y38" i="69"/>
  <c r="W38" i="69"/>
  <c r="V38" i="69"/>
  <c r="U38" i="69"/>
  <c r="T38" i="69"/>
  <c r="AN37" i="69"/>
  <c r="AM37" i="69"/>
  <c r="AL37" i="69"/>
  <c r="AK37" i="69"/>
  <c r="AJ37" i="69"/>
  <c r="AI37" i="69"/>
  <c r="AH37" i="69"/>
  <c r="AG37" i="69"/>
  <c r="AF37" i="69"/>
  <c r="AE37" i="69"/>
  <c r="AD37" i="69"/>
  <c r="Y37" i="69"/>
  <c r="W37" i="69"/>
  <c r="V37" i="69"/>
  <c r="U37" i="69"/>
  <c r="T37" i="69"/>
  <c r="AN36" i="69"/>
  <c r="AM36" i="69"/>
  <c r="AL36" i="69"/>
  <c r="AK36" i="69"/>
  <c r="AJ36" i="69"/>
  <c r="AI36" i="69"/>
  <c r="AH36" i="69"/>
  <c r="AG36" i="69"/>
  <c r="AF36" i="69"/>
  <c r="AE36" i="69"/>
  <c r="AD36" i="69"/>
  <c r="Y36" i="69"/>
  <c r="W36" i="69"/>
  <c r="V36" i="69"/>
  <c r="U36" i="69"/>
  <c r="T36" i="69"/>
  <c r="AN35" i="69"/>
  <c r="AM35" i="69"/>
  <c r="AL35" i="69"/>
  <c r="AK35" i="69"/>
  <c r="AJ35" i="69"/>
  <c r="AI35" i="69"/>
  <c r="AH35" i="69"/>
  <c r="AG35" i="69"/>
  <c r="AF35" i="69"/>
  <c r="AE35" i="69"/>
  <c r="AD35" i="69"/>
  <c r="Y35" i="69"/>
  <c r="W35" i="69"/>
  <c r="V35" i="69"/>
  <c r="U35" i="69"/>
  <c r="T35" i="69"/>
  <c r="AN34" i="69"/>
  <c r="AM34" i="69"/>
  <c r="AL34" i="69"/>
  <c r="AK34" i="69"/>
  <c r="AJ34" i="69"/>
  <c r="AI34" i="69"/>
  <c r="AH34" i="69"/>
  <c r="AG34" i="69"/>
  <c r="AF34" i="69"/>
  <c r="AE34" i="69"/>
  <c r="AD34" i="69"/>
  <c r="Y34" i="69"/>
  <c r="W34" i="69"/>
  <c r="V34" i="69"/>
  <c r="U34" i="69"/>
  <c r="T34" i="69"/>
  <c r="AN33" i="69"/>
  <c r="AM33" i="69"/>
  <c r="AL33" i="69"/>
  <c r="AK33" i="69"/>
  <c r="AJ33" i="69"/>
  <c r="AI33" i="69"/>
  <c r="AH33" i="69"/>
  <c r="AG33" i="69"/>
  <c r="AF33" i="69"/>
  <c r="AE33" i="69"/>
  <c r="AD33" i="69"/>
  <c r="Y33" i="69"/>
  <c r="W33" i="69"/>
  <c r="V33" i="69"/>
  <c r="U33" i="69"/>
  <c r="T33" i="69"/>
  <c r="AN32" i="69"/>
  <c r="AM32" i="69"/>
  <c r="AL32" i="69"/>
  <c r="AK32" i="69"/>
  <c r="AJ32" i="69"/>
  <c r="AI32" i="69"/>
  <c r="AH32" i="69"/>
  <c r="AG32" i="69"/>
  <c r="AF32" i="69"/>
  <c r="AE32" i="69"/>
  <c r="AD32" i="69"/>
  <c r="Y32" i="69"/>
  <c r="W32" i="69"/>
  <c r="V32" i="69"/>
  <c r="U32" i="69"/>
  <c r="T32" i="69"/>
  <c r="AN31" i="69"/>
  <c r="AM31" i="69"/>
  <c r="AL31" i="69"/>
  <c r="AK31" i="69"/>
  <c r="AJ31" i="69"/>
  <c r="AI31" i="69"/>
  <c r="AH31" i="69"/>
  <c r="AG31" i="69"/>
  <c r="AF31" i="69"/>
  <c r="AE31" i="69"/>
  <c r="AD31" i="69"/>
  <c r="Y31" i="69"/>
  <c r="W31" i="69"/>
  <c r="V31" i="69"/>
  <c r="U31" i="69"/>
  <c r="T31" i="69"/>
  <c r="AN30" i="69"/>
  <c r="AM30" i="69"/>
  <c r="AL30" i="69"/>
  <c r="AK30" i="69"/>
  <c r="AJ30" i="69"/>
  <c r="AI30" i="69"/>
  <c r="AH30" i="69"/>
  <c r="AG30" i="69"/>
  <c r="AF30" i="69"/>
  <c r="AE30" i="69"/>
  <c r="AD30" i="69"/>
  <c r="Y30" i="69"/>
  <c r="W30" i="69"/>
  <c r="V30" i="69"/>
  <c r="U30" i="69"/>
  <c r="T30" i="69"/>
  <c r="AN29" i="69"/>
  <c r="AM29" i="69"/>
  <c r="AL29" i="69"/>
  <c r="AK29" i="69"/>
  <c r="AJ29" i="69"/>
  <c r="AI29" i="69"/>
  <c r="AH29" i="69"/>
  <c r="AG29" i="69"/>
  <c r="AF29" i="69"/>
  <c r="AE29" i="69"/>
  <c r="AD29" i="69"/>
  <c r="Y29" i="69"/>
  <c r="W29" i="69"/>
  <c r="V29" i="69"/>
  <c r="U29" i="69"/>
  <c r="T29" i="69"/>
  <c r="AN28" i="69"/>
  <c r="AM28" i="69"/>
  <c r="AL28" i="69"/>
  <c r="AK28" i="69"/>
  <c r="AJ28" i="69"/>
  <c r="AI28" i="69"/>
  <c r="AH28" i="69"/>
  <c r="AG28" i="69"/>
  <c r="AF28" i="69"/>
  <c r="AE28" i="69"/>
  <c r="AD28" i="69"/>
  <c r="Y28" i="69"/>
  <c r="W28" i="69"/>
  <c r="V28" i="69"/>
  <c r="U28" i="69"/>
  <c r="T28" i="69"/>
  <c r="AN27" i="69"/>
  <c r="AM27" i="69"/>
  <c r="AL27" i="69"/>
  <c r="AK27" i="69"/>
  <c r="AJ27" i="69"/>
  <c r="AI27" i="69"/>
  <c r="AH27" i="69"/>
  <c r="AG27" i="69"/>
  <c r="AF27" i="69"/>
  <c r="AE27" i="69"/>
  <c r="AD27" i="69"/>
  <c r="Y27" i="69"/>
  <c r="W27" i="69"/>
  <c r="V27" i="69"/>
  <c r="U27" i="69"/>
  <c r="T27" i="69"/>
  <c r="AN26" i="69"/>
  <c r="AM26" i="69"/>
  <c r="AL26" i="69"/>
  <c r="AK26" i="69"/>
  <c r="AJ26" i="69"/>
  <c r="AI26" i="69"/>
  <c r="AH26" i="69"/>
  <c r="AG26" i="69"/>
  <c r="AF26" i="69"/>
  <c r="AE26" i="69"/>
  <c r="AD26" i="69"/>
  <c r="Y26" i="69"/>
  <c r="W26" i="69"/>
  <c r="V26" i="69"/>
  <c r="U26" i="69"/>
  <c r="T26" i="69"/>
  <c r="AN25" i="69"/>
  <c r="AM25" i="69"/>
  <c r="AL25" i="69"/>
  <c r="AK25" i="69"/>
  <c r="AJ25" i="69"/>
  <c r="AI25" i="69"/>
  <c r="AH25" i="69"/>
  <c r="AG25" i="69"/>
  <c r="AF25" i="69"/>
  <c r="AE25" i="69"/>
  <c r="AD25" i="69"/>
  <c r="Y25" i="69"/>
  <c r="W25" i="69"/>
  <c r="V25" i="69"/>
  <c r="U25" i="69"/>
  <c r="T25" i="69"/>
  <c r="AN24" i="69"/>
  <c r="AM24" i="69"/>
  <c r="AL24" i="69"/>
  <c r="AK24" i="69"/>
  <c r="AJ24" i="69"/>
  <c r="AI24" i="69"/>
  <c r="AH24" i="69"/>
  <c r="AG24" i="69"/>
  <c r="AF24" i="69"/>
  <c r="AE24" i="69"/>
  <c r="AD24" i="69"/>
  <c r="Y24" i="69"/>
  <c r="W24" i="69"/>
  <c r="V24" i="69"/>
  <c r="U24" i="69"/>
  <c r="T24" i="69"/>
  <c r="AN23" i="69"/>
  <c r="AM23" i="69"/>
  <c r="AL23" i="69"/>
  <c r="AK23" i="69"/>
  <c r="AJ23" i="69"/>
  <c r="AI23" i="69"/>
  <c r="AH23" i="69"/>
  <c r="AG23" i="69"/>
  <c r="AF23" i="69"/>
  <c r="AE23" i="69"/>
  <c r="AD23" i="69"/>
  <c r="Y23" i="69"/>
  <c r="W23" i="69"/>
  <c r="V23" i="69"/>
  <c r="U23" i="69"/>
  <c r="T23" i="69"/>
  <c r="AN22" i="69"/>
  <c r="AM22" i="69"/>
  <c r="AL22" i="69"/>
  <c r="AK22" i="69"/>
  <c r="AJ22" i="69"/>
  <c r="AI22" i="69"/>
  <c r="AH22" i="69"/>
  <c r="AG22" i="69"/>
  <c r="AF22" i="69"/>
  <c r="AE22" i="69"/>
  <c r="AD22" i="69"/>
  <c r="Y22" i="69"/>
  <c r="W22" i="69"/>
  <c r="V22" i="69"/>
  <c r="U22" i="69"/>
  <c r="T22" i="69"/>
  <c r="AN21" i="69"/>
  <c r="AM21" i="69"/>
  <c r="AL21" i="69"/>
  <c r="AK21" i="69"/>
  <c r="AJ21" i="69"/>
  <c r="AI21" i="69"/>
  <c r="AH21" i="69"/>
  <c r="AG21" i="69"/>
  <c r="AF21" i="69"/>
  <c r="AE21" i="69"/>
  <c r="AD21" i="69"/>
  <c r="Y21" i="69"/>
  <c r="W21" i="69"/>
  <c r="V21" i="69"/>
  <c r="U21" i="69"/>
  <c r="T21" i="69"/>
  <c r="AN20" i="69"/>
  <c r="AM20" i="69"/>
  <c r="AL20" i="69"/>
  <c r="AK20" i="69"/>
  <c r="AJ20" i="69"/>
  <c r="AI20" i="69"/>
  <c r="AH20" i="69"/>
  <c r="AG20" i="69"/>
  <c r="AF20" i="69"/>
  <c r="AE20" i="69"/>
  <c r="AD20" i="69"/>
  <c r="Y20" i="69"/>
  <c r="W20" i="69"/>
  <c r="V20" i="69"/>
  <c r="U20" i="69"/>
  <c r="T20" i="69"/>
  <c r="AN19" i="69"/>
  <c r="AM19" i="69"/>
  <c r="AL19" i="69"/>
  <c r="AK19" i="69"/>
  <c r="AJ19" i="69"/>
  <c r="AI19" i="69"/>
  <c r="AH19" i="69"/>
  <c r="AG19" i="69"/>
  <c r="AF19" i="69"/>
  <c r="AE19" i="69"/>
  <c r="AD19" i="69"/>
  <c r="Y19" i="69"/>
  <c r="W19" i="69"/>
  <c r="V19" i="69"/>
  <c r="U19" i="69"/>
  <c r="T19" i="69"/>
  <c r="AN18" i="69"/>
  <c r="AM18" i="69"/>
  <c r="AL18" i="69"/>
  <c r="AK18" i="69"/>
  <c r="AJ18" i="69"/>
  <c r="AI18" i="69"/>
  <c r="AH18" i="69"/>
  <c r="AG18" i="69"/>
  <c r="AF18" i="69"/>
  <c r="AE18" i="69"/>
  <c r="AD18" i="69"/>
  <c r="Y18" i="69"/>
  <c r="W18" i="69"/>
  <c r="V18" i="69"/>
  <c r="U18" i="69"/>
  <c r="T18" i="69"/>
  <c r="AN17" i="69"/>
  <c r="AM17" i="69"/>
  <c r="AL17" i="69"/>
  <c r="AK17" i="69"/>
  <c r="AJ17" i="69"/>
  <c r="AI17" i="69"/>
  <c r="AH17" i="69"/>
  <c r="AG17" i="69"/>
  <c r="AF17" i="69"/>
  <c r="AE17" i="69"/>
  <c r="AD17" i="69"/>
  <c r="Y17" i="69"/>
  <c r="W17" i="69"/>
  <c r="V17" i="69"/>
  <c r="U17" i="69"/>
  <c r="T17" i="69"/>
  <c r="AN16" i="69"/>
  <c r="AM16" i="69"/>
  <c r="AL16" i="69"/>
  <c r="AK16" i="69"/>
  <c r="AJ16" i="69"/>
  <c r="AI16" i="69"/>
  <c r="AH16" i="69"/>
  <c r="AG16" i="69"/>
  <c r="AF16" i="69"/>
  <c r="AE16" i="69"/>
  <c r="AD16" i="69"/>
  <c r="Y16" i="69"/>
  <c r="W16" i="69"/>
  <c r="V16" i="69"/>
  <c r="U16" i="69"/>
  <c r="T16" i="69"/>
  <c r="A16" i="69"/>
  <c r="AN15" i="69"/>
  <c r="AM15" i="69"/>
  <c r="AL15" i="69"/>
  <c r="AK15" i="69"/>
  <c r="AJ15" i="69"/>
  <c r="AI15" i="69"/>
  <c r="AH15" i="69"/>
  <c r="AG15" i="69"/>
  <c r="AF15" i="69"/>
  <c r="AE15" i="69"/>
  <c r="AD15" i="69"/>
  <c r="Y15" i="69"/>
  <c r="W15" i="69"/>
  <c r="V15" i="69"/>
  <c r="U15" i="69"/>
  <c r="T15" i="69"/>
  <c r="AN14" i="69"/>
  <c r="AM14" i="69"/>
  <c r="AL14" i="69"/>
  <c r="AK14" i="69"/>
  <c r="AJ14" i="69"/>
  <c r="AI14" i="69"/>
  <c r="AH14" i="69"/>
  <c r="AG14" i="69"/>
  <c r="AF14" i="69"/>
  <c r="AE14" i="69"/>
  <c r="AD14" i="69"/>
  <c r="Y14" i="69"/>
  <c r="W14" i="69"/>
  <c r="V14" i="69"/>
  <c r="U14" i="69"/>
  <c r="T14" i="69"/>
  <c r="A14" i="69"/>
  <c r="AN13" i="69"/>
  <c r="AM13" i="69"/>
  <c r="AL13" i="69"/>
  <c r="AK13" i="69"/>
  <c r="AJ13" i="69"/>
  <c r="AI13" i="69"/>
  <c r="AH13" i="69"/>
  <c r="AG13" i="69"/>
  <c r="AF13" i="69"/>
  <c r="AE13" i="69"/>
  <c r="AD13" i="69"/>
  <c r="Y13" i="69"/>
  <c r="W13" i="69"/>
  <c r="V13" i="69"/>
  <c r="U13" i="69"/>
  <c r="T13" i="69"/>
  <c r="AN12" i="69"/>
  <c r="AM12" i="69"/>
  <c r="AL12" i="69"/>
  <c r="AK12" i="69"/>
  <c r="AJ12" i="69"/>
  <c r="AI12" i="69"/>
  <c r="AH12" i="69"/>
  <c r="AG12" i="69"/>
  <c r="AF12" i="69"/>
  <c r="AE12" i="69"/>
  <c r="AD12" i="69"/>
  <c r="Y12" i="69"/>
  <c r="W12" i="69"/>
  <c r="V12" i="69"/>
  <c r="U12" i="69"/>
  <c r="T12" i="69"/>
  <c r="A12" i="69"/>
  <c r="AN11" i="69"/>
  <c r="AM11" i="69"/>
  <c r="AL11" i="69"/>
  <c r="AK11" i="69"/>
  <c r="AJ11" i="69"/>
  <c r="AI11" i="69"/>
  <c r="AH11" i="69"/>
  <c r="AG11" i="69"/>
  <c r="AF11" i="69"/>
  <c r="AE11" i="69"/>
  <c r="AD11" i="69"/>
  <c r="Y11" i="69"/>
  <c r="W11" i="69"/>
  <c r="V11" i="69"/>
  <c r="U11" i="69"/>
  <c r="T11" i="69"/>
  <c r="AN10" i="69"/>
  <c r="AM10" i="69"/>
  <c r="AL10" i="69"/>
  <c r="AK10" i="69"/>
  <c r="AJ10" i="69"/>
  <c r="AI10" i="69"/>
  <c r="AH10" i="69"/>
  <c r="AG10" i="69"/>
  <c r="AF10" i="69"/>
  <c r="AE10" i="69"/>
  <c r="AD10" i="69"/>
  <c r="Y10" i="69"/>
  <c r="W10" i="69"/>
  <c r="V10" i="69"/>
  <c r="U10" i="69"/>
  <c r="T10" i="69"/>
  <c r="A10" i="69"/>
  <c r="AN9" i="69"/>
  <c r="AM9" i="69"/>
  <c r="AL9" i="69"/>
  <c r="AK9" i="69"/>
  <c r="AJ9" i="69"/>
  <c r="AI9" i="69"/>
  <c r="AH9" i="69"/>
  <c r="AG9" i="69"/>
  <c r="AF9" i="69"/>
  <c r="AE9" i="69"/>
  <c r="AD9" i="69"/>
  <c r="Y9" i="69"/>
  <c r="W9" i="69"/>
  <c r="V9" i="69"/>
  <c r="U9" i="69"/>
  <c r="T9" i="69"/>
  <c r="AN8" i="69"/>
  <c r="AM8" i="69"/>
  <c r="AL8" i="69"/>
  <c r="AK8" i="69"/>
  <c r="AJ8" i="69"/>
  <c r="AI8" i="69"/>
  <c r="AH8" i="69"/>
  <c r="AG8" i="69"/>
  <c r="AF8" i="69"/>
  <c r="AD8" i="69"/>
  <c r="Y8" i="69"/>
  <c r="W8" i="69"/>
  <c r="V8" i="69"/>
  <c r="U8" i="69"/>
  <c r="T8" i="69"/>
  <c r="AN7" i="69"/>
  <c r="AM7" i="69"/>
  <c r="AL7" i="69"/>
  <c r="AK7" i="69"/>
  <c r="AJ7" i="69"/>
  <c r="AI7" i="69"/>
  <c r="AH7" i="69"/>
  <c r="AG7" i="69"/>
  <c r="AF7" i="69"/>
  <c r="AD7" i="69"/>
  <c r="Y7" i="69"/>
  <c r="W7" i="69"/>
  <c r="V7" i="69"/>
  <c r="U7" i="69"/>
  <c r="T7" i="69"/>
  <c r="AN6" i="69"/>
  <c r="AM6" i="69"/>
  <c r="AL6" i="69"/>
  <c r="AK6" i="69"/>
  <c r="AJ6" i="69"/>
  <c r="AI6" i="69"/>
  <c r="AH6" i="69"/>
  <c r="AG6" i="69"/>
  <c r="AF6" i="69"/>
  <c r="AD6" i="69"/>
  <c r="Y6" i="69"/>
  <c r="W6" i="69"/>
  <c r="V6" i="69"/>
  <c r="U6" i="69"/>
  <c r="T6" i="69"/>
  <c r="A6" i="69"/>
  <c r="AN5" i="69"/>
  <c r="AM5" i="69"/>
  <c r="AL5" i="69"/>
  <c r="AK5" i="69"/>
  <c r="AJ5" i="69"/>
  <c r="AI5" i="69"/>
  <c r="AH5" i="69"/>
  <c r="AG5" i="69"/>
  <c r="AF5" i="69"/>
  <c r="AD5" i="69"/>
  <c r="Y5" i="69"/>
  <c r="W5" i="69"/>
  <c r="V5" i="69"/>
  <c r="U5" i="69"/>
  <c r="T5" i="69"/>
  <c r="F1" i="69"/>
  <c r="AN91" i="22"/>
  <c r="AM91" i="22"/>
  <c r="AL91" i="22"/>
  <c r="AK91" i="22"/>
  <c r="AJ91" i="22"/>
  <c r="AI91" i="22"/>
  <c r="AH91" i="22"/>
  <c r="AG91" i="22"/>
  <c r="AF91" i="22"/>
  <c r="AE91" i="22"/>
  <c r="AD91" i="22"/>
  <c r="Y91" i="22"/>
  <c r="W91" i="22"/>
  <c r="V91" i="22"/>
  <c r="U91" i="22"/>
  <c r="T91" i="22"/>
  <c r="AN90" i="22"/>
  <c r="AM90" i="22"/>
  <c r="AL90" i="22"/>
  <c r="AK90" i="22"/>
  <c r="AJ90" i="22"/>
  <c r="AI90" i="22"/>
  <c r="AH90" i="22"/>
  <c r="AG90" i="22"/>
  <c r="AF90" i="22"/>
  <c r="AE90" i="22"/>
  <c r="AD90" i="22"/>
  <c r="Y90" i="22"/>
  <c r="W90" i="22"/>
  <c r="V90" i="22"/>
  <c r="U90" i="22"/>
  <c r="T90" i="22"/>
  <c r="AN89" i="22"/>
  <c r="AM89" i="22"/>
  <c r="AL89" i="22"/>
  <c r="AK89" i="22"/>
  <c r="AJ89" i="22"/>
  <c r="AI89" i="22"/>
  <c r="AH89" i="22"/>
  <c r="AG89" i="22"/>
  <c r="AF89" i="22"/>
  <c r="AE89" i="22"/>
  <c r="AD89" i="22"/>
  <c r="Y89" i="22"/>
  <c r="W89" i="22"/>
  <c r="V89" i="22"/>
  <c r="U89" i="22"/>
  <c r="T89" i="22"/>
  <c r="AN88" i="22"/>
  <c r="AM88" i="22"/>
  <c r="AL88" i="22"/>
  <c r="AK88" i="22"/>
  <c r="AJ88" i="22"/>
  <c r="AI88" i="22"/>
  <c r="AH88" i="22"/>
  <c r="AG88" i="22"/>
  <c r="AF88" i="22"/>
  <c r="AE88" i="22"/>
  <c r="AD88" i="22"/>
  <c r="Y88" i="22"/>
  <c r="W88" i="22"/>
  <c r="V88" i="22"/>
  <c r="U88" i="22"/>
  <c r="T88" i="22"/>
  <c r="AN87" i="22"/>
  <c r="AM87" i="22"/>
  <c r="AL87" i="22"/>
  <c r="AK87" i="22"/>
  <c r="AJ87" i="22"/>
  <c r="AI87" i="22"/>
  <c r="AH87" i="22"/>
  <c r="AG87" i="22"/>
  <c r="AF87" i="22"/>
  <c r="AE87" i="22"/>
  <c r="AD87" i="22"/>
  <c r="Y87" i="22"/>
  <c r="W87" i="22"/>
  <c r="V87" i="22"/>
  <c r="U87" i="22"/>
  <c r="T87" i="22"/>
  <c r="AN86" i="22"/>
  <c r="AM86" i="22"/>
  <c r="AL86" i="22"/>
  <c r="AK86" i="22"/>
  <c r="AJ86" i="22"/>
  <c r="AI86" i="22"/>
  <c r="AH86" i="22"/>
  <c r="AG86" i="22"/>
  <c r="AF86" i="22"/>
  <c r="AE86" i="22"/>
  <c r="AD86" i="22"/>
  <c r="Y86" i="22"/>
  <c r="W86" i="22"/>
  <c r="V86" i="22"/>
  <c r="U86" i="22"/>
  <c r="T86" i="22"/>
  <c r="AN85" i="22"/>
  <c r="AM85" i="22"/>
  <c r="AL85" i="22"/>
  <c r="AK85" i="22"/>
  <c r="AJ85" i="22"/>
  <c r="AI85" i="22"/>
  <c r="AH85" i="22"/>
  <c r="AG85" i="22"/>
  <c r="AF85" i="22"/>
  <c r="AE85" i="22"/>
  <c r="AD85" i="22"/>
  <c r="Y85" i="22"/>
  <c r="W85" i="22"/>
  <c r="V85" i="22"/>
  <c r="U85" i="22"/>
  <c r="T85" i="22"/>
  <c r="AN84" i="22"/>
  <c r="AM84" i="22"/>
  <c r="AL84" i="22"/>
  <c r="AK84" i="22"/>
  <c r="AJ84" i="22"/>
  <c r="AI84" i="22"/>
  <c r="AH84" i="22"/>
  <c r="AG84" i="22"/>
  <c r="AF84" i="22"/>
  <c r="AE84" i="22"/>
  <c r="AD84" i="22"/>
  <c r="Y84" i="22"/>
  <c r="W84" i="22"/>
  <c r="V84" i="22"/>
  <c r="U84" i="22"/>
  <c r="T84" i="22"/>
  <c r="AN83" i="22"/>
  <c r="AM83" i="22"/>
  <c r="AL83" i="22"/>
  <c r="AK83" i="22"/>
  <c r="AJ83" i="22"/>
  <c r="AI83" i="22"/>
  <c r="AH83" i="22"/>
  <c r="AG83" i="22"/>
  <c r="AF83" i="22"/>
  <c r="AE83" i="22"/>
  <c r="AD83" i="22"/>
  <c r="Y83" i="22"/>
  <c r="W83" i="22"/>
  <c r="V83" i="22"/>
  <c r="U83" i="22"/>
  <c r="T83" i="22"/>
  <c r="AN82" i="22"/>
  <c r="AM82" i="22"/>
  <c r="AL82" i="22"/>
  <c r="AK82" i="22"/>
  <c r="AJ82" i="22"/>
  <c r="AI82" i="22"/>
  <c r="AH82" i="22"/>
  <c r="AG82" i="22"/>
  <c r="AF82" i="22"/>
  <c r="AE82" i="22"/>
  <c r="AD82" i="22"/>
  <c r="Y82" i="22"/>
  <c r="W82" i="22"/>
  <c r="V82" i="22"/>
  <c r="U82" i="22"/>
  <c r="T82" i="22"/>
  <c r="AN81" i="22"/>
  <c r="AM81" i="22"/>
  <c r="AL81" i="22"/>
  <c r="AK81" i="22"/>
  <c r="AJ81" i="22"/>
  <c r="AI81" i="22"/>
  <c r="AH81" i="22"/>
  <c r="AG81" i="22"/>
  <c r="AF81" i="22"/>
  <c r="AE81" i="22"/>
  <c r="AD81" i="22"/>
  <c r="Y81" i="22"/>
  <c r="W81" i="22"/>
  <c r="V81" i="22"/>
  <c r="U81" i="22"/>
  <c r="T81" i="22"/>
  <c r="AN80" i="22"/>
  <c r="AM80" i="22"/>
  <c r="AL80" i="22"/>
  <c r="AK80" i="22"/>
  <c r="AJ80" i="22"/>
  <c r="AI80" i="22"/>
  <c r="AH80" i="22"/>
  <c r="AG80" i="22"/>
  <c r="AF80" i="22"/>
  <c r="AE80" i="22"/>
  <c r="AD80" i="22"/>
  <c r="Y80" i="22"/>
  <c r="W80" i="22"/>
  <c r="V80" i="22"/>
  <c r="U80" i="22"/>
  <c r="T80" i="22"/>
  <c r="AN79" i="22"/>
  <c r="AM79" i="22"/>
  <c r="AL79" i="22"/>
  <c r="AK79" i="22"/>
  <c r="AJ79" i="22"/>
  <c r="AI79" i="22"/>
  <c r="AH79" i="22"/>
  <c r="AG79" i="22"/>
  <c r="AF79" i="22"/>
  <c r="AE79" i="22"/>
  <c r="AD79" i="22"/>
  <c r="Y79" i="22"/>
  <c r="W79" i="22"/>
  <c r="V79" i="22"/>
  <c r="U79" i="22"/>
  <c r="T79" i="22"/>
  <c r="AN78" i="22"/>
  <c r="AM78" i="22"/>
  <c r="AL78" i="22"/>
  <c r="AK78" i="22"/>
  <c r="AJ78" i="22"/>
  <c r="AI78" i="22"/>
  <c r="AH78" i="22"/>
  <c r="AG78" i="22"/>
  <c r="AF78" i="22"/>
  <c r="AE78" i="22"/>
  <c r="AD78" i="22"/>
  <c r="Y78" i="22"/>
  <c r="W78" i="22"/>
  <c r="V78" i="22"/>
  <c r="U78" i="22"/>
  <c r="T78" i="22"/>
  <c r="AN77" i="22"/>
  <c r="AM77" i="22"/>
  <c r="AL77" i="22"/>
  <c r="AK77" i="22"/>
  <c r="AJ77" i="22"/>
  <c r="AI77" i="22"/>
  <c r="AH77" i="22"/>
  <c r="AG77" i="22"/>
  <c r="AF77" i="22"/>
  <c r="AE77" i="22"/>
  <c r="AD77" i="22"/>
  <c r="Y77" i="22"/>
  <c r="W77" i="22"/>
  <c r="V77" i="22"/>
  <c r="U77" i="22"/>
  <c r="T77" i="22"/>
  <c r="AN76" i="22"/>
  <c r="AM76" i="22"/>
  <c r="AL76" i="22"/>
  <c r="AK76" i="22"/>
  <c r="AJ76" i="22"/>
  <c r="AI76" i="22"/>
  <c r="AH76" i="22"/>
  <c r="AG76" i="22"/>
  <c r="AF76" i="22"/>
  <c r="AE76" i="22"/>
  <c r="AD76" i="22"/>
  <c r="Y76" i="22"/>
  <c r="W76" i="22"/>
  <c r="V76" i="22"/>
  <c r="U76" i="22"/>
  <c r="T76" i="22"/>
  <c r="AN75" i="22"/>
  <c r="AM75" i="22"/>
  <c r="AL75" i="22"/>
  <c r="AK75" i="22"/>
  <c r="AJ75" i="22"/>
  <c r="AI75" i="22"/>
  <c r="AH75" i="22"/>
  <c r="AG75" i="22"/>
  <c r="AF75" i="22"/>
  <c r="AE75" i="22"/>
  <c r="AD75" i="22"/>
  <c r="Y75" i="22"/>
  <c r="W75" i="22"/>
  <c r="V75" i="22"/>
  <c r="U75" i="22"/>
  <c r="T75" i="22"/>
  <c r="AN74" i="22"/>
  <c r="AM74" i="22"/>
  <c r="AL74" i="22"/>
  <c r="AK74" i="22"/>
  <c r="AJ74" i="22"/>
  <c r="AI74" i="22"/>
  <c r="AH74" i="22"/>
  <c r="AG74" i="22"/>
  <c r="AF74" i="22"/>
  <c r="AE74" i="22"/>
  <c r="AD74" i="22"/>
  <c r="Y74" i="22"/>
  <c r="W74" i="22"/>
  <c r="V74" i="22"/>
  <c r="U74" i="22"/>
  <c r="T74" i="22"/>
  <c r="AN73" i="22"/>
  <c r="AM73" i="22"/>
  <c r="AL73" i="22"/>
  <c r="AK73" i="22"/>
  <c r="AJ73" i="22"/>
  <c r="AI73" i="22"/>
  <c r="AH73" i="22"/>
  <c r="AG73" i="22"/>
  <c r="AF73" i="22"/>
  <c r="AE73" i="22"/>
  <c r="AD73" i="22"/>
  <c r="Y73" i="22"/>
  <c r="W73" i="22"/>
  <c r="V73" i="22"/>
  <c r="U73" i="22"/>
  <c r="T73" i="22"/>
  <c r="AN72" i="22"/>
  <c r="AM72" i="22"/>
  <c r="AL72" i="22"/>
  <c r="AK72" i="22"/>
  <c r="AJ72" i="22"/>
  <c r="AI72" i="22"/>
  <c r="AH72" i="22"/>
  <c r="AG72" i="22"/>
  <c r="AF72" i="22"/>
  <c r="AE72" i="22"/>
  <c r="AD72" i="22"/>
  <c r="Y72" i="22"/>
  <c r="W72" i="22"/>
  <c r="V72" i="22"/>
  <c r="U72" i="22"/>
  <c r="T72" i="22"/>
  <c r="AN71" i="22"/>
  <c r="AM71" i="22"/>
  <c r="AL71" i="22"/>
  <c r="AK71" i="22"/>
  <c r="AJ71" i="22"/>
  <c r="AI71" i="22"/>
  <c r="AH71" i="22"/>
  <c r="AG71" i="22"/>
  <c r="AF71" i="22"/>
  <c r="AE71" i="22"/>
  <c r="AD71" i="22"/>
  <c r="Y71" i="22"/>
  <c r="W71" i="22"/>
  <c r="V71" i="22"/>
  <c r="U71" i="22"/>
  <c r="T71" i="22"/>
  <c r="AN70" i="22"/>
  <c r="AM70" i="22"/>
  <c r="AL70" i="22"/>
  <c r="AK70" i="22"/>
  <c r="AJ70" i="22"/>
  <c r="AI70" i="22"/>
  <c r="AH70" i="22"/>
  <c r="AG70" i="22"/>
  <c r="AF70" i="22"/>
  <c r="AE70" i="22"/>
  <c r="AD70" i="22"/>
  <c r="Y70" i="22"/>
  <c r="W70" i="22"/>
  <c r="V70" i="22"/>
  <c r="U70" i="22"/>
  <c r="T70" i="22"/>
  <c r="AN69" i="22"/>
  <c r="AM69" i="22"/>
  <c r="AL69" i="22"/>
  <c r="AK69" i="22"/>
  <c r="AJ69" i="22"/>
  <c r="AI69" i="22"/>
  <c r="AH69" i="22"/>
  <c r="AG69" i="22"/>
  <c r="AF69" i="22"/>
  <c r="AE69" i="22"/>
  <c r="AD69" i="22"/>
  <c r="Y69" i="22"/>
  <c r="W69" i="22"/>
  <c r="V69" i="22"/>
  <c r="U69" i="22"/>
  <c r="T69" i="22"/>
  <c r="AN68" i="22"/>
  <c r="AM68" i="22"/>
  <c r="AL68" i="22"/>
  <c r="AK68" i="22"/>
  <c r="AJ68" i="22"/>
  <c r="AI68" i="22"/>
  <c r="AH68" i="22"/>
  <c r="AG68" i="22"/>
  <c r="AF68" i="22"/>
  <c r="AE68" i="22"/>
  <c r="AD68" i="22"/>
  <c r="Y68" i="22"/>
  <c r="W68" i="22"/>
  <c r="V68" i="22"/>
  <c r="U68" i="22"/>
  <c r="T68" i="22"/>
  <c r="AN67" i="22"/>
  <c r="AM67" i="22"/>
  <c r="AL67" i="22"/>
  <c r="AK67" i="22"/>
  <c r="AJ67" i="22"/>
  <c r="AI67" i="22"/>
  <c r="AH67" i="22"/>
  <c r="AG67" i="22"/>
  <c r="AF67" i="22"/>
  <c r="AE67" i="22"/>
  <c r="AD67" i="22"/>
  <c r="Y67" i="22"/>
  <c r="W67" i="22"/>
  <c r="V67" i="22"/>
  <c r="U67" i="22"/>
  <c r="T67" i="22"/>
  <c r="AN66" i="22"/>
  <c r="AM66" i="22"/>
  <c r="AL66" i="22"/>
  <c r="AK66" i="22"/>
  <c r="AJ66" i="22"/>
  <c r="AI66" i="22"/>
  <c r="AH66" i="22"/>
  <c r="AG66" i="22"/>
  <c r="AF66" i="22"/>
  <c r="AE66" i="22"/>
  <c r="AD66" i="22"/>
  <c r="Y66" i="22"/>
  <c r="W66" i="22"/>
  <c r="V66" i="22"/>
  <c r="U66" i="22"/>
  <c r="T66" i="22"/>
  <c r="AN65" i="22"/>
  <c r="AM65" i="22"/>
  <c r="AL65" i="22"/>
  <c r="AK65" i="22"/>
  <c r="AJ65" i="22"/>
  <c r="AI65" i="22"/>
  <c r="AH65" i="22"/>
  <c r="AG65" i="22"/>
  <c r="AF65" i="22"/>
  <c r="AE65" i="22"/>
  <c r="AD65" i="22"/>
  <c r="Y65" i="22"/>
  <c r="W65" i="22"/>
  <c r="V65" i="22"/>
  <c r="U65" i="22"/>
  <c r="T65" i="22"/>
  <c r="AN64" i="22"/>
  <c r="AM64" i="22"/>
  <c r="AL64" i="22"/>
  <c r="AK64" i="22"/>
  <c r="AJ64" i="22"/>
  <c r="AI64" i="22"/>
  <c r="AH64" i="22"/>
  <c r="AG64" i="22"/>
  <c r="AF64" i="22"/>
  <c r="AE64" i="22"/>
  <c r="AD64" i="22"/>
  <c r="Y64" i="22"/>
  <c r="W64" i="22"/>
  <c r="V64" i="22"/>
  <c r="U64" i="22"/>
  <c r="T64" i="22"/>
  <c r="AN63" i="22"/>
  <c r="AM63" i="22"/>
  <c r="AL63" i="22"/>
  <c r="AK63" i="22"/>
  <c r="AJ63" i="22"/>
  <c r="AI63" i="22"/>
  <c r="AH63" i="22"/>
  <c r="AG63" i="22"/>
  <c r="AF63" i="22"/>
  <c r="AE63" i="22"/>
  <c r="AD63" i="22"/>
  <c r="Y63" i="22"/>
  <c r="W63" i="22"/>
  <c r="V63" i="22"/>
  <c r="U63" i="22"/>
  <c r="T63" i="22"/>
  <c r="AN62" i="22"/>
  <c r="AM62" i="22"/>
  <c r="AL62" i="22"/>
  <c r="AK62" i="22"/>
  <c r="AJ62" i="22"/>
  <c r="AI62" i="22"/>
  <c r="AH62" i="22"/>
  <c r="AG62" i="22"/>
  <c r="AF62" i="22"/>
  <c r="AE62" i="22"/>
  <c r="AD62" i="22"/>
  <c r="Y62" i="22"/>
  <c r="W62" i="22"/>
  <c r="V62" i="22"/>
  <c r="U62" i="22"/>
  <c r="T62" i="22"/>
  <c r="AN61" i="22"/>
  <c r="AM61" i="22"/>
  <c r="AL61" i="22"/>
  <c r="AK61" i="22"/>
  <c r="AJ61" i="22"/>
  <c r="AI61" i="22"/>
  <c r="AH61" i="22"/>
  <c r="AG61" i="22"/>
  <c r="AF61" i="22"/>
  <c r="AE61" i="22"/>
  <c r="AD61" i="22"/>
  <c r="Y61" i="22"/>
  <c r="W61" i="22"/>
  <c r="V61" i="22"/>
  <c r="U61" i="22"/>
  <c r="T61" i="22"/>
  <c r="AN60" i="22"/>
  <c r="AM60" i="22"/>
  <c r="AL60" i="22"/>
  <c r="AK60" i="22"/>
  <c r="AJ60" i="22"/>
  <c r="AI60" i="22"/>
  <c r="AH60" i="22"/>
  <c r="AG60" i="22"/>
  <c r="AF60" i="22"/>
  <c r="AE60" i="22"/>
  <c r="AD60" i="22"/>
  <c r="Y60" i="22"/>
  <c r="W60" i="22"/>
  <c r="V60" i="22"/>
  <c r="U60" i="22"/>
  <c r="T60" i="22"/>
  <c r="AN59" i="22"/>
  <c r="AM59" i="22"/>
  <c r="AL59" i="22"/>
  <c r="AK59" i="22"/>
  <c r="AJ59" i="22"/>
  <c r="AI59" i="22"/>
  <c r="AH59" i="22"/>
  <c r="AG59" i="22"/>
  <c r="AF59" i="22"/>
  <c r="AE59" i="22"/>
  <c r="AD59" i="22"/>
  <c r="Y59" i="22"/>
  <c r="W59" i="22"/>
  <c r="V59" i="22"/>
  <c r="U59" i="22"/>
  <c r="T59" i="22"/>
  <c r="AN58" i="22"/>
  <c r="AM58" i="22"/>
  <c r="AL58" i="22"/>
  <c r="AK58" i="22"/>
  <c r="AJ58" i="22"/>
  <c r="AI58" i="22"/>
  <c r="AH58" i="22"/>
  <c r="AG58" i="22"/>
  <c r="AF58" i="22"/>
  <c r="AE58" i="22"/>
  <c r="AD58" i="22"/>
  <c r="Y58" i="22"/>
  <c r="W58" i="22"/>
  <c r="V58" i="22"/>
  <c r="U58" i="22"/>
  <c r="T58" i="22"/>
  <c r="AN57" i="22"/>
  <c r="AM57" i="22"/>
  <c r="AL57" i="22"/>
  <c r="AK57" i="22"/>
  <c r="AJ57" i="22"/>
  <c r="AI57" i="22"/>
  <c r="AH57" i="22"/>
  <c r="AG57" i="22"/>
  <c r="AF57" i="22"/>
  <c r="AE57" i="22"/>
  <c r="AD57" i="22"/>
  <c r="Y57" i="22"/>
  <c r="W57" i="22"/>
  <c r="V57" i="22"/>
  <c r="U57" i="22"/>
  <c r="T57" i="22"/>
  <c r="AN56" i="22"/>
  <c r="AM56" i="22"/>
  <c r="AL56" i="22"/>
  <c r="AK56" i="22"/>
  <c r="AJ56" i="22"/>
  <c r="AI56" i="22"/>
  <c r="AH56" i="22"/>
  <c r="AG56" i="22"/>
  <c r="AF56" i="22"/>
  <c r="AE56" i="22"/>
  <c r="AD56" i="22"/>
  <c r="Y56" i="22"/>
  <c r="W56" i="22"/>
  <c r="V56" i="22"/>
  <c r="U56" i="22"/>
  <c r="T56" i="22"/>
  <c r="AN55" i="22"/>
  <c r="AM55" i="22"/>
  <c r="AL55" i="22"/>
  <c r="AK55" i="22"/>
  <c r="AJ55" i="22"/>
  <c r="AI55" i="22"/>
  <c r="AH55" i="22"/>
  <c r="AG55" i="22"/>
  <c r="AF55" i="22"/>
  <c r="AE55" i="22"/>
  <c r="AD55" i="22"/>
  <c r="Y55" i="22"/>
  <c r="W55" i="22"/>
  <c r="V55" i="22"/>
  <c r="U55" i="22"/>
  <c r="T55" i="22"/>
  <c r="AN54" i="22"/>
  <c r="AM54" i="22"/>
  <c r="AL54" i="22"/>
  <c r="AK54" i="22"/>
  <c r="AJ54" i="22"/>
  <c r="AI54" i="22"/>
  <c r="AH54" i="22"/>
  <c r="AG54" i="22"/>
  <c r="AF54" i="22"/>
  <c r="AE54" i="22"/>
  <c r="AD54" i="22"/>
  <c r="Y54" i="22"/>
  <c r="W54" i="22"/>
  <c r="V54" i="22"/>
  <c r="U54" i="22"/>
  <c r="T54" i="22"/>
  <c r="AN53" i="22"/>
  <c r="AM53" i="22"/>
  <c r="AL53" i="22"/>
  <c r="AK53" i="22"/>
  <c r="AJ53" i="22"/>
  <c r="AI53" i="22"/>
  <c r="AH53" i="22"/>
  <c r="AG53" i="22"/>
  <c r="AF53" i="22"/>
  <c r="AE53" i="22"/>
  <c r="AD53" i="22"/>
  <c r="Y53" i="22"/>
  <c r="W53" i="22"/>
  <c r="V53" i="22"/>
  <c r="U53" i="22"/>
  <c r="T53" i="22"/>
  <c r="AN52" i="22"/>
  <c r="AM52" i="22"/>
  <c r="AL52" i="22"/>
  <c r="AK52" i="22"/>
  <c r="AJ52" i="22"/>
  <c r="AI52" i="22"/>
  <c r="AH52" i="22"/>
  <c r="AG52" i="22"/>
  <c r="AF52" i="22"/>
  <c r="AE52" i="22"/>
  <c r="AD52" i="22"/>
  <c r="Y52" i="22"/>
  <c r="W52" i="22"/>
  <c r="V52" i="22"/>
  <c r="U52" i="22"/>
  <c r="T52" i="22"/>
  <c r="AN51" i="22"/>
  <c r="AM51" i="22"/>
  <c r="AL51" i="22"/>
  <c r="AK51" i="22"/>
  <c r="AJ51" i="22"/>
  <c r="AI51" i="22"/>
  <c r="AH51" i="22"/>
  <c r="AG51" i="22"/>
  <c r="AF51" i="22"/>
  <c r="AE51" i="22"/>
  <c r="AD51" i="22"/>
  <c r="Y51" i="22"/>
  <c r="W51" i="22"/>
  <c r="V51" i="22"/>
  <c r="U51" i="22"/>
  <c r="T51" i="22"/>
  <c r="AN50" i="22"/>
  <c r="AM50" i="22"/>
  <c r="AL50" i="22"/>
  <c r="AK50" i="22"/>
  <c r="AJ50" i="22"/>
  <c r="AI50" i="22"/>
  <c r="AH50" i="22"/>
  <c r="AG50" i="22"/>
  <c r="AF50" i="22"/>
  <c r="AE50" i="22"/>
  <c r="AD50" i="22"/>
  <c r="Y50" i="22"/>
  <c r="W50" i="22"/>
  <c r="V50" i="22"/>
  <c r="U50" i="22"/>
  <c r="T50" i="22"/>
  <c r="AN49" i="22"/>
  <c r="AM49" i="22"/>
  <c r="AL49" i="22"/>
  <c r="AK49" i="22"/>
  <c r="AJ49" i="22"/>
  <c r="AI49" i="22"/>
  <c r="AH49" i="22"/>
  <c r="AG49" i="22"/>
  <c r="AF49" i="22"/>
  <c r="AE49" i="22"/>
  <c r="AD49" i="22"/>
  <c r="Y49" i="22"/>
  <c r="W49" i="22"/>
  <c r="V49" i="22"/>
  <c r="U49" i="22"/>
  <c r="T49" i="22"/>
  <c r="AN48" i="22"/>
  <c r="AM48" i="22"/>
  <c r="AL48" i="22"/>
  <c r="AK48" i="22"/>
  <c r="AJ48" i="22"/>
  <c r="AI48" i="22"/>
  <c r="AH48" i="22"/>
  <c r="AG48" i="22"/>
  <c r="AF48" i="22"/>
  <c r="AE48" i="22"/>
  <c r="AD48" i="22"/>
  <c r="Y48" i="22"/>
  <c r="W48" i="22"/>
  <c r="V48" i="22"/>
  <c r="U48" i="22"/>
  <c r="T48" i="22"/>
  <c r="AN47" i="22"/>
  <c r="AM47" i="22"/>
  <c r="AL47" i="22"/>
  <c r="AK47" i="22"/>
  <c r="AJ47" i="22"/>
  <c r="AI47" i="22"/>
  <c r="AH47" i="22"/>
  <c r="AG47" i="22"/>
  <c r="AF47" i="22"/>
  <c r="AE47" i="22"/>
  <c r="AD47" i="22"/>
  <c r="Y47" i="22"/>
  <c r="W47" i="22"/>
  <c r="V47" i="22"/>
  <c r="U47" i="22"/>
  <c r="T47" i="22"/>
  <c r="AN46" i="22"/>
  <c r="AM46" i="22"/>
  <c r="AL46" i="22"/>
  <c r="AK46" i="22"/>
  <c r="AJ46" i="22"/>
  <c r="AI46" i="22"/>
  <c r="AH46" i="22"/>
  <c r="AG46" i="22"/>
  <c r="AF46" i="22"/>
  <c r="AE46" i="22"/>
  <c r="AD46" i="22"/>
  <c r="Y46" i="22"/>
  <c r="W46" i="22"/>
  <c r="V46" i="22"/>
  <c r="U46" i="22"/>
  <c r="T46" i="22"/>
  <c r="AN45" i="22"/>
  <c r="AM45" i="22"/>
  <c r="AL45" i="22"/>
  <c r="AK45" i="22"/>
  <c r="AJ45" i="22"/>
  <c r="AI45" i="22"/>
  <c r="AH45" i="22"/>
  <c r="AG45" i="22"/>
  <c r="AF45" i="22"/>
  <c r="AE45" i="22"/>
  <c r="AD45" i="22"/>
  <c r="Y45" i="22"/>
  <c r="W45" i="22"/>
  <c r="V45" i="22"/>
  <c r="U45" i="22"/>
  <c r="T45" i="22"/>
  <c r="AN44" i="22"/>
  <c r="AM44" i="22"/>
  <c r="AL44" i="22"/>
  <c r="AK44" i="22"/>
  <c r="AJ44" i="22"/>
  <c r="AI44" i="22"/>
  <c r="AH44" i="22"/>
  <c r="AG44" i="22"/>
  <c r="AF44" i="22"/>
  <c r="AE44" i="22"/>
  <c r="AD44" i="22"/>
  <c r="Y44" i="22"/>
  <c r="W44" i="22"/>
  <c r="V44" i="22"/>
  <c r="U44" i="22"/>
  <c r="T44" i="22"/>
  <c r="AN43" i="22"/>
  <c r="AM43" i="22"/>
  <c r="AL43" i="22"/>
  <c r="AK43" i="22"/>
  <c r="AJ43" i="22"/>
  <c r="AI43" i="22"/>
  <c r="AH43" i="22"/>
  <c r="AG43" i="22"/>
  <c r="AF43" i="22"/>
  <c r="AE43" i="22"/>
  <c r="AD43" i="22"/>
  <c r="Y43" i="22"/>
  <c r="W43" i="22"/>
  <c r="V43" i="22"/>
  <c r="U43" i="22"/>
  <c r="T43" i="22"/>
  <c r="AN42" i="22"/>
  <c r="AM42" i="22"/>
  <c r="AL42" i="22"/>
  <c r="AK42" i="22"/>
  <c r="AJ42" i="22"/>
  <c r="AI42" i="22"/>
  <c r="AH42" i="22"/>
  <c r="AG42" i="22"/>
  <c r="AF42" i="22"/>
  <c r="AE42" i="22"/>
  <c r="AD42" i="22"/>
  <c r="Y42" i="22"/>
  <c r="W42" i="22"/>
  <c r="V42" i="22"/>
  <c r="U42" i="22"/>
  <c r="T42" i="22"/>
  <c r="AN41" i="22"/>
  <c r="AM41" i="22"/>
  <c r="AL41" i="22"/>
  <c r="AK41" i="22"/>
  <c r="AJ41" i="22"/>
  <c r="AI41" i="22"/>
  <c r="AH41" i="22"/>
  <c r="AG41" i="22"/>
  <c r="AF41" i="22"/>
  <c r="AE41" i="22"/>
  <c r="AD41" i="22"/>
  <c r="Y41" i="22"/>
  <c r="W41" i="22"/>
  <c r="V41" i="22"/>
  <c r="U41" i="22"/>
  <c r="T41" i="22"/>
  <c r="AN40" i="22"/>
  <c r="AM40" i="22"/>
  <c r="AL40" i="22"/>
  <c r="AK40" i="22"/>
  <c r="AJ40" i="22"/>
  <c r="AI40" i="22"/>
  <c r="AH40" i="22"/>
  <c r="AG40" i="22"/>
  <c r="AF40" i="22"/>
  <c r="AE40" i="22"/>
  <c r="AD40" i="22"/>
  <c r="Y40" i="22"/>
  <c r="W40" i="22"/>
  <c r="V40" i="22"/>
  <c r="U40" i="22"/>
  <c r="T40" i="22"/>
  <c r="AN39" i="22"/>
  <c r="AM39" i="22"/>
  <c r="AL39" i="22"/>
  <c r="AK39" i="22"/>
  <c r="AJ39" i="22"/>
  <c r="AI39" i="22"/>
  <c r="AH39" i="22"/>
  <c r="AG39" i="22"/>
  <c r="AF39" i="22"/>
  <c r="AE39" i="22"/>
  <c r="AD39" i="22"/>
  <c r="Y39" i="22"/>
  <c r="W39" i="22"/>
  <c r="V39" i="22"/>
  <c r="U39" i="22"/>
  <c r="T39" i="22"/>
  <c r="AN38" i="22"/>
  <c r="AM38" i="22"/>
  <c r="AL38" i="22"/>
  <c r="AK38" i="22"/>
  <c r="AJ38" i="22"/>
  <c r="AI38" i="22"/>
  <c r="AH38" i="22"/>
  <c r="AG38" i="22"/>
  <c r="AF38" i="22"/>
  <c r="AE38" i="22"/>
  <c r="AD38" i="22"/>
  <c r="Y38" i="22"/>
  <c r="W38" i="22"/>
  <c r="V38" i="22"/>
  <c r="U38" i="22"/>
  <c r="T38" i="22"/>
  <c r="AN37" i="22"/>
  <c r="AM37" i="22"/>
  <c r="AL37" i="22"/>
  <c r="AK37" i="22"/>
  <c r="AJ37" i="22"/>
  <c r="AI37" i="22"/>
  <c r="AH37" i="22"/>
  <c r="AG37" i="22"/>
  <c r="AF37" i="22"/>
  <c r="AE37" i="22"/>
  <c r="AD37" i="22"/>
  <c r="Y37" i="22"/>
  <c r="W37" i="22"/>
  <c r="V37" i="22"/>
  <c r="U37" i="22"/>
  <c r="T37" i="22"/>
  <c r="AN36" i="22"/>
  <c r="AM36" i="22"/>
  <c r="AL36" i="22"/>
  <c r="AK36" i="22"/>
  <c r="AJ36" i="22"/>
  <c r="AI36" i="22"/>
  <c r="AH36" i="22"/>
  <c r="AG36" i="22"/>
  <c r="AF36" i="22"/>
  <c r="AE36" i="22"/>
  <c r="AD36" i="22"/>
  <c r="Y36" i="22"/>
  <c r="W36" i="22"/>
  <c r="V36" i="22"/>
  <c r="U36" i="22"/>
  <c r="T36" i="22"/>
  <c r="AN35" i="22"/>
  <c r="AM35" i="22"/>
  <c r="AL35" i="22"/>
  <c r="AK35" i="22"/>
  <c r="AJ35" i="22"/>
  <c r="AI35" i="22"/>
  <c r="AH35" i="22"/>
  <c r="AG35" i="22"/>
  <c r="AF35" i="22"/>
  <c r="AE35" i="22"/>
  <c r="AD35" i="22"/>
  <c r="Y35" i="22"/>
  <c r="W35" i="22"/>
  <c r="V35" i="22"/>
  <c r="U35" i="22"/>
  <c r="T35" i="22"/>
  <c r="AN34" i="22"/>
  <c r="AM34" i="22"/>
  <c r="AL34" i="22"/>
  <c r="AK34" i="22"/>
  <c r="AJ34" i="22"/>
  <c r="AI34" i="22"/>
  <c r="AH34" i="22"/>
  <c r="AG34" i="22"/>
  <c r="AF34" i="22"/>
  <c r="AE34" i="22"/>
  <c r="AD34" i="22"/>
  <c r="Y34" i="22"/>
  <c r="W34" i="22"/>
  <c r="V34" i="22"/>
  <c r="U34" i="22"/>
  <c r="T34" i="22"/>
  <c r="AN33" i="22"/>
  <c r="AM33" i="22"/>
  <c r="AL33" i="22"/>
  <c r="AK33" i="22"/>
  <c r="AJ33" i="22"/>
  <c r="AI33" i="22"/>
  <c r="AH33" i="22"/>
  <c r="AG33" i="22"/>
  <c r="AF33" i="22"/>
  <c r="AE33" i="22"/>
  <c r="AD33" i="22"/>
  <c r="Y33" i="22"/>
  <c r="W33" i="22"/>
  <c r="V33" i="22"/>
  <c r="U33" i="22"/>
  <c r="T33" i="22"/>
  <c r="AN32" i="22"/>
  <c r="AM32" i="22"/>
  <c r="AL32" i="22"/>
  <c r="AK32" i="22"/>
  <c r="AJ32" i="22"/>
  <c r="AI32" i="22"/>
  <c r="AH32" i="22"/>
  <c r="AG32" i="22"/>
  <c r="AF32" i="22"/>
  <c r="AE32" i="22"/>
  <c r="AD32" i="22"/>
  <c r="Y32" i="22"/>
  <c r="W32" i="22"/>
  <c r="V32" i="22"/>
  <c r="U32" i="22"/>
  <c r="T32" i="22"/>
  <c r="AN31" i="22"/>
  <c r="AM31" i="22"/>
  <c r="AL31" i="22"/>
  <c r="AK31" i="22"/>
  <c r="AJ31" i="22"/>
  <c r="AI31" i="22"/>
  <c r="AH31" i="22"/>
  <c r="AG31" i="22"/>
  <c r="AF31" i="22"/>
  <c r="AE31" i="22"/>
  <c r="AD31" i="22"/>
  <c r="Y31" i="22"/>
  <c r="W31" i="22"/>
  <c r="V31" i="22"/>
  <c r="U31" i="22"/>
  <c r="T31" i="22"/>
  <c r="AN30" i="22"/>
  <c r="AM30" i="22"/>
  <c r="AL30" i="22"/>
  <c r="AK30" i="22"/>
  <c r="AJ30" i="22"/>
  <c r="AI30" i="22"/>
  <c r="AH30" i="22"/>
  <c r="AG30" i="22"/>
  <c r="AF30" i="22"/>
  <c r="AE30" i="22"/>
  <c r="AD30" i="22"/>
  <c r="Y30" i="22"/>
  <c r="W30" i="22"/>
  <c r="V30" i="22"/>
  <c r="U30" i="22"/>
  <c r="T30" i="22"/>
  <c r="AN29" i="22"/>
  <c r="AM29" i="22"/>
  <c r="AL29" i="22"/>
  <c r="AK29" i="22"/>
  <c r="AJ29" i="22"/>
  <c r="AI29" i="22"/>
  <c r="AH29" i="22"/>
  <c r="AG29" i="22"/>
  <c r="AF29" i="22"/>
  <c r="AE29" i="22"/>
  <c r="AD29" i="22"/>
  <c r="Y29" i="22"/>
  <c r="W29" i="22"/>
  <c r="V29" i="22"/>
  <c r="U29" i="22"/>
  <c r="T29" i="22"/>
  <c r="AN28" i="22"/>
  <c r="AM28" i="22"/>
  <c r="AL28" i="22"/>
  <c r="AK28" i="22"/>
  <c r="AJ28" i="22"/>
  <c r="AI28" i="22"/>
  <c r="AH28" i="22"/>
  <c r="AG28" i="22"/>
  <c r="AF28" i="22"/>
  <c r="AE28" i="22"/>
  <c r="AD28" i="22"/>
  <c r="Y28" i="22"/>
  <c r="W28" i="22"/>
  <c r="V28" i="22"/>
  <c r="U28" i="22"/>
  <c r="T28" i="22"/>
  <c r="AN27" i="22"/>
  <c r="AM27" i="22"/>
  <c r="AL27" i="22"/>
  <c r="AK27" i="22"/>
  <c r="AJ27" i="22"/>
  <c r="AI27" i="22"/>
  <c r="AH27" i="22"/>
  <c r="AG27" i="22"/>
  <c r="AF27" i="22"/>
  <c r="AE27" i="22"/>
  <c r="AD27" i="22"/>
  <c r="Y27" i="22"/>
  <c r="W27" i="22"/>
  <c r="V27" i="22"/>
  <c r="U27" i="22"/>
  <c r="T27" i="22"/>
  <c r="AN26" i="22"/>
  <c r="AM26" i="22"/>
  <c r="AL26" i="22"/>
  <c r="AK26" i="22"/>
  <c r="AJ26" i="22"/>
  <c r="AI26" i="22"/>
  <c r="AH26" i="22"/>
  <c r="AG26" i="22"/>
  <c r="AF26" i="22"/>
  <c r="AE26" i="22"/>
  <c r="AD26" i="22"/>
  <c r="Y26" i="22"/>
  <c r="W26" i="22"/>
  <c r="V26" i="22"/>
  <c r="U26" i="22"/>
  <c r="T26" i="22"/>
  <c r="AN25" i="22"/>
  <c r="AM25" i="22"/>
  <c r="AL25" i="22"/>
  <c r="AK25" i="22"/>
  <c r="AJ25" i="22"/>
  <c r="AI25" i="22"/>
  <c r="AH25" i="22"/>
  <c r="AG25" i="22"/>
  <c r="AF25" i="22"/>
  <c r="AE25" i="22"/>
  <c r="AD25" i="22"/>
  <c r="Y25" i="22"/>
  <c r="W25" i="22"/>
  <c r="V25" i="22"/>
  <c r="U25" i="22"/>
  <c r="T25" i="22"/>
  <c r="AN24" i="22"/>
  <c r="AM24" i="22"/>
  <c r="AL24" i="22"/>
  <c r="AK24" i="22"/>
  <c r="AJ24" i="22"/>
  <c r="AI24" i="22"/>
  <c r="AH24" i="22"/>
  <c r="AG24" i="22"/>
  <c r="AF24" i="22"/>
  <c r="AE24" i="22"/>
  <c r="AD24" i="22"/>
  <c r="Y24" i="22"/>
  <c r="W24" i="22"/>
  <c r="V24" i="22"/>
  <c r="U24" i="22"/>
  <c r="T24" i="22"/>
  <c r="AN23" i="22"/>
  <c r="AM23" i="22"/>
  <c r="AL23" i="22"/>
  <c r="AK23" i="22"/>
  <c r="AJ23" i="22"/>
  <c r="AI23" i="22"/>
  <c r="AH23" i="22"/>
  <c r="AG23" i="22"/>
  <c r="AF23" i="22"/>
  <c r="AE23" i="22"/>
  <c r="AD23" i="22"/>
  <c r="Y23" i="22"/>
  <c r="W23" i="22"/>
  <c r="V23" i="22"/>
  <c r="U23" i="22"/>
  <c r="T23" i="22"/>
  <c r="AN22" i="22"/>
  <c r="AM22" i="22"/>
  <c r="AL22" i="22"/>
  <c r="AK22" i="22"/>
  <c r="AJ22" i="22"/>
  <c r="AI22" i="22"/>
  <c r="AH22" i="22"/>
  <c r="AG22" i="22"/>
  <c r="AF22" i="22"/>
  <c r="AE22" i="22"/>
  <c r="AD22" i="22"/>
  <c r="Y22" i="22"/>
  <c r="W22" i="22"/>
  <c r="V22" i="22"/>
  <c r="U22" i="22"/>
  <c r="T22" i="22"/>
  <c r="AN21" i="22"/>
  <c r="AM21" i="22"/>
  <c r="AL21" i="22"/>
  <c r="AK21" i="22"/>
  <c r="AJ21" i="22"/>
  <c r="AI21" i="22"/>
  <c r="AH21" i="22"/>
  <c r="AG21" i="22"/>
  <c r="AF21" i="22"/>
  <c r="AE21" i="22"/>
  <c r="AD21" i="22"/>
  <c r="Y21" i="22"/>
  <c r="W21" i="22"/>
  <c r="V21" i="22"/>
  <c r="U21" i="22"/>
  <c r="T21" i="22"/>
  <c r="AN20" i="22"/>
  <c r="AM20" i="22"/>
  <c r="AL20" i="22"/>
  <c r="AK20" i="22"/>
  <c r="AJ20" i="22"/>
  <c r="AI20" i="22"/>
  <c r="AH20" i="22"/>
  <c r="AG20" i="22"/>
  <c r="AF20" i="22"/>
  <c r="AE20" i="22"/>
  <c r="AD20" i="22"/>
  <c r="Y20" i="22"/>
  <c r="W20" i="22"/>
  <c r="V20" i="22"/>
  <c r="U20" i="22"/>
  <c r="T20" i="22"/>
  <c r="AN19" i="22"/>
  <c r="AM19" i="22"/>
  <c r="AL19" i="22"/>
  <c r="AK19" i="22"/>
  <c r="AJ19" i="22"/>
  <c r="AI19" i="22"/>
  <c r="AH19" i="22"/>
  <c r="AG19" i="22"/>
  <c r="AF19" i="22"/>
  <c r="AE19" i="22"/>
  <c r="AD19" i="22"/>
  <c r="Y19" i="22"/>
  <c r="W19" i="22"/>
  <c r="V19" i="22"/>
  <c r="U19" i="22"/>
  <c r="T19" i="22"/>
  <c r="AN18" i="22"/>
  <c r="AM18" i="22"/>
  <c r="AL18" i="22"/>
  <c r="AK18" i="22"/>
  <c r="AJ18" i="22"/>
  <c r="AI18" i="22"/>
  <c r="AH18" i="22"/>
  <c r="AG18" i="22"/>
  <c r="AF18" i="22"/>
  <c r="AE18" i="22"/>
  <c r="AD18" i="22"/>
  <c r="Y18" i="22"/>
  <c r="W18" i="22"/>
  <c r="V18" i="22"/>
  <c r="U18" i="22"/>
  <c r="T18" i="22"/>
  <c r="AN17" i="22"/>
  <c r="AM17" i="22"/>
  <c r="AL17" i="22"/>
  <c r="AK17" i="22"/>
  <c r="AJ17" i="22"/>
  <c r="AI17" i="22"/>
  <c r="AH17" i="22"/>
  <c r="AG17" i="22"/>
  <c r="AF17" i="22"/>
  <c r="AE17" i="22"/>
  <c r="AD17" i="22"/>
  <c r="Y17" i="22"/>
  <c r="W17" i="22"/>
  <c r="V17" i="22"/>
  <c r="U17" i="22"/>
  <c r="T17" i="22"/>
  <c r="AN16" i="22"/>
  <c r="AM16" i="22"/>
  <c r="AL16" i="22"/>
  <c r="AK16" i="22"/>
  <c r="AJ16" i="22"/>
  <c r="AI16" i="22"/>
  <c r="AH16" i="22"/>
  <c r="AG16" i="22"/>
  <c r="AF16" i="22"/>
  <c r="AE16" i="22"/>
  <c r="AD16" i="22"/>
  <c r="Y16" i="22"/>
  <c r="W16" i="22"/>
  <c r="V16" i="22"/>
  <c r="U16" i="22"/>
  <c r="T16" i="22"/>
  <c r="A16" i="22"/>
  <c r="AN15" i="22"/>
  <c r="AM15" i="22"/>
  <c r="AL15" i="22"/>
  <c r="AK15" i="22"/>
  <c r="AJ15" i="22"/>
  <c r="AI15" i="22"/>
  <c r="AH15" i="22"/>
  <c r="AG15" i="22"/>
  <c r="AF15" i="22"/>
  <c r="AE15" i="22"/>
  <c r="AD15" i="22"/>
  <c r="Y15" i="22"/>
  <c r="W15" i="22"/>
  <c r="V15" i="22"/>
  <c r="U15" i="22"/>
  <c r="T15" i="22"/>
  <c r="AN14" i="22"/>
  <c r="AM14" i="22"/>
  <c r="AL14" i="22"/>
  <c r="AK14" i="22"/>
  <c r="AJ14" i="22"/>
  <c r="AI14" i="22"/>
  <c r="AH14" i="22"/>
  <c r="AG14" i="22"/>
  <c r="AF14" i="22"/>
  <c r="AE14" i="22"/>
  <c r="AD14" i="22"/>
  <c r="Y14" i="22"/>
  <c r="W14" i="22"/>
  <c r="V14" i="22"/>
  <c r="U14" i="22"/>
  <c r="T14" i="22"/>
  <c r="A14" i="22"/>
  <c r="AN13" i="22"/>
  <c r="AM13" i="22"/>
  <c r="AL13" i="22"/>
  <c r="AK13" i="22"/>
  <c r="AJ13" i="22"/>
  <c r="AI13" i="22"/>
  <c r="AH13" i="22"/>
  <c r="AG13" i="22"/>
  <c r="AF13" i="22"/>
  <c r="AE13" i="22"/>
  <c r="AD13" i="22"/>
  <c r="Y13" i="22"/>
  <c r="W13" i="22"/>
  <c r="V13" i="22"/>
  <c r="U13" i="22"/>
  <c r="T13" i="22"/>
  <c r="AN12" i="22"/>
  <c r="AM12" i="22"/>
  <c r="AL12" i="22"/>
  <c r="AK12" i="22"/>
  <c r="AJ12" i="22"/>
  <c r="AI12" i="22"/>
  <c r="AH12" i="22"/>
  <c r="AG12" i="22"/>
  <c r="AF12" i="22"/>
  <c r="AE12" i="22"/>
  <c r="AD12" i="22"/>
  <c r="Y12" i="22"/>
  <c r="W12" i="22"/>
  <c r="V12" i="22"/>
  <c r="U12" i="22"/>
  <c r="T12" i="22"/>
  <c r="A12" i="22"/>
  <c r="AN11" i="22"/>
  <c r="AM11" i="22"/>
  <c r="AL11" i="22"/>
  <c r="AK11" i="22"/>
  <c r="AJ11" i="22"/>
  <c r="AI11" i="22"/>
  <c r="AH11" i="22"/>
  <c r="AG11" i="22"/>
  <c r="AF11" i="22"/>
  <c r="AE11" i="22"/>
  <c r="AD11" i="22"/>
  <c r="Y11" i="22"/>
  <c r="W11" i="22"/>
  <c r="V11" i="22"/>
  <c r="U11" i="22"/>
  <c r="T11" i="22"/>
  <c r="AN10" i="22"/>
  <c r="AM10" i="22"/>
  <c r="AL10" i="22"/>
  <c r="AK10" i="22"/>
  <c r="AJ10" i="22"/>
  <c r="AI10" i="22"/>
  <c r="AH10" i="22"/>
  <c r="AG10" i="22"/>
  <c r="AF10" i="22"/>
  <c r="AE10" i="22"/>
  <c r="AD10" i="22"/>
  <c r="Y10" i="22"/>
  <c r="W10" i="22"/>
  <c r="V10" i="22"/>
  <c r="U10" i="22"/>
  <c r="T10" i="22"/>
  <c r="A10" i="22"/>
  <c r="AN9" i="22"/>
  <c r="AM9" i="22"/>
  <c r="AL9" i="22"/>
  <c r="AK9" i="22"/>
  <c r="AJ9" i="22"/>
  <c r="AI9" i="22"/>
  <c r="AH9" i="22"/>
  <c r="AG9" i="22"/>
  <c r="AF9" i="22"/>
  <c r="AE9" i="22"/>
  <c r="AD9" i="22"/>
  <c r="Y9" i="22"/>
  <c r="W9" i="22"/>
  <c r="V9" i="22"/>
  <c r="U9" i="22"/>
  <c r="T9" i="22"/>
  <c r="AN8" i="22"/>
  <c r="AM8" i="22"/>
  <c r="AL8" i="22"/>
  <c r="AK8" i="22"/>
  <c r="AJ8" i="22"/>
  <c r="AI8" i="22"/>
  <c r="AH8" i="22"/>
  <c r="AG8" i="22"/>
  <c r="AF8" i="22"/>
  <c r="AD8" i="22"/>
  <c r="Y8" i="22"/>
  <c r="W8" i="22"/>
  <c r="V8" i="22"/>
  <c r="U8" i="22"/>
  <c r="T8" i="22"/>
  <c r="AN7" i="22"/>
  <c r="AM7" i="22"/>
  <c r="AL7" i="22"/>
  <c r="AK7" i="22"/>
  <c r="AJ7" i="22"/>
  <c r="AI7" i="22"/>
  <c r="AH7" i="22"/>
  <c r="AG7" i="22"/>
  <c r="AF7" i="22"/>
  <c r="AD7" i="22"/>
  <c r="Y7" i="22"/>
  <c r="W7" i="22"/>
  <c r="V7" i="22"/>
  <c r="U7" i="22"/>
  <c r="T7" i="22"/>
  <c r="AN6" i="22"/>
  <c r="AM6" i="22"/>
  <c r="AL6" i="22"/>
  <c r="AK6" i="22"/>
  <c r="AJ6" i="22"/>
  <c r="AI6" i="22"/>
  <c r="AH6" i="22"/>
  <c r="AG6" i="22"/>
  <c r="AF6" i="22"/>
  <c r="AD6" i="22"/>
  <c r="Y6" i="22"/>
  <c r="W6" i="22"/>
  <c r="V6" i="22"/>
  <c r="U6" i="22"/>
  <c r="T6" i="22"/>
  <c r="A6" i="22"/>
  <c r="AN5" i="22"/>
  <c r="AM5" i="22"/>
  <c r="AL5" i="22"/>
  <c r="AK5" i="22"/>
  <c r="AJ5" i="22"/>
  <c r="AI5" i="22"/>
  <c r="AH5" i="22"/>
  <c r="AG5" i="22"/>
  <c r="AF5" i="22"/>
  <c r="AD5" i="22"/>
  <c r="Y5" i="22"/>
  <c r="W5" i="22"/>
  <c r="V5" i="22"/>
  <c r="U5" i="22"/>
  <c r="T5" i="22"/>
  <c r="F1" i="22"/>
  <c r="AN24" i="21"/>
  <c r="AM24" i="21"/>
  <c r="AL24" i="21"/>
  <c r="AK24" i="21"/>
  <c r="AJ24" i="21"/>
  <c r="AI24" i="21"/>
  <c r="AH24" i="21"/>
  <c r="AG24" i="21"/>
  <c r="AF24" i="21"/>
  <c r="AE24" i="21"/>
  <c r="AD24" i="21"/>
  <c r="Y24" i="21"/>
  <c r="W24" i="21"/>
  <c r="V24" i="21"/>
  <c r="U24" i="21"/>
  <c r="T24" i="21"/>
  <c r="AN23" i="21"/>
  <c r="AM23" i="21"/>
  <c r="AL23" i="21"/>
  <c r="AK23" i="21"/>
  <c r="AJ23" i="21"/>
  <c r="AI23" i="21"/>
  <c r="AH23" i="21"/>
  <c r="AG23" i="21"/>
  <c r="AF23" i="21"/>
  <c r="AE23" i="21"/>
  <c r="AD23" i="21"/>
  <c r="Y23" i="21"/>
  <c r="W23" i="21"/>
  <c r="V23" i="21"/>
  <c r="U23" i="21"/>
  <c r="T23" i="21"/>
  <c r="AN22" i="21"/>
  <c r="AM22" i="21"/>
  <c r="AL22" i="21"/>
  <c r="AK22" i="21"/>
  <c r="AJ22" i="21"/>
  <c r="AI22" i="21"/>
  <c r="AH22" i="21"/>
  <c r="AG22" i="21"/>
  <c r="AF22" i="21"/>
  <c r="AE22" i="21"/>
  <c r="AD22" i="21"/>
  <c r="Y22" i="21"/>
  <c r="W22" i="21"/>
  <c r="V22" i="21"/>
  <c r="U22" i="21"/>
  <c r="T22" i="21"/>
  <c r="AN21" i="21"/>
  <c r="AM21" i="21"/>
  <c r="AL21" i="21"/>
  <c r="AK21" i="21"/>
  <c r="AJ21" i="21"/>
  <c r="AI21" i="21"/>
  <c r="AH21" i="21"/>
  <c r="AG21" i="21"/>
  <c r="AF21" i="21"/>
  <c r="AE21" i="21"/>
  <c r="AD21" i="21"/>
  <c r="Y21" i="21"/>
  <c r="W21" i="21"/>
  <c r="V21" i="21"/>
  <c r="U21" i="21"/>
  <c r="T21" i="21"/>
  <c r="AN20" i="21"/>
  <c r="AM20" i="21"/>
  <c r="AL20" i="21"/>
  <c r="AK20" i="21"/>
  <c r="AJ20" i="21"/>
  <c r="AI20" i="21"/>
  <c r="AH20" i="21"/>
  <c r="AG20" i="21"/>
  <c r="AF20" i="21"/>
  <c r="AE20" i="21"/>
  <c r="AD20" i="21"/>
  <c r="Y20" i="21"/>
  <c r="W20" i="21"/>
  <c r="V20" i="21"/>
  <c r="U20" i="21"/>
  <c r="T20" i="21"/>
  <c r="AN19" i="21"/>
  <c r="AM19" i="21"/>
  <c r="AL19" i="21"/>
  <c r="AK19" i="21"/>
  <c r="AJ19" i="21"/>
  <c r="AI19" i="21"/>
  <c r="AH19" i="21"/>
  <c r="AG19" i="21"/>
  <c r="AF19" i="21"/>
  <c r="AE19" i="21"/>
  <c r="AD19" i="21"/>
  <c r="Y19" i="21"/>
  <c r="W19" i="21"/>
  <c r="V19" i="21"/>
  <c r="U19" i="21"/>
  <c r="T19" i="21"/>
  <c r="AN18" i="21"/>
  <c r="AM18" i="21"/>
  <c r="AL18" i="21"/>
  <c r="AK18" i="21"/>
  <c r="AJ18" i="21"/>
  <c r="AI18" i="21"/>
  <c r="AH18" i="21"/>
  <c r="AG18" i="21"/>
  <c r="AF18" i="21"/>
  <c r="AE18" i="21"/>
  <c r="AD18" i="21"/>
  <c r="Y18" i="21"/>
  <c r="W18" i="21"/>
  <c r="V18" i="21"/>
  <c r="U18" i="21"/>
  <c r="T18" i="21"/>
  <c r="AN17" i="21"/>
  <c r="AM17" i="21"/>
  <c r="AL17" i="21"/>
  <c r="AK17" i="21"/>
  <c r="AJ17" i="21"/>
  <c r="AI17" i="21"/>
  <c r="AH17" i="21"/>
  <c r="AG17" i="21"/>
  <c r="AF17" i="21"/>
  <c r="AE17" i="21"/>
  <c r="AD17" i="21"/>
  <c r="Y17" i="21"/>
  <c r="W17" i="21"/>
  <c r="V17" i="21"/>
  <c r="U17" i="21"/>
  <c r="T17" i="21"/>
  <c r="AN16" i="21"/>
  <c r="AM16" i="21"/>
  <c r="AL16" i="21"/>
  <c r="AK16" i="21"/>
  <c r="AJ16" i="21"/>
  <c r="AI16" i="21"/>
  <c r="AH16" i="21"/>
  <c r="AG16" i="21"/>
  <c r="AF16" i="21"/>
  <c r="AE16" i="21"/>
  <c r="AD16" i="21"/>
  <c r="Y16" i="21"/>
  <c r="W16" i="21"/>
  <c r="V16" i="21"/>
  <c r="U16" i="21"/>
  <c r="T16" i="21"/>
  <c r="A16" i="21"/>
  <c r="AN15" i="21"/>
  <c r="AM15" i="21"/>
  <c r="AL15" i="21"/>
  <c r="AK15" i="21"/>
  <c r="AJ15" i="21"/>
  <c r="AI15" i="21"/>
  <c r="AH15" i="21"/>
  <c r="AG15" i="21"/>
  <c r="AF15" i="21"/>
  <c r="AE15" i="21"/>
  <c r="AD15" i="21"/>
  <c r="Y15" i="21"/>
  <c r="W15" i="21"/>
  <c r="V15" i="21"/>
  <c r="U15" i="21"/>
  <c r="T15" i="21"/>
  <c r="AN14" i="21"/>
  <c r="AM14" i="21"/>
  <c r="AL14" i="21"/>
  <c r="AK14" i="21"/>
  <c r="AJ14" i="21"/>
  <c r="AI14" i="21"/>
  <c r="AH14" i="21"/>
  <c r="AG14" i="21"/>
  <c r="AF14" i="21"/>
  <c r="AE14" i="21"/>
  <c r="AD14" i="21"/>
  <c r="Y14" i="21"/>
  <c r="W14" i="21"/>
  <c r="V14" i="21"/>
  <c r="U14" i="21"/>
  <c r="T14" i="21"/>
  <c r="A14" i="21"/>
  <c r="AN13" i="21"/>
  <c r="AM13" i="21"/>
  <c r="AL13" i="21"/>
  <c r="AK13" i="21"/>
  <c r="AJ13" i="21"/>
  <c r="AI13" i="21"/>
  <c r="AH13" i="21"/>
  <c r="AG13" i="21"/>
  <c r="AF13" i="21"/>
  <c r="AE13" i="21"/>
  <c r="AD13" i="21"/>
  <c r="Y13" i="21"/>
  <c r="W13" i="21"/>
  <c r="V13" i="21"/>
  <c r="U13" i="21"/>
  <c r="T13" i="21"/>
  <c r="AN12" i="21"/>
  <c r="AM12" i="21"/>
  <c r="AL12" i="21"/>
  <c r="AK12" i="21"/>
  <c r="AJ12" i="21"/>
  <c r="AI12" i="21"/>
  <c r="AH12" i="21"/>
  <c r="AG12" i="21"/>
  <c r="AF12" i="21"/>
  <c r="AE12" i="21"/>
  <c r="AD12" i="21"/>
  <c r="Y12" i="21"/>
  <c r="W12" i="21"/>
  <c r="V12" i="21"/>
  <c r="U12" i="21"/>
  <c r="T12" i="21"/>
  <c r="A12" i="21"/>
  <c r="AN11" i="21"/>
  <c r="AM11" i="21"/>
  <c r="AL11" i="21"/>
  <c r="AK11" i="21"/>
  <c r="AJ11" i="21"/>
  <c r="AI11" i="21"/>
  <c r="AH11" i="21"/>
  <c r="AG11" i="21"/>
  <c r="AF11" i="21"/>
  <c r="AE11" i="21"/>
  <c r="AD11" i="21"/>
  <c r="Y11" i="21"/>
  <c r="W11" i="21"/>
  <c r="V11" i="21"/>
  <c r="U11" i="21"/>
  <c r="T11" i="21"/>
  <c r="AN10" i="21"/>
  <c r="AM10" i="21"/>
  <c r="AL10" i="21"/>
  <c r="AK10" i="21"/>
  <c r="AJ10" i="21"/>
  <c r="AI10" i="21"/>
  <c r="AH10" i="21"/>
  <c r="AG10" i="21"/>
  <c r="AF10" i="21"/>
  <c r="AE10" i="21"/>
  <c r="AD10" i="21"/>
  <c r="Y10" i="21"/>
  <c r="W10" i="21"/>
  <c r="V10" i="21"/>
  <c r="U10" i="21"/>
  <c r="T10" i="21"/>
  <c r="A10" i="21"/>
  <c r="AN9" i="2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U9" i="21"/>
  <c r="T9" i="21"/>
  <c r="AN8" i="21"/>
  <c r="AM8" i="21"/>
  <c r="AL8" i="21"/>
  <c r="AK8" i="21"/>
  <c r="AJ8" i="21"/>
  <c r="AI8" i="21"/>
  <c r="AH8" i="21"/>
  <c r="AG8" i="21"/>
  <c r="AF8" i="21"/>
  <c r="AD8" i="21"/>
  <c r="Y8" i="21"/>
  <c r="W8" i="21"/>
  <c r="V8" i="21"/>
  <c r="U8" i="21"/>
  <c r="T8" i="21"/>
  <c r="AN7" i="21"/>
  <c r="AM7" i="21"/>
  <c r="AL7" i="21"/>
  <c r="AK7" i="21"/>
  <c r="AJ7" i="21"/>
  <c r="AI7" i="21"/>
  <c r="AH7" i="21"/>
  <c r="AG7" i="21"/>
  <c r="AF7" i="21"/>
  <c r="AD7" i="21"/>
  <c r="Y7" i="21"/>
  <c r="W7" i="21"/>
  <c r="V7" i="21"/>
  <c r="U7" i="21"/>
  <c r="T7" i="21"/>
  <c r="AN6" i="21"/>
  <c r="AM6" i="21"/>
  <c r="AL6" i="21"/>
  <c r="AK6" i="21"/>
  <c r="AJ6" i="21"/>
  <c r="AI6" i="21"/>
  <c r="AH6" i="21"/>
  <c r="AG6" i="21"/>
  <c r="AF6" i="21"/>
  <c r="AD6" i="21"/>
  <c r="Y6" i="21"/>
  <c r="W6" i="21"/>
  <c r="V6" i="21"/>
  <c r="U6" i="21"/>
  <c r="T6" i="21"/>
  <c r="A6" i="21"/>
  <c r="AN5" i="21"/>
  <c r="AM5" i="21"/>
  <c r="AL5" i="21"/>
  <c r="AK5" i="21"/>
  <c r="AJ5" i="21"/>
  <c r="AI5" i="21"/>
  <c r="AH5" i="21"/>
  <c r="AG5" i="21"/>
  <c r="AF5" i="21"/>
  <c r="AD5" i="21"/>
  <c r="Y5" i="21"/>
  <c r="W5" i="21"/>
  <c r="V5" i="21"/>
  <c r="U5" i="21"/>
  <c r="T5" i="21"/>
  <c r="F1" i="21"/>
  <c r="AN80" i="20"/>
  <c r="AM80" i="20"/>
  <c r="AL80" i="20"/>
  <c r="AK80" i="20"/>
  <c r="AJ80" i="20"/>
  <c r="AI80" i="20"/>
  <c r="AH80" i="20"/>
  <c r="AG80" i="20"/>
  <c r="AF80" i="20"/>
  <c r="AE80" i="20"/>
  <c r="AD80" i="20"/>
  <c r="Y80" i="20"/>
  <c r="W80" i="20"/>
  <c r="V80" i="20"/>
  <c r="U80" i="20"/>
  <c r="T80" i="20"/>
  <c r="AN79" i="20"/>
  <c r="AM79" i="20"/>
  <c r="AL79" i="20"/>
  <c r="AK79" i="20"/>
  <c r="AJ79" i="20"/>
  <c r="AI79" i="20"/>
  <c r="AH79" i="20"/>
  <c r="AG79" i="20"/>
  <c r="AF79" i="20"/>
  <c r="AE79" i="20"/>
  <c r="AD79" i="20"/>
  <c r="Y79" i="20"/>
  <c r="W79" i="20"/>
  <c r="V79" i="20"/>
  <c r="U79" i="20"/>
  <c r="T79" i="20"/>
  <c r="AN78" i="20"/>
  <c r="AM78" i="20"/>
  <c r="AL78" i="20"/>
  <c r="AK78" i="20"/>
  <c r="AJ78" i="20"/>
  <c r="AI78" i="20"/>
  <c r="AH78" i="20"/>
  <c r="AG78" i="20"/>
  <c r="AF78" i="20"/>
  <c r="AE78" i="20"/>
  <c r="AD78" i="20"/>
  <c r="Y78" i="20"/>
  <c r="W78" i="20"/>
  <c r="V78" i="20"/>
  <c r="U78" i="20"/>
  <c r="T78" i="20"/>
  <c r="AN77" i="20"/>
  <c r="AM77" i="20"/>
  <c r="AL77" i="20"/>
  <c r="AK77" i="20"/>
  <c r="AJ77" i="20"/>
  <c r="AI77" i="20"/>
  <c r="AH77" i="20"/>
  <c r="AG77" i="20"/>
  <c r="AF77" i="20"/>
  <c r="AE77" i="20"/>
  <c r="AD77" i="20"/>
  <c r="Y77" i="20"/>
  <c r="W77" i="20"/>
  <c r="V77" i="20"/>
  <c r="U77" i="20"/>
  <c r="T77" i="20"/>
  <c r="AN76" i="20"/>
  <c r="AM76" i="20"/>
  <c r="AL76" i="20"/>
  <c r="AK76" i="20"/>
  <c r="AJ76" i="20"/>
  <c r="AI76" i="20"/>
  <c r="AH76" i="20"/>
  <c r="AG76" i="20"/>
  <c r="AF76" i="20"/>
  <c r="AE76" i="20"/>
  <c r="AD76" i="20"/>
  <c r="Y76" i="20"/>
  <c r="W76" i="20"/>
  <c r="V76" i="20"/>
  <c r="U76" i="20"/>
  <c r="T76" i="20"/>
  <c r="AN75" i="20"/>
  <c r="AM75" i="20"/>
  <c r="AL75" i="20"/>
  <c r="AK75" i="20"/>
  <c r="AJ75" i="20"/>
  <c r="AI75" i="20"/>
  <c r="AH75" i="20"/>
  <c r="AG75" i="20"/>
  <c r="AF75" i="20"/>
  <c r="AE75" i="20"/>
  <c r="AD75" i="20"/>
  <c r="Y75" i="20"/>
  <c r="W75" i="20"/>
  <c r="V75" i="20"/>
  <c r="U75" i="20"/>
  <c r="T75" i="20"/>
  <c r="AN74" i="20"/>
  <c r="AM74" i="20"/>
  <c r="AL74" i="20"/>
  <c r="AK74" i="20"/>
  <c r="AJ74" i="20"/>
  <c r="AI74" i="20"/>
  <c r="AH74" i="20"/>
  <c r="AG74" i="20"/>
  <c r="AF74" i="20"/>
  <c r="AE74" i="20"/>
  <c r="AD74" i="20"/>
  <c r="Y74" i="20"/>
  <c r="W74" i="20"/>
  <c r="V74" i="20"/>
  <c r="U74" i="20"/>
  <c r="T74" i="20"/>
  <c r="AN73" i="20"/>
  <c r="AM73" i="20"/>
  <c r="AL73" i="20"/>
  <c r="AK73" i="20"/>
  <c r="AJ73" i="20"/>
  <c r="AI73" i="20"/>
  <c r="AH73" i="20"/>
  <c r="AG73" i="20"/>
  <c r="AF73" i="20"/>
  <c r="AE73" i="20"/>
  <c r="AD73" i="20"/>
  <c r="Y73" i="20"/>
  <c r="W73" i="20"/>
  <c r="V73" i="20"/>
  <c r="U73" i="20"/>
  <c r="T73" i="20"/>
  <c r="AN72" i="20"/>
  <c r="AM72" i="20"/>
  <c r="AL72" i="20"/>
  <c r="AK72" i="20"/>
  <c r="AJ72" i="20"/>
  <c r="AI72" i="20"/>
  <c r="AH72" i="20"/>
  <c r="AG72" i="20"/>
  <c r="AF72" i="20"/>
  <c r="AE72" i="20"/>
  <c r="AD72" i="20"/>
  <c r="Y72" i="20"/>
  <c r="W72" i="20"/>
  <c r="V72" i="20"/>
  <c r="U72" i="20"/>
  <c r="T72" i="20"/>
  <c r="AN71" i="20"/>
  <c r="AM71" i="20"/>
  <c r="AL71" i="20"/>
  <c r="AK71" i="20"/>
  <c r="AJ71" i="20"/>
  <c r="AI71" i="20"/>
  <c r="AH71" i="20"/>
  <c r="AG71" i="20"/>
  <c r="AF71" i="20"/>
  <c r="AE71" i="20"/>
  <c r="AD71" i="20"/>
  <c r="Y71" i="20"/>
  <c r="W71" i="20"/>
  <c r="V71" i="20"/>
  <c r="U71" i="20"/>
  <c r="T71" i="20"/>
  <c r="AN70" i="20"/>
  <c r="AM70" i="20"/>
  <c r="AL70" i="20"/>
  <c r="AK70" i="20"/>
  <c r="AJ70" i="20"/>
  <c r="AI70" i="20"/>
  <c r="AH70" i="20"/>
  <c r="AG70" i="20"/>
  <c r="AF70" i="20"/>
  <c r="AE70" i="20"/>
  <c r="AD70" i="20"/>
  <c r="Y70" i="20"/>
  <c r="W70" i="20"/>
  <c r="V70" i="20"/>
  <c r="U70" i="20"/>
  <c r="T70" i="20"/>
  <c r="AN69" i="20"/>
  <c r="AM69" i="20"/>
  <c r="AL69" i="20"/>
  <c r="AK69" i="20"/>
  <c r="AJ69" i="20"/>
  <c r="AI69" i="20"/>
  <c r="AH69" i="20"/>
  <c r="AG69" i="20"/>
  <c r="AF69" i="20"/>
  <c r="AE69" i="20"/>
  <c r="AD69" i="20"/>
  <c r="Y69" i="20"/>
  <c r="W69" i="20"/>
  <c r="V69" i="20"/>
  <c r="U69" i="20"/>
  <c r="T69" i="20"/>
  <c r="AN68" i="20"/>
  <c r="AM68" i="20"/>
  <c r="AL68" i="20"/>
  <c r="AK68" i="20"/>
  <c r="AJ68" i="20"/>
  <c r="AI68" i="20"/>
  <c r="AH68" i="20"/>
  <c r="AG68" i="20"/>
  <c r="AF68" i="20"/>
  <c r="AE68" i="20"/>
  <c r="AD68" i="20"/>
  <c r="Y68" i="20"/>
  <c r="W68" i="20"/>
  <c r="V68" i="20"/>
  <c r="U68" i="20"/>
  <c r="T68" i="20"/>
  <c r="AN67" i="20"/>
  <c r="AM67" i="20"/>
  <c r="AL67" i="20"/>
  <c r="AK67" i="20"/>
  <c r="AJ67" i="20"/>
  <c r="AI67" i="20"/>
  <c r="AH67" i="20"/>
  <c r="AG67" i="20"/>
  <c r="AF67" i="20"/>
  <c r="AE67" i="20"/>
  <c r="AD67" i="20"/>
  <c r="Y67" i="20"/>
  <c r="W67" i="20"/>
  <c r="V67" i="20"/>
  <c r="U67" i="20"/>
  <c r="T67" i="20"/>
  <c r="AN66" i="20"/>
  <c r="AM66" i="20"/>
  <c r="AL66" i="20"/>
  <c r="AK66" i="20"/>
  <c r="AJ66" i="20"/>
  <c r="AI66" i="20"/>
  <c r="AH66" i="20"/>
  <c r="AG66" i="20"/>
  <c r="AF66" i="20"/>
  <c r="AE66" i="20"/>
  <c r="AD66" i="20"/>
  <c r="Y66" i="20"/>
  <c r="W66" i="20"/>
  <c r="V66" i="20"/>
  <c r="U66" i="20"/>
  <c r="T66" i="20"/>
  <c r="AN65" i="20"/>
  <c r="AM65" i="20"/>
  <c r="AL65" i="20"/>
  <c r="AK65" i="20"/>
  <c r="AJ65" i="20"/>
  <c r="AI65" i="20"/>
  <c r="AH65" i="20"/>
  <c r="AG65" i="20"/>
  <c r="AF65" i="20"/>
  <c r="AE65" i="20"/>
  <c r="AD65" i="20"/>
  <c r="Y65" i="20"/>
  <c r="W65" i="20"/>
  <c r="V65" i="20"/>
  <c r="U65" i="20"/>
  <c r="T65" i="20"/>
  <c r="AN64" i="20"/>
  <c r="AM64" i="20"/>
  <c r="AL64" i="20"/>
  <c r="AK64" i="20"/>
  <c r="AJ64" i="20"/>
  <c r="AI64" i="20"/>
  <c r="AH64" i="20"/>
  <c r="AG64" i="20"/>
  <c r="AF64" i="20"/>
  <c r="AE64" i="20"/>
  <c r="AD64" i="20"/>
  <c r="Y64" i="20"/>
  <c r="W64" i="20"/>
  <c r="V64" i="20"/>
  <c r="U64" i="20"/>
  <c r="T64" i="20"/>
  <c r="AN63" i="20"/>
  <c r="AM63" i="20"/>
  <c r="AL63" i="20"/>
  <c r="AK63" i="20"/>
  <c r="AJ63" i="20"/>
  <c r="AI63" i="20"/>
  <c r="AH63" i="20"/>
  <c r="AG63" i="20"/>
  <c r="AF63" i="20"/>
  <c r="AE63" i="20"/>
  <c r="AD63" i="20"/>
  <c r="Y63" i="20"/>
  <c r="W63" i="20"/>
  <c r="V63" i="20"/>
  <c r="U63" i="20"/>
  <c r="T63" i="20"/>
  <c r="AN62" i="20"/>
  <c r="AM62" i="20"/>
  <c r="AL62" i="20"/>
  <c r="AK62" i="20"/>
  <c r="AJ62" i="20"/>
  <c r="AI62" i="20"/>
  <c r="AH62" i="20"/>
  <c r="AG62" i="20"/>
  <c r="AF62" i="20"/>
  <c r="AE62" i="20"/>
  <c r="AD62" i="20"/>
  <c r="Y62" i="20"/>
  <c r="W62" i="20"/>
  <c r="V62" i="20"/>
  <c r="U62" i="20"/>
  <c r="T62" i="20"/>
  <c r="AN61" i="20"/>
  <c r="AM61" i="20"/>
  <c r="AL61" i="20"/>
  <c r="AK61" i="20"/>
  <c r="AJ61" i="20"/>
  <c r="AI61" i="20"/>
  <c r="AH61" i="20"/>
  <c r="AG61" i="20"/>
  <c r="AF61" i="20"/>
  <c r="AE61" i="20"/>
  <c r="AD61" i="20"/>
  <c r="Y61" i="20"/>
  <c r="W61" i="20"/>
  <c r="V61" i="20"/>
  <c r="U61" i="20"/>
  <c r="T61" i="20"/>
  <c r="AN60" i="20"/>
  <c r="AM60" i="20"/>
  <c r="AL60" i="20"/>
  <c r="AK60" i="20"/>
  <c r="AJ60" i="20"/>
  <c r="AI60" i="20"/>
  <c r="AH60" i="20"/>
  <c r="AG60" i="20"/>
  <c r="AF60" i="20"/>
  <c r="AE60" i="20"/>
  <c r="AD60" i="20"/>
  <c r="Y60" i="20"/>
  <c r="W60" i="20"/>
  <c r="V60" i="20"/>
  <c r="U60" i="20"/>
  <c r="T60" i="20"/>
  <c r="AN59" i="20"/>
  <c r="AM59" i="20"/>
  <c r="AL59" i="20"/>
  <c r="AK59" i="20"/>
  <c r="AJ59" i="20"/>
  <c r="AI59" i="20"/>
  <c r="AH59" i="20"/>
  <c r="AG59" i="20"/>
  <c r="AF59" i="20"/>
  <c r="AE59" i="20"/>
  <c r="AD59" i="20"/>
  <c r="Y59" i="20"/>
  <c r="W59" i="20"/>
  <c r="V59" i="20"/>
  <c r="U59" i="20"/>
  <c r="T59" i="20"/>
  <c r="AN58" i="20"/>
  <c r="AM58" i="20"/>
  <c r="AL58" i="20"/>
  <c r="AK58" i="20"/>
  <c r="AJ58" i="20"/>
  <c r="AI58" i="20"/>
  <c r="AH58" i="20"/>
  <c r="AG58" i="20"/>
  <c r="AF58" i="20"/>
  <c r="AE58" i="20"/>
  <c r="AD58" i="20"/>
  <c r="Y58" i="20"/>
  <c r="W58" i="20"/>
  <c r="V58" i="20"/>
  <c r="U58" i="20"/>
  <c r="T58" i="20"/>
  <c r="AN57" i="20"/>
  <c r="AM57" i="20"/>
  <c r="AL57" i="20"/>
  <c r="AK57" i="20"/>
  <c r="AJ57" i="20"/>
  <c r="AI57" i="20"/>
  <c r="AH57" i="20"/>
  <c r="AG57" i="20"/>
  <c r="AF57" i="20"/>
  <c r="AE57" i="20"/>
  <c r="AD57" i="20"/>
  <c r="Y57" i="20"/>
  <c r="W57" i="20"/>
  <c r="V57" i="20"/>
  <c r="U57" i="20"/>
  <c r="T57" i="20"/>
  <c r="AN56" i="20"/>
  <c r="AM56" i="20"/>
  <c r="AL56" i="20"/>
  <c r="AK56" i="20"/>
  <c r="AJ56" i="20"/>
  <c r="AI56" i="20"/>
  <c r="AH56" i="20"/>
  <c r="AG56" i="20"/>
  <c r="AF56" i="20"/>
  <c r="AE56" i="20"/>
  <c r="AD56" i="20"/>
  <c r="Y56" i="20"/>
  <c r="W56" i="20"/>
  <c r="V56" i="20"/>
  <c r="U56" i="20"/>
  <c r="T56" i="20"/>
  <c r="AN55" i="20"/>
  <c r="AM55" i="20"/>
  <c r="AL55" i="20"/>
  <c r="AK55" i="20"/>
  <c r="AJ55" i="20"/>
  <c r="AI55" i="20"/>
  <c r="AH55" i="20"/>
  <c r="AG55" i="20"/>
  <c r="AF55" i="20"/>
  <c r="AE55" i="20"/>
  <c r="AD55" i="20"/>
  <c r="Y55" i="20"/>
  <c r="W55" i="20"/>
  <c r="V55" i="20"/>
  <c r="U55" i="20"/>
  <c r="T55" i="20"/>
  <c r="AN54" i="20"/>
  <c r="AM54" i="20"/>
  <c r="AL54" i="20"/>
  <c r="AK54" i="20"/>
  <c r="AJ54" i="20"/>
  <c r="AI54" i="20"/>
  <c r="AH54" i="20"/>
  <c r="AG54" i="20"/>
  <c r="AF54" i="20"/>
  <c r="AE54" i="20"/>
  <c r="AD54" i="20"/>
  <c r="Y54" i="20"/>
  <c r="W54" i="20"/>
  <c r="V54" i="20"/>
  <c r="U54" i="20"/>
  <c r="T54" i="20"/>
  <c r="AN53" i="20"/>
  <c r="AM53" i="20"/>
  <c r="AL53" i="20"/>
  <c r="AK53" i="20"/>
  <c r="AJ53" i="20"/>
  <c r="AI53" i="20"/>
  <c r="AH53" i="20"/>
  <c r="AG53" i="20"/>
  <c r="AF53" i="20"/>
  <c r="AE53" i="20"/>
  <c r="AD53" i="20"/>
  <c r="Y53" i="20"/>
  <c r="W53" i="20"/>
  <c r="V53" i="20"/>
  <c r="U53" i="20"/>
  <c r="T53" i="20"/>
  <c r="AN52" i="20"/>
  <c r="AM52" i="20"/>
  <c r="AL52" i="20"/>
  <c r="AK52" i="20"/>
  <c r="AJ52" i="20"/>
  <c r="AI52" i="20"/>
  <c r="AH52" i="20"/>
  <c r="AG52" i="20"/>
  <c r="AF52" i="20"/>
  <c r="AE52" i="20"/>
  <c r="AD52" i="20"/>
  <c r="Y52" i="20"/>
  <c r="W52" i="20"/>
  <c r="V52" i="20"/>
  <c r="U52" i="20"/>
  <c r="T52" i="20"/>
  <c r="AN51" i="20"/>
  <c r="AM51" i="20"/>
  <c r="AL51" i="20"/>
  <c r="AK51" i="20"/>
  <c r="AJ51" i="20"/>
  <c r="AI51" i="20"/>
  <c r="AH51" i="20"/>
  <c r="AG51" i="20"/>
  <c r="AF51" i="20"/>
  <c r="AE51" i="20"/>
  <c r="AD51" i="20"/>
  <c r="Y51" i="20"/>
  <c r="W51" i="20"/>
  <c r="V51" i="20"/>
  <c r="U51" i="20"/>
  <c r="T51" i="20"/>
  <c r="AN50" i="20"/>
  <c r="AM50" i="20"/>
  <c r="AL50" i="20"/>
  <c r="AK50" i="20"/>
  <c r="AJ50" i="20"/>
  <c r="AI50" i="20"/>
  <c r="AH50" i="20"/>
  <c r="AG50" i="20"/>
  <c r="AF50" i="20"/>
  <c r="AE50" i="20"/>
  <c r="AD50" i="20"/>
  <c r="Y50" i="20"/>
  <c r="W50" i="20"/>
  <c r="V50" i="20"/>
  <c r="U50" i="20"/>
  <c r="T50" i="20"/>
  <c r="AN49" i="20"/>
  <c r="AM49" i="20"/>
  <c r="AL49" i="20"/>
  <c r="AK49" i="20"/>
  <c r="AJ49" i="20"/>
  <c r="AI49" i="20"/>
  <c r="AH49" i="20"/>
  <c r="AG49" i="20"/>
  <c r="AF49" i="20"/>
  <c r="AE49" i="20"/>
  <c r="AD49" i="20"/>
  <c r="Y49" i="20"/>
  <c r="W49" i="20"/>
  <c r="V49" i="20"/>
  <c r="U49" i="20"/>
  <c r="T49" i="20"/>
  <c r="AN48" i="20"/>
  <c r="AM48" i="20"/>
  <c r="AL48" i="20"/>
  <c r="AK48" i="20"/>
  <c r="AJ48" i="20"/>
  <c r="AI48" i="20"/>
  <c r="AH48" i="20"/>
  <c r="AG48" i="20"/>
  <c r="AF48" i="20"/>
  <c r="AE48" i="20"/>
  <c r="AD48" i="20"/>
  <c r="Y48" i="20"/>
  <c r="W48" i="20"/>
  <c r="V48" i="20"/>
  <c r="U48" i="20"/>
  <c r="T48" i="20"/>
  <c r="AN47" i="20"/>
  <c r="AM47" i="20"/>
  <c r="AL47" i="20"/>
  <c r="AK47" i="20"/>
  <c r="AJ47" i="20"/>
  <c r="AI47" i="20"/>
  <c r="AH47" i="20"/>
  <c r="AG47" i="20"/>
  <c r="AF47" i="20"/>
  <c r="AE47" i="20"/>
  <c r="AD47" i="20"/>
  <c r="Y47" i="20"/>
  <c r="W47" i="20"/>
  <c r="V47" i="20"/>
  <c r="U47" i="20"/>
  <c r="T47" i="20"/>
  <c r="AN46" i="20"/>
  <c r="AM46" i="20"/>
  <c r="AL46" i="20"/>
  <c r="AK46" i="20"/>
  <c r="AJ46" i="20"/>
  <c r="AI46" i="20"/>
  <c r="AH46" i="20"/>
  <c r="AG46" i="20"/>
  <c r="AF46" i="20"/>
  <c r="AE46" i="20"/>
  <c r="AD46" i="20"/>
  <c r="Y46" i="20"/>
  <c r="W46" i="20"/>
  <c r="V46" i="20"/>
  <c r="U46" i="20"/>
  <c r="T46" i="20"/>
  <c r="AN45" i="20"/>
  <c r="AM45" i="20"/>
  <c r="AL45" i="20"/>
  <c r="AK45" i="20"/>
  <c r="AJ45" i="20"/>
  <c r="AI45" i="20"/>
  <c r="AH45" i="20"/>
  <c r="AG45" i="20"/>
  <c r="AF45" i="20"/>
  <c r="AE45" i="20"/>
  <c r="AD45" i="20"/>
  <c r="Y45" i="20"/>
  <c r="W45" i="20"/>
  <c r="V45" i="20"/>
  <c r="U45" i="20"/>
  <c r="T45" i="20"/>
  <c r="AN44" i="20"/>
  <c r="AM44" i="20"/>
  <c r="AL44" i="20"/>
  <c r="AK44" i="20"/>
  <c r="AJ44" i="20"/>
  <c r="AI44" i="20"/>
  <c r="AH44" i="20"/>
  <c r="AG44" i="20"/>
  <c r="AF44" i="20"/>
  <c r="AE44" i="20"/>
  <c r="AD44" i="20"/>
  <c r="Y44" i="20"/>
  <c r="W44" i="20"/>
  <c r="V44" i="20"/>
  <c r="U44" i="20"/>
  <c r="T44" i="20"/>
  <c r="AN43" i="20"/>
  <c r="AM43" i="20"/>
  <c r="AL43" i="20"/>
  <c r="AK43" i="20"/>
  <c r="AJ43" i="20"/>
  <c r="AI43" i="20"/>
  <c r="AH43" i="20"/>
  <c r="AG43" i="20"/>
  <c r="AF43" i="20"/>
  <c r="AE43" i="20"/>
  <c r="AD43" i="20"/>
  <c r="Y43" i="20"/>
  <c r="W43" i="20"/>
  <c r="V43" i="20"/>
  <c r="U43" i="20"/>
  <c r="T43" i="20"/>
  <c r="AN42" i="20"/>
  <c r="AM42" i="20"/>
  <c r="AL42" i="20"/>
  <c r="AK42" i="20"/>
  <c r="AJ42" i="20"/>
  <c r="AI42" i="20"/>
  <c r="AH42" i="20"/>
  <c r="AG42" i="20"/>
  <c r="AF42" i="20"/>
  <c r="AE42" i="20"/>
  <c r="AD42" i="20"/>
  <c r="Y42" i="20"/>
  <c r="W42" i="20"/>
  <c r="V42" i="20"/>
  <c r="U42" i="20"/>
  <c r="T42" i="20"/>
  <c r="AN41" i="20"/>
  <c r="AM41" i="20"/>
  <c r="AL41" i="20"/>
  <c r="AK41" i="20"/>
  <c r="AJ41" i="20"/>
  <c r="AI41" i="20"/>
  <c r="AH41" i="20"/>
  <c r="AG41" i="20"/>
  <c r="AF41" i="20"/>
  <c r="AE41" i="20"/>
  <c r="AD41" i="20"/>
  <c r="Y41" i="20"/>
  <c r="W41" i="20"/>
  <c r="V41" i="20"/>
  <c r="U41" i="20"/>
  <c r="T41" i="20"/>
  <c r="AN40" i="20"/>
  <c r="AM40" i="20"/>
  <c r="AL40" i="20"/>
  <c r="AK40" i="20"/>
  <c r="AJ40" i="20"/>
  <c r="AI40" i="20"/>
  <c r="AH40" i="20"/>
  <c r="AG40" i="20"/>
  <c r="AF40" i="20"/>
  <c r="AE40" i="20"/>
  <c r="AD40" i="20"/>
  <c r="Y40" i="20"/>
  <c r="W40" i="20"/>
  <c r="V40" i="20"/>
  <c r="U40" i="20"/>
  <c r="T40" i="20"/>
  <c r="AN39" i="20"/>
  <c r="AM39" i="20"/>
  <c r="AL39" i="20"/>
  <c r="AK39" i="20"/>
  <c r="AJ39" i="20"/>
  <c r="AI39" i="20"/>
  <c r="AH39" i="20"/>
  <c r="AG39" i="20"/>
  <c r="AF39" i="20"/>
  <c r="AE39" i="20"/>
  <c r="AD39" i="20"/>
  <c r="Y39" i="20"/>
  <c r="W39" i="20"/>
  <c r="V39" i="20"/>
  <c r="U39" i="20"/>
  <c r="T39" i="20"/>
  <c r="AN38" i="20"/>
  <c r="AM38" i="20"/>
  <c r="AL38" i="20"/>
  <c r="AK38" i="20"/>
  <c r="AJ38" i="20"/>
  <c r="AI38" i="20"/>
  <c r="AH38" i="20"/>
  <c r="AG38" i="20"/>
  <c r="AF38" i="20"/>
  <c r="AE38" i="20"/>
  <c r="AD38" i="20"/>
  <c r="Y38" i="20"/>
  <c r="W38" i="20"/>
  <c r="V38" i="20"/>
  <c r="U38" i="20"/>
  <c r="T38" i="20"/>
  <c r="AN37" i="20"/>
  <c r="AM37" i="20"/>
  <c r="AL37" i="20"/>
  <c r="AK37" i="20"/>
  <c r="AJ37" i="20"/>
  <c r="AI37" i="20"/>
  <c r="AH37" i="20"/>
  <c r="AG37" i="20"/>
  <c r="AF37" i="20"/>
  <c r="AE37" i="20"/>
  <c r="AD37" i="20"/>
  <c r="Y37" i="20"/>
  <c r="W37" i="20"/>
  <c r="V37" i="20"/>
  <c r="U37" i="20"/>
  <c r="T37" i="20"/>
  <c r="AN36" i="20"/>
  <c r="AM36" i="20"/>
  <c r="AL36" i="20"/>
  <c r="AK36" i="20"/>
  <c r="AJ36" i="20"/>
  <c r="AI36" i="20"/>
  <c r="AH36" i="20"/>
  <c r="AG36" i="20"/>
  <c r="AF36" i="20"/>
  <c r="AE36" i="20"/>
  <c r="AD36" i="20"/>
  <c r="Y36" i="20"/>
  <c r="W36" i="20"/>
  <c r="V36" i="20"/>
  <c r="U36" i="20"/>
  <c r="T36" i="20"/>
  <c r="AN35" i="20"/>
  <c r="AM35" i="20"/>
  <c r="AL35" i="20"/>
  <c r="AK35" i="20"/>
  <c r="AJ35" i="20"/>
  <c r="AI35" i="20"/>
  <c r="AH35" i="20"/>
  <c r="AG35" i="20"/>
  <c r="AF35" i="20"/>
  <c r="AE35" i="20"/>
  <c r="AD35" i="20"/>
  <c r="Y35" i="20"/>
  <c r="W35" i="20"/>
  <c r="V35" i="20"/>
  <c r="U35" i="20"/>
  <c r="T35" i="20"/>
  <c r="AN34" i="20"/>
  <c r="AM34" i="20"/>
  <c r="AL34" i="20"/>
  <c r="AK34" i="20"/>
  <c r="AJ34" i="20"/>
  <c r="AI34" i="20"/>
  <c r="AH34" i="20"/>
  <c r="AG34" i="20"/>
  <c r="AF34" i="20"/>
  <c r="AE34" i="20"/>
  <c r="AD34" i="20"/>
  <c r="Y34" i="20"/>
  <c r="W34" i="20"/>
  <c r="V34" i="20"/>
  <c r="U34" i="20"/>
  <c r="T34" i="20"/>
  <c r="AN33" i="20"/>
  <c r="AM33" i="20"/>
  <c r="AL33" i="20"/>
  <c r="AK33" i="20"/>
  <c r="AJ33" i="20"/>
  <c r="AI33" i="20"/>
  <c r="AH33" i="20"/>
  <c r="AG33" i="20"/>
  <c r="AF33" i="20"/>
  <c r="AE33" i="20"/>
  <c r="AD33" i="20"/>
  <c r="Y33" i="20"/>
  <c r="W33" i="20"/>
  <c r="V33" i="20"/>
  <c r="U33" i="20"/>
  <c r="T33" i="20"/>
  <c r="AN32" i="20"/>
  <c r="AM32" i="20"/>
  <c r="AL32" i="20"/>
  <c r="AK32" i="20"/>
  <c r="AJ32" i="20"/>
  <c r="AI32" i="20"/>
  <c r="AH32" i="20"/>
  <c r="AG32" i="20"/>
  <c r="AF32" i="20"/>
  <c r="AE32" i="20"/>
  <c r="AD32" i="20"/>
  <c r="Y32" i="20"/>
  <c r="W32" i="20"/>
  <c r="V32" i="20"/>
  <c r="U32" i="20"/>
  <c r="T32" i="20"/>
  <c r="AN31" i="20"/>
  <c r="AM31" i="20"/>
  <c r="AL31" i="20"/>
  <c r="AK31" i="20"/>
  <c r="AJ31" i="20"/>
  <c r="AI31" i="20"/>
  <c r="AH31" i="20"/>
  <c r="AG31" i="20"/>
  <c r="AF31" i="20"/>
  <c r="AE31" i="20"/>
  <c r="AD31" i="20"/>
  <c r="Y31" i="20"/>
  <c r="W31" i="20"/>
  <c r="V31" i="20"/>
  <c r="U31" i="20"/>
  <c r="T31" i="20"/>
  <c r="AN30" i="20"/>
  <c r="AM30" i="20"/>
  <c r="AL30" i="20"/>
  <c r="AK30" i="20"/>
  <c r="AJ30" i="20"/>
  <c r="AI30" i="20"/>
  <c r="AH30" i="20"/>
  <c r="AG30" i="20"/>
  <c r="AF30" i="20"/>
  <c r="AE30" i="20"/>
  <c r="AD30" i="20"/>
  <c r="Y30" i="20"/>
  <c r="W30" i="20"/>
  <c r="V30" i="20"/>
  <c r="U30" i="20"/>
  <c r="T30" i="20"/>
  <c r="AN29" i="20"/>
  <c r="AM29" i="20"/>
  <c r="AL29" i="20"/>
  <c r="AK29" i="20"/>
  <c r="AJ29" i="20"/>
  <c r="AI29" i="20"/>
  <c r="AH29" i="20"/>
  <c r="AG29" i="20"/>
  <c r="AF29" i="20"/>
  <c r="AE29" i="20"/>
  <c r="AD29" i="20"/>
  <c r="Y29" i="20"/>
  <c r="W29" i="20"/>
  <c r="V29" i="20"/>
  <c r="U29" i="20"/>
  <c r="T29" i="20"/>
  <c r="AN28" i="20"/>
  <c r="AM28" i="20"/>
  <c r="AL28" i="20"/>
  <c r="AK28" i="20"/>
  <c r="AJ28" i="20"/>
  <c r="AI28" i="20"/>
  <c r="AH28" i="20"/>
  <c r="AG28" i="20"/>
  <c r="AF28" i="20"/>
  <c r="AE28" i="20"/>
  <c r="AD28" i="20"/>
  <c r="Y28" i="20"/>
  <c r="W28" i="20"/>
  <c r="V28" i="20"/>
  <c r="U28" i="20"/>
  <c r="T28" i="20"/>
  <c r="AN27" i="20"/>
  <c r="AM27" i="20"/>
  <c r="AL27" i="20"/>
  <c r="AK27" i="20"/>
  <c r="AJ27" i="20"/>
  <c r="AI27" i="20"/>
  <c r="AH27" i="20"/>
  <c r="AG27" i="20"/>
  <c r="AF27" i="20"/>
  <c r="AE27" i="20"/>
  <c r="AD27" i="20"/>
  <c r="Y27" i="20"/>
  <c r="W27" i="20"/>
  <c r="V27" i="20"/>
  <c r="U27" i="20"/>
  <c r="T27" i="20"/>
  <c r="AN26" i="20"/>
  <c r="AM26" i="20"/>
  <c r="AL26" i="20"/>
  <c r="AK26" i="20"/>
  <c r="AJ26" i="20"/>
  <c r="AI26" i="20"/>
  <c r="AH26" i="20"/>
  <c r="AG26" i="20"/>
  <c r="AF26" i="20"/>
  <c r="AE26" i="20"/>
  <c r="AD26" i="20"/>
  <c r="Y26" i="20"/>
  <c r="W26" i="20"/>
  <c r="V26" i="20"/>
  <c r="U26" i="20"/>
  <c r="T26" i="20"/>
  <c r="AN25" i="20"/>
  <c r="AM25" i="20"/>
  <c r="AL25" i="20"/>
  <c r="AK25" i="20"/>
  <c r="AJ25" i="20"/>
  <c r="AI25" i="20"/>
  <c r="AH25" i="20"/>
  <c r="AG25" i="20"/>
  <c r="AF25" i="20"/>
  <c r="AE25" i="20"/>
  <c r="AD25" i="20"/>
  <c r="Y25" i="20"/>
  <c r="W25" i="20"/>
  <c r="V25" i="20"/>
  <c r="U25" i="20"/>
  <c r="T25" i="20"/>
  <c r="AN24" i="20"/>
  <c r="AM24" i="20"/>
  <c r="AL24" i="20"/>
  <c r="AK24" i="20"/>
  <c r="AJ24" i="20"/>
  <c r="AI24" i="20"/>
  <c r="AH24" i="20"/>
  <c r="AG24" i="20"/>
  <c r="AF24" i="20"/>
  <c r="AE24" i="20"/>
  <c r="AD24" i="20"/>
  <c r="Y24" i="20"/>
  <c r="W24" i="20"/>
  <c r="V24" i="20"/>
  <c r="U24" i="20"/>
  <c r="T24" i="20"/>
  <c r="AN23" i="20"/>
  <c r="AM23" i="20"/>
  <c r="AL23" i="20"/>
  <c r="AK23" i="20"/>
  <c r="AJ23" i="20"/>
  <c r="AI23" i="20"/>
  <c r="AH23" i="20"/>
  <c r="AG23" i="20"/>
  <c r="AF23" i="20"/>
  <c r="AE23" i="20"/>
  <c r="AD23" i="20"/>
  <c r="Y23" i="20"/>
  <c r="W23" i="20"/>
  <c r="V23" i="20"/>
  <c r="U23" i="20"/>
  <c r="T23" i="20"/>
  <c r="AN22" i="20"/>
  <c r="AM22" i="20"/>
  <c r="AL22" i="20"/>
  <c r="AK22" i="20"/>
  <c r="AJ22" i="20"/>
  <c r="AI22" i="20"/>
  <c r="AH22" i="20"/>
  <c r="AG22" i="20"/>
  <c r="AF22" i="20"/>
  <c r="AE22" i="20"/>
  <c r="AD22" i="20"/>
  <c r="Y22" i="20"/>
  <c r="W22" i="20"/>
  <c r="V22" i="20"/>
  <c r="U22" i="20"/>
  <c r="T22" i="20"/>
  <c r="AN21" i="20"/>
  <c r="AM21" i="20"/>
  <c r="AL21" i="20"/>
  <c r="AK21" i="20"/>
  <c r="AJ21" i="20"/>
  <c r="AI21" i="20"/>
  <c r="AH21" i="20"/>
  <c r="AG21" i="20"/>
  <c r="AF21" i="20"/>
  <c r="AE21" i="20"/>
  <c r="AD21" i="20"/>
  <c r="Y21" i="20"/>
  <c r="W21" i="20"/>
  <c r="V21" i="20"/>
  <c r="U21" i="20"/>
  <c r="T21" i="20"/>
  <c r="AN20" i="20"/>
  <c r="AM20" i="20"/>
  <c r="AL20" i="20"/>
  <c r="AK20" i="20"/>
  <c r="AJ20" i="20"/>
  <c r="AI20" i="20"/>
  <c r="AH20" i="20"/>
  <c r="AG20" i="20"/>
  <c r="AF20" i="20"/>
  <c r="AE20" i="20"/>
  <c r="AD20" i="20"/>
  <c r="Y20" i="20"/>
  <c r="W20" i="20"/>
  <c r="V20" i="20"/>
  <c r="U20" i="20"/>
  <c r="T20" i="20"/>
  <c r="AN19" i="20"/>
  <c r="AM19" i="20"/>
  <c r="AL19" i="20"/>
  <c r="AK19" i="20"/>
  <c r="AJ19" i="20"/>
  <c r="AI19" i="20"/>
  <c r="AH19" i="20"/>
  <c r="AG19" i="20"/>
  <c r="AF19" i="20"/>
  <c r="AE19" i="20"/>
  <c r="AD19" i="20"/>
  <c r="Y19" i="20"/>
  <c r="W19" i="20"/>
  <c r="V19" i="20"/>
  <c r="U19" i="20"/>
  <c r="T19" i="20"/>
  <c r="AN18" i="20"/>
  <c r="AM18" i="20"/>
  <c r="AL18" i="20"/>
  <c r="AK18" i="20"/>
  <c r="AJ18" i="20"/>
  <c r="AI18" i="20"/>
  <c r="AH18" i="20"/>
  <c r="AG18" i="20"/>
  <c r="AF18" i="20"/>
  <c r="AE18" i="20"/>
  <c r="AD18" i="20"/>
  <c r="Y18" i="20"/>
  <c r="W18" i="20"/>
  <c r="V18" i="20"/>
  <c r="U18" i="20"/>
  <c r="T18" i="20"/>
  <c r="AN17" i="20"/>
  <c r="AM17" i="20"/>
  <c r="AL17" i="20"/>
  <c r="AK17" i="20"/>
  <c r="AJ17" i="20"/>
  <c r="AI17" i="20"/>
  <c r="AH17" i="20"/>
  <c r="AG17" i="20"/>
  <c r="AF17" i="20"/>
  <c r="AE17" i="20"/>
  <c r="AD17" i="20"/>
  <c r="Y17" i="20"/>
  <c r="W17" i="20"/>
  <c r="V17" i="20"/>
  <c r="U17" i="20"/>
  <c r="T17" i="20"/>
  <c r="AN16" i="20"/>
  <c r="AM16" i="20"/>
  <c r="AL16" i="20"/>
  <c r="AK16" i="20"/>
  <c r="AJ16" i="20"/>
  <c r="AI16" i="20"/>
  <c r="AH16" i="20"/>
  <c r="AG16" i="20"/>
  <c r="AF16" i="20"/>
  <c r="AE16" i="20"/>
  <c r="AD16" i="20"/>
  <c r="Y16" i="20"/>
  <c r="W16" i="20"/>
  <c r="V16" i="20"/>
  <c r="U16" i="20"/>
  <c r="T16" i="20"/>
  <c r="A16" i="20"/>
  <c r="AN15" i="20"/>
  <c r="AM15" i="20"/>
  <c r="AL15" i="20"/>
  <c r="AK15" i="20"/>
  <c r="AJ15" i="20"/>
  <c r="AI15" i="20"/>
  <c r="AH15" i="20"/>
  <c r="AG15" i="20"/>
  <c r="AF15" i="20"/>
  <c r="AE15" i="20"/>
  <c r="AD15" i="20"/>
  <c r="Y15" i="20"/>
  <c r="W15" i="20"/>
  <c r="V15" i="20"/>
  <c r="U15" i="20"/>
  <c r="T15" i="20"/>
  <c r="AN14" i="20"/>
  <c r="AM14" i="20"/>
  <c r="AL14" i="20"/>
  <c r="AK14" i="20"/>
  <c r="AJ14" i="20"/>
  <c r="AI14" i="20"/>
  <c r="AH14" i="20"/>
  <c r="AG14" i="20"/>
  <c r="AF14" i="20"/>
  <c r="AE14" i="20"/>
  <c r="AD14" i="20"/>
  <c r="Y14" i="20"/>
  <c r="W14" i="20"/>
  <c r="V14" i="20"/>
  <c r="U14" i="20"/>
  <c r="T14" i="20"/>
  <c r="A14" i="20"/>
  <c r="AN13" i="20"/>
  <c r="AM13" i="20"/>
  <c r="AL13" i="20"/>
  <c r="AK13" i="20"/>
  <c r="AJ13" i="20"/>
  <c r="AI13" i="20"/>
  <c r="AH13" i="20"/>
  <c r="AG13" i="20"/>
  <c r="AF13" i="20"/>
  <c r="AE13" i="20"/>
  <c r="AD13" i="20"/>
  <c r="Y13" i="20"/>
  <c r="W13" i="20"/>
  <c r="V13" i="20"/>
  <c r="U13" i="20"/>
  <c r="T13" i="20"/>
  <c r="AN12" i="20"/>
  <c r="AM12" i="20"/>
  <c r="AL12" i="20"/>
  <c r="AK12" i="20"/>
  <c r="AJ12" i="20"/>
  <c r="AI12" i="20"/>
  <c r="AH12" i="20"/>
  <c r="AG12" i="20"/>
  <c r="AF12" i="20"/>
  <c r="AE12" i="20"/>
  <c r="AD12" i="20"/>
  <c r="Y12" i="20"/>
  <c r="W12" i="20"/>
  <c r="V12" i="20"/>
  <c r="U12" i="20"/>
  <c r="T12" i="20"/>
  <c r="A12" i="20"/>
  <c r="AN11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U11" i="20"/>
  <c r="T11" i="20"/>
  <c r="AN10" i="20"/>
  <c r="AM10" i="20"/>
  <c r="AL10" i="20"/>
  <c r="AK10" i="20"/>
  <c r="AJ10" i="20"/>
  <c r="AI10" i="20"/>
  <c r="AH10" i="20"/>
  <c r="AG10" i="20"/>
  <c r="AF10" i="20"/>
  <c r="AE10" i="20"/>
  <c r="AD10" i="20"/>
  <c r="Y10" i="20"/>
  <c r="W10" i="20"/>
  <c r="V10" i="20"/>
  <c r="U10" i="20"/>
  <c r="T10" i="20"/>
  <c r="A10" i="20"/>
  <c r="AN9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U9" i="20"/>
  <c r="T9" i="20"/>
  <c r="AN8" i="20"/>
  <c r="AM8" i="20"/>
  <c r="AL8" i="20"/>
  <c r="AK8" i="20"/>
  <c r="AJ8" i="20"/>
  <c r="AI8" i="20"/>
  <c r="AH8" i="20"/>
  <c r="AG8" i="20"/>
  <c r="AF8" i="20"/>
  <c r="AD8" i="20"/>
  <c r="Y8" i="20"/>
  <c r="W8" i="20"/>
  <c r="V8" i="20"/>
  <c r="U8" i="20"/>
  <c r="T8" i="20"/>
  <c r="AN7" i="20"/>
  <c r="AM7" i="20"/>
  <c r="AL7" i="20"/>
  <c r="AK7" i="20"/>
  <c r="AJ7" i="20"/>
  <c r="AI7" i="20"/>
  <c r="AH7" i="20"/>
  <c r="AG7" i="20"/>
  <c r="AF7" i="20"/>
  <c r="AD7" i="20"/>
  <c r="Y7" i="20"/>
  <c r="W7" i="20"/>
  <c r="V7" i="20"/>
  <c r="U7" i="20"/>
  <c r="T7" i="20"/>
  <c r="AN6" i="20"/>
  <c r="AM6" i="20"/>
  <c r="AL6" i="20"/>
  <c r="AK6" i="20"/>
  <c r="AJ6" i="20"/>
  <c r="AI6" i="20"/>
  <c r="AH6" i="20"/>
  <c r="AG6" i="20"/>
  <c r="AF6" i="20"/>
  <c r="AD6" i="20"/>
  <c r="Y6" i="20"/>
  <c r="W6" i="20"/>
  <c r="V6" i="20"/>
  <c r="U6" i="20"/>
  <c r="T6" i="20"/>
  <c r="A6" i="20"/>
  <c r="AN5" i="20"/>
  <c r="AM5" i="20"/>
  <c r="AL5" i="20"/>
  <c r="AK5" i="20"/>
  <c r="AJ5" i="20"/>
  <c r="AI5" i="20"/>
  <c r="AH5" i="20"/>
  <c r="AG5" i="20"/>
  <c r="AF5" i="20"/>
  <c r="AD5" i="20"/>
  <c r="Y5" i="20"/>
  <c r="W5" i="20"/>
  <c r="V5" i="20"/>
  <c r="U5" i="20"/>
  <c r="T5" i="20"/>
  <c r="F1" i="20"/>
  <c r="AN24" i="19"/>
  <c r="AM24" i="19"/>
  <c r="AL24" i="19"/>
  <c r="AK24" i="19"/>
  <c r="AJ24" i="19"/>
  <c r="AI24" i="19"/>
  <c r="AH24" i="19"/>
  <c r="AG24" i="19"/>
  <c r="AF24" i="19"/>
  <c r="AE24" i="19"/>
  <c r="AD24" i="19"/>
  <c r="Y24" i="19"/>
  <c r="W24" i="19"/>
  <c r="V24" i="19"/>
  <c r="U24" i="19"/>
  <c r="T24" i="19"/>
  <c r="AN23" i="19"/>
  <c r="AM23" i="19"/>
  <c r="AL23" i="19"/>
  <c r="AK23" i="19"/>
  <c r="AJ23" i="19"/>
  <c r="AI23" i="19"/>
  <c r="AH23" i="19"/>
  <c r="AG23" i="19"/>
  <c r="AF23" i="19"/>
  <c r="AE23" i="19"/>
  <c r="AD23" i="19"/>
  <c r="Y23" i="19"/>
  <c r="W23" i="19"/>
  <c r="V23" i="19"/>
  <c r="U23" i="19"/>
  <c r="T23" i="19"/>
  <c r="AN22" i="19"/>
  <c r="AM22" i="19"/>
  <c r="AL22" i="19"/>
  <c r="AK22" i="19"/>
  <c r="AJ22" i="19"/>
  <c r="AI22" i="19"/>
  <c r="AH22" i="19"/>
  <c r="AG22" i="19"/>
  <c r="AF22" i="19"/>
  <c r="AE22" i="19"/>
  <c r="AD22" i="19"/>
  <c r="Y22" i="19"/>
  <c r="W22" i="19"/>
  <c r="V22" i="19"/>
  <c r="U22" i="19"/>
  <c r="T22" i="19"/>
  <c r="AN21" i="19"/>
  <c r="AM21" i="19"/>
  <c r="AL21" i="19"/>
  <c r="AK21" i="19"/>
  <c r="AJ21" i="19"/>
  <c r="AI21" i="19"/>
  <c r="AH21" i="19"/>
  <c r="AG21" i="19"/>
  <c r="AF21" i="19"/>
  <c r="AE21" i="19"/>
  <c r="AD21" i="19"/>
  <c r="Y21" i="19"/>
  <c r="W21" i="19"/>
  <c r="V21" i="19"/>
  <c r="U21" i="19"/>
  <c r="T21" i="19"/>
  <c r="AN20" i="19"/>
  <c r="AM20" i="19"/>
  <c r="AL20" i="19"/>
  <c r="AK20" i="19"/>
  <c r="AJ20" i="19"/>
  <c r="AI20" i="19"/>
  <c r="AH20" i="19"/>
  <c r="AG20" i="19"/>
  <c r="AF20" i="19"/>
  <c r="AE20" i="19"/>
  <c r="AD20" i="19"/>
  <c r="Y20" i="19"/>
  <c r="W20" i="19"/>
  <c r="V20" i="19"/>
  <c r="U20" i="19"/>
  <c r="T20" i="19"/>
  <c r="AN19" i="19"/>
  <c r="AM19" i="19"/>
  <c r="AL19" i="19"/>
  <c r="AK19" i="19"/>
  <c r="AJ19" i="19"/>
  <c r="AI19" i="19"/>
  <c r="AH19" i="19"/>
  <c r="AG19" i="19"/>
  <c r="AF19" i="19"/>
  <c r="AE19" i="19"/>
  <c r="AD19" i="19"/>
  <c r="Y19" i="19"/>
  <c r="W19" i="19"/>
  <c r="V19" i="19"/>
  <c r="U19" i="19"/>
  <c r="T19" i="19"/>
  <c r="AN18" i="19"/>
  <c r="AM18" i="19"/>
  <c r="AL18" i="19"/>
  <c r="AK18" i="19"/>
  <c r="AJ18" i="19"/>
  <c r="AI18" i="19"/>
  <c r="AH18" i="19"/>
  <c r="AG18" i="19"/>
  <c r="AF18" i="19"/>
  <c r="AE18" i="19"/>
  <c r="AD18" i="19"/>
  <c r="Y18" i="19"/>
  <c r="W18" i="19"/>
  <c r="V18" i="19"/>
  <c r="U18" i="19"/>
  <c r="T18" i="19"/>
  <c r="AN17" i="19"/>
  <c r="AM17" i="19"/>
  <c r="AL17" i="19"/>
  <c r="AK17" i="19"/>
  <c r="AJ17" i="19"/>
  <c r="AI17" i="19"/>
  <c r="AH17" i="19"/>
  <c r="AG17" i="19"/>
  <c r="AF17" i="19"/>
  <c r="AE17" i="19"/>
  <c r="AD17" i="19"/>
  <c r="Y17" i="19"/>
  <c r="W17" i="19"/>
  <c r="V17" i="19"/>
  <c r="U17" i="19"/>
  <c r="T17" i="19"/>
  <c r="AN16" i="19"/>
  <c r="AM16" i="19"/>
  <c r="AL16" i="19"/>
  <c r="AK16" i="19"/>
  <c r="AJ16" i="19"/>
  <c r="AI16" i="19"/>
  <c r="AH16" i="19"/>
  <c r="AG16" i="19"/>
  <c r="AF16" i="19"/>
  <c r="AE16" i="19"/>
  <c r="AD16" i="19"/>
  <c r="Y16" i="19"/>
  <c r="W16" i="19"/>
  <c r="V16" i="19"/>
  <c r="U16" i="19"/>
  <c r="T16" i="19"/>
  <c r="A16" i="19"/>
  <c r="AN15" i="19"/>
  <c r="AM15" i="19"/>
  <c r="AL15" i="19"/>
  <c r="AK15" i="19"/>
  <c r="AJ15" i="19"/>
  <c r="AI15" i="19"/>
  <c r="AH15" i="19"/>
  <c r="AG15" i="19"/>
  <c r="AF15" i="19"/>
  <c r="AE15" i="19"/>
  <c r="AD15" i="19"/>
  <c r="Y15" i="19"/>
  <c r="W15" i="19"/>
  <c r="V15" i="19"/>
  <c r="U15" i="19"/>
  <c r="T15" i="19"/>
  <c r="AN14" i="19"/>
  <c r="AM14" i="19"/>
  <c r="AL14" i="19"/>
  <c r="AK14" i="19"/>
  <c r="AJ14" i="19"/>
  <c r="AI14" i="19"/>
  <c r="AH14" i="19"/>
  <c r="AG14" i="19"/>
  <c r="AF14" i="19"/>
  <c r="AE14" i="19"/>
  <c r="AD14" i="19"/>
  <c r="Y14" i="19"/>
  <c r="W14" i="19"/>
  <c r="V14" i="19"/>
  <c r="U14" i="19"/>
  <c r="T14" i="19"/>
  <c r="A14" i="19"/>
  <c r="AN13" i="19"/>
  <c r="AM13" i="19"/>
  <c r="AL13" i="19"/>
  <c r="AK13" i="19"/>
  <c r="AJ13" i="19"/>
  <c r="AI13" i="19"/>
  <c r="AH13" i="19"/>
  <c r="AG13" i="19"/>
  <c r="AF13" i="19"/>
  <c r="AE13" i="19"/>
  <c r="AD13" i="19"/>
  <c r="Y13" i="19"/>
  <c r="W13" i="19"/>
  <c r="V13" i="19"/>
  <c r="U13" i="19"/>
  <c r="T13" i="19"/>
  <c r="AN12" i="19"/>
  <c r="AM12" i="19"/>
  <c r="AL12" i="19"/>
  <c r="AK12" i="19"/>
  <c r="AJ12" i="19"/>
  <c r="AI12" i="19"/>
  <c r="AH12" i="19"/>
  <c r="AG12" i="19"/>
  <c r="AF12" i="19"/>
  <c r="AE12" i="19"/>
  <c r="AD12" i="19"/>
  <c r="Y12" i="19"/>
  <c r="W12" i="19"/>
  <c r="V12" i="19"/>
  <c r="U12" i="19"/>
  <c r="T12" i="19"/>
  <c r="A12" i="19"/>
  <c r="AN11" i="19"/>
  <c r="AM11" i="19"/>
  <c r="AL11" i="19"/>
  <c r="AK11" i="19"/>
  <c r="AJ11" i="19"/>
  <c r="AI11" i="19"/>
  <c r="AH11" i="19"/>
  <c r="AG11" i="19"/>
  <c r="AF11" i="19"/>
  <c r="AE11" i="19"/>
  <c r="AD11" i="19"/>
  <c r="Y11" i="19"/>
  <c r="W11" i="19"/>
  <c r="V11" i="19"/>
  <c r="U11" i="19"/>
  <c r="T11" i="19"/>
  <c r="AN10" i="19"/>
  <c r="AM10" i="19"/>
  <c r="AL10" i="19"/>
  <c r="AK10" i="19"/>
  <c r="AJ10" i="19"/>
  <c r="AI10" i="19"/>
  <c r="AH10" i="19"/>
  <c r="AG10" i="19"/>
  <c r="AF10" i="19"/>
  <c r="AE10" i="19"/>
  <c r="AD10" i="19"/>
  <c r="Y10" i="19"/>
  <c r="W10" i="19"/>
  <c r="V10" i="19"/>
  <c r="U10" i="19"/>
  <c r="T10" i="19"/>
  <c r="A10" i="19"/>
  <c r="AN9" i="19"/>
  <c r="AM9" i="19"/>
  <c r="AL9" i="19"/>
  <c r="AK9" i="19"/>
  <c r="AJ9" i="19"/>
  <c r="AI9" i="19"/>
  <c r="AH9" i="19"/>
  <c r="AG9" i="19"/>
  <c r="AF9" i="19"/>
  <c r="AE9" i="19"/>
  <c r="AD9" i="19"/>
  <c r="Y9" i="19"/>
  <c r="W9" i="19"/>
  <c r="V9" i="19"/>
  <c r="U9" i="19"/>
  <c r="T9" i="19"/>
  <c r="AN8" i="19"/>
  <c r="AM8" i="19"/>
  <c r="AL8" i="19"/>
  <c r="AK8" i="19"/>
  <c r="AJ8" i="19"/>
  <c r="AI8" i="19"/>
  <c r="AH8" i="19"/>
  <c r="AG8" i="19"/>
  <c r="AF8" i="19"/>
  <c r="AD8" i="19"/>
  <c r="Y8" i="19"/>
  <c r="W8" i="19"/>
  <c r="V8" i="19"/>
  <c r="U8" i="19"/>
  <c r="T8" i="19"/>
  <c r="AN7" i="19"/>
  <c r="AM7" i="19"/>
  <c r="AL7" i="19"/>
  <c r="AK7" i="19"/>
  <c r="AJ7" i="19"/>
  <c r="AI7" i="19"/>
  <c r="AH7" i="19"/>
  <c r="AG7" i="19"/>
  <c r="AF7" i="19"/>
  <c r="AD7" i="19"/>
  <c r="Y7" i="19"/>
  <c r="W7" i="19"/>
  <c r="V7" i="19"/>
  <c r="U7" i="19"/>
  <c r="T7" i="19"/>
  <c r="AN6" i="19"/>
  <c r="AM6" i="19"/>
  <c r="AL6" i="19"/>
  <c r="AK6" i="19"/>
  <c r="AJ6" i="19"/>
  <c r="AI6" i="19"/>
  <c r="AH6" i="19"/>
  <c r="AG6" i="19"/>
  <c r="AF6" i="19"/>
  <c r="AD6" i="19"/>
  <c r="Y6" i="19"/>
  <c r="W6" i="19"/>
  <c r="V6" i="19"/>
  <c r="U6" i="19"/>
  <c r="T6" i="19"/>
  <c r="A6" i="19"/>
  <c r="AN5" i="19"/>
  <c r="AM5" i="19"/>
  <c r="AL5" i="19"/>
  <c r="AK5" i="19"/>
  <c r="AJ5" i="19"/>
  <c r="AI5" i="19"/>
  <c r="AH5" i="19"/>
  <c r="AG5" i="19"/>
  <c r="AF5" i="19"/>
  <c r="AD5" i="19"/>
  <c r="Y5" i="19"/>
  <c r="W5" i="19"/>
  <c r="V5" i="19"/>
  <c r="U5" i="19"/>
  <c r="T5" i="19"/>
  <c r="F1" i="19"/>
  <c r="AN24" i="18"/>
  <c r="AM24" i="18"/>
  <c r="AL24" i="18"/>
  <c r="AK24" i="18"/>
  <c r="AJ24" i="18"/>
  <c r="AI24" i="18"/>
  <c r="AH24" i="18"/>
  <c r="AG24" i="18"/>
  <c r="AF24" i="18"/>
  <c r="AE24" i="18"/>
  <c r="AD24" i="18"/>
  <c r="Y24" i="18"/>
  <c r="W24" i="18"/>
  <c r="V24" i="18"/>
  <c r="U24" i="18"/>
  <c r="T24" i="18"/>
  <c r="AN23" i="18"/>
  <c r="AM23" i="18"/>
  <c r="AL23" i="18"/>
  <c r="AK23" i="18"/>
  <c r="AJ23" i="18"/>
  <c r="AI23" i="18"/>
  <c r="AH23" i="18"/>
  <c r="AG23" i="18"/>
  <c r="AF23" i="18"/>
  <c r="AE23" i="18"/>
  <c r="AD23" i="18"/>
  <c r="Y23" i="18"/>
  <c r="W23" i="18"/>
  <c r="V23" i="18"/>
  <c r="U23" i="18"/>
  <c r="T23" i="18"/>
  <c r="AN22" i="18"/>
  <c r="AM22" i="18"/>
  <c r="AL22" i="18"/>
  <c r="AK22" i="18"/>
  <c r="AJ22" i="18"/>
  <c r="AI22" i="18"/>
  <c r="AH22" i="18"/>
  <c r="AG22" i="18"/>
  <c r="AF22" i="18"/>
  <c r="AE22" i="18"/>
  <c r="AD22" i="18"/>
  <c r="Y22" i="18"/>
  <c r="W22" i="18"/>
  <c r="V22" i="18"/>
  <c r="U22" i="18"/>
  <c r="T22" i="18"/>
  <c r="AN21" i="18"/>
  <c r="AM21" i="18"/>
  <c r="AL21" i="18"/>
  <c r="AK21" i="18"/>
  <c r="AJ21" i="18"/>
  <c r="AI21" i="18"/>
  <c r="AH21" i="18"/>
  <c r="AG21" i="18"/>
  <c r="AF21" i="18"/>
  <c r="AE21" i="18"/>
  <c r="AD21" i="18"/>
  <c r="Y21" i="18"/>
  <c r="W21" i="18"/>
  <c r="V21" i="18"/>
  <c r="U21" i="18"/>
  <c r="T21" i="18"/>
  <c r="AN20" i="18"/>
  <c r="AM20" i="18"/>
  <c r="AL20" i="18"/>
  <c r="AK20" i="18"/>
  <c r="AJ20" i="18"/>
  <c r="AI20" i="18"/>
  <c r="AH20" i="18"/>
  <c r="AG20" i="18"/>
  <c r="AF20" i="18"/>
  <c r="AE20" i="18"/>
  <c r="AD20" i="18"/>
  <c r="Y20" i="18"/>
  <c r="W20" i="18"/>
  <c r="V20" i="18"/>
  <c r="U20" i="18"/>
  <c r="T20" i="18"/>
  <c r="AN19" i="18"/>
  <c r="AM19" i="18"/>
  <c r="AL19" i="18"/>
  <c r="AK19" i="18"/>
  <c r="AJ19" i="18"/>
  <c r="AI19" i="18"/>
  <c r="AH19" i="18"/>
  <c r="AG19" i="18"/>
  <c r="AF19" i="18"/>
  <c r="AE19" i="18"/>
  <c r="AD19" i="18"/>
  <c r="Y19" i="18"/>
  <c r="W19" i="18"/>
  <c r="V19" i="18"/>
  <c r="U19" i="18"/>
  <c r="T19" i="18"/>
  <c r="AN18" i="18"/>
  <c r="AM18" i="18"/>
  <c r="AL18" i="18"/>
  <c r="AK18" i="18"/>
  <c r="AJ18" i="18"/>
  <c r="AI18" i="18"/>
  <c r="AH18" i="18"/>
  <c r="AG18" i="18"/>
  <c r="AF18" i="18"/>
  <c r="AE18" i="18"/>
  <c r="AD18" i="18"/>
  <c r="Y18" i="18"/>
  <c r="W18" i="18"/>
  <c r="V18" i="18"/>
  <c r="U18" i="18"/>
  <c r="T18" i="18"/>
  <c r="AN17" i="18"/>
  <c r="AM17" i="18"/>
  <c r="AL17" i="18"/>
  <c r="AK17" i="18"/>
  <c r="AJ17" i="18"/>
  <c r="AI17" i="18"/>
  <c r="AH17" i="18"/>
  <c r="AG17" i="18"/>
  <c r="AF17" i="18"/>
  <c r="AE17" i="18"/>
  <c r="AD17" i="18"/>
  <c r="Y17" i="18"/>
  <c r="W17" i="18"/>
  <c r="V17" i="18"/>
  <c r="U17" i="18"/>
  <c r="T17" i="18"/>
  <c r="AN16" i="18"/>
  <c r="AM16" i="18"/>
  <c r="AL16" i="18"/>
  <c r="AK16" i="18"/>
  <c r="AJ16" i="18"/>
  <c r="AI16" i="18"/>
  <c r="AH16" i="18"/>
  <c r="AG16" i="18"/>
  <c r="AF16" i="18"/>
  <c r="AE16" i="18"/>
  <c r="AD16" i="18"/>
  <c r="Y16" i="18"/>
  <c r="W16" i="18"/>
  <c r="V16" i="18"/>
  <c r="U16" i="18"/>
  <c r="T16" i="18"/>
  <c r="A16" i="18"/>
  <c r="AN15" i="18"/>
  <c r="AM15" i="18"/>
  <c r="AL15" i="18"/>
  <c r="AK15" i="18"/>
  <c r="AJ15" i="18"/>
  <c r="AI15" i="18"/>
  <c r="AH15" i="18"/>
  <c r="AG15" i="18"/>
  <c r="AF15" i="18"/>
  <c r="AE15" i="18"/>
  <c r="AD15" i="18"/>
  <c r="Y15" i="18"/>
  <c r="W15" i="18"/>
  <c r="V15" i="18"/>
  <c r="U15" i="18"/>
  <c r="T15" i="18"/>
  <c r="AN14" i="18"/>
  <c r="AM14" i="18"/>
  <c r="AL14" i="18"/>
  <c r="AK14" i="18"/>
  <c r="AJ14" i="18"/>
  <c r="AI14" i="18"/>
  <c r="AH14" i="18"/>
  <c r="AG14" i="18"/>
  <c r="AF14" i="18"/>
  <c r="AE14" i="18"/>
  <c r="AD14" i="18"/>
  <c r="Y14" i="18"/>
  <c r="W14" i="18"/>
  <c r="V14" i="18"/>
  <c r="U14" i="18"/>
  <c r="T14" i="18"/>
  <c r="A14" i="18"/>
  <c r="AN13" i="18"/>
  <c r="AM13" i="18"/>
  <c r="AL13" i="18"/>
  <c r="AK13" i="18"/>
  <c r="AJ13" i="18"/>
  <c r="AI13" i="18"/>
  <c r="AH13" i="18"/>
  <c r="AG13" i="18"/>
  <c r="AF13" i="18"/>
  <c r="AE13" i="18"/>
  <c r="AD13" i="18"/>
  <c r="Y13" i="18"/>
  <c r="W13" i="18"/>
  <c r="V13" i="18"/>
  <c r="U13" i="18"/>
  <c r="T13" i="18"/>
  <c r="AN12" i="18"/>
  <c r="AM12" i="18"/>
  <c r="AL12" i="18"/>
  <c r="AK12" i="18"/>
  <c r="AJ12" i="18"/>
  <c r="AI12" i="18"/>
  <c r="AH12" i="18"/>
  <c r="AG12" i="18"/>
  <c r="AF12" i="18"/>
  <c r="AE12" i="18"/>
  <c r="AD12" i="18"/>
  <c r="Y12" i="18"/>
  <c r="W12" i="18"/>
  <c r="V12" i="18"/>
  <c r="U12" i="18"/>
  <c r="T12" i="18"/>
  <c r="A12" i="18"/>
  <c r="AN11" i="18"/>
  <c r="AM11" i="18"/>
  <c r="AL11" i="18"/>
  <c r="AK11" i="18"/>
  <c r="AJ11" i="18"/>
  <c r="AI11" i="18"/>
  <c r="AH11" i="18"/>
  <c r="AG11" i="18"/>
  <c r="AF11" i="18"/>
  <c r="AE11" i="18"/>
  <c r="AD11" i="18"/>
  <c r="Y11" i="18"/>
  <c r="W11" i="18"/>
  <c r="V11" i="18"/>
  <c r="U11" i="18"/>
  <c r="T11" i="18"/>
  <c r="AN10" i="18"/>
  <c r="AM10" i="18"/>
  <c r="AL10" i="18"/>
  <c r="AK10" i="18"/>
  <c r="AJ10" i="18"/>
  <c r="AI10" i="18"/>
  <c r="AH10" i="18"/>
  <c r="AG10" i="18"/>
  <c r="AF10" i="18"/>
  <c r="AE10" i="18"/>
  <c r="AD10" i="18"/>
  <c r="Y10" i="18"/>
  <c r="W10" i="18"/>
  <c r="V10" i="18"/>
  <c r="U10" i="18"/>
  <c r="T10" i="18"/>
  <c r="K10" i="18"/>
  <c r="A10" i="18"/>
  <c r="AN9" i="18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U9" i="18"/>
  <c r="T9" i="18"/>
  <c r="K9" i="18"/>
  <c r="AN8" i="18"/>
  <c r="AM8" i="18"/>
  <c r="AL8" i="18"/>
  <c r="AK8" i="18"/>
  <c r="AJ8" i="18"/>
  <c r="AI8" i="18"/>
  <c r="AH8" i="18"/>
  <c r="AG8" i="18"/>
  <c r="AF8" i="18"/>
  <c r="AD8" i="18"/>
  <c r="Y8" i="18"/>
  <c r="W8" i="18"/>
  <c r="V8" i="18"/>
  <c r="U8" i="18"/>
  <c r="T8" i="18"/>
  <c r="K8" i="18"/>
  <c r="AN7" i="18"/>
  <c r="AM7" i="18"/>
  <c r="AL7" i="18"/>
  <c r="AK7" i="18"/>
  <c r="AJ7" i="18"/>
  <c r="AI7" i="18"/>
  <c r="AH7" i="18"/>
  <c r="AG7" i="18"/>
  <c r="AF7" i="18"/>
  <c r="AD7" i="18"/>
  <c r="Y7" i="18"/>
  <c r="W7" i="18"/>
  <c r="V7" i="18"/>
  <c r="U7" i="18"/>
  <c r="T7" i="18"/>
  <c r="K7" i="18"/>
  <c r="AN6" i="18"/>
  <c r="AM6" i="18"/>
  <c r="AL6" i="18"/>
  <c r="AK6" i="18"/>
  <c r="AJ6" i="18"/>
  <c r="AI6" i="18"/>
  <c r="AH6" i="18"/>
  <c r="AG6" i="18"/>
  <c r="AF6" i="18"/>
  <c r="AD6" i="18"/>
  <c r="Y6" i="18"/>
  <c r="W6" i="18"/>
  <c r="V6" i="18"/>
  <c r="U6" i="18"/>
  <c r="T6" i="18"/>
  <c r="A6" i="18"/>
  <c r="AN5" i="18"/>
  <c r="AM5" i="18"/>
  <c r="AL5" i="18"/>
  <c r="AK5" i="18"/>
  <c r="AJ5" i="18"/>
  <c r="AI5" i="18"/>
  <c r="AH5" i="18"/>
  <c r="AG5" i="18"/>
  <c r="AF5" i="18"/>
  <c r="AD5" i="18"/>
  <c r="Y5" i="18"/>
  <c r="W5" i="18"/>
  <c r="V5" i="18"/>
  <c r="U5" i="18"/>
  <c r="T5" i="18"/>
  <c r="K5" i="18"/>
  <c r="F1" i="18"/>
  <c r="AN24" i="74"/>
  <c r="AM24" i="74"/>
  <c r="AL24" i="74"/>
  <c r="AK24" i="74"/>
  <c r="AJ24" i="74"/>
  <c r="AI24" i="74"/>
  <c r="AH24" i="74"/>
  <c r="AG24" i="74"/>
  <c r="AF24" i="74"/>
  <c r="AE24" i="74"/>
  <c r="AD24" i="74"/>
  <c r="Y24" i="74"/>
  <c r="W24" i="74"/>
  <c r="V24" i="74"/>
  <c r="U24" i="74"/>
  <c r="T24" i="74"/>
  <c r="AN23" i="74"/>
  <c r="AM23" i="74"/>
  <c r="AL23" i="74"/>
  <c r="AK23" i="74"/>
  <c r="AJ23" i="74"/>
  <c r="AI23" i="74"/>
  <c r="AH23" i="74"/>
  <c r="AG23" i="74"/>
  <c r="AF23" i="74"/>
  <c r="AE23" i="74"/>
  <c r="AD23" i="74"/>
  <c r="Y23" i="74"/>
  <c r="W23" i="74"/>
  <c r="V23" i="74"/>
  <c r="U23" i="74"/>
  <c r="T23" i="74"/>
  <c r="AN22" i="74"/>
  <c r="AM22" i="74"/>
  <c r="AL22" i="74"/>
  <c r="AK22" i="74"/>
  <c r="AJ22" i="74"/>
  <c r="AI22" i="74"/>
  <c r="AH22" i="74"/>
  <c r="AG22" i="74"/>
  <c r="AF22" i="74"/>
  <c r="AE22" i="74"/>
  <c r="AD22" i="74"/>
  <c r="Y22" i="74"/>
  <c r="W22" i="74"/>
  <c r="V22" i="74"/>
  <c r="U22" i="74"/>
  <c r="T22" i="74"/>
  <c r="AN21" i="74"/>
  <c r="AM21" i="74"/>
  <c r="AL21" i="74"/>
  <c r="AK21" i="74"/>
  <c r="AJ21" i="74"/>
  <c r="AI21" i="74"/>
  <c r="AH21" i="74"/>
  <c r="AG21" i="74"/>
  <c r="AF21" i="74"/>
  <c r="AE21" i="74"/>
  <c r="AD21" i="74"/>
  <c r="Y21" i="74"/>
  <c r="W21" i="74"/>
  <c r="V21" i="74"/>
  <c r="U21" i="74"/>
  <c r="T21" i="74"/>
  <c r="AN20" i="74"/>
  <c r="AM20" i="74"/>
  <c r="AL20" i="74"/>
  <c r="AK20" i="74"/>
  <c r="AJ20" i="74"/>
  <c r="AI20" i="74"/>
  <c r="AH20" i="74"/>
  <c r="AG20" i="74"/>
  <c r="AF20" i="74"/>
  <c r="AE20" i="74"/>
  <c r="AD20" i="74"/>
  <c r="Y20" i="74"/>
  <c r="W20" i="74"/>
  <c r="V20" i="74"/>
  <c r="U20" i="74"/>
  <c r="T20" i="74"/>
  <c r="AN19" i="74"/>
  <c r="AM19" i="74"/>
  <c r="AL19" i="74"/>
  <c r="AK19" i="74"/>
  <c r="AJ19" i="74"/>
  <c r="AI19" i="74"/>
  <c r="AH19" i="74"/>
  <c r="AG19" i="74"/>
  <c r="AF19" i="74"/>
  <c r="AE19" i="74"/>
  <c r="AD19" i="74"/>
  <c r="Y19" i="74"/>
  <c r="W19" i="74"/>
  <c r="V19" i="74"/>
  <c r="U19" i="74"/>
  <c r="T19" i="74"/>
  <c r="AN18" i="74"/>
  <c r="AM18" i="74"/>
  <c r="AL18" i="74"/>
  <c r="AK18" i="74"/>
  <c r="AJ18" i="74"/>
  <c r="AI18" i="74"/>
  <c r="AH18" i="74"/>
  <c r="AG18" i="74"/>
  <c r="AF18" i="74"/>
  <c r="AE18" i="74"/>
  <c r="AD18" i="74"/>
  <c r="Y18" i="74"/>
  <c r="W18" i="74"/>
  <c r="V18" i="74"/>
  <c r="U18" i="74"/>
  <c r="T18" i="74"/>
  <c r="AN17" i="74"/>
  <c r="AM17" i="74"/>
  <c r="AL17" i="74"/>
  <c r="AK17" i="74"/>
  <c r="AJ17" i="74"/>
  <c r="AI17" i="74"/>
  <c r="AH17" i="74"/>
  <c r="AG17" i="74"/>
  <c r="AF17" i="74"/>
  <c r="AE17" i="74"/>
  <c r="AD17" i="74"/>
  <c r="Y17" i="74"/>
  <c r="W17" i="74"/>
  <c r="V17" i="74"/>
  <c r="U17" i="74"/>
  <c r="T17" i="74"/>
  <c r="AN16" i="74"/>
  <c r="AM16" i="74"/>
  <c r="AL16" i="74"/>
  <c r="AK16" i="74"/>
  <c r="AJ16" i="74"/>
  <c r="AI16" i="74"/>
  <c r="AH16" i="74"/>
  <c r="AG16" i="74"/>
  <c r="AF16" i="74"/>
  <c r="AE16" i="74"/>
  <c r="AD16" i="74"/>
  <c r="Y16" i="74"/>
  <c r="W16" i="74"/>
  <c r="V16" i="74"/>
  <c r="U16" i="74"/>
  <c r="T16" i="74"/>
  <c r="A16" i="74"/>
  <c r="AN15" i="74"/>
  <c r="AM15" i="74"/>
  <c r="AL15" i="74"/>
  <c r="AK15" i="74"/>
  <c r="AJ15" i="74"/>
  <c r="AI15" i="74"/>
  <c r="AH15" i="74"/>
  <c r="AG15" i="74"/>
  <c r="AF15" i="74"/>
  <c r="AE15" i="74"/>
  <c r="AD15" i="74"/>
  <c r="Y15" i="74"/>
  <c r="W15" i="74"/>
  <c r="V15" i="74"/>
  <c r="U15" i="74"/>
  <c r="T15" i="74"/>
  <c r="AN14" i="74"/>
  <c r="AM14" i="74"/>
  <c r="AL14" i="74"/>
  <c r="AK14" i="74"/>
  <c r="AJ14" i="74"/>
  <c r="AI14" i="74"/>
  <c r="AH14" i="74"/>
  <c r="AG14" i="74"/>
  <c r="AF14" i="74"/>
  <c r="AE14" i="74"/>
  <c r="AD14" i="74"/>
  <c r="Y14" i="74"/>
  <c r="W14" i="74"/>
  <c r="V14" i="74"/>
  <c r="U14" i="74"/>
  <c r="T14" i="74"/>
  <c r="A14" i="74"/>
  <c r="AN13" i="74"/>
  <c r="AM13" i="74"/>
  <c r="AL13" i="74"/>
  <c r="AK13" i="74"/>
  <c r="AJ13" i="74"/>
  <c r="AI13" i="74"/>
  <c r="AH13" i="74"/>
  <c r="AG13" i="74"/>
  <c r="AF13" i="74"/>
  <c r="AE13" i="74"/>
  <c r="AD13" i="74"/>
  <c r="Y13" i="74"/>
  <c r="W13" i="74"/>
  <c r="V13" i="74"/>
  <c r="U13" i="74"/>
  <c r="T13" i="74"/>
  <c r="AN12" i="74"/>
  <c r="AM12" i="74"/>
  <c r="AL12" i="74"/>
  <c r="AK12" i="74"/>
  <c r="AJ12" i="74"/>
  <c r="AI12" i="74"/>
  <c r="AH12" i="74"/>
  <c r="AG12" i="74"/>
  <c r="AF12" i="74"/>
  <c r="AE12" i="74"/>
  <c r="AD12" i="74"/>
  <c r="Y12" i="74"/>
  <c r="W12" i="74"/>
  <c r="V12" i="74"/>
  <c r="U12" i="74"/>
  <c r="T12" i="74"/>
  <c r="A12" i="74"/>
  <c r="AN11" i="74"/>
  <c r="AM11" i="74"/>
  <c r="AL11" i="74"/>
  <c r="AK11" i="74"/>
  <c r="AJ11" i="74"/>
  <c r="AI11" i="74"/>
  <c r="AH11" i="74"/>
  <c r="AG11" i="74"/>
  <c r="AF11" i="74"/>
  <c r="AE11" i="74"/>
  <c r="AD11" i="74"/>
  <c r="Y11" i="74"/>
  <c r="W11" i="74"/>
  <c r="V11" i="74"/>
  <c r="U11" i="74"/>
  <c r="T11" i="74"/>
  <c r="AN10" i="74"/>
  <c r="AM10" i="74"/>
  <c r="AL10" i="74"/>
  <c r="AK10" i="74"/>
  <c r="AJ10" i="74"/>
  <c r="AI10" i="74"/>
  <c r="AH10" i="74"/>
  <c r="AG10" i="74"/>
  <c r="AF10" i="74"/>
  <c r="AE10" i="74"/>
  <c r="AD10" i="74"/>
  <c r="Y10" i="74"/>
  <c r="W10" i="74"/>
  <c r="V10" i="74"/>
  <c r="U10" i="74"/>
  <c r="T10" i="74"/>
  <c r="A10" i="74"/>
  <c r="AN9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U9" i="74"/>
  <c r="T9" i="74"/>
  <c r="AN8" i="74"/>
  <c r="AM8" i="74"/>
  <c r="AL8" i="74"/>
  <c r="AK8" i="74"/>
  <c r="AJ8" i="74"/>
  <c r="AI8" i="74"/>
  <c r="AH8" i="74"/>
  <c r="AG8" i="74"/>
  <c r="AF8" i="74"/>
  <c r="AD8" i="74"/>
  <c r="Y8" i="74"/>
  <c r="W8" i="74"/>
  <c r="V8" i="74"/>
  <c r="U8" i="74"/>
  <c r="T8" i="74"/>
  <c r="AN7" i="74"/>
  <c r="AM7" i="74"/>
  <c r="AL7" i="74"/>
  <c r="AK7" i="74"/>
  <c r="AJ7" i="74"/>
  <c r="AI7" i="74"/>
  <c r="AH7" i="74"/>
  <c r="AG7" i="74"/>
  <c r="AF7" i="74"/>
  <c r="AD7" i="74"/>
  <c r="Y7" i="74"/>
  <c r="W7" i="74"/>
  <c r="V7" i="74"/>
  <c r="U7" i="74"/>
  <c r="T7" i="74"/>
  <c r="AN6" i="74"/>
  <c r="AM6" i="74"/>
  <c r="AL6" i="74"/>
  <c r="AK6" i="74"/>
  <c r="AJ6" i="74"/>
  <c r="AI6" i="74"/>
  <c r="AH6" i="74"/>
  <c r="AG6" i="74"/>
  <c r="AF6" i="74"/>
  <c r="AD6" i="74"/>
  <c r="Y6" i="74"/>
  <c r="W6" i="74"/>
  <c r="V6" i="74"/>
  <c r="U6" i="74"/>
  <c r="T6" i="74"/>
  <c r="A6" i="74"/>
  <c r="AN5" i="74"/>
  <c r="AM5" i="74"/>
  <c r="AL5" i="74"/>
  <c r="AK5" i="74"/>
  <c r="AJ5" i="74"/>
  <c r="AI5" i="74"/>
  <c r="AH5" i="74"/>
  <c r="AG5" i="74"/>
  <c r="AF5" i="74"/>
  <c r="AD5" i="74"/>
  <c r="Y5" i="74"/>
  <c r="W5" i="74"/>
  <c r="V5" i="74"/>
  <c r="U5" i="74"/>
  <c r="T5" i="74"/>
  <c r="F1" i="74"/>
  <c r="AN24" i="16"/>
  <c r="AM24" i="16"/>
  <c r="AL24" i="16"/>
  <c r="AK24" i="16"/>
  <c r="AJ24" i="16"/>
  <c r="AI24" i="16"/>
  <c r="AH24" i="16"/>
  <c r="AG24" i="16"/>
  <c r="AF24" i="16"/>
  <c r="AE24" i="16"/>
  <c r="AD24" i="16"/>
  <c r="Y24" i="16"/>
  <c r="W24" i="16"/>
  <c r="V24" i="16"/>
  <c r="U24" i="16"/>
  <c r="T24" i="16"/>
  <c r="AN23" i="16"/>
  <c r="AM23" i="16"/>
  <c r="AL23" i="16"/>
  <c r="AK23" i="16"/>
  <c r="AJ23" i="16"/>
  <c r="AI23" i="16"/>
  <c r="AH23" i="16"/>
  <c r="AG23" i="16"/>
  <c r="AF23" i="16"/>
  <c r="AE23" i="16"/>
  <c r="AD23" i="16"/>
  <c r="Y23" i="16"/>
  <c r="W23" i="16"/>
  <c r="V23" i="16"/>
  <c r="U23" i="16"/>
  <c r="T23" i="16"/>
  <c r="AN22" i="16"/>
  <c r="AM22" i="16"/>
  <c r="AL22" i="16"/>
  <c r="AK22" i="16"/>
  <c r="AJ22" i="16"/>
  <c r="AI22" i="16"/>
  <c r="AH22" i="16"/>
  <c r="AG22" i="16"/>
  <c r="AF22" i="16"/>
  <c r="AE22" i="16"/>
  <c r="AD22" i="16"/>
  <c r="Y22" i="16"/>
  <c r="W22" i="16"/>
  <c r="V22" i="16"/>
  <c r="U22" i="16"/>
  <c r="T22" i="16"/>
  <c r="AN21" i="16"/>
  <c r="AM21" i="16"/>
  <c r="AL21" i="16"/>
  <c r="AK21" i="16"/>
  <c r="AJ21" i="16"/>
  <c r="AI21" i="16"/>
  <c r="AH21" i="16"/>
  <c r="AG21" i="16"/>
  <c r="AF21" i="16"/>
  <c r="AE21" i="16"/>
  <c r="AD21" i="16"/>
  <c r="Y21" i="16"/>
  <c r="W21" i="16"/>
  <c r="V21" i="16"/>
  <c r="U21" i="16"/>
  <c r="T21" i="16"/>
  <c r="AN20" i="16"/>
  <c r="AM20" i="16"/>
  <c r="AL20" i="16"/>
  <c r="AK20" i="16"/>
  <c r="AJ20" i="16"/>
  <c r="AI20" i="16"/>
  <c r="AH20" i="16"/>
  <c r="AG20" i="16"/>
  <c r="AF20" i="16"/>
  <c r="AE20" i="16"/>
  <c r="AD20" i="16"/>
  <c r="Y20" i="16"/>
  <c r="W20" i="16"/>
  <c r="V20" i="16"/>
  <c r="U20" i="16"/>
  <c r="T20" i="16"/>
  <c r="AN19" i="16"/>
  <c r="AM19" i="16"/>
  <c r="AL19" i="16"/>
  <c r="AK19" i="16"/>
  <c r="AJ19" i="16"/>
  <c r="AI19" i="16"/>
  <c r="AH19" i="16"/>
  <c r="AG19" i="16"/>
  <c r="AF19" i="16"/>
  <c r="AE19" i="16"/>
  <c r="AD19" i="16"/>
  <c r="Y19" i="16"/>
  <c r="W19" i="16"/>
  <c r="V19" i="16"/>
  <c r="U19" i="16"/>
  <c r="T19" i="16"/>
  <c r="AN18" i="16"/>
  <c r="AM18" i="16"/>
  <c r="AL18" i="16"/>
  <c r="AK18" i="16"/>
  <c r="AJ18" i="16"/>
  <c r="AI18" i="16"/>
  <c r="AH18" i="16"/>
  <c r="AG18" i="16"/>
  <c r="AF18" i="16"/>
  <c r="AE18" i="16"/>
  <c r="AD18" i="16"/>
  <c r="Y18" i="16"/>
  <c r="W18" i="16"/>
  <c r="V18" i="16"/>
  <c r="U18" i="16"/>
  <c r="T18" i="16"/>
  <c r="AN17" i="16"/>
  <c r="AM17" i="16"/>
  <c r="AL17" i="16"/>
  <c r="AK17" i="16"/>
  <c r="AJ17" i="16"/>
  <c r="AI17" i="16"/>
  <c r="AH17" i="16"/>
  <c r="AG17" i="16"/>
  <c r="AF17" i="16"/>
  <c r="AE17" i="16"/>
  <c r="AD17" i="16"/>
  <c r="Y17" i="16"/>
  <c r="W17" i="16"/>
  <c r="V17" i="16"/>
  <c r="U17" i="16"/>
  <c r="T17" i="16"/>
  <c r="AN16" i="16"/>
  <c r="AM16" i="16"/>
  <c r="AL16" i="16"/>
  <c r="AK16" i="16"/>
  <c r="AJ16" i="16"/>
  <c r="AI16" i="16"/>
  <c r="AH16" i="16"/>
  <c r="AG16" i="16"/>
  <c r="AF16" i="16"/>
  <c r="AE16" i="16"/>
  <c r="AD16" i="16"/>
  <c r="Y16" i="16"/>
  <c r="W16" i="16"/>
  <c r="V16" i="16"/>
  <c r="U16" i="16"/>
  <c r="T16" i="16"/>
  <c r="A16" i="16"/>
  <c r="AN15" i="16"/>
  <c r="AM15" i="16"/>
  <c r="AL15" i="16"/>
  <c r="AK15" i="16"/>
  <c r="AJ15" i="16"/>
  <c r="AI15" i="16"/>
  <c r="AH15" i="16"/>
  <c r="AG15" i="16"/>
  <c r="AF15" i="16"/>
  <c r="AE15" i="16"/>
  <c r="AD15" i="16"/>
  <c r="Y15" i="16"/>
  <c r="W15" i="16"/>
  <c r="V15" i="16"/>
  <c r="U15" i="16"/>
  <c r="T15" i="16"/>
  <c r="AN14" i="16"/>
  <c r="AM14" i="16"/>
  <c r="AL14" i="16"/>
  <c r="AK14" i="16"/>
  <c r="AJ14" i="16"/>
  <c r="AI14" i="16"/>
  <c r="AH14" i="16"/>
  <c r="AG14" i="16"/>
  <c r="AF14" i="16"/>
  <c r="AE14" i="16"/>
  <c r="AD14" i="16"/>
  <c r="Y14" i="16"/>
  <c r="W14" i="16"/>
  <c r="V14" i="16"/>
  <c r="U14" i="16"/>
  <c r="T14" i="16"/>
  <c r="A14" i="16"/>
  <c r="AN13" i="16"/>
  <c r="AM13" i="16"/>
  <c r="AL13" i="16"/>
  <c r="AK13" i="16"/>
  <c r="AJ13" i="16"/>
  <c r="AI13" i="16"/>
  <c r="AH13" i="16"/>
  <c r="AG13" i="16"/>
  <c r="AF13" i="16"/>
  <c r="AE13" i="16"/>
  <c r="AD13" i="16"/>
  <c r="Y13" i="16"/>
  <c r="W13" i="16"/>
  <c r="V13" i="16"/>
  <c r="U13" i="16"/>
  <c r="T13" i="16"/>
  <c r="AN12" i="16"/>
  <c r="AM12" i="16"/>
  <c r="AL12" i="16"/>
  <c r="AK12" i="16"/>
  <c r="AJ12" i="16"/>
  <c r="AI12" i="16"/>
  <c r="AH12" i="16"/>
  <c r="AG12" i="16"/>
  <c r="AF12" i="16"/>
  <c r="AE12" i="16"/>
  <c r="AD12" i="16"/>
  <c r="Y12" i="16"/>
  <c r="W12" i="16"/>
  <c r="V12" i="16"/>
  <c r="U12" i="16"/>
  <c r="T12" i="16"/>
  <c r="A12" i="16"/>
  <c r="AN11" i="16"/>
  <c r="AM11" i="16"/>
  <c r="AL11" i="16"/>
  <c r="AK11" i="16"/>
  <c r="AJ11" i="16"/>
  <c r="AI11" i="16"/>
  <c r="AH11" i="16"/>
  <c r="AG11" i="16"/>
  <c r="AF11" i="16"/>
  <c r="AE11" i="16"/>
  <c r="AD11" i="16"/>
  <c r="Y11" i="16"/>
  <c r="W11" i="16"/>
  <c r="V11" i="16"/>
  <c r="U11" i="16"/>
  <c r="T11" i="16"/>
  <c r="AN10" i="16"/>
  <c r="AM10" i="16"/>
  <c r="AL10" i="16"/>
  <c r="AK10" i="16"/>
  <c r="AJ10" i="16"/>
  <c r="AI10" i="16"/>
  <c r="AH10" i="16"/>
  <c r="AG10" i="16"/>
  <c r="AF10" i="16"/>
  <c r="AE10" i="16"/>
  <c r="AD10" i="16"/>
  <c r="Y10" i="16"/>
  <c r="W10" i="16"/>
  <c r="V10" i="16"/>
  <c r="U10" i="16"/>
  <c r="T10" i="16"/>
  <c r="A10" i="16"/>
  <c r="AN9" i="16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U9" i="16"/>
  <c r="T9" i="16"/>
  <c r="AN8" i="16"/>
  <c r="AM8" i="16"/>
  <c r="AL8" i="16"/>
  <c r="AK8" i="16"/>
  <c r="AJ8" i="16"/>
  <c r="AI8" i="16"/>
  <c r="AH8" i="16"/>
  <c r="AG8" i="16"/>
  <c r="AF8" i="16"/>
  <c r="AD8" i="16"/>
  <c r="Y8" i="16"/>
  <c r="W8" i="16"/>
  <c r="V8" i="16"/>
  <c r="U8" i="16"/>
  <c r="T8" i="16"/>
  <c r="AN7" i="16"/>
  <c r="AM7" i="16"/>
  <c r="AL7" i="16"/>
  <c r="AK7" i="16"/>
  <c r="AJ7" i="16"/>
  <c r="AI7" i="16"/>
  <c r="AH7" i="16"/>
  <c r="AG7" i="16"/>
  <c r="AF7" i="16"/>
  <c r="AD7" i="16"/>
  <c r="Y7" i="16"/>
  <c r="W7" i="16"/>
  <c r="V7" i="16"/>
  <c r="U7" i="16"/>
  <c r="T7" i="16"/>
  <c r="AN6" i="16"/>
  <c r="AM6" i="16"/>
  <c r="AL6" i="16"/>
  <c r="AK6" i="16"/>
  <c r="AJ6" i="16"/>
  <c r="AI6" i="16"/>
  <c r="AH6" i="16"/>
  <c r="AG6" i="16"/>
  <c r="AF6" i="16"/>
  <c r="AD6" i="16"/>
  <c r="Y6" i="16"/>
  <c r="W6" i="16"/>
  <c r="V6" i="16"/>
  <c r="U6" i="16"/>
  <c r="T6" i="16"/>
  <c r="A6" i="16"/>
  <c r="AN5" i="16"/>
  <c r="AM5" i="16"/>
  <c r="AL5" i="16"/>
  <c r="AK5" i="16"/>
  <c r="AJ5" i="16"/>
  <c r="AI5" i="16"/>
  <c r="AH5" i="16"/>
  <c r="AG5" i="16"/>
  <c r="AF5" i="16"/>
  <c r="AD5" i="16"/>
  <c r="Y5" i="16"/>
  <c r="W5" i="16"/>
  <c r="V5" i="16"/>
  <c r="U5" i="16"/>
  <c r="T5" i="16"/>
  <c r="K5" i="16"/>
  <c r="F1" i="16"/>
  <c r="AN515" i="15"/>
  <c r="AM515" i="15"/>
  <c r="AL515" i="15"/>
  <c r="AK515" i="15"/>
  <c r="AJ515" i="15"/>
  <c r="AI515" i="15"/>
  <c r="AH515" i="15"/>
  <c r="AG515" i="15"/>
  <c r="AF515" i="15"/>
  <c r="AE515" i="15"/>
  <c r="AD515" i="15"/>
  <c r="Y515" i="15"/>
  <c r="W515" i="15"/>
  <c r="V515" i="15"/>
  <c r="U515" i="15"/>
  <c r="T515" i="15"/>
  <c r="AN514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W514" i="15"/>
  <c r="V514" i="15"/>
  <c r="U514" i="15"/>
  <c r="T514" i="15"/>
  <c r="AN513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W513" i="15"/>
  <c r="V513" i="15"/>
  <c r="U513" i="15"/>
  <c r="T513" i="15"/>
  <c r="AN512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W512" i="15"/>
  <c r="V512" i="15"/>
  <c r="U512" i="15"/>
  <c r="T512" i="15"/>
  <c r="AN511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W511" i="15"/>
  <c r="V511" i="15"/>
  <c r="U511" i="15"/>
  <c r="T511" i="15"/>
  <c r="AN510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W510" i="15"/>
  <c r="V510" i="15"/>
  <c r="U510" i="15"/>
  <c r="T510" i="15"/>
  <c r="AN509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W509" i="15"/>
  <c r="V509" i="15"/>
  <c r="U509" i="15"/>
  <c r="T509" i="15"/>
  <c r="AN508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W508" i="15"/>
  <c r="V508" i="15"/>
  <c r="U508" i="15"/>
  <c r="T508" i="15"/>
  <c r="AN507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W507" i="15"/>
  <c r="V507" i="15"/>
  <c r="U507" i="15"/>
  <c r="T507" i="15"/>
  <c r="AN506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W506" i="15"/>
  <c r="V506" i="15"/>
  <c r="U506" i="15"/>
  <c r="T506" i="15"/>
  <c r="AN505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W505" i="15"/>
  <c r="V505" i="15"/>
  <c r="U505" i="15"/>
  <c r="T505" i="15"/>
  <c r="AN504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W504" i="15"/>
  <c r="V504" i="15"/>
  <c r="U504" i="15"/>
  <c r="T504" i="15"/>
  <c r="AN503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W503" i="15"/>
  <c r="V503" i="15"/>
  <c r="U503" i="15"/>
  <c r="T503" i="15"/>
  <c r="AN502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W502" i="15"/>
  <c r="V502" i="15"/>
  <c r="U502" i="15"/>
  <c r="T502" i="15"/>
  <c r="AN501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W501" i="15"/>
  <c r="V501" i="15"/>
  <c r="U501" i="15"/>
  <c r="T501" i="15"/>
  <c r="AN500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W500" i="15"/>
  <c r="V500" i="15"/>
  <c r="U500" i="15"/>
  <c r="T500" i="15"/>
  <c r="AN499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W499" i="15"/>
  <c r="V499" i="15"/>
  <c r="U499" i="15"/>
  <c r="T499" i="15"/>
  <c r="AN498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W498" i="15"/>
  <c r="V498" i="15"/>
  <c r="U498" i="15"/>
  <c r="T498" i="15"/>
  <c r="AN497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W497" i="15"/>
  <c r="V497" i="15"/>
  <c r="U497" i="15"/>
  <c r="T497" i="15"/>
  <c r="AN496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W496" i="15"/>
  <c r="V496" i="15"/>
  <c r="U496" i="15"/>
  <c r="T496" i="15"/>
  <c r="AN495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W495" i="15"/>
  <c r="V495" i="15"/>
  <c r="U495" i="15"/>
  <c r="T495" i="15"/>
  <c r="AN494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W494" i="15"/>
  <c r="V494" i="15"/>
  <c r="U494" i="15"/>
  <c r="T494" i="15"/>
  <c r="AN493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W493" i="15"/>
  <c r="V493" i="15"/>
  <c r="U493" i="15"/>
  <c r="T493" i="15"/>
  <c r="AN492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W492" i="15"/>
  <c r="V492" i="15"/>
  <c r="U492" i="15"/>
  <c r="T492" i="15"/>
  <c r="AN491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W491" i="15"/>
  <c r="V491" i="15"/>
  <c r="U491" i="15"/>
  <c r="T491" i="15"/>
  <c r="AN490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W490" i="15"/>
  <c r="V490" i="15"/>
  <c r="U490" i="15"/>
  <c r="T490" i="15"/>
  <c r="AN489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W489" i="15"/>
  <c r="V489" i="15"/>
  <c r="U489" i="15"/>
  <c r="T489" i="15"/>
  <c r="AN488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W488" i="15"/>
  <c r="V488" i="15"/>
  <c r="U488" i="15"/>
  <c r="T488" i="15"/>
  <c r="AN487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W487" i="15"/>
  <c r="V487" i="15"/>
  <c r="U487" i="15"/>
  <c r="T487" i="15"/>
  <c r="AN486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W486" i="15"/>
  <c r="V486" i="15"/>
  <c r="U486" i="15"/>
  <c r="T486" i="15"/>
  <c r="AN485" i="15"/>
  <c r="AM485" i="15"/>
  <c r="AL485" i="15"/>
  <c r="AK485" i="15"/>
  <c r="AJ485" i="15"/>
  <c r="AI485" i="15"/>
  <c r="AH485" i="15"/>
  <c r="AG485" i="15"/>
  <c r="AF485" i="15"/>
  <c r="AE485" i="15"/>
  <c r="AD485" i="15"/>
  <c r="Y485" i="15"/>
  <c r="W485" i="15"/>
  <c r="V485" i="15"/>
  <c r="U485" i="15"/>
  <c r="T485" i="15"/>
  <c r="AN484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W484" i="15"/>
  <c r="V484" i="15"/>
  <c r="U484" i="15"/>
  <c r="T484" i="15"/>
  <c r="AN483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W483" i="15"/>
  <c r="V483" i="15"/>
  <c r="U483" i="15"/>
  <c r="T483" i="15"/>
  <c r="AN482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W482" i="15"/>
  <c r="V482" i="15"/>
  <c r="U482" i="15"/>
  <c r="T482" i="15"/>
  <c r="AN481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W481" i="15"/>
  <c r="V481" i="15"/>
  <c r="U481" i="15"/>
  <c r="T481" i="15"/>
  <c r="AN480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W480" i="15"/>
  <c r="V480" i="15"/>
  <c r="U480" i="15"/>
  <c r="T480" i="15"/>
  <c r="AN479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W479" i="15"/>
  <c r="V479" i="15"/>
  <c r="U479" i="15"/>
  <c r="T479" i="15"/>
  <c r="AN478" i="15"/>
  <c r="AM478" i="15"/>
  <c r="AL478" i="15"/>
  <c r="AK478" i="15"/>
  <c r="AJ478" i="15"/>
  <c r="AI478" i="15"/>
  <c r="AH478" i="15"/>
  <c r="AG478" i="15"/>
  <c r="AF478" i="15"/>
  <c r="AE478" i="15"/>
  <c r="AD478" i="15"/>
  <c r="Y478" i="15"/>
  <c r="W478" i="15"/>
  <c r="V478" i="15"/>
  <c r="U478" i="15"/>
  <c r="T478" i="15"/>
  <c r="AN477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W477" i="15"/>
  <c r="V477" i="15"/>
  <c r="U477" i="15"/>
  <c r="T477" i="15"/>
  <c r="AN476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W476" i="15"/>
  <c r="V476" i="15"/>
  <c r="U476" i="15"/>
  <c r="T476" i="15"/>
  <c r="AN475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W475" i="15"/>
  <c r="V475" i="15"/>
  <c r="U475" i="15"/>
  <c r="T475" i="15"/>
  <c r="AN474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W474" i="15"/>
  <c r="V474" i="15"/>
  <c r="U474" i="15"/>
  <c r="T474" i="15"/>
  <c r="AN473" i="15"/>
  <c r="AM473" i="15"/>
  <c r="AL473" i="15"/>
  <c r="AK473" i="15"/>
  <c r="AJ473" i="15"/>
  <c r="AI473" i="15"/>
  <c r="AH473" i="15"/>
  <c r="AG473" i="15"/>
  <c r="AF473" i="15"/>
  <c r="AE473" i="15"/>
  <c r="AD473" i="15"/>
  <c r="Y473" i="15"/>
  <c r="W473" i="15"/>
  <c r="V473" i="15"/>
  <c r="U473" i="15"/>
  <c r="T473" i="15"/>
  <c r="AN472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W472" i="15"/>
  <c r="V472" i="15"/>
  <c r="U472" i="15"/>
  <c r="T472" i="15"/>
  <c r="AN471" i="15"/>
  <c r="AM471" i="15"/>
  <c r="AL471" i="15"/>
  <c r="AK471" i="15"/>
  <c r="AJ471" i="15"/>
  <c r="AI471" i="15"/>
  <c r="AH471" i="15"/>
  <c r="AG471" i="15"/>
  <c r="AF471" i="15"/>
  <c r="AE471" i="15"/>
  <c r="AD471" i="15"/>
  <c r="Y471" i="15"/>
  <c r="W471" i="15"/>
  <c r="V471" i="15"/>
  <c r="U471" i="15"/>
  <c r="T471" i="15"/>
  <c r="AN470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W470" i="15"/>
  <c r="V470" i="15"/>
  <c r="U470" i="15"/>
  <c r="T470" i="15"/>
  <c r="AN469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W469" i="15"/>
  <c r="V469" i="15"/>
  <c r="U469" i="15"/>
  <c r="T469" i="15"/>
  <c r="AN468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W468" i="15"/>
  <c r="V468" i="15"/>
  <c r="U468" i="15"/>
  <c r="T468" i="15"/>
  <c r="AN467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W467" i="15"/>
  <c r="V467" i="15"/>
  <c r="U467" i="15"/>
  <c r="T467" i="15"/>
  <c r="AN466" i="15"/>
  <c r="AM466" i="15"/>
  <c r="AL466" i="15"/>
  <c r="AK466" i="15"/>
  <c r="AJ466" i="15"/>
  <c r="AI466" i="15"/>
  <c r="AH466" i="15"/>
  <c r="AG466" i="15"/>
  <c r="AF466" i="15"/>
  <c r="AE466" i="15"/>
  <c r="AD466" i="15"/>
  <c r="Y466" i="15"/>
  <c r="W466" i="15"/>
  <c r="V466" i="15"/>
  <c r="U466" i="15"/>
  <c r="T466" i="15"/>
  <c r="AN465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W465" i="15"/>
  <c r="V465" i="15"/>
  <c r="U465" i="15"/>
  <c r="T465" i="15"/>
  <c r="AN464" i="15"/>
  <c r="AM464" i="15"/>
  <c r="AL464" i="15"/>
  <c r="AK464" i="15"/>
  <c r="AJ464" i="15"/>
  <c r="AI464" i="15"/>
  <c r="AH464" i="15"/>
  <c r="AG464" i="15"/>
  <c r="AF464" i="15"/>
  <c r="AE464" i="15"/>
  <c r="AD464" i="15"/>
  <c r="Y464" i="15"/>
  <c r="W464" i="15"/>
  <c r="V464" i="15"/>
  <c r="U464" i="15"/>
  <c r="T464" i="15"/>
  <c r="AN463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W463" i="15"/>
  <c r="V463" i="15"/>
  <c r="U463" i="15"/>
  <c r="T463" i="15"/>
  <c r="AN462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W462" i="15"/>
  <c r="V462" i="15"/>
  <c r="U462" i="15"/>
  <c r="T462" i="15"/>
  <c r="AN461" i="15"/>
  <c r="AM461" i="15"/>
  <c r="AL461" i="15"/>
  <c r="AK461" i="15"/>
  <c r="AJ461" i="15"/>
  <c r="AI461" i="15"/>
  <c r="AH461" i="15"/>
  <c r="AG461" i="15"/>
  <c r="AF461" i="15"/>
  <c r="AE461" i="15"/>
  <c r="AD461" i="15"/>
  <c r="Y461" i="15"/>
  <c r="W461" i="15"/>
  <c r="V461" i="15"/>
  <c r="U461" i="15"/>
  <c r="T461" i="15"/>
  <c r="AN460" i="15"/>
  <c r="AM460" i="15"/>
  <c r="AL460" i="15"/>
  <c r="AK460" i="15"/>
  <c r="AJ460" i="15"/>
  <c r="AI460" i="15"/>
  <c r="AH460" i="15"/>
  <c r="AG460" i="15"/>
  <c r="AF460" i="15"/>
  <c r="AE460" i="15"/>
  <c r="AD460" i="15"/>
  <c r="Y460" i="15"/>
  <c r="W460" i="15"/>
  <c r="V460" i="15"/>
  <c r="U460" i="15"/>
  <c r="T460" i="15"/>
  <c r="AN459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W459" i="15"/>
  <c r="V459" i="15"/>
  <c r="U459" i="15"/>
  <c r="T459" i="15"/>
  <c r="AN458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W458" i="15"/>
  <c r="V458" i="15"/>
  <c r="U458" i="15"/>
  <c r="T458" i="15"/>
  <c r="AN457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W457" i="15"/>
  <c r="V457" i="15"/>
  <c r="U457" i="15"/>
  <c r="T457" i="15"/>
  <c r="AN456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W456" i="15"/>
  <c r="V456" i="15"/>
  <c r="U456" i="15"/>
  <c r="T456" i="15"/>
  <c r="AN455" i="15"/>
  <c r="AM455" i="15"/>
  <c r="AL455" i="15"/>
  <c r="AK455" i="15"/>
  <c r="AJ455" i="15"/>
  <c r="AI455" i="15"/>
  <c r="AH455" i="15"/>
  <c r="AG455" i="15"/>
  <c r="AF455" i="15"/>
  <c r="AE455" i="15"/>
  <c r="AD455" i="15"/>
  <c r="Y455" i="15"/>
  <c r="W455" i="15"/>
  <c r="V455" i="15"/>
  <c r="U455" i="15"/>
  <c r="T455" i="15"/>
  <c r="AN454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W454" i="15"/>
  <c r="V454" i="15"/>
  <c r="U454" i="15"/>
  <c r="T454" i="15"/>
  <c r="AN453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W453" i="15"/>
  <c r="V453" i="15"/>
  <c r="U453" i="15"/>
  <c r="T453" i="15"/>
  <c r="AN452" i="15"/>
  <c r="AM452" i="15"/>
  <c r="AL452" i="15"/>
  <c r="AK452" i="15"/>
  <c r="AJ452" i="15"/>
  <c r="AI452" i="15"/>
  <c r="AH452" i="15"/>
  <c r="AG452" i="15"/>
  <c r="AF452" i="15"/>
  <c r="AE452" i="15"/>
  <c r="AD452" i="15"/>
  <c r="Y452" i="15"/>
  <c r="W452" i="15"/>
  <c r="V452" i="15"/>
  <c r="U452" i="15"/>
  <c r="T452" i="15"/>
  <c r="AN451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W451" i="15"/>
  <c r="V451" i="15"/>
  <c r="U451" i="15"/>
  <c r="T451" i="15"/>
  <c r="AN450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W450" i="15"/>
  <c r="V450" i="15"/>
  <c r="U450" i="15"/>
  <c r="T450" i="15"/>
  <c r="AN449" i="15"/>
  <c r="AM449" i="15"/>
  <c r="AL449" i="15"/>
  <c r="AK449" i="15"/>
  <c r="AJ449" i="15"/>
  <c r="AI449" i="15"/>
  <c r="AH449" i="15"/>
  <c r="AG449" i="15"/>
  <c r="AF449" i="15"/>
  <c r="AE449" i="15"/>
  <c r="AD449" i="15"/>
  <c r="Y449" i="15"/>
  <c r="W449" i="15"/>
  <c r="V449" i="15"/>
  <c r="U449" i="15"/>
  <c r="T449" i="15"/>
  <c r="AN448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W448" i="15"/>
  <c r="V448" i="15"/>
  <c r="U448" i="15"/>
  <c r="T448" i="15"/>
  <c r="AN447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W447" i="15"/>
  <c r="V447" i="15"/>
  <c r="U447" i="15"/>
  <c r="T447" i="15"/>
  <c r="AN446" i="15"/>
  <c r="AM446" i="15"/>
  <c r="AL446" i="15"/>
  <c r="AK446" i="15"/>
  <c r="AJ446" i="15"/>
  <c r="AI446" i="15"/>
  <c r="AH446" i="15"/>
  <c r="AG446" i="15"/>
  <c r="AF446" i="15"/>
  <c r="AE446" i="15"/>
  <c r="AD446" i="15"/>
  <c r="Y446" i="15"/>
  <c r="W446" i="15"/>
  <c r="V446" i="15"/>
  <c r="U446" i="15"/>
  <c r="T446" i="15"/>
  <c r="AN445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W445" i="15"/>
  <c r="V445" i="15"/>
  <c r="U445" i="15"/>
  <c r="T445" i="15"/>
  <c r="AN444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W444" i="15"/>
  <c r="V444" i="15"/>
  <c r="U444" i="15"/>
  <c r="T444" i="15"/>
  <c r="AN443" i="15"/>
  <c r="AM443" i="15"/>
  <c r="AL443" i="15"/>
  <c r="AK443" i="15"/>
  <c r="AJ443" i="15"/>
  <c r="AI443" i="15"/>
  <c r="AH443" i="15"/>
  <c r="AG443" i="15"/>
  <c r="AF443" i="15"/>
  <c r="AE443" i="15"/>
  <c r="AD443" i="15"/>
  <c r="Y443" i="15"/>
  <c r="W443" i="15"/>
  <c r="V443" i="15"/>
  <c r="U443" i="15"/>
  <c r="T443" i="15"/>
  <c r="AN442" i="15"/>
  <c r="AM442" i="15"/>
  <c r="AL442" i="15"/>
  <c r="AK442" i="15"/>
  <c r="AJ442" i="15"/>
  <c r="AI442" i="15"/>
  <c r="AH442" i="15"/>
  <c r="AG442" i="15"/>
  <c r="AF442" i="15"/>
  <c r="AE442" i="15"/>
  <c r="AD442" i="15"/>
  <c r="Y442" i="15"/>
  <c r="W442" i="15"/>
  <c r="V442" i="15"/>
  <c r="U442" i="15"/>
  <c r="T442" i="15"/>
  <c r="AN441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W441" i="15"/>
  <c r="V441" i="15"/>
  <c r="U441" i="15"/>
  <c r="T441" i="15"/>
  <c r="AN440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W440" i="15"/>
  <c r="V440" i="15"/>
  <c r="U440" i="15"/>
  <c r="T440" i="15"/>
  <c r="AN439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W439" i="15"/>
  <c r="V439" i="15"/>
  <c r="U439" i="15"/>
  <c r="T439" i="15"/>
  <c r="AN438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W438" i="15"/>
  <c r="V438" i="15"/>
  <c r="U438" i="15"/>
  <c r="T438" i="15"/>
  <c r="AN437" i="15"/>
  <c r="AM437" i="15"/>
  <c r="AL437" i="15"/>
  <c r="AK437" i="15"/>
  <c r="AJ437" i="15"/>
  <c r="AI437" i="15"/>
  <c r="AH437" i="15"/>
  <c r="AG437" i="15"/>
  <c r="AF437" i="15"/>
  <c r="AE437" i="15"/>
  <c r="AD437" i="15"/>
  <c r="Y437" i="15"/>
  <c r="W437" i="15"/>
  <c r="V437" i="15"/>
  <c r="U437" i="15"/>
  <c r="T437" i="15"/>
  <c r="AN436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W436" i="15"/>
  <c r="V436" i="15"/>
  <c r="U436" i="15"/>
  <c r="T436" i="15"/>
  <c r="AN435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W435" i="15"/>
  <c r="V435" i="15"/>
  <c r="U435" i="15"/>
  <c r="T435" i="15"/>
  <c r="AN434" i="15"/>
  <c r="AM434" i="15"/>
  <c r="AL434" i="15"/>
  <c r="AK434" i="15"/>
  <c r="AJ434" i="15"/>
  <c r="AI434" i="15"/>
  <c r="AH434" i="15"/>
  <c r="AG434" i="15"/>
  <c r="AF434" i="15"/>
  <c r="AE434" i="15"/>
  <c r="AD434" i="15"/>
  <c r="Y434" i="15"/>
  <c r="W434" i="15"/>
  <c r="V434" i="15"/>
  <c r="U434" i="15"/>
  <c r="T434" i="15"/>
  <c r="AN433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W433" i="15"/>
  <c r="V433" i="15"/>
  <c r="U433" i="15"/>
  <c r="T433" i="15"/>
  <c r="AN432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W432" i="15"/>
  <c r="V432" i="15"/>
  <c r="U432" i="15"/>
  <c r="T432" i="15"/>
  <c r="AN431" i="15"/>
  <c r="AM431" i="15"/>
  <c r="AL431" i="15"/>
  <c r="AK431" i="15"/>
  <c r="AJ431" i="15"/>
  <c r="AI431" i="15"/>
  <c r="AH431" i="15"/>
  <c r="AG431" i="15"/>
  <c r="AF431" i="15"/>
  <c r="AE431" i="15"/>
  <c r="AD431" i="15"/>
  <c r="Y431" i="15"/>
  <c r="W431" i="15"/>
  <c r="V431" i="15"/>
  <c r="U431" i="15"/>
  <c r="T431" i="15"/>
  <c r="AN430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W430" i="15"/>
  <c r="V430" i="15"/>
  <c r="U430" i="15"/>
  <c r="T430" i="15"/>
  <c r="AN429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W429" i="15"/>
  <c r="V429" i="15"/>
  <c r="U429" i="15"/>
  <c r="T429" i="15"/>
  <c r="AN428" i="15"/>
  <c r="AM428" i="15"/>
  <c r="AL428" i="15"/>
  <c r="AK428" i="15"/>
  <c r="AJ428" i="15"/>
  <c r="AI428" i="15"/>
  <c r="AH428" i="15"/>
  <c r="AG428" i="15"/>
  <c r="AF428" i="15"/>
  <c r="AE428" i="15"/>
  <c r="AD428" i="15"/>
  <c r="Y428" i="15"/>
  <c r="W428" i="15"/>
  <c r="V428" i="15"/>
  <c r="U428" i="15"/>
  <c r="T428" i="15"/>
  <c r="AN427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W427" i="15"/>
  <c r="V427" i="15"/>
  <c r="U427" i="15"/>
  <c r="T427" i="15"/>
  <c r="AN426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W426" i="15"/>
  <c r="V426" i="15"/>
  <c r="U426" i="15"/>
  <c r="T426" i="15"/>
  <c r="AN425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W425" i="15"/>
  <c r="V425" i="15"/>
  <c r="U425" i="15"/>
  <c r="T425" i="15"/>
  <c r="AN424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W424" i="15"/>
  <c r="V424" i="15"/>
  <c r="U424" i="15"/>
  <c r="T424" i="15"/>
  <c r="AN423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W423" i="15"/>
  <c r="V423" i="15"/>
  <c r="U423" i="15"/>
  <c r="T423" i="15"/>
  <c r="AN422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W422" i="15"/>
  <c r="V422" i="15"/>
  <c r="U422" i="15"/>
  <c r="T422" i="15"/>
  <c r="AN421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W421" i="15"/>
  <c r="V421" i="15"/>
  <c r="U421" i="15"/>
  <c r="T421" i="15"/>
  <c r="AN420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W420" i="15"/>
  <c r="V420" i="15"/>
  <c r="U420" i="15"/>
  <c r="T420" i="15"/>
  <c r="AN419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W419" i="15"/>
  <c r="V419" i="15"/>
  <c r="U419" i="15"/>
  <c r="T419" i="15"/>
  <c r="AN418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W418" i="15"/>
  <c r="V418" i="15"/>
  <c r="U418" i="15"/>
  <c r="T418" i="15"/>
  <c r="AN417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W417" i="15"/>
  <c r="V417" i="15"/>
  <c r="U417" i="15"/>
  <c r="T417" i="15"/>
  <c r="AN416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W416" i="15"/>
  <c r="V416" i="15"/>
  <c r="U416" i="15"/>
  <c r="T416" i="15"/>
  <c r="AN415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W415" i="15"/>
  <c r="V415" i="15"/>
  <c r="U415" i="15"/>
  <c r="T415" i="15"/>
  <c r="AN414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W414" i="15"/>
  <c r="V414" i="15"/>
  <c r="U414" i="15"/>
  <c r="T414" i="15"/>
  <c r="AN413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W413" i="15"/>
  <c r="V413" i="15"/>
  <c r="U413" i="15"/>
  <c r="T413" i="15"/>
  <c r="AN412" i="15"/>
  <c r="AM412" i="15"/>
  <c r="AL412" i="15"/>
  <c r="AK412" i="15"/>
  <c r="AJ412" i="15"/>
  <c r="AI412" i="15"/>
  <c r="AH412" i="15"/>
  <c r="AG412" i="15"/>
  <c r="AF412" i="15"/>
  <c r="AE412" i="15"/>
  <c r="AD412" i="15"/>
  <c r="Y412" i="15"/>
  <c r="W412" i="15"/>
  <c r="V412" i="15"/>
  <c r="U412" i="15"/>
  <c r="T412" i="15"/>
  <c r="AN411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W411" i="15"/>
  <c r="V411" i="15"/>
  <c r="U411" i="15"/>
  <c r="T411" i="15"/>
  <c r="AN410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W410" i="15"/>
  <c r="V410" i="15"/>
  <c r="U410" i="15"/>
  <c r="T410" i="15"/>
  <c r="AN409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W409" i="15"/>
  <c r="V409" i="15"/>
  <c r="U409" i="15"/>
  <c r="T409" i="15"/>
  <c r="AN408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W408" i="15"/>
  <c r="V408" i="15"/>
  <c r="U408" i="15"/>
  <c r="T408" i="15"/>
  <c r="AN407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W407" i="15"/>
  <c r="V407" i="15"/>
  <c r="U407" i="15"/>
  <c r="T407" i="15"/>
  <c r="AN406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W406" i="15"/>
  <c r="V406" i="15"/>
  <c r="U406" i="15"/>
  <c r="T406" i="15"/>
  <c r="AN405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W405" i="15"/>
  <c r="V405" i="15"/>
  <c r="U405" i="15"/>
  <c r="T405" i="15"/>
  <c r="AN404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W404" i="15"/>
  <c r="V404" i="15"/>
  <c r="U404" i="15"/>
  <c r="T404" i="15"/>
  <c r="AN403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W403" i="15"/>
  <c r="V403" i="15"/>
  <c r="U403" i="15"/>
  <c r="T403" i="15"/>
  <c r="AN402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W402" i="15"/>
  <c r="V402" i="15"/>
  <c r="U402" i="15"/>
  <c r="T402" i="15"/>
  <c r="AN401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W401" i="15"/>
  <c r="V401" i="15"/>
  <c r="U401" i="15"/>
  <c r="T401" i="15"/>
  <c r="AN400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W400" i="15"/>
  <c r="V400" i="15"/>
  <c r="U400" i="15"/>
  <c r="T400" i="15"/>
  <c r="AN399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W399" i="15"/>
  <c r="V399" i="15"/>
  <c r="U399" i="15"/>
  <c r="T399" i="15"/>
  <c r="AN398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W398" i="15"/>
  <c r="V398" i="15"/>
  <c r="U398" i="15"/>
  <c r="T398" i="15"/>
  <c r="AN397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W397" i="15"/>
  <c r="V397" i="15"/>
  <c r="U397" i="15"/>
  <c r="T397" i="15"/>
  <c r="AN396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W396" i="15"/>
  <c r="V396" i="15"/>
  <c r="U396" i="15"/>
  <c r="T396" i="15"/>
  <c r="AN395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W395" i="15"/>
  <c r="V395" i="15"/>
  <c r="U395" i="15"/>
  <c r="T395" i="15"/>
  <c r="AN394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W394" i="15"/>
  <c r="V394" i="15"/>
  <c r="U394" i="15"/>
  <c r="T394" i="15"/>
  <c r="AN393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W393" i="15"/>
  <c r="V393" i="15"/>
  <c r="U393" i="15"/>
  <c r="T393" i="15"/>
  <c r="AN392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W392" i="15"/>
  <c r="V392" i="15"/>
  <c r="U392" i="15"/>
  <c r="T392" i="15"/>
  <c r="AN391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W391" i="15"/>
  <c r="V391" i="15"/>
  <c r="U391" i="15"/>
  <c r="T391" i="15"/>
  <c r="AN390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W390" i="15"/>
  <c r="V390" i="15"/>
  <c r="U390" i="15"/>
  <c r="T390" i="15"/>
  <c r="AN389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W389" i="15"/>
  <c r="V389" i="15"/>
  <c r="U389" i="15"/>
  <c r="T389" i="15"/>
  <c r="AN388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W388" i="15"/>
  <c r="V388" i="15"/>
  <c r="U388" i="15"/>
  <c r="T388" i="15"/>
  <c r="AN387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W387" i="15"/>
  <c r="V387" i="15"/>
  <c r="U387" i="15"/>
  <c r="T387" i="15"/>
  <c r="AN386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W386" i="15"/>
  <c r="V386" i="15"/>
  <c r="U386" i="15"/>
  <c r="T386" i="15"/>
  <c r="AN385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W385" i="15"/>
  <c r="V385" i="15"/>
  <c r="U385" i="15"/>
  <c r="T385" i="15"/>
  <c r="AN384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W384" i="15"/>
  <c r="V384" i="15"/>
  <c r="U384" i="15"/>
  <c r="T384" i="15"/>
  <c r="AN383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W383" i="15"/>
  <c r="V383" i="15"/>
  <c r="U383" i="15"/>
  <c r="T383" i="15"/>
  <c r="AN382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W382" i="15"/>
  <c r="V382" i="15"/>
  <c r="U382" i="15"/>
  <c r="T382" i="15"/>
  <c r="AN381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W381" i="15"/>
  <c r="V381" i="15"/>
  <c r="U381" i="15"/>
  <c r="T381" i="15"/>
  <c r="AN380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W380" i="15"/>
  <c r="V380" i="15"/>
  <c r="U380" i="15"/>
  <c r="T380" i="15"/>
  <c r="AN379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W379" i="15"/>
  <c r="V379" i="15"/>
  <c r="U379" i="15"/>
  <c r="T379" i="15"/>
  <c r="AN378" i="15"/>
  <c r="AM378" i="15"/>
  <c r="AL378" i="15"/>
  <c r="AK378" i="15"/>
  <c r="AJ378" i="15"/>
  <c r="AI378" i="15"/>
  <c r="AH378" i="15"/>
  <c r="AG378" i="15"/>
  <c r="AF378" i="15"/>
  <c r="AE378" i="15"/>
  <c r="AD378" i="15"/>
  <c r="Y378" i="15"/>
  <c r="W378" i="15"/>
  <c r="V378" i="15"/>
  <c r="U378" i="15"/>
  <c r="T378" i="15"/>
  <c r="AN377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W377" i="15"/>
  <c r="V377" i="15"/>
  <c r="U377" i="15"/>
  <c r="T377" i="15"/>
  <c r="AN376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W376" i="15"/>
  <c r="V376" i="15"/>
  <c r="U376" i="15"/>
  <c r="T376" i="15"/>
  <c r="AN375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W375" i="15"/>
  <c r="V375" i="15"/>
  <c r="U375" i="15"/>
  <c r="T375" i="15"/>
  <c r="AN374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W374" i="15"/>
  <c r="V374" i="15"/>
  <c r="U374" i="15"/>
  <c r="T374" i="15"/>
  <c r="AN373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W373" i="15"/>
  <c r="V373" i="15"/>
  <c r="U373" i="15"/>
  <c r="T373" i="15"/>
  <c r="AN372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W372" i="15"/>
  <c r="V372" i="15"/>
  <c r="U372" i="15"/>
  <c r="T372" i="15"/>
  <c r="AN371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W371" i="15"/>
  <c r="V371" i="15"/>
  <c r="U371" i="15"/>
  <c r="T371" i="15"/>
  <c r="AN370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W370" i="15"/>
  <c r="V370" i="15"/>
  <c r="U370" i="15"/>
  <c r="T370" i="15"/>
  <c r="AN369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W369" i="15"/>
  <c r="V369" i="15"/>
  <c r="U369" i="15"/>
  <c r="T369" i="15"/>
  <c r="AN368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W368" i="15"/>
  <c r="V368" i="15"/>
  <c r="U368" i="15"/>
  <c r="T368" i="15"/>
  <c r="AN367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W367" i="15"/>
  <c r="V367" i="15"/>
  <c r="U367" i="15"/>
  <c r="T367" i="15"/>
  <c r="AN366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W366" i="15"/>
  <c r="V366" i="15"/>
  <c r="U366" i="15"/>
  <c r="T366" i="15"/>
  <c r="AN365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W365" i="15"/>
  <c r="V365" i="15"/>
  <c r="U365" i="15"/>
  <c r="T365" i="15"/>
  <c r="AN364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W364" i="15"/>
  <c r="V364" i="15"/>
  <c r="U364" i="15"/>
  <c r="T364" i="15"/>
  <c r="AN363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W363" i="15"/>
  <c r="V363" i="15"/>
  <c r="U363" i="15"/>
  <c r="T363" i="15"/>
  <c r="AN362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W362" i="15"/>
  <c r="V362" i="15"/>
  <c r="U362" i="15"/>
  <c r="T362" i="15"/>
  <c r="AN361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W361" i="15"/>
  <c r="V361" i="15"/>
  <c r="U361" i="15"/>
  <c r="T361" i="15"/>
  <c r="AN360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W360" i="15"/>
  <c r="V360" i="15"/>
  <c r="U360" i="15"/>
  <c r="T360" i="15"/>
  <c r="AN359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W359" i="15"/>
  <c r="V359" i="15"/>
  <c r="U359" i="15"/>
  <c r="T359" i="15"/>
  <c r="AN358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W358" i="15"/>
  <c r="V358" i="15"/>
  <c r="U358" i="15"/>
  <c r="T358" i="15"/>
  <c r="AN357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W357" i="15"/>
  <c r="V357" i="15"/>
  <c r="U357" i="15"/>
  <c r="T357" i="15"/>
  <c r="AN356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W356" i="15"/>
  <c r="V356" i="15"/>
  <c r="U356" i="15"/>
  <c r="T356" i="15"/>
  <c r="AN355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W355" i="15"/>
  <c r="V355" i="15"/>
  <c r="U355" i="15"/>
  <c r="T355" i="15"/>
  <c r="AN354" i="15"/>
  <c r="AM354" i="15"/>
  <c r="AL354" i="15"/>
  <c r="AK354" i="15"/>
  <c r="AJ354" i="15"/>
  <c r="AI354" i="15"/>
  <c r="AH354" i="15"/>
  <c r="AG354" i="15"/>
  <c r="AF354" i="15"/>
  <c r="AE354" i="15"/>
  <c r="AD354" i="15"/>
  <c r="Y354" i="15"/>
  <c r="W354" i="15"/>
  <c r="V354" i="15"/>
  <c r="U354" i="15"/>
  <c r="T354" i="15"/>
  <c r="AN353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W353" i="15"/>
  <c r="V353" i="15"/>
  <c r="U353" i="15"/>
  <c r="T353" i="15"/>
  <c r="AN352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W352" i="15"/>
  <c r="V352" i="15"/>
  <c r="U352" i="15"/>
  <c r="T352" i="15"/>
  <c r="AN351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W351" i="15"/>
  <c r="V351" i="15"/>
  <c r="U351" i="15"/>
  <c r="T351" i="15"/>
  <c r="AN350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W350" i="15"/>
  <c r="V350" i="15"/>
  <c r="U350" i="15"/>
  <c r="T350" i="15"/>
  <c r="AN349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W349" i="15"/>
  <c r="V349" i="15"/>
  <c r="U349" i="15"/>
  <c r="T349" i="15"/>
  <c r="AN348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W348" i="15"/>
  <c r="V348" i="15"/>
  <c r="U348" i="15"/>
  <c r="T348" i="15"/>
  <c r="AN347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W347" i="15"/>
  <c r="V347" i="15"/>
  <c r="U347" i="15"/>
  <c r="T347" i="15"/>
  <c r="AN346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W346" i="15"/>
  <c r="V346" i="15"/>
  <c r="U346" i="15"/>
  <c r="T346" i="15"/>
  <c r="AN345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W345" i="15"/>
  <c r="V345" i="15"/>
  <c r="U345" i="15"/>
  <c r="T345" i="15"/>
  <c r="AN344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W344" i="15"/>
  <c r="V344" i="15"/>
  <c r="U344" i="15"/>
  <c r="T344" i="15"/>
  <c r="AN343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W343" i="15"/>
  <c r="V343" i="15"/>
  <c r="U343" i="15"/>
  <c r="T343" i="15"/>
  <c r="AN342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W342" i="15"/>
  <c r="V342" i="15"/>
  <c r="U342" i="15"/>
  <c r="T342" i="15"/>
  <c r="AN341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W341" i="15"/>
  <c r="V341" i="15"/>
  <c r="U341" i="15"/>
  <c r="T341" i="15"/>
  <c r="AN340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W340" i="15"/>
  <c r="V340" i="15"/>
  <c r="U340" i="15"/>
  <c r="T340" i="15"/>
  <c r="AN339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W339" i="15"/>
  <c r="V339" i="15"/>
  <c r="U339" i="15"/>
  <c r="T339" i="15"/>
  <c r="AN338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W338" i="15"/>
  <c r="V338" i="15"/>
  <c r="U338" i="15"/>
  <c r="T338" i="15"/>
  <c r="AN337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W337" i="15"/>
  <c r="V337" i="15"/>
  <c r="U337" i="15"/>
  <c r="T337" i="15"/>
  <c r="AN336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W336" i="15"/>
  <c r="V336" i="15"/>
  <c r="U336" i="15"/>
  <c r="T336" i="15"/>
  <c r="AN335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W335" i="15"/>
  <c r="V335" i="15"/>
  <c r="U335" i="15"/>
  <c r="T335" i="15"/>
  <c r="AN334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W334" i="15"/>
  <c r="V334" i="15"/>
  <c r="U334" i="15"/>
  <c r="T334" i="15"/>
  <c r="AN333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W333" i="15"/>
  <c r="V333" i="15"/>
  <c r="U333" i="15"/>
  <c r="T333" i="15"/>
  <c r="AN332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W332" i="15"/>
  <c r="V332" i="15"/>
  <c r="U332" i="15"/>
  <c r="T332" i="15"/>
  <c r="AN331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W331" i="15"/>
  <c r="V331" i="15"/>
  <c r="U331" i="15"/>
  <c r="T331" i="15"/>
  <c r="AN330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W330" i="15"/>
  <c r="V330" i="15"/>
  <c r="U330" i="15"/>
  <c r="T330" i="15"/>
  <c r="AN329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W329" i="15"/>
  <c r="V329" i="15"/>
  <c r="U329" i="15"/>
  <c r="T329" i="15"/>
  <c r="AN328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W328" i="15"/>
  <c r="V328" i="15"/>
  <c r="U328" i="15"/>
  <c r="T328" i="15"/>
  <c r="AN327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W327" i="15"/>
  <c r="V327" i="15"/>
  <c r="U327" i="15"/>
  <c r="T327" i="15"/>
  <c r="AN326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W326" i="15"/>
  <c r="V326" i="15"/>
  <c r="U326" i="15"/>
  <c r="T326" i="15"/>
  <c r="AN325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W325" i="15"/>
  <c r="V325" i="15"/>
  <c r="U325" i="15"/>
  <c r="T325" i="15"/>
  <c r="AN324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W324" i="15"/>
  <c r="V324" i="15"/>
  <c r="U324" i="15"/>
  <c r="T324" i="15"/>
  <c r="AN323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W323" i="15"/>
  <c r="V323" i="15"/>
  <c r="U323" i="15"/>
  <c r="T323" i="15"/>
  <c r="AN322" i="15"/>
  <c r="AM322" i="15"/>
  <c r="AL322" i="15"/>
  <c r="AK322" i="15"/>
  <c r="AJ322" i="15"/>
  <c r="AI322" i="15"/>
  <c r="AH322" i="15"/>
  <c r="AG322" i="15"/>
  <c r="AF322" i="15"/>
  <c r="AE322" i="15"/>
  <c r="AD322" i="15"/>
  <c r="Y322" i="15"/>
  <c r="W322" i="15"/>
  <c r="V322" i="15"/>
  <c r="U322" i="15"/>
  <c r="T322" i="15"/>
  <c r="AN321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W321" i="15"/>
  <c r="V321" i="15"/>
  <c r="U321" i="15"/>
  <c r="T321" i="15"/>
  <c r="AN320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W320" i="15"/>
  <c r="V320" i="15"/>
  <c r="U320" i="15"/>
  <c r="T320" i="15"/>
  <c r="AN319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W319" i="15"/>
  <c r="V319" i="15"/>
  <c r="U319" i="15"/>
  <c r="T319" i="15"/>
  <c r="AN318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W318" i="15"/>
  <c r="V318" i="15"/>
  <c r="U318" i="15"/>
  <c r="T318" i="15"/>
  <c r="AN317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W317" i="15"/>
  <c r="V317" i="15"/>
  <c r="U317" i="15"/>
  <c r="T317" i="15"/>
  <c r="AN316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W316" i="15"/>
  <c r="V316" i="15"/>
  <c r="U316" i="15"/>
  <c r="T316" i="15"/>
  <c r="AN315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W315" i="15"/>
  <c r="V315" i="15"/>
  <c r="U315" i="15"/>
  <c r="T315" i="15"/>
  <c r="AN314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W314" i="15"/>
  <c r="V314" i="15"/>
  <c r="U314" i="15"/>
  <c r="T314" i="15"/>
  <c r="AN313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W313" i="15"/>
  <c r="V313" i="15"/>
  <c r="U313" i="15"/>
  <c r="T313" i="15"/>
  <c r="AN312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W312" i="15"/>
  <c r="V312" i="15"/>
  <c r="U312" i="15"/>
  <c r="T312" i="15"/>
  <c r="AN311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W311" i="15"/>
  <c r="V311" i="15"/>
  <c r="U311" i="15"/>
  <c r="T311" i="15"/>
  <c r="AN310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W310" i="15"/>
  <c r="V310" i="15"/>
  <c r="U310" i="15"/>
  <c r="T310" i="15"/>
  <c r="AN309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W309" i="15"/>
  <c r="V309" i="15"/>
  <c r="U309" i="15"/>
  <c r="T309" i="15"/>
  <c r="AN308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W308" i="15"/>
  <c r="V308" i="15"/>
  <c r="U308" i="15"/>
  <c r="T308" i="15"/>
  <c r="AN307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W307" i="15"/>
  <c r="V307" i="15"/>
  <c r="U307" i="15"/>
  <c r="T307" i="15"/>
  <c r="AN306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W306" i="15"/>
  <c r="V306" i="15"/>
  <c r="U306" i="15"/>
  <c r="T306" i="15"/>
  <c r="AN305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W305" i="15"/>
  <c r="V305" i="15"/>
  <c r="U305" i="15"/>
  <c r="T305" i="15"/>
  <c r="AN304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W304" i="15"/>
  <c r="V304" i="15"/>
  <c r="U304" i="15"/>
  <c r="T304" i="15"/>
  <c r="AN303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W303" i="15"/>
  <c r="V303" i="15"/>
  <c r="U303" i="15"/>
  <c r="T303" i="15"/>
  <c r="AN302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W302" i="15"/>
  <c r="V302" i="15"/>
  <c r="U302" i="15"/>
  <c r="T302" i="15"/>
  <c r="AN301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W301" i="15"/>
  <c r="V301" i="15"/>
  <c r="U301" i="15"/>
  <c r="T301" i="15"/>
  <c r="AN300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W300" i="15"/>
  <c r="V300" i="15"/>
  <c r="U300" i="15"/>
  <c r="T300" i="15"/>
  <c r="AN299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W299" i="15"/>
  <c r="V299" i="15"/>
  <c r="U299" i="15"/>
  <c r="T299" i="15"/>
  <c r="AN298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W298" i="15"/>
  <c r="V298" i="15"/>
  <c r="U298" i="15"/>
  <c r="T298" i="15"/>
  <c r="AN297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W297" i="15"/>
  <c r="V297" i="15"/>
  <c r="U297" i="15"/>
  <c r="T297" i="15"/>
  <c r="AN296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W296" i="15"/>
  <c r="V296" i="15"/>
  <c r="U296" i="15"/>
  <c r="T296" i="15"/>
  <c r="AN295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W295" i="15"/>
  <c r="V295" i="15"/>
  <c r="U295" i="15"/>
  <c r="T295" i="15"/>
  <c r="AN294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W294" i="15"/>
  <c r="V294" i="15"/>
  <c r="U294" i="15"/>
  <c r="T294" i="15"/>
  <c r="AN293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W293" i="15"/>
  <c r="V293" i="15"/>
  <c r="U293" i="15"/>
  <c r="T293" i="15"/>
  <c r="AN292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W292" i="15"/>
  <c r="V292" i="15"/>
  <c r="U292" i="15"/>
  <c r="T292" i="15"/>
  <c r="AN291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W291" i="15"/>
  <c r="V291" i="15"/>
  <c r="U291" i="15"/>
  <c r="T291" i="15"/>
  <c r="AN290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W290" i="15"/>
  <c r="V290" i="15"/>
  <c r="U290" i="15"/>
  <c r="T290" i="15"/>
  <c r="AN289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W289" i="15"/>
  <c r="V289" i="15"/>
  <c r="U289" i="15"/>
  <c r="T289" i="15"/>
  <c r="AN288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W288" i="15"/>
  <c r="V288" i="15"/>
  <c r="U288" i="15"/>
  <c r="T288" i="15"/>
  <c r="AN287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W287" i="15"/>
  <c r="V287" i="15"/>
  <c r="U287" i="15"/>
  <c r="T287" i="15"/>
  <c r="AN286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W286" i="15"/>
  <c r="V286" i="15"/>
  <c r="U286" i="15"/>
  <c r="T286" i="15"/>
  <c r="AN285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W285" i="15"/>
  <c r="V285" i="15"/>
  <c r="U285" i="15"/>
  <c r="T285" i="15"/>
  <c r="AN284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W284" i="15"/>
  <c r="V284" i="15"/>
  <c r="U284" i="15"/>
  <c r="T284" i="15"/>
  <c r="AN283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W283" i="15"/>
  <c r="V283" i="15"/>
  <c r="U283" i="15"/>
  <c r="T283" i="15"/>
  <c r="AN282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W282" i="15"/>
  <c r="V282" i="15"/>
  <c r="U282" i="15"/>
  <c r="T282" i="15"/>
  <c r="AN281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W281" i="15"/>
  <c r="V281" i="15"/>
  <c r="U281" i="15"/>
  <c r="T281" i="15"/>
  <c r="AN280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W280" i="15"/>
  <c r="V280" i="15"/>
  <c r="U280" i="15"/>
  <c r="T280" i="15"/>
  <c r="AN279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W279" i="15"/>
  <c r="V279" i="15"/>
  <c r="U279" i="15"/>
  <c r="T279" i="15"/>
  <c r="AN278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W278" i="15"/>
  <c r="V278" i="15"/>
  <c r="U278" i="15"/>
  <c r="T278" i="15"/>
  <c r="AN277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W277" i="15"/>
  <c r="V277" i="15"/>
  <c r="U277" i="15"/>
  <c r="T277" i="15"/>
  <c r="AN276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W276" i="15"/>
  <c r="V276" i="15"/>
  <c r="U276" i="15"/>
  <c r="T276" i="15"/>
  <c r="AN275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W275" i="15"/>
  <c r="V275" i="15"/>
  <c r="U275" i="15"/>
  <c r="T275" i="15"/>
  <c r="AN274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W274" i="15"/>
  <c r="V274" i="15"/>
  <c r="U274" i="15"/>
  <c r="T274" i="15"/>
  <c r="AN273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W273" i="15"/>
  <c r="V273" i="15"/>
  <c r="U273" i="15"/>
  <c r="T273" i="15"/>
  <c r="AN272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W272" i="15"/>
  <c r="V272" i="15"/>
  <c r="U272" i="15"/>
  <c r="T272" i="15"/>
  <c r="AN271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W271" i="15"/>
  <c r="V271" i="15"/>
  <c r="U271" i="15"/>
  <c r="T271" i="15"/>
  <c r="AN270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W270" i="15"/>
  <c r="V270" i="15"/>
  <c r="U270" i="15"/>
  <c r="T270" i="15"/>
  <c r="AN269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W269" i="15"/>
  <c r="V269" i="15"/>
  <c r="U269" i="15"/>
  <c r="T269" i="15"/>
  <c r="AN268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W268" i="15"/>
  <c r="V268" i="15"/>
  <c r="U268" i="15"/>
  <c r="T268" i="15"/>
  <c r="AN267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W267" i="15"/>
  <c r="V267" i="15"/>
  <c r="U267" i="15"/>
  <c r="T267" i="15"/>
  <c r="AN266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W266" i="15"/>
  <c r="V266" i="15"/>
  <c r="U266" i="15"/>
  <c r="T266" i="15"/>
  <c r="AN265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W265" i="15"/>
  <c r="V265" i="15"/>
  <c r="U265" i="15"/>
  <c r="T265" i="15"/>
  <c r="AN264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W264" i="15"/>
  <c r="V264" i="15"/>
  <c r="U264" i="15"/>
  <c r="T264" i="15"/>
  <c r="AN263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W263" i="15"/>
  <c r="V263" i="15"/>
  <c r="U263" i="15"/>
  <c r="T263" i="15"/>
  <c r="AN262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W262" i="15"/>
  <c r="V262" i="15"/>
  <c r="U262" i="15"/>
  <c r="T262" i="15"/>
  <c r="AN261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W261" i="15"/>
  <c r="V261" i="15"/>
  <c r="U261" i="15"/>
  <c r="T261" i="15"/>
  <c r="AN260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W260" i="15"/>
  <c r="V260" i="15"/>
  <c r="U260" i="15"/>
  <c r="T260" i="15"/>
  <c r="AN259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W259" i="15"/>
  <c r="V259" i="15"/>
  <c r="U259" i="15"/>
  <c r="T259" i="15"/>
  <c r="AN258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W258" i="15"/>
  <c r="V258" i="15"/>
  <c r="U258" i="15"/>
  <c r="T258" i="15"/>
  <c r="AN257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W257" i="15"/>
  <c r="V257" i="15"/>
  <c r="U257" i="15"/>
  <c r="T257" i="15"/>
  <c r="AN256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W256" i="15"/>
  <c r="V256" i="15"/>
  <c r="U256" i="15"/>
  <c r="T256" i="15"/>
  <c r="AN255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W255" i="15"/>
  <c r="V255" i="15"/>
  <c r="U255" i="15"/>
  <c r="T255" i="15"/>
  <c r="AN254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W254" i="15"/>
  <c r="V254" i="15"/>
  <c r="U254" i="15"/>
  <c r="T254" i="15"/>
  <c r="AN253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W253" i="15"/>
  <c r="V253" i="15"/>
  <c r="U253" i="15"/>
  <c r="T253" i="15"/>
  <c r="AN252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W252" i="15"/>
  <c r="V252" i="15"/>
  <c r="U252" i="15"/>
  <c r="T252" i="15"/>
  <c r="AN251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W251" i="15"/>
  <c r="V251" i="15"/>
  <c r="U251" i="15"/>
  <c r="T251" i="15"/>
  <c r="AN250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W250" i="15"/>
  <c r="V250" i="15"/>
  <c r="U250" i="15"/>
  <c r="T250" i="15"/>
  <c r="AN249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W249" i="15"/>
  <c r="V249" i="15"/>
  <c r="U249" i="15"/>
  <c r="T249" i="15"/>
  <c r="AN248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W248" i="15"/>
  <c r="V248" i="15"/>
  <c r="U248" i="15"/>
  <c r="T248" i="15"/>
  <c r="AN247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W247" i="15"/>
  <c r="V247" i="15"/>
  <c r="U247" i="15"/>
  <c r="T247" i="15"/>
  <c r="AN246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W246" i="15"/>
  <c r="V246" i="15"/>
  <c r="U246" i="15"/>
  <c r="T246" i="15"/>
  <c r="AN245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W245" i="15"/>
  <c r="V245" i="15"/>
  <c r="U245" i="15"/>
  <c r="T245" i="15"/>
  <c r="AN244" i="15"/>
  <c r="AM244" i="15"/>
  <c r="AL244" i="15"/>
  <c r="AK244" i="15"/>
  <c r="AJ244" i="15"/>
  <c r="AI244" i="15"/>
  <c r="AH244" i="15"/>
  <c r="AG244" i="15"/>
  <c r="AF244" i="15"/>
  <c r="AE244" i="15"/>
  <c r="AD244" i="15"/>
  <c r="Y244" i="15"/>
  <c r="W244" i="15"/>
  <c r="V244" i="15"/>
  <c r="U244" i="15"/>
  <c r="T244" i="15"/>
  <c r="AN243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W243" i="15"/>
  <c r="V243" i="15"/>
  <c r="U243" i="15"/>
  <c r="T243" i="15"/>
  <c r="AN242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W242" i="15"/>
  <c r="V242" i="15"/>
  <c r="U242" i="15"/>
  <c r="T242" i="15"/>
  <c r="AN241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W241" i="15"/>
  <c r="V241" i="15"/>
  <c r="U241" i="15"/>
  <c r="T241" i="15"/>
  <c r="AN240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W240" i="15"/>
  <c r="V240" i="15"/>
  <c r="U240" i="15"/>
  <c r="T240" i="15"/>
  <c r="AN239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W239" i="15"/>
  <c r="V239" i="15"/>
  <c r="U239" i="15"/>
  <c r="T239" i="15"/>
  <c r="AN238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W238" i="15"/>
  <c r="V238" i="15"/>
  <c r="U238" i="15"/>
  <c r="T238" i="15"/>
  <c r="AN237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W237" i="15"/>
  <c r="V237" i="15"/>
  <c r="U237" i="15"/>
  <c r="T237" i="15"/>
  <c r="AN236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W236" i="15"/>
  <c r="V236" i="15"/>
  <c r="U236" i="15"/>
  <c r="T236" i="15"/>
  <c r="AN235" i="15"/>
  <c r="AM235" i="15"/>
  <c r="AL235" i="15"/>
  <c r="AK235" i="15"/>
  <c r="AJ235" i="15"/>
  <c r="AI235" i="15"/>
  <c r="AH235" i="15"/>
  <c r="AG235" i="15"/>
  <c r="AF235" i="15"/>
  <c r="AE235" i="15"/>
  <c r="AD235" i="15"/>
  <c r="Y235" i="15"/>
  <c r="W235" i="15"/>
  <c r="V235" i="15"/>
  <c r="U235" i="15"/>
  <c r="T235" i="15"/>
  <c r="AN234" i="15"/>
  <c r="AM234" i="15"/>
  <c r="AL234" i="15"/>
  <c r="AK234" i="15"/>
  <c r="AJ234" i="15"/>
  <c r="AI234" i="15"/>
  <c r="AH234" i="15"/>
  <c r="AG234" i="15"/>
  <c r="AF234" i="15"/>
  <c r="AE234" i="15"/>
  <c r="AD234" i="15"/>
  <c r="Y234" i="15"/>
  <c r="W234" i="15"/>
  <c r="V234" i="15"/>
  <c r="U234" i="15"/>
  <c r="T234" i="15"/>
  <c r="AN233" i="15"/>
  <c r="AM233" i="15"/>
  <c r="AL233" i="15"/>
  <c r="AK233" i="15"/>
  <c r="AJ233" i="15"/>
  <c r="AI233" i="15"/>
  <c r="AH233" i="15"/>
  <c r="AG233" i="15"/>
  <c r="AF233" i="15"/>
  <c r="AE233" i="15"/>
  <c r="AD233" i="15"/>
  <c r="Y233" i="15"/>
  <c r="W233" i="15"/>
  <c r="V233" i="15"/>
  <c r="U233" i="15"/>
  <c r="T233" i="15"/>
  <c r="AN232" i="15"/>
  <c r="AM232" i="15"/>
  <c r="AL232" i="15"/>
  <c r="AK232" i="15"/>
  <c r="AJ232" i="15"/>
  <c r="AI232" i="15"/>
  <c r="AH232" i="15"/>
  <c r="AG232" i="15"/>
  <c r="AF232" i="15"/>
  <c r="AE232" i="15"/>
  <c r="AD232" i="15"/>
  <c r="Y232" i="15"/>
  <c r="W232" i="15"/>
  <c r="V232" i="15"/>
  <c r="U232" i="15"/>
  <c r="T232" i="15"/>
  <c r="AN231" i="15"/>
  <c r="AM231" i="15"/>
  <c r="AL231" i="15"/>
  <c r="AK231" i="15"/>
  <c r="AJ231" i="15"/>
  <c r="AI231" i="15"/>
  <c r="AH231" i="15"/>
  <c r="AG231" i="15"/>
  <c r="AF231" i="15"/>
  <c r="AE231" i="15"/>
  <c r="AD231" i="15"/>
  <c r="Y231" i="15"/>
  <c r="W231" i="15"/>
  <c r="V231" i="15"/>
  <c r="U231" i="15"/>
  <c r="T231" i="15"/>
  <c r="AN230" i="15"/>
  <c r="AM230" i="15"/>
  <c r="AL230" i="15"/>
  <c r="AK230" i="15"/>
  <c r="AJ230" i="15"/>
  <c r="AI230" i="15"/>
  <c r="AH230" i="15"/>
  <c r="AG230" i="15"/>
  <c r="AF230" i="15"/>
  <c r="AE230" i="15"/>
  <c r="AD230" i="15"/>
  <c r="Y230" i="15"/>
  <c r="W230" i="15"/>
  <c r="V230" i="15"/>
  <c r="U230" i="15"/>
  <c r="T230" i="15"/>
  <c r="AN229" i="15"/>
  <c r="AM229" i="15"/>
  <c r="AL229" i="15"/>
  <c r="AK229" i="15"/>
  <c r="AJ229" i="15"/>
  <c r="AI229" i="15"/>
  <c r="AH229" i="15"/>
  <c r="AG229" i="15"/>
  <c r="AF229" i="15"/>
  <c r="AE229" i="15"/>
  <c r="AD229" i="15"/>
  <c r="Y229" i="15"/>
  <c r="W229" i="15"/>
  <c r="V229" i="15"/>
  <c r="U229" i="15"/>
  <c r="T229" i="15"/>
  <c r="AN228" i="15"/>
  <c r="AM228" i="15"/>
  <c r="AL228" i="15"/>
  <c r="AK228" i="15"/>
  <c r="AJ228" i="15"/>
  <c r="AI228" i="15"/>
  <c r="AH228" i="15"/>
  <c r="AG228" i="15"/>
  <c r="AF228" i="15"/>
  <c r="AE228" i="15"/>
  <c r="AD228" i="15"/>
  <c r="Y228" i="15"/>
  <c r="W228" i="15"/>
  <c r="V228" i="15"/>
  <c r="U228" i="15"/>
  <c r="T228" i="15"/>
  <c r="AN227" i="15"/>
  <c r="AM227" i="15"/>
  <c r="AL227" i="15"/>
  <c r="AK227" i="15"/>
  <c r="AJ227" i="15"/>
  <c r="AI227" i="15"/>
  <c r="AH227" i="15"/>
  <c r="AG227" i="15"/>
  <c r="AF227" i="15"/>
  <c r="AE227" i="15"/>
  <c r="AD227" i="15"/>
  <c r="Y227" i="15"/>
  <c r="W227" i="15"/>
  <c r="V227" i="15"/>
  <c r="U227" i="15"/>
  <c r="T227" i="15"/>
  <c r="AN226" i="15"/>
  <c r="AM226" i="15"/>
  <c r="AL226" i="15"/>
  <c r="AK226" i="15"/>
  <c r="AJ226" i="15"/>
  <c r="AI226" i="15"/>
  <c r="AH226" i="15"/>
  <c r="AG226" i="15"/>
  <c r="AF226" i="15"/>
  <c r="AE226" i="15"/>
  <c r="AD226" i="15"/>
  <c r="Y226" i="15"/>
  <c r="W226" i="15"/>
  <c r="V226" i="15"/>
  <c r="U226" i="15"/>
  <c r="T226" i="15"/>
  <c r="AN225" i="15"/>
  <c r="AM225" i="15"/>
  <c r="AL225" i="15"/>
  <c r="AK225" i="15"/>
  <c r="AJ225" i="15"/>
  <c r="AI225" i="15"/>
  <c r="AH225" i="15"/>
  <c r="AG225" i="15"/>
  <c r="AF225" i="15"/>
  <c r="AE225" i="15"/>
  <c r="AD225" i="15"/>
  <c r="Y225" i="15"/>
  <c r="W225" i="15"/>
  <c r="V225" i="15"/>
  <c r="U225" i="15"/>
  <c r="T225" i="15"/>
  <c r="AN224" i="15"/>
  <c r="AM224" i="15"/>
  <c r="AL224" i="15"/>
  <c r="AK224" i="15"/>
  <c r="AJ224" i="15"/>
  <c r="AI224" i="15"/>
  <c r="AH224" i="15"/>
  <c r="AG224" i="15"/>
  <c r="AF224" i="15"/>
  <c r="AE224" i="15"/>
  <c r="AD224" i="15"/>
  <c r="Y224" i="15"/>
  <c r="W224" i="15"/>
  <c r="V224" i="15"/>
  <c r="U224" i="15"/>
  <c r="T224" i="15"/>
  <c r="AN223" i="15"/>
  <c r="AM223" i="15"/>
  <c r="AL223" i="15"/>
  <c r="AK223" i="15"/>
  <c r="AJ223" i="15"/>
  <c r="AI223" i="15"/>
  <c r="AH223" i="15"/>
  <c r="AG223" i="15"/>
  <c r="AF223" i="15"/>
  <c r="AE223" i="15"/>
  <c r="AD223" i="15"/>
  <c r="Y223" i="15"/>
  <c r="W223" i="15"/>
  <c r="V223" i="15"/>
  <c r="U223" i="15"/>
  <c r="T223" i="15"/>
  <c r="AN222" i="15"/>
  <c r="AM222" i="15"/>
  <c r="AL222" i="15"/>
  <c r="AK222" i="15"/>
  <c r="AJ222" i="15"/>
  <c r="AI222" i="15"/>
  <c r="AH222" i="15"/>
  <c r="AG222" i="15"/>
  <c r="AF222" i="15"/>
  <c r="AE222" i="15"/>
  <c r="AD222" i="15"/>
  <c r="Y222" i="15"/>
  <c r="W222" i="15"/>
  <c r="V222" i="15"/>
  <c r="U222" i="15"/>
  <c r="T222" i="15"/>
  <c r="AN221" i="15"/>
  <c r="AM221" i="15"/>
  <c r="AL221" i="15"/>
  <c r="AK221" i="15"/>
  <c r="AJ221" i="15"/>
  <c r="AI221" i="15"/>
  <c r="AH221" i="15"/>
  <c r="AG221" i="15"/>
  <c r="AF221" i="15"/>
  <c r="AE221" i="15"/>
  <c r="AD221" i="15"/>
  <c r="Y221" i="15"/>
  <c r="W221" i="15"/>
  <c r="V221" i="15"/>
  <c r="U221" i="15"/>
  <c r="T221" i="15"/>
  <c r="AN220" i="15"/>
  <c r="AM220" i="15"/>
  <c r="AL220" i="15"/>
  <c r="AK220" i="15"/>
  <c r="AJ220" i="15"/>
  <c r="AI220" i="15"/>
  <c r="AH220" i="15"/>
  <c r="AG220" i="15"/>
  <c r="AF220" i="15"/>
  <c r="AE220" i="15"/>
  <c r="AD220" i="15"/>
  <c r="Y220" i="15"/>
  <c r="W220" i="15"/>
  <c r="V220" i="15"/>
  <c r="U220" i="15"/>
  <c r="T220" i="15"/>
  <c r="AN219" i="15"/>
  <c r="AM219" i="15"/>
  <c r="AL219" i="15"/>
  <c r="AK219" i="15"/>
  <c r="AJ219" i="15"/>
  <c r="AI219" i="15"/>
  <c r="AH219" i="15"/>
  <c r="AG219" i="15"/>
  <c r="AF219" i="15"/>
  <c r="AE219" i="15"/>
  <c r="AD219" i="15"/>
  <c r="Y219" i="15"/>
  <c r="W219" i="15"/>
  <c r="V219" i="15"/>
  <c r="U219" i="15"/>
  <c r="T219" i="15"/>
  <c r="AN218" i="15"/>
  <c r="AM218" i="15"/>
  <c r="AL218" i="15"/>
  <c r="AK218" i="15"/>
  <c r="AJ218" i="15"/>
  <c r="AI218" i="15"/>
  <c r="AH218" i="15"/>
  <c r="AG218" i="15"/>
  <c r="AF218" i="15"/>
  <c r="AE218" i="15"/>
  <c r="AD218" i="15"/>
  <c r="Y218" i="15"/>
  <c r="W218" i="15"/>
  <c r="V218" i="15"/>
  <c r="U218" i="15"/>
  <c r="T218" i="15"/>
  <c r="AN217" i="15"/>
  <c r="AM217" i="15"/>
  <c r="AL217" i="15"/>
  <c r="AK217" i="15"/>
  <c r="AJ217" i="15"/>
  <c r="AI217" i="15"/>
  <c r="AH217" i="15"/>
  <c r="AG217" i="15"/>
  <c r="AF217" i="15"/>
  <c r="AE217" i="15"/>
  <c r="AD217" i="15"/>
  <c r="Y217" i="15"/>
  <c r="W217" i="15"/>
  <c r="V217" i="15"/>
  <c r="U217" i="15"/>
  <c r="T217" i="15"/>
  <c r="AN216" i="15"/>
  <c r="AM216" i="15"/>
  <c r="AL216" i="15"/>
  <c r="AK216" i="15"/>
  <c r="AJ216" i="15"/>
  <c r="AI216" i="15"/>
  <c r="AH216" i="15"/>
  <c r="AG216" i="15"/>
  <c r="AF216" i="15"/>
  <c r="AE216" i="15"/>
  <c r="AD216" i="15"/>
  <c r="Y216" i="15"/>
  <c r="W216" i="15"/>
  <c r="V216" i="15"/>
  <c r="U216" i="15"/>
  <c r="T216" i="15"/>
  <c r="AN215" i="15"/>
  <c r="AM215" i="15"/>
  <c r="AL215" i="15"/>
  <c r="AK215" i="15"/>
  <c r="AJ215" i="15"/>
  <c r="AI215" i="15"/>
  <c r="AH215" i="15"/>
  <c r="AG215" i="15"/>
  <c r="AF215" i="15"/>
  <c r="AE215" i="15"/>
  <c r="AD215" i="15"/>
  <c r="Y215" i="15"/>
  <c r="W215" i="15"/>
  <c r="V215" i="15"/>
  <c r="U215" i="15"/>
  <c r="T215" i="15"/>
  <c r="AN214" i="15"/>
  <c r="AM214" i="15"/>
  <c r="AL214" i="15"/>
  <c r="AK214" i="15"/>
  <c r="AJ214" i="15"/>
  <c r="AI214" i="15"/>
  <c r="AH214" i="15"/>
  <c r="AG214" i="15"/>
  <c r="AF214" i="15"/>
  <c r="AE214" i="15"/>
  <c r="AD214" i="15"/>
  <c r="Y214" i="15"/>
  <c r="W214" i="15"/>
  <c r="V214" i="15"/>
  <c r="U214" i="15"/>
  <c r="T214" i="15"/>
  <c r="AN213" i="15"/>
  <c r="AM213" i="15"/>
  <c r="AL213" i="15"/>
  <c r="AK213" i="15"/>
  <c r="AJ213" i="15"/>
  <c r="AI213" i="15"/>
  <c r="AH213" i="15"/>
  <c r="AG213" i="15"/>
  <c r="AF213" i="15"/>
  <c r="AE213" i="15"/>
  <c r="AD213" i="15"/>
  <c r="Y213" i="15"/>
  <c r="W213" i="15"/>
  <c r="V213" i="15"/>
  <c r="U213" i="15"/>
  <c r="T213" i="15"/>
  <c r="AN212" i="15"/>
  <c r="AM212" i="15"/>
  <c r="AL212" i="15"/>
  <c r="AK212" i="15"/>
  <c r="AJ212" i="15"/>
  <c r="AI212" i="15"/>
  <c r="AH212" i="15"/>
  <c r="AG212" i="15"/>
  <c r="AF212" i="15"/>
  <c r="AE212" i="15"/>
  <c r="AD212" i="15"/>
  <c r="Y212" i="15"/>
  <c r="W212" i="15"/>
  <c r="V212" i="15"/>
  <c r="U212" i="15"/>
  <c r="T212" i="15"/>
  <c r="AN211" i="15"/>
  <c r="AM211" i="15"/>
  <c r="AL211" i="15"/>
  <c r="AK211" i="15"/>
  <c r="AJ211" i="15"/>
  <c r="AI211" i="15"/>
  <c r="AH211" i="15"/>
  <c r="AG211" i="15"/>
  <c r="AF211" i="15"/>
  <c r="AE211" i="15"/>
  <c r="AD211" i="15"/>
  <c r="Y211" i="15"/>
  <c r="W211" i="15"/>
  <c r="V211" i="15"/>
  <c r="U211" i="15"/>
  <c r="T211" i="15"/>
  <c r="AN210" i="15"/>
  <c r="AM210" i="15"/>
  <c r="AL210" i="15"/>
  <c r="AK210" i="15"/>
  <c r="AJ210" i="15"/>
  <c r="AI210" i="15"/>
  <c r="AH210" i="15"/>
  <c r="AG210" i="15"/>
  <c r="AF210" i="15"/>
  <c r="AE210" i="15"/>
  <c r="AD210" i="15"/>
  <c r="Y210" i="15"/>
  <c r="W210" i="15"/>
  <c r="V210" i="15"/>
  <c r="U210" i="15"/>
  <c r="T210" i="15"/>
  <c r="AN209" i="15"/>
  <c r="AM209" i="15"/>
  <c r="AL209" i="15"/>
  <c r="AK209" i="15"/>
  <c r="AJ209" i="15"/>
  <c r="AI209" i="15"/>
  <c r="AH209" i="15"/>
  <c r="AG209" i="15"/>
  <c r="AF209" i="15"/>
  <c r="AE209" i="15"/>
  <c r="AD209" i="15"/>
  <c r="Y209" i="15"/>
  <c r="W209" i="15"/>
  <c r="V209" i="15"/>
  <c r="U209" i="15"/>
  <c r="T209" i="15"/>
  <c r="AN208" i="15"/>
  <c r="AM208" i="15"/>
  <c r="AL208" i="15"/>
  <c r="AK208" i="15"/>
  <c r="AJ208" i="15"/>
  <c r="AI208" i="15"/>
  <c r="AH208" i="15"/>
  <c r="AG208" i="15"/>
  <c r="AF208" i="15"/>
  <c r="AE208" i="15"/>
  <c r="AD208" i="15"/>
  <c r="Y208" i="15"/>
  <c r="W208" i="15"/>
  <c r="V208" i="15"/>
  <c r="U208" i="15"/>
  <c r="T208" i="15"/>
  <c r="AN207" i="15"/>
  <c r="AM207" i="15"/>
  <c r="AL207" i="15"/>
  <c r="AK207" i="15"/>
  <c r="AJ207" i="15"/>
  <c r="AI207" i="15"/>
  <c r="AH207" i="15"/>
  <c r="AG207" i="15"/>
  <c r="AF207" i="15"/>
  <c r="AE207" i="15"/>
  <c r="AD207" i="15"/>
  <c r="Y207" i="15"/>
  <c r="W207" i="15"/>
  <c r="V207" i="15"/>
  <c r="U207" i="15"/>
  <c r="T207" i="15"/>
  <c r="AN206" i="15"/>
  <c r="AM206" i="15"/>
  <c r="AL206" i="15"/>
  <c r="AK206" i="15"/>
  <c r="AJ206" i="15"/>
  <c r="AI206" i="15"/>
  <c r="AH206" i="15"/>
  <c r="AG206" i="15"/>
  <c r="AF206" i="15"/>
  <c r="AE206" i="15"/>
  <c r="AD206" i="15"/>
  <c r="Y206" i="15"/>
  <c r="W206" i="15"/>
  <c r="V206" i="15"/>
  <c r="U206" i="15"/>
  <c r="T206" i="15"/>
  <c r="AN205" i="15"/>
  <c r="AM205" i="15"/>
  <c r="AL205" i="15"/>
  <c r="AK205" i="15"/>
  <c r="AJ205" i="15"/>
  <c r="AI205" i="15"/>
  <c r="AH205" i="15"/>
  <c r="AG205" i="15"/>
  <c r="AF205" i="15"/>
  <c r="AE205" i="15"/>
  <c r="AD205" i="15"/>
  <c r="Y205" i="15"/>
  <c r="W205" i="15"/>
  <c r="V205" i="15"/>
  <c r="U205" i="15"/>
  <c r="T205" i="15"/>
  <c r="AN204" i="15"/>
  <c r="AM204" i="15"/>
  <c r="AL204" i="15"/>
  <c r="AK204" i="15"/>
  <c r="AJ204" i="15"/>
  <c r="AI204" i="15"/>
  <c r="AH204" i="15"/>
  <c r="AG204" i="15"/>
  <c r="AF204" i="15"/>
  <c r="AE204" i="15"/>
  <c r="AD204" i="15"/>
  <c r="Y204" i="15"/>
  <c r="W204" i="15"/>
  <c r="V204" i="15"/>
  <c r="U204" i="15"/>
  <c r="T204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Y203" i="15"/>
  <c r="W203" i="15"/>
  <c r="V203" i="15"/>
  <c r="U203" i="15"/>
  <c r="T203" i="15"/>
  <c r="AN202" i="15"/>
  <c r="AM202" i="15"/>
  <c r="AL202" i="15"/>
  <c r="AK202" i="15"/>
  <c r="AJ202" i="15"/>
  <c r="AI202" i="15"/>
  <c r="AH202" i="15"/>
  <c r="AG202" i="15"/>
  <c r="AF202" i="15"/>
  <c r="AE202" i="15"/>
  <c r="AD202" i="15"/>
  <c r="Y202" i="15"/>
  <c r="W202" i="15"/>
  <c r="V202" i="15"/>
  <c r="U202" i="15"/>
  <c r="T202" i="15"/>
  <c r="AN201" i="15"/>
  <c r="AM201" i="15"/>
  <c r="AL201" i="15"/>
  <c r="AK201" i="15"/>
  <c r="AJ201" i="15"/>
  <c r="AI201" i="15"/>
  <c r="AH201" i="15"/>
  <c r="AG201" i="15"/>
  <c r="AF201" i="15"/>
  <c r="AE201" i="15"/>
  <c r="AD201" i="15"/>
  <c r="Y201" i="15"/>
  <c r="W201" i="15"/>
  <c r="V201" i="15"/>
  <c r="U201" i="15"/>
  <c r="T201" i="15"/>
  <c r="AN200" i="15"/>
  <c r="AM200" i="15"/>
  <c r="AL200" i="15"/>
  <c r="AK200" i="15"/>
  <c r="AJ200" i="15"/>
  <c r="AI200" i="15"/>
  <c r="AH200" i="15"/>
  <c r="AG200" i="15"/>
  <c r="AF200" i="15"/>
  <c r="AE200" i="15"/>
  <c r="AD200" i="15"/>
  <c r="Y200" i="15"/>
  <c r="W200" i="15"/>
  <c r="V200" i="15"/>
  <c r="U200" i="15"/>
  <c r="T200" i="15"/>
  <c r="AN199" i="15"/>
  <c r="AM199" i="15"/>
  <c r="AL199" i="15"/>
  <c r="AK199" i="15"/>
  <c r="AJ199" i="15"/>
  <c r="AI199" i="15"/>
  <c r="AH199" i="15"/>
  <c r="AG199" i="15"/>
  <c r="AF199" i="15"/>
  <c r="AE199" i="15"/>
  <c r="AD199" i="15"/>
  <c r="Y199" i="15"/>
  <c r="W199" i="15"/>
  <c r="V199" i="15"/>
  <c r="U199" i="15"/>
  <c r="T199" i="15"/>
  <c r="AN198" i="15"/>
  <c r="AM198" i="15"/>
  <c r="AL198" i="15"/>
  <c r="AK198" i="15"/>
  <c r="AJ198" i="15"/>
  <c r="AI198" i="15"/>
  <c r="AH198" i="15"/>
  <c r="AG198" i="15"/>
  <c r="AF198" i="15"/>
  <c r="AE198" i="15"/>
  <c r="AD198" i="15"/>
  <c r="Y198" i="15"/>
  <c r="W198" i="15"/>
  <c r="V198" i="15"/>
  <c r="U198" i="15"/>
  <c r="T198" i="15"/>
  <c r="AN197" i="15"/>
  <c r="AM197" i="15"/>
  <c r="AL197" i="15"/>
  <c r="AK197" i="15"/>
  <c r="AJ197" i="15"/>
  <c r="AI197" i="15"/>
  <c r="AH197" i="15"/>
  <c r="AG197" i="15"/>
  <c r="AF197" i="15"/>
  <c r="AE197" i="15"/>
  <c r="AD197" i="15"/>
  <c r="Y197" i="15"/>
  <c r="W197" i="15"/>
  <c r="V197" i="15"/>
  <c r="U197" i="15"/>
  <c r="T197" i="15"/>
  <c r="AN196" i="15"/>
  <c r="AM196" i="15"/>
  <c r="AL196" i="15"/>
  <c r="AK196" i="15"/>
  <c r="AJ196" i="15"/>
  <c r="AI196" i="15"/>
  <c r="AH196" i="15"/>
  <c r="AG196" i="15"/>
  <c r="AF196" i="15"/>
  <c r="AE196" i="15"/>
  <c r="AD196" i="15"/>
  <c r="Y196" i="15"/>
  <c r="W196" i="15"/>
  <c r="V196" i="15"/>
  <c r="U196" i="15"/>
  <c r="T196" i="15"/>
  <c r="AN195" i="15"/>
  <c r="AM195" i="15"/>
  <c r="AL195" i="15"/>
  <c r="AK195" i="15"/>
  <c r="AJ195" i="15"/>
  <c r="AI195" i="15"/>
  <c r="AH195" i="15"/>
  <c r="AG195" i="15"/>
  <c r="AF195" i="15"/>
  <c r="AE195" i="15"/>
  <c r="AD195" i="15"/>
  <c r="Y195" i="15"/>
  <c r="W195" i="15"/>
  <c r="V195" i="15"/>
  <c r="U195" i="15"/>
  <c r="T195" i="15"/>
  <c r="AN194" i="15"/>
  <c r="AM194" i="15"/>
  <c r="AL194" i="15"/>
  <c r="AK194" i="15"/>
  <c r="AJ194" i="15"/>
  <c r="AI194" i="15"/>
  <c r="AH194" i="15"/>
  <c r="AG194" i="15"/>
  <c r="AF194" i="15"/>
  <c r="AE194" i="15"/>
  <c r="AD194" i="15"/>
  <c r="Y194" i="15"/>
  <c r="W194" i="15"/>
  <c r="V194" i="15"/>
  <c r="U194" i="15"/>
  <c r="T194" i="15"/>
  <c r="AN193" i="15"/>
  <c r="AM193" i="15"/>
  <c r="AL193" i="15"/>
  <c r="AK193" i="15"/>
  <c r="AJ193" i="15"/>
  <c r="AI193" i="15"/>
  <c r="AH193" i="15"/>
  <c r="AG193" i="15"/>
  <c r="AF193" i="15"/>
  <c r="AE193" i="15"/>
  <c r="AD193" i="15"/>
  <c r="Y193" i="15"/>
  <c r="W193" i="15"/>
  <c r="V193" i="15"/>
  <c r="U193" i="15"/>
  <c r="T193" i="15"/>
  <c r="AN192" i="15"/>
  <c r="AM192" i="15"/>
  <c r="AL192" i="15"/>
  <c r="AK192" i="15"/>
  <c r="AJ192" i="15"/>
  <c r="AI192" i="15"/>
  <c r="AH192" i="15"/>
  <c r="AG192" i="15"/>
  <c r="AF192" i="15"/>
  <c r="AE192" i="15"/>
  <c r="AD192" i="15"/>
  <c r="Y192" i="15"/>
  <c r="W192" i="15"/>
  <c r="V192" i="15"/>
  <c r="U192" i="15"/>
  <c r="T192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Y191" i="15"/>
  <c r="W191" i="15"/>
  <c r="V191" i="15"/>
  <c r="U191" i="15"/>
  <c r="T191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Y190" i="15"/>
  <c r="W190" i="15"/>
  <c r="V190" i="15"/>
  <c r="U190" i="15"/>
  <c r="T190" i="15"/>
  <c r="AN189" i="15"/>
  <c r="AM189" i="15"/>
  <c r="AL189" i="15"/>
  <c r="AK189" i="15"/>
  <c r="AJ189" i="15"/>
  <c r="AI189" i="15"/>
  <c r="AH189" i="15"/>
  <c r="AG189" i="15"/>
  <c r="AF189" i="15"/>
  <c r="AE189" i="15"/>
  <c r="AD189" i="15"/>
  <c r="Y189" i="15"/>
  <c r="W189" i="15"/>
  <c r="V189" i="15"/>
  <c r="U189" i="15"/>
  <c r="T189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Y188" i="15"/>
  <c r="W188" i="15"/>
  <c r="V188" i="15"/>
  <c r="U188" i="15"/>
  <c r="T188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Y187" i="15"/>
  <c r="W187" i="15"/>
  <c r="V187" i="15"/>
  <c r="U187" i="15"/>
  <c r="T187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Y186" i="15"/>
  <c r="W186" i="15"/>
  <c r="V186" i="15"/>
  <c r="U186" i="15"/>
  <c r="T186" i="15"/>
  <c r="AN185" i="15"/>
  <c r="AM185" i="15"/>
  <c r="AL185" i="15"/>
  <c r="AK185" i="15"/>
  <c r="AJ185" i="15"/>
  <c r="AI185" i="15"/>
  <c r="AH185" i="15"/>
  <c r="AG185" i="15"/>
  <c r="AF185" i="15"/>
  <c r="AE185" i="15"/>
  <c r="AD185" i="15"/>
  <c r="Y185" i="15"/>
  <c r="W185" i="15"/>
  <c r="V185" i="15"/>
  <c r="U185" i="15"/>
  <c r="T185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Y184" i="15"/>
  <c r="W184" i="15"/>
  <c r="V184" i="15"/>
  <c r="U184" i="15"/>
  <c r="T184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Y183" i="15"/>
  <c r="W183" i="15"/>
  <c r="V183" i="15"/>
  <c r="U183" i="15"/>
  <c r="T183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Y182" i="15"/>
  <c r="W182" i="15"/>
  <c r="V182" i="15"/>
  <c r="U182" i="15"/>
  <c r="T182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Y181" i="15"/>
  <c r="W181" i="15"/>
  <c r="V181" i="15"/>
  <c r="U181" i="15"/>
  <c r="T181" i="15"/>
  <c r="AN180" i="15"/>
  <c r="AM180" i="15"/>
  <c r="AL180" i="15"/>
  <c r="AK180" i="15"/>
  <c r="AJ180" i="15"/>
  <c r="AI180" i="15"/>
  <c r="AH180" i="15"/>
  <c r="AG180" i="15"/>
  <c r="AF180" i="15"/>
  <c r="AE180" i="15"/>
  <c r="AD180" i="15"/>
  <c r="Y180" i="15"/>
  <c r="W180" i="15"/>
  <c r="V180" i="15"/>
  <c r="U180" i="15"/>
  <c r="T180" i="15"/>
  <c r="AN179" i="15"/>
  <c r="AM179" i="15"/>
  <c r="AL179" i="15"/>
  <c r="AK179" i="15"/>
  <c r="AJ179" i="15"/>
  <c r="AI179" i="15"/>
  <c r="AH179" i="15"/>
  <c r="AG179" i="15"/>
  <c r="AF179" i="15"/>
  <c r="AE179" i="15"/>
  <c r="AD179" i="15"/>
  <c r="Y179" i="15"/>
  <c r="W179" i="15"/>
  <c r="V179" i="15"/>
  <c r="U179" i="15"/>
  <c r="T179" i="15"/>
  <c r="AN178" i="15"/>
  <c r="AM178" i="15"/>
  <c r="AL178" i="15"/>
  <c r="AK178" i="15"/>
  <c r="AJ178" i="15"/>
  <c r="AI178" i="15"/>
  <c r="AH178" i="15"/>
  <c r="AG178" i="15"/>
  <c r="AF178" i="15"/>
  <c r="AE178" i="15"/>
  <c r="AD178" i="15"/>
  <c r="Y178" i="15"/>
  <c r="W178" i="15"/>
  <c r="V178" i="15"/>
  <c r="U178" i="15"/>
  <c r="T178" i="15"/>
  <c r="AN177" i="15"/>
  <c r="AM177" i="15"/>
  <c r="AL177" i="15"/>
  <c r="AK177" i="15"/>
  <c r="AJ177" i="15"/>
  <c r="AI177" i="15"/>
  <c r="AH177" i="15"/>
  <c r="AG177" i="15"/>
  <c r="AF177" i="15"/>
  <c r="AE177" i="15"/>
  <c r="AD177" i="15"/>
  <c r="Y177" i="15"/>
  <c r="W177" i="15"/>
  <c r="V177" i="15"/>
  <c r="U177" i="15"/>
  <c r="T177" i="15"/>
  <c r="AN176" i="15"/>
  <c r="AM176" i="15"/>
  <c r="AL176" i="15"/>
  <c r="AK176" i="15"/>
  <c r="AJ176" i="15"/>
  <c r="AI176" i="15"/>
  <c r="AH176" i="15"/>
  <c r="AG176" i="15"/>
  <c r="AF176" i="15"/>
  <c r="AE176" i="15"/>
  <c r="AD176" i="15"/>
  <c r="Y176" i="15"/>
  <c r="W176" i="15"/>
  <c r="V176" i="15"/>
  <c r="U176" i="15"/>
  <c r="T176" i="15"/>
  <c r="AN175" i="15"/>
  <c r="AM175" i="15"/>
  <c r="AL175" i="15"/>
  <c r="AK175" i="15"/>
  <c r="AJ175" i="15"/>
  <c r="AI175" i="15"/>
  <c r="AH175" i="15"/>
  <c r="AG175" i="15"/>
  <c r="AF175" i="15"/>
  <c r="AE175" i="15"/>
  <c r="AD175" i="15"/>
  <c r="Y175" i="15"/>
  <c r="W175" i="15"/>
  <c r="V175" i="15"/>
  <c r="U175" i="15"/>
  <c r="T175" i="15"/>
  <c r="AN174" i="15"/>
  <c r="AM174" i="15"/>
  <c r="AL174" i="15"/>
  <c r="AK174" i="15"/>
  <c r="AJ174" i="15"/>
  <c r="AI174" i="15"/>
  <c r="AH174" i="15"/>
  <c r="AG174" i="15"/>
  <c r="AF174" i="15"/>
  <c r="AE174" i="15"/>
  <c r="AD174" i="15"/>
  <c r="Y174" i="15"/>
  <c r="W174" i="15"/>
  <c r="V174" i="15"/>
  <c r="U174" i="15"/>
  <c r="T174" i="15"/>
  <c r="AN173" i="15"/>
  <c r="AM173" i="15"/>
  <c r="AL173" i="15"/>
  <c r="AK173" i="15"/>
  <c r="AJ173" i="15"/>
  <c r="AI173" i="15"/>
  <c r="AH173" i="15"/>
  <c r="AG173" i="15"/>
  <c r="AF173" i="15"/>
  <c r="AE173" i="15"/>
  <c r="AD173" i="15"/>
  <c r="Y173" i="15"/>
  <c r="W173" i="15"/>
  <c r="V173" i="15"/>
  <c r="U173" i="15"/>
  <c r="T173" i="15"/>
  <c r="AN172" i="15"/>
  <c r="AM172" i="15"/>
  <c r="AL172" i="15"/>
  <c r="AK172" i="15"/>
  <c r="AJ172" i="15"/>
  <c r="AI172" i="15"/>
  <c r="AH172" i="15"/>
  <c r="AG172" i="15"/>
  <c r="AF172" i="15"/>
  <c r="AE172" i="15"/>
  <c r="AD172" i="15"/>
  <c r="Y172" i="15"/>
  <c r="W172" i="15"/>
  <c r="V172" i="15"/>
  <c r="U172" i="15"/>
  <c r="T172" i="15"/>
  <c r="AN171" i="15"/>
  <c r="AM171" i="15"/>
  <c r="AL171" i="15"/>
  <c r="AK171" i="15"/>
  <c r="AJ171" i="15"/>
  <c r="AI171" i="15"/>
  <c r="AH171" i="15"/>
  <c r="AG171" i="15"/>
  <c r="AF171" i="15"/>
  <c r="AE171" i="15"/>
  <c r="AD171" i="15"/>
  <c r="Y171" i="15"/>
  <c r="W171" i="15"/>
  <c r="V171" i="15"/>
  <c r="U171" i="15"/>
  <c r="T171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Y170" i="15"/>
  <c r="W170" i="15"/>
  <c r="V170" i="15"/>
  <c r="U170" i="15"/>
  <c r="T170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Y169" i="15"/>
  <c r="W169" i="15"/>
  <c r="V169" i="15"/>
  <c r="U169" i="15"/>
  <c r="T169" i="15"/>
  <c r="AN168" i="15"/>
  <c r="AM168" i="15"/>
  <c r="AL168" i="15"/>
  <c r="AK168" i="15"/>
  <c r="AJ168" i="15"/>
  <c r="AI168" i="15"/>
  <c r="AH168" i="15"/>
  <c r="AG168" i="15"/>
  <c r="AF168" i="15"/>
  <c r="AE168" i="15"/>
  <c r="AD168" i="15"/>
  <c r="Y168" i="15"/>
  <c r="W168" i="15"/>
  <c r="V168" i="15"/>
  <c r="U168" i="15"/>
  <c r="T168" i="15"/>
  <c r="AN167" i="15"/>
  <c r="AM167" i="15"/>
  <c r="AL167" i="15"/>
  <c r="AK167" i="15"/>
  <c r="AJ167" i="15"/>
  <c r="AI167" i="15"/>
  <c r="AH167" i="15"/>
  <c r="AG167" i="15"/>
  <c r="AF167" i="15"/>
  <c r="AE167" i="15"/>
  <c r="AD167" i="15"/>
  <c r="Y167" i="15"/>
  <c r="W167" i="15"/>
  <c r="V167" i="15"/>
  <c r="U167" i="15"/>
  <c r="T167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Y166" i="15"/>
  <c r="W166" i="15"/>
  <c r="V166" i="15"/>
  <c r="U166" i="15"/>
  <c r="T166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Y165" i="15"/>
  <c r="W165" i="15"/>
  <c r="V165" i="15"/>
  <c r="U165" i="15"/>
  <c r="T165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Y164" i="15"/>
  <c r="W164" i="15"/>
  <c r="V164" i="15"/>
  <c r="U164" i="15"/>
  <c r="T164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Y163" i="15"/>
  <c r="W163" i="15"/>
  <c r="V163" i="15"/>
  <c r="U163" i="15"/>
  <c r="T163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Y162" i="15"/>
  <c r="W162" i="15"/>
  <c r="V162" i="15"/>
  <c r="U162" i="15"/>
  <c r="T162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Y161" i="15"/>
  <c r="W161" i="15"/>
  <c r="V161" i="15"/>
  <c r="U161" i="15"/>
  <c r="T161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Y160" i="15"/>
  <c r="W160" i="15"/>
  <c r="V160" i="15"/>
  <c r="U160" i="15"/>
  <c r="T160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Y159" i="15"/>
  <c r="W159" i="15"/>
  <c r="V159" i="15"/>
  <c r="U159" i="15"/>
  <c r="T159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Y158" i="15"/>
  <c r="W158" i="15"/>
  <c r="V158" i="15"/>
  <c r="U158" i="15"/>
  <c r="T158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Y157" i="15"/>
  <c r="W157" i="15"/>
  <c r="V157" i="15"/>
  <c r="U157" i="15"/>
  <c r="T157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Y156" i="15"/>
  <c r="W156" i="15"/>
  <c r="V156" i="15"/>
  <c r="U156" i="15"/>
  <c r="T156" i="15"/>
  <c r="AN155" i="15"/>
  <c r="AM155" i="15"/>
  <c r="AL155" i="15"/>
  <c r="AK155" i="15"/>
  <c r="AJ155" i="15"/>
  <c r="AI155" i="15"/>
  <c r="AH155" i="15"/>
  <c r="AG155" i="15"/>
  <c r="AF155" i="15"/>
  <c r="AE155" i="15"/>
  <c r="AD155" i="15"/>
  <c r="Y155" i="15"/>
  <c r="W155" i="15"/>
  <c r="V155" i="15"/>
  <c r="U155" i="15"/>
  <c r="T155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Y154" i="15"/>
  <c r="W154" i="15"/>
  <c r="V154" i="15"/>
  <c r="U154" i="15"/>
  <c r="T154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Y153" i="15"/>
  <c r="W153" i="15"/>
  <c r="V153" i="15"/>
  <c r="U153" i="15"/>
  <c r="T153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Y152" i="15"/>
  <c r="W152" i="15"/>
  <c r="V152" i="15"/>
  <c r="U152" i="15"/>
  <c r="T152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Y151" i="15"/>
  <c r="W151" i="15"/>
  <c r="V151" i="15"/>
  <c r="U151" i="15"/>
  <c r="T151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Y150" i="15"/>
  <c r="W150" i="15"/>
  <c r="V150" i="15"/>
  <c r="U150" i="15"/>
  <c r="T150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Y149" i="15"/>
  <c r="W149" i="15"/>
  <c r="V149" i="15"/>
  <c r="U149" i="15"/>
  <c r="T149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Y148" i="15"/>
  <c r="W148" i="15"/>
  <c r="V148" i="15"/>
  <c r="U148" i="15"/>
  <c r="T148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Y147" i="15"/>
  <c r="W147" i="15"/>
  <c r="V147" i="15"/>
  <c r="U147" i="15"/>
  <c r="T147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Y146" i="15"/>
  <c r="W146" i="15"/>
  <c r="V146" i="15"/>
  <c r="U146" i="15"/>
  <c r="T146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Y145" i="15"/>
  <c r="W145" i="15"/>
  <c r="V145" i="15"/>
  <c r="U145" i="15"/>
  <c r="T145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Y144" i="15"/>
  <c r="W144" i="15"/>
  <c r="V144" i="15"/>
  <c r="U144" i="15"/>
  <c r="T144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Y143" i="15"/>
  <c r="W143" i="15"/>
  <c r="V143" i="15"/>
  <c r="U143" i="15"/>
  <c r="T143" i="15"/>
  <c r="AN142" i="15"/>
  <c r="AM142" i="15"/>
  <c r="AL142" i="15"/>
  <c r="AK142" i="15"/>
  <c r="AJ142" i="15"/>
  <c r="AI142" i="15"/>
  <c r="AH142" i="15"/>
  <c r="AG142" i="15"/>
  <c r="AF142" i="15"/>
  <c r="AE142" i="15"/>
  <c r="AD142" i="15"/>
  <c r="Y142" i="15"/>
  <c r="W142" i="15"/>
  <c r="V142" i="15"/>
  <c r="U142" i="15"/>
  <c r="T142" i="15"/>
  <c r="AN141" i="15"/>
  <c r="AM141" i="15"/>
  <c r="AL141" i="15"/>
  <c r="AK141" i="15"/>
  <c r="AJ141" i="15"/>
  <c r="AI141" i="15"/>
  <c r="AH141" i="15"/>
  <c r="AG141" i="15"/>
  <c r="AF141" i="15"/>
  <c r="AE141" i="15"/>
  <c r="AD141" i="15"/>
  <c r="Y141" i="15"/>
  <c r="W141" i="15"/>
  <c r="V141" i="15"/>
  <c r="U141" i="15"/>
  <c r="T141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Y140" i="15"/>
  <c r="W140" i="15"/>
  <c r="V140" i="15"/>
  <c r="U140" i="15"/>
  <c r="T140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Y139" i="15"/>
  <c r="W139" i="15"/>
  <c r="V139" i="15"/>
  <c r="U139" i="15"/>
  <c r="T139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Y138" i="15"/>
  <c r="W138" i="15"/>
  <c r="V138" i="15"/>
  <c r="U138" i="15"/>
  <c r="T138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Y137" i="15"/>
  <c r="W137" i="15"/>
  <c r="V137" i="15"/>
  <c r="U137" i="15"/>
  <c r="T137" i="15"/>
  <c r="AN136" i="15"/>
  <c r="AM136" i="15"/>
  <c r="AL136" i="15"/>
  <c r="AK136" i="15"/>
  <c r="AJ136" i="15"/>
  <c r="AI136" i="15"/>
  <c r="AH136" i="15"/>
  <c r="AG136" i="15"/>
  <c r="AF136" i="15"/>
  <c r="AE136" i="15"/>
  <c r="AD136" i="15"/>
  <c r="Y136" i="15"/>
  <c r="W136" i="15"/>
  <c r="V136" i="15"/>
  <c r="U136" i="15"/>
  <c r="T136" i="15"/>
  <c r="AN135" i="15"/>
  <c r="AM135" i="15"/>
  <c r="AL135" i="15"/>
  <c r="AK135" i="15"/>
  <c r="AJ135" i="15"/>
  <c r="AI135" i="15"/>
  <c r="AH135" i="15"/>
  <c r="AG135" i="15"/>
  <c r="AF135" i="15"/>
  <c r="AE135" i="15"/>
  <c r="AD135" i="15"/>
  <c r="Y135" i="15"/>
  <c r="W135" i="15"/>
  <c r="V135" i="15"/>
  <c r="U135" i="15"/>
  <c r="T135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Y134" i="15"/>
  <c r="W134" i="15"/>
  <c r="V134" i="15"/>
  <c r="U134" i="15"/>
  <c r="T134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Y133" i="15"/>
  <c r="W133" i="15"/>
  <c r="V133" i="15"/>
  <c r="U133" i="15"/>
  <c r="T133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Y132" i="15"/>
  <c r="W132" i="15"/>
  <c r="V132" i="15"/>
  <c r="U132" i="15"/>
  <c r="T132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Y131" i="15"/>
  <c r="W131" i="15"/>
  <c r="V131" i="15"/>
  <c r="U131" i="15"/>
  <c r="T131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Y130" i="15"/>
  <c r="W130" i="15"/>
  <c r="V130" i="15"/>
  <c r="U130" i="15"/>
  <c r="T130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Y129" i="15"/>
  <c r="W129" i="15"/>
  <c r="V129" i="15"/>
  <c r="U129" i="15"/>
  <c r="T129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Y128" i="15"/>
  <c r="W128" i="15"/>
  <c r="V128" i="15"/>
  <c r="U128" i="15"/>
  <c r="T128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Y127" i="15"/>
  <c r="W127" i="15"/>
  <c r="V127" i="15"/>
  <c r="U127" i="15"/>
  <c r="T127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Y126" i="15"/>
  <c r="W126" i="15"/>
  <c r="V126" i="15"/>
  <c r="U126" i="15"/>
  <c r="T126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Y125" i="15"/>
  <c r="W125" i="15"/>
  <c r="V125" i="15"/>
  <c r="U125" i="15"/>
  <c r="T125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Y124" i="15"/>
  <c r="W124" i="15"/>
  <c r="V124" i="15"/>
  <c r="U124" i="15"/>
  <c r="T124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Y123" i="15"/>
  <c r="W123" i="15"/>
  <c r="V123" i="15"/>
  <c r="U123" i="15"/>
  <c r="T123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Y122" i="15"/>
  <c r="W122" i="15"/>
  <c r="V122" i="15"/>
  <c r="U122" i="15"/>
  <c r="T122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Y121" i="15"/>
  <c r="W121" i="15"/>
  <c r="V121" i="15"/>
  <c r="U121" i="15"/>
  <c r="T121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W120" i="15"/>
  <c r="V120" i="15"/>
  <c r="U120" i="15"/>
  <c r="T120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W119" i="15"/>
  <c r="V119" i="15"/>
  <c r="U119" i="15"/>
  <c r="T119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Y118" i="15"/>
  <c r="W118" i="15"/>
  <c r="V118" i="15"/>
  <c r="U118" i="15"/>
  <c r="T118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W117" i="15"/>
  <c r="V117" i="15"/>
  <c r="U117" i="15"/>
  <c r="T117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Y116" i="15"/>
  <c r="W116" i="15"/>
  <c r="V116" i="15"/>
  <c r="U116" i="15"/>
  <c r="T116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Y115" i="15"/>
  <c r="W115" i="15"/>
  <c r="V115" i="15"/>
  <c r="U115" i="15"/>
  <c r="T115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W114" i="15"/>
  <c r="V114" i="15"/>
  <c r="U114" i="15"/>
  <c r="T114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W113" i="15"/>
  <c r="V113" i="15"/>
  <c r="U113" i="15"/>
  <c r="T113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W112" i="15"/>
  <c r="V112" i="15"/>
  <c r="U112" i="15"/>
  <c r="T112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W111" i="15"/>
  <c r="V111" i="15"/>
  <c r="U111" i="15"/>
  <c r="T111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W110" i="15"/>
  <c r="V110" i="15"/>
  <c r="U110" i="15"/>
  <c r="T110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Y109" i="15"/>
  <c r="W109" i="15"/>
  <c r="V109" i="15"/>
  <c r="U109" i="15"/>
  <c r="T109" i="15"/>
  <c r="AN108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W108" i="15"/>
  <c r="V108" i="15"/>
  <c r="U108" i="15"/>
  <c r="T108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W107" i="15"/>
  <c r="V107" i="15"/>
  <c r="U107" i="15"/>
  <c r="T107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Y106" i="15"/>
  <c r="W106" i="15"/>
  <c r="V106" i="15"/>
  <c r="U106" i="15"/>
  <c r="T106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W105" i="15"/>
  <c r="V105" i="15"/>
  <c r="U105" i="15"/>
  <c r="T105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W104" i="15"/>
  <c r="V104" i="15"/>
  <c r="U104" i="15"/>
  <c r="T104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Y103" i="15"/>
  <c r="W103" i="15"/>
  <c r="V103" i="15"/>
  <c r="U103" i="15"/>
  <c r="T103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W102" i="15"/>
  <c r="V102" i="15"/>
  <c r="U102" i="15"/>
  <c r="T102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W101" i="15"/>
  <c r="V101" i="15"/>
  <c r="U101" i="15"/>
  <c r="T101" i="15"/>
  <c r="AN100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W100" i="15"/>
  <c r="V100" i="15"/>
  <c r="U100" i="15"/>
  <c r="T100" i="15"/>
  <c r="AN99" i="15"/>
  <c r="AM99" i="15"/>
  <c r="AL99" i="15"/>
  <c r="AK99" i="15"/>
  <c r="AJ99" i="15"/>
  <c r="AI99" i="15"/>
  <c r="AH99" i="15"/>
  <c r="AG99" i="15"/>
  <c r="AF99" i="15"/>
  <c r="AE99" i="15"/>
  <c r="AD99" i="15"/>
  <c r="Y99" i="15"/>
  <c r="W99" i="15"/>
  <c r="V99" i="15"/>
  <c r="U99" i="15"/>
  <c r="T99" i="15"/>
  <c r="AN98" i="15"/>
  <c r="AM98" i="15"/>
  <c r="AL98" i="15"/>
  <c r="AK98" i="15"/>
  <c r="AJ98" i="15"/>
  <c r="AI98" i="15"/>
  <c r="AH98" i="15"/>
  <c r="AG98" i="15"/>
  <c r="AF98" i="15"/>
  <c r="AE98" i="15"/>
  <c r="AD98" i="15"/>
  <c r="Y98" i="15"/>
  <c r="W98" i="15"/>
  <c r="V98" i="15"/>
  <c r="U98" i="15"/>
  <c r="T98" i="15"/>
  <c r="AN97" i="15"/>
  <c r="AM97" i="15"/>
  <c r="AL97" i="15"/>
  <c r="AK97" i="15"/>
  <c r="AJ97" i="15"/>
  <c r="AI97" i="15"/>
  <c r="AH97" i="15"/>
  <c r="AG97" i="15"/>
  <c r="AF97" i="15"/>
  <c r="AE97" i="15"/>
  <c r="AD97" i="15"/>
  <c r="Y97" i="15"/>
  <c r="W97" i="15"/>
  <c r="V97" i="15"/>
  <c r="U97" i="15"/>
  <c r="T97" i="15"/>
  <c r="AN96" i="15"/>
  <c r="AM96" i="15"/>
  <c r="AL96" i="15"/>
  <c r="AK96" i="15"/>
  <c r="AJ96" i="15"/>
  <c r="AI96" i="15"/>
  <c r="AH96" i="15"/>
  <c r="AG96" i="15"/>
  <c r="AF96" i="15"/>
  <c r="AE96" i="15"/>
  <c r="AD96" i="15"/>
  <c r="Y96" i="15"/>
  <c r="W96" i="15"/>
  <c r="V96" i="15"/>
  <c r="U96" i="15"/>
  <c r="T96" i="15"/>
  <c r="AN95" i="15"/>
  <c r="AM95" i="15"/>
  <c r="AL95" i="15"/>
  <c r="AK95" i="15"/>
  <c r="AJ95" i="15"/>
  <c r="AI95" i="15"/>
  <c r="AH95" i="15"/>
  <c r="AG95" i="15"/>
  <c r="AF95" i="15"/>
  <c r="AE95" i="15"/>
  <c r="AD95" i="15"/>
  <c r="Y95" i="15"/>
  <c r="W95" i="15"/>
  <c r="V95" i="15"/>
  <c r="U95" i="15"/>
  <c r="T95" i="15"/>
  <c r="AN94" i="15"/>
  <c r="AM94" i="15"/>
  <c r="AL94" i="15"/>
  <c r="AK94" i="15"/>
  <c r="AJ94" i="15"/>
  <c r="AI94" i="15"/>
  <c r="AH94" i="15"/>
  <c r="AG94" i="15"/>
  <c r="AF94" i="15"/>
  <c r="AE94" i="15"/>
  <c r="AD94" i="15"/>
  <c r="Y94" i="15"/>
  <c r="W94" i="15"/>
  <c r="V94" i="15"/>
  <c r="U94" i="15"/>
  <c r="T94" i="15"/>
  <c r="AN93" i="15"/>
  <c r="AM93" i="15"/>
  <c r="AL93" i="15"/>
  <c r="AK93" i="15"/>
  <c r="AJ93" i="15"/>
  <c r="AI93" i="15"/>
  <c r="AH93" i="15"/>
  <c r="AG93" i="15"/>
  <c r="AF93" i="15"/>
  <c r="AE93" i="15"/>
  <c r="AD93" i="15"/>
  <c r="Y93" i="15"/>
  <c r="W93" i="15"/>
  <c r="V93" i="15"/>
  <c r="U93" i="15"/>
  <c r="T93" i="15"/>
  <c r="AN92" i="15"/>
  <c r="AM92" i="15"/>
  <c r="AL92" i="15"/>
  <c r="AK92" i="15"/>
  <c r="AJ92" i="15"/>
  <c r="AI92" i="15"/>
  <c r="AH92" i="15"/>
  <c r="AG92" i="15"/>
  <c r="AF92" i="15"/>
  <c r="AE92" i="15"/>
  <c r="AD92" i="15"/>
  <c r="Y92" i="15"/>
  <c r="W92" i="15"/>
  <c r="V92" i="15"/>
  <c r="U92" i="15"/>
  <c r="T92" i="15"/>
  <c r="AN91" i="15"/>
  <c r="AM91" i="15"/>
  <c r="AL91" i="15"/>
  <c r="AK91" i="15"/>
  <c r="AJ91" i="15"/>
  <c r="AI91" i="15"/>
  <c r="AH91" i="15"/>
  <c r="AG91" i="15"/>
  <c r="AF91" i="15"/>
  <c r="AE91" i="15"/>
  <c r="AD91" i="15"/>
  <c r="Y91" i="15"/>
  <c r="W91" i="15"/>
  <c r="V91" i="15"/>
  <c r="U91" i="15"/>
  <c r="T91" i="15"/>
  <c r="AN90" i="15"/>
  <c r="AM90" i="15"/>
  <c r="AL90" i="15"/>
  <c r="AK90" i="15"/>
  <c r="AJ90" i="15"/>
  <c r="AI90" i="15"/>
  <c r="AH90" i="15"/>
  <c r="AG90" i="15"/>
  <c r="AF90" i="15"/>
  <c r="AE90" i="15"/>
  <c r="AD90" i="15"/>
  <c r="Y90" i="15"/>
  <c r="W90" i="15"/>
  <c r="V90" i="15"/>
  <c r="U90" i="15"/>
  <c r="T90" i="15"/>
  <c r="AN89" i="15"/>
  <c r="AM89" i="15"/>
  <c r="AL89" i="15"/>
  <c r="AK89" i="15"/>
  <c r="AJ89" i="15"/>
  <c r="AI89" i="15"/>
  <c r="AH89" i="15"/>
  <c r="AG89" i="15"/>
  <c r="AF89" i="15"/>
  <c r="AE89" i="15"/>
  <c r="AD89" i="15"/>
  <c r="Y89" i="15"/>
  <c r="W89" i="15"/>
  <c r="V89" i="15"/>
  <c r="U89" i="15"/>
  <c r="T89" i="15"/>
  <c r="AN88" i="15"/>
  <c r="AM88" i="15"/>
  <c r="AL88" i="15"/>
  <c r="AK88" i="15"/>
  <c r="AJ88" i="15"/>
  <c r="AI88" i="15"/>
  <c r="AH88" i="15"/>
  <c r="AG88" i="15"/>
  <c r="AF88" i="15"/>
  <c r="AE88" i="15"/>
  <c r="AD88" i="15"/>
  <c r="Y88" i="15"/>
  <c r="W88" i="15"/>
  <c r="V88" i="15"/>
  <c r="U88" i="15"/>
  <c r="T88" i="15"/>
  <c r="AN87" i="15"/>
  <c r="AM87" i="15"/>
  <c r="AL87" i="15"/>
  <c r="AK87" i="15"/>
  <c r="AJ87" i="15"/>
  <c r="AI87" i="15"/>
  <c r="AH87" i="15"/>
  <c r="AG87" i="15"/>
  <c r="AF87" i="15"/>
  <c r="AE87" i="15"/>
  <c r="AD87" i="15"/>
  <c r="Y87" i="15"/>
  <c r="W87" i="15"/>
  <c r="V87" i="15"/>
  <c r="U87" i="15"/>
  <c r="T87" i="15"/>
  <c r="AN86" i="15"/>
  <c r="AM86" i="15"/>
  <c r="AL86" i="15"/>
  <c r="AK86" i="15"/>
  <c r="AJ86" i="15"/>
  <c r="AI86" i="15"/>
  <c r="AH86" i="15"/>
  <c r="AG86" i="15"/>
  <c r="AF86" i="15"/>
  <c r="AE86" i="15"/>
  <c r="AD86" i="15"/>
  <c r="Y86" i="15"/>
  <c r="W86" i="15"/>
  <c r="V86" i="15"/>
  <c r="U86" i="15"/>
  <c r="T86" i="15"/>
  <c r="AN85" i="15"/>
  <c r="AM85" i="15"/>
  <c r="AL85" i="15"/>
  <c r="AK85" i="15"/>
  <c r="AJ85" i="15"/>
  <c r="AI85" i="15"/>
  <c r="AH85" i="15"/>
  <c r="AG85" i="15"/>
  <c r="AF85" i="15"/>
  <c r="AE85" i="15"/>
  <c r="AD85" i="15"/>
  <c r="Y85" i="15"/>
  <c r="W85" i="15"/>
  <c r="V85" i="15"/>
  <c r="U85" i="15"/>
  <c r="T85" i="15"/>
  <c r="AN84" i="15"/>
  <c r="AM84" i="15"/>
  <c r="AL84" i="15"/>
  <c r="AK84" i="15"/>
  <c r="AJ84" i="15"/>
  <c r="AI84" i="15"/>
  <c r="AH84" i="15"/>
  <c r="AG84" i="15"/>
  <c r="AF84" i="15"/>
  <c r="AE84" i="15"/>
  <c r="AD84" i="15"/>
  <c r="Y84" i="15"/>
  <c r="W84" i="15"/>
  <c r="V84" i="15"/>
  <c r="U84" i="15"/>
  <c r="T84" i="15"/>
  <c r="AN83" i="15"/>
  <c r="AM83" i="15"/>
  <c r="AL83" i="15"/>
  <c r="AK83" i="15"/>
  <c r="AJ83" i="15"/>
  <c r="AI83" i="15"/>
  <c r="AH83" i="15"/>
  <c r="AG83" i="15"/>
  <c r="AF83" i="15"/>
  <c r="AE83" i="15"/>
  <c r="AD83" i="15"/>
  <c r="Y83" i="15"/>
  <c r="W83" i="15"/>
  <c r="V83" i="15"/>
  <c r="U83" i="15"/>
  <c r="T83" i="15"/>
  <c r="AN82" i="15"/>
  <c r="AM82" i="15"/>
  <c r="AL82" i="15"/>
  <c r="AK82" i="15"/>
  <c r="AJ82" i="15"/>
  <c r="AI82" i="15"/>
  <c r="AH82" i="15"/>
  <c r="AG82" i="15"/>
  <c r="AF82" i="15"/>
  <c r="AE82" i="15"/>
  <c r="AD82" i="15"/>
  <c r="Y82" i="15"/>
  <c r="W82" i="15"/>
  <c r="V82" i="15"/>
  <c r="U82" i="15"/>
  <c r="T82" i="15"/>
  <c r="AN81" i="15"/>
  <c r="AM81" i="15"/>
  <c r="AL81" i="15"/>
  <c r="AK81" i="15"/>
  <c r="AJ81" i="15"/>
  <c r="AI81" i="15"/>
  <c r="AH81" i="15"/>
  <c r="AG81" i="15"/>
  <c r="AF81" i="15"/>
  <c r="AE81" i="15"/>
  <c r="AD81" i="15"/>
  <c r="Y81" i="15"/>
  <c r="W81" i="15"/>
  <c r="V81" i="15"/>
  <c r="U81" i="15"/>
  <c r="T81" i="15"/>
  <c r="AN80" i="15"/>
  <c r="AM80" i="15"/>
  <c r="AL80" i="15"/>
  <c r="AK80" i="15"/>
  <c r="AJ80" i="15"/>
  <c r="AI80" i="15"/>
  <c r="AH80" i="15"/>
  <c r="AG80" i="15"/>
  <c r="AF80" i="15"/>
  <c r="AE80" i="15"/>
  <c r="AD80" i="15"/>
  <c r="Y80" i="15"/>
  <c r="W80" i="15"/>
  <c r="V80" i="15"/>
  <c r="U80" i="15"/>
  <c r="T80" i="15"/>
  <c r="AN79" i="15"/>
  <c r="AM79" i="15"/>
  <c r="AL79" i="15"/>
  <c r="AK79" i="15"/>
  <c r="AJ79" i="15"/>
  <c r="AI79" i="15"/>
  <c r="AH79" i="15"/>
  <c r="AG79" i="15"/>
  <c r="AF79" i="15"/>
  <c r="AE79" i="15"/>
  <c r="AD79" i="15"/>
  <c r="Y79" i="15"/>
  <c r="W79" i="15"/>
  <c r="V79" i="15"/>
  <c r="U79" i="15"/>
  <c r="T79" i="15"/>
  <c r="AN78" i="15"/>
  <c r="AM78" i="15"/>
  <c r="AL78" i="15"/>
  <c r="AK78" i="15"/>
  <c r="AJ78" i="15"/>
  <c r="AI78" i="15"/>
  <c r="AH78" i="15"/>
  <c r="AG78" i="15"/>
  <c r="AF78" i="15"/>
  <c r="AE78" i="15"/>
  <c r="AD78" i="15"/>
  <c r="Y78" i="15"/>
  <c r="W78" i="15"/>
  <c r="V78" i="15"/>
  <c r="U78" i="15"/>
  <c r="T78" i="15"/>
  <c r="AN77" i="15"/>
  <c r="AM77" i="15"/>
  <c r="AL77" i="15"/>
  <c r="AK77" i="15"/>
  <c r="AJ77" i="15"/>
  <c r="AI77" i="15"/>
  <c r="AH77" i="15"/>
  <c r="AG77" i="15"/>
  <c r="AF77" i="15"/>
  <c r="AE77" i="15"/>
  <c r="AD77" i="15"/>
  <c r="Y77" i="15"/>
  <c r="W77" i="15"/>
  <c r="V77" i="15"/>
  <c r="U77" i="15"/>
  <c r="T77" i="15"/>
  <c r="AN76" i="15"/>
  <c r="AM76" i="15"/>
  <c r="AL76" i="15"/>
  <c r="AK76" i="15"/>
  <c r="AJ76" i="15"/>
  <c r="AI76" i="15"/>
  <c r="AH76" i="15"/>
  <c r="AG76" i="15"/>
  <c r="AF76" i="15"/>
  <c r="AE76" i="15"/>
  <c r="AD76" i="15"/>
  <c r="Y76" i="15"/>
  <c r="W76" i="15"/>
  <c r="V76" i="15"/>
  <c r="U76" i="15"/>
  <c r="T76" i="15"/>
  <c r="AN75" i="15"/>
  <c r="AM75" i="15"/>
  <c r="AL75" i="15"/>
  <c r="AK75" i="15"/>
  <c r="AJ75" i="15"/>
  <c r="AI75" i="15"/>
  <c r="AH75" i="15"/>
  <c r="AG75" i="15"/>
  <c r="AF75" i="15"/>
  <c r="AE75" i="15"/>
  <c r="AD75" i="15"/>
  <c r="Y75" i="15"/>
  <c r="W75" i="15"/>
  <c r="V75" i="15"/>
  <c r="U75" i="15"/>
  <c r="T75" i="15"/>
  <c r="AN74" i="15"/>
  <c r="AM74" i="15"/>
  <c r="AL74" i="15"/>
  <c r="AK74" i="15"/>
  <c r="AJ74" i="15"/>
  <c r="AI74" i="15"/>
  <c r="AH74" i="15"/>
  <c r="AG74" i="15"/>
  <c r="AF74" i="15"/>
  <c r="AE74" i="15"/>
  <c r="AD74" i="15"/>
  <c r="Y74" i="15"/>
  <c r="W74" i="15"/>
  <c r="V74" i="15"/>
  <c r="U74" i="15"/>
  <c r="T74" i="15"/>
  <c r="AN73" i="15"/>
  <c r="AM73" i="15"/>
  <c r="AL73" i="15"/>
  <c r="AK73" i="15"/>
  <c r="AJ73" i="15"/>
  <c r="AI73" i="15"/>
  <c r="AH73" i="15"/>
  <c r="AG73" i="15"/>
  <c r="AF73" i="15"/>
  <c r="AE73" i="15"/>
  <c r="AD73" i="15"/>
  <c r="Y73" i="15"/>
  <c r="W73" i="15"/>
  <c r="V73" i="15"/>
  <c r="U73" i="15"/>
  <c r="T73" i="15"/>
  <c r="AN72" i="15"/>
  <c r="AM72" i="15"/>
  <c r="AL72" i="15"/>
  <c r="AK72" i="15"/>
  <c r="AJ72" i="15"/>
  <c r="AI72" i="15"/>
  <c r="AH72" i="15"/>
  <c r="AG72" i="15"/>
  <c r="AF72" i="15"/>
  <c r="AE72" i="15"/>
  <c r="AD72" i="15"/>
  <c r="Y72" i="15"/>
  <c r="W72" i="15"/>
  <c r="V72" i="15"/>
  <c r="U72" i="15"/>
  <c r="T72" i="15"/>
  <c r="AN71" i="15"/>
  <c r="AM71" i="15"/>
  <c r="AL71" i="15"/>
  <c r="AK71" i="15"/>
  <c r="AJ71" i="15"/>
  <c r="AI71" i="15"/>
  <c r="AH71" i="15"/>
  <c r="AG71" i="15"/>
  <c r="AF71" i="15"/>
  <c r="AE71" i="15"/>
  <c r="AD71" i="15"/>
  <c r="Y71" i="15"/>
  <c r="W71" i="15"/>
  <c r="V71" i="15"/>
  <c r="U71" i="15"/>
  <c r="T71" i="15"/>
  <c r="AN70" i="15"/>
  <c r="AM70" i="15"/>
  <c r="AL70" i="15"/>
  <c r="AK70" i="15"/>
  <c r="AJ70" i="15"/>
  <c r="AI70" i="15"/>
  <c r="AH70" i="15"/>
  <c r="AG70" i="15"/>
  <c r="AF70" i="15"/>
  <c r="AE70" i="15"/>
  <c r="AD70" i="15"/>
  <c r="Y70" i="15"/>
  <c r="W70" i="15"/>
  <c r="V70" i="15"/>
  <c r="U70" i="15"/>
  <c r="T70" i="15"/>
  <c r="AN69" i="15"/>
  <c r="AM69" i="15"/>
  <c r="AL69" i="15"/>
  <c r="AK69" i="15"/>
  <c r="AJ69" i="15"/>
  <c r="AI69" i="15"/>
  <c r="AH69" i="15"/>
  <c r="AG69" i="15"/>
  <c r="AF69" i="15"/>
  <c r="AE69" i="15"/>
  <c r="AD69" i="15"/>
  <c r="Y69" i="15"/>
  <c r="W69" i="15"/>
  <c r="V69" i="15"/>
  <c r="U69" i="15"/>
  <c r="T69" i="15"/>
  <c r="AN68" i="15"/>
  <c r="AM68" i="15"/>
  <c r="AL68" i="15"/>
  <c r="AK68" i="15"/>
  <c r="AJ68" i="15"/>
  <c r="AI68" i="15"/>
  <c r="AH68" i="15"/>
  <c r="AG68" i="15"/>
  <c r="AF68" i="15"/>
  <c r="AE68" i="15"/>
  <c r="AD68" i="15"/>
  <c r="Y68" i="15"/>
  <c r="W68" i="15"/>
  <c r="V68" i="15"/>
  <c r="U68" i="15"/>
  <c r="T68" i="15"/>
  <c r="AN67" i="15"/>
  <c r="AM67" i="15"/>
  <c r="AL67" i="15"/>
  <c r="AK67" i="15"/>
  <c r="AJ67" i="15"/>
  <c r="AI67" i="15"/>
  <c r="AH67" i="15"/>
  <c r="AG67" i="15"/>
  <c r="AF67" i="15"/>
  <c r="AE67" i="15"/>
  <c r="AD67" i="15"/>
  <c r="Y67" i="15"/>
  <c r="W67" i="15"/>
  <c r="V67" i="15"/>
  <c r="U67" i="15"/>
  <c r="T67" i="15"/>
  <c r="AN66" i="15"/>
  <c r="AM66" i="15"/>
  <c r="AL66" i="15"/>
  <c r="AK66" i="15"/>
  <c r="AJ66" i="15"/>
  <c r="AI66" i="15"/>
  <c r="AH66" i="15"/>
  <c r="AG66" i="15"/>
  <c r="AF66" i="15"/>
  <c r="AE66" i="15"/>
  <c r="AD66" i="15"/>
  <c r="Y66" i="15"/>
  <c r="W66" i="15"/>
  <c r="V66" i="15"/>
  <c r="U66" i="15"/>
  <c r="T66" i="15"/>
  <c r="AN65" i="15"/>
  <c r="AM65" i="15"/>
  <c r="AL65" i="15"/>
  <c r="AK65" i="15"/>
  <c r="AJ65" i="15"/>
  <c r="AI65" i="15"/>
  <c r="AH65" i="15"/>
  <c r="AG65" i="15"/>
  <c r="AF65" i="15"/>
  <c r="AE65" i="15"/>
  <c r="AD65" i="15"/>
  <c r="Y65" i="15"/>
  <c r="W65" i="15"/>
  <c r="V65" i="15"/>
  <c r="U65" i="15"/>
  <c r="T65" i="15"/>
  <c r="AN64" i="15"/>
  <c r="AM64" i="15"/>
  <c r="AL64" i="15"/>
  <c r="AK64" i="15"/>
  <c r="AJ64" i="15"/>
  <c r="AI64" i="15"/>
  <c r="AH64" i="15"/>
  <c r="AG64" i="15"/>
  <c r="AF64" i="15"/>
  <c r="AE64" i="15"/>
  <c r="AD64" i="15"/>
  <c r="Y64" i="15"/>
  <c r="W64" i="15"/>
  <c r="V64" i="15"/>
  <c r="U64" i="15"/>
  <c r="T64" i="15"/>
  <c r="AN63" i="15"/>
  <c r="AM63" i="15"/>
  <c r="AL63" i="15"/>
  <c r="AK63" i="15"/>
  <c r="AJ63" i="15"/>
  <c r="AI63" i="15"/>
  <c r="AH63" i="15"/>
  <c r="AG63" i="15"/>
  <c r="AF63" i="15"/>
  <c r="AE63" i="15"/>
  <c r="AD63" i="15"/>
  <c r="Y63" i="15"/>
  <c r="W63" i="15"/>
  <c r="V63" i="15"/>
  <c r="U63" i="15"/>
  <c r="T63" i="15"/>
  <c r="AN62" i="15"/>
  <c r="AM62" i="15"/>
  <c r="AL62" i="15"/>
  <c r="AK62" i="15"/>
  <c r="AJ62" i="15"/>
  <c r="AI62" i="15"/>
  <c r="AH62" i="15"/>
  <c r="AG62" i="15"/>
  <c r="AF62" i="15"/>
  <c r="AE62" i="15"/>
  <c r="AD62" i="15"/>
  <c r="Y62" i="15"/>
  <c r="W62" i="15"/>
  <c r="V62" i="15"/>
  <c r="U62" i="15"/>
  <c r="T62" i="15"/>
  <c r="AN61" i="15"/>
  <c r="AM61" i="15"/>
  <c r="AL61" i="15"/>
  <c r="AK61" i="15"/>
  <c r="AJ61" i="15"/>
  <c r="AI61" i="15"/>
  <c r="AH61" i="15"/>
  <c r="AG61" i="15"/>
  <c r="AF61" i="15"/>
  <c r="AE61" i="15"/>
  <c r="AD61" i="15"/>
  <c r="Y61" i="15"/>
  <c r="W61" i="15"/>
  <c r="V61" i="15"/>
  <c r="U61" i="15"/>
  <c r="T61" i="15"/>
  <c r="AN60" i="15"/>
  <c r="AM60" i="15"/>
  <c r="AL60" i="15"/>
  <c r="AK60" i="15"/>
  <c r="AJ60" i="15"/>
  <c r="AI60" i="15"/>
  <c r="AH60" i="15"/>
  <c r="AG60" i="15"/>
  <c r="AF60" i="15"/>
  <c r="AE60" i="15"/>
  <c r="AD60" i="15"/>
  <c r="Y60" i="15"/>
  <c r="W60" i="15"/>
  <c r="V60" i="15"/>
  <c r="U60" i="15"/>
  <c r="T60" i="15"/>
  <c r="AN59" i="15"/>
  <c r="AM59" i="15"/>
  <c r="AL59" i="15"/>
  <c r="AK59" i="15"/>
  <c r="AJ59" i="15"/>
  <c r="AI59" i="15"/>
  <c r="AH59" i="15"/>
  <c r="AG59" i="15"/>
  <c r="AF59" i="15"/>
  <c r="AE59" i="15"/>
  <c r="AD59" i="15"/>
  <c r="Y59" i="15"/>
  <c r="W59" i="15"/>
  <c r="V59" i="15"/>
  <c r="U59" i="15"/>
  <c r="T59" i="15"/>
  <c r="AN58" i="15"/>
  <c r="AM58" i="15"/>
  <c r="AL58" i="15"/>
  <c r="AK58" i="15"/>
  <c r="AJ58" i="15"/>
  <c r="AI58" i="15"/>
  <c r="AH58" i="15"/>
  <c r="AG58" i="15"/>
  <c r="AF58" i="15"/>
  <c r="AE58" i="15"/>
  <c r="AD58" i="15"/>
  <c r="Y58" i="15"/>
  <c r="W58" i="15"/>
  <c r="V58" i="15"/>
  <c r="U58" i="15"/>
  <c r="T58" i="15"/>
  <c r="AN57" i="15"/>
  <c r="AM57" i="15"/>
  <c r="AL57" i="15"/>
  <c r="AK57" i="15"/>
  <c r="AJ57" i="15"/>
  <c r="AI57" i="15"/>
  <c r="AH57" i="15"/>
  <c r="AG57" i="15"/>
  <c r="AF57" i="15"/>
  <c r="AE57" i="15"/>
  <c r="AD57" i="15"/>
  <c r="Y57" i="15"/>
  <c r="W57" i="15"/>
  <c r="V57" i="15"/>
  <c r="U57" i="15"/>
  <c r="T57" i="15"/>
  <c r="AN56" i="15"/>
  <c r="AM56" i="15"/>
  <c r="AL56" i="15"/>
  <c r="AK56" i="15"/>
  <c r="AJ56" i="15"/>
  <c r="AI56" i="15"/>
  <c r="AH56" i="15"/>
  <c r="AG56" i="15"/>
  <c r="AF56" i="15"/>
  <c r="AE56" i="15"/>
  <c r="AD56" i="15"/>
  <c r="Y56" i="15"/>
  <c r="W56" i="15"/>
  <c r="V56" i="15"/>
  <c r="U56" i="15"/>
  <c r="T56" i="15"/>
  <c r="AN55" i="15"/>
  <c r="AM55" i="15"/>
  <c r="AL55" i="15"/>
  <c r="AK55" i="15"/>
  <c r="AJ55" i="15"/>
  <c r="AI55" i="15"/>
  <c r="AH55" i="15"/>
  <c r="AG55" i="15"/>
  <c r="AF55" i="15"/>
  <c r="AE55" i="15"/>
  <c r="AD55" i="15"/>
  <c r="Y55" i="15"/>
  <c r="W55" i="15"/>
  <c r="V55" i="15"/>
  <c r="U55" i="15"/>
  <c r="T55" i="15"/>
  <c r="AN54" i="15"/>
  <c r="AM54" i="15"/>
  <c r="AL54" i="15"/>
  <c r="AK54" i="15"/>
  <c r="AJ54" i="15"/>
  <c r="AI54" i="15"/>
  <c r="AH54" i="15"/>
  <c r="AG54" i="15"/>
  <c r="AF54" i="15"/>
  <c r="AE54" i="15"/>
  <c r="AD54" i="15"/>
  <c r="Y54" i="15"/>
  <c r="W54" i="15"/>
  <c r="V54" i="15"/>
  <c r="U54" i="15"/>
  <c r="T54" i="15"/>
  <c r="AN53" i="15"/>
  <c r="AM53" i="15"/>
  <c r="AL53" i="15"/>
  <c r="AK53" i="15"/>
  <c r="AJ53" i="15"/>
  <c r="AI53" i="15"/>
  <c r="AH53" i="15"/>
  <c r="AG53" i="15"/>
  <c r="AF53" i="15"/>
  <c r="AE53" i="15"/>
  <c r="AD53" i="15"/>
  <c r="Y53" i="15"/>
  <c r="W53" i="15"/>
  <c r="V53" i="15"/>
  <c r="U53" i="15"/>
  <c r="T53" i="15"/>
  <c r="AN52" i="15"/>
  <c r="AM52" i="15"/>
  <c r="AL52" i="15"/>
  <c r="AK52" i="15"/>
  <c r="AJ52" i="15"/>
  <c r="AI52" i="15"/>
  <c r="AH52" i="15"/>
  <c r="AG52" i="15"/>
  <c r="AF52" i="15"/>
  <c r="AE52" i="15"/>
  <c r="AD52" i="15"/>
  <c r="Y52" i="15"/>
  <c r="W52" i="15"/>
  <c r="V52" i="15"/>
  <c r="U52" i="15"/>
  <c r="T52" i="15"/>
  <c r="AN51" i="15"/>
  <c r="AM51" i="15"/>
  <c r="AL51" i="15"/>
  <c r="AK51" i="15"/>
  <c r="AJ51" i="15"/>
  <c r="AI51" i="15"/>
  <c r="AH51" i="15"/>
  <c r="AG51" i="15"/>
  <c r="AF51" i="15"/>
  <c r="AE51" i="15"/>
  <c r="AD51" i="15"/>
  <c r="Y51" i="15"/>
  <c r="W51" i="15"/>
  <c r="V51" i="15"/>
  <c r="U51" i="15"/>
  <c r="T51" i="15"/>
  <c r="AN50" i="15"/>
  <c r="AM50" i="15"/>
  <c r="AL50" i="15"/>
  <c r="AK50" i="15"/>
  <c r="AJ50" i="15"/>
  <c r="AI50" i="15"/>
  <c r="AH50" i="15"/>
  <c r="AG50" i="15"/>
  <c r="AF50" i="15"/>
  <c r="AE50" i="15"/>
  <c r="AD50" i="15"/>
  <c r="Y50" i="15"/>
  <c r="W50" i="15"/>
  <c r="V50" i="15"/>
  <c r="U50" i="15"/>
  <c r="T50" i="15"/>
  <c r="AN49" i="15"/>
  <c r="AM49" i="15"/>
  <c r="AL49" i="15"/>
  <c r="AK49" i="15"/>
  <c r="AJ49" i="15"/>
  <c r="AI49" i="15"/>
  <c r="AH49" i="15"/>
  <c r="AG49" i="15"/>
  <c r="AF49" i="15"/>
  <c r="AE49" i="15"/>
  <c r="AD49" i="15"/>
  <c r="Y49" i="15"/>
  <c r="W49" i="15"/>
  <c r="V49" i="15"/>
  <c r="U49" i="15"/>
  <c r="T49" i="15"/>
  <c r="AN48" i="15"/>
  <c r="AM48" i="15"/>
  <c r="AL48" i="15"/>
  <c r="AK48" i="15"/>
  <c r="AJ48" i="15"/>
  <c r="AI48" i="15"/>
  <c r="AH48" i="15"/>
  <c r="AG48" i="15"/>
  <c r="AF48" i="15"/>
  <c r="AE48" i="15"/>
  <c r="AD48" i="15"/>
  <c r="Y48" i="15"/>
  <c r="W48" i="15"/>
  <c r="V48" i="15"/>
  <c r="U48" i="15"/>
  <c r="T48" i="15"/>
  <c r="AN47" i="15"/>
  <c r="AM47" i="15"/>
  <c r="AL47" i="15"/>
  <c r="AK47" i="15"/>
  <c r="AJ47" i="15"/>
  <c r="AI47" i="15"/>
  <c r="AH47" i="15"/>
  <c r="AG47" i="15"/>
  <c r="AF47" i="15"/>
  <c r="AE47" i="15"/>
  <c r="AD47" i="15"/>
  <c r="Y47" i="15"/>
  <c r="W47" i="15"/>
  <c r="V47" i="15"/>
  <c r="U47" i="15"/>
  <c r="T47" i="15"/>
  <c r="AN46" i="15"/>
  <c r="AM46" i="15"/>
  <c r="AL46" i="15"/>
  <c r="AK46" i="15"/>
  <c r="AJ46" i="15"/>
  <c r="AI46" i="15"/>
  <c r="AH46" i="15"/>
  <c r="AG46" i="15"/>
  <c r="AF46" i="15"/>
  <c r="AE46" i="15"/>
  <c r="AD46" i="15"/>
  <c r="Y46" i="15"/>
  <c r="W46" i="15"/>
  <c r="V46" i="15"/>
  <c r="U46" i="15"/>
  <c r="T46" i="15"/>
  <c r="AN45" i="15"/>
  <c r="AM45" i="15"/>
  <c r="AL45" i="15"/>
  <c r="AK45" i="15"/>
  <c r="AJ45" i="15"/>
  <c r="AI45" i="15"/>
  <c r="AH45" i="15"/>
  <c r="AG45" i="15"/>
  <c r="AF45" i="15"/>
  <c r="AE45" i="15"/>
  <c r="AD45" i="15"/>
  <c r="Y45" i="15"/>
  <c r="W45" i="15"/>
  <c r="V45" i="15"/>
  <c r="U45" i="15"/>
  <c r="T45" i="15"/>
  <c r="AN44" i="15"/>
  <c r="AM44" i="15"/>
  <c r="AL44" i="15"/>
  <c r="AK44" i="15"/>
  <c r="AJ44" i="15"/>
  <c r="AI44" i="15"/>
  <c r="AH44" i="15"/>
  <c r="AG44" i="15"/>
  <c r="AF44" i="15"/>
  <c r="AE44" i="15"/>
  <c r="AD44" i="15"/>
  <c r="Y44" i="15"/>
  <c r="W44" i="15"/>
  <c r="V44" i="15"/>
  <c r="U44" i="15"/>
  <c r="T44" i="15"/>
  <c r="AN43" i="15"/>
  <c r="AM43" i="15"/>
  <c r="AL43" i="15"/>
  <c r="AK43" i="15"/>
  <c r="AJ43" i="15"/>
  <c r="AI43" i="15"/>
  <c r="AH43" i="15"/>
  <c r="AG43" i="15"/>
  <c r="AF43" i="15"/>
  <c r="AE43" i="15"/>
  <c r="AD43" i="15"/>
  <c r="Y43" i="15"/>
  <c r="W43" i="15"/>
  <c r="V43" i="15"/>
  <c r="U43" i="15"/>
  <c r="T43" i="15"/>
  <c r="AN42" i="15"/>
  <c r="AM42" i="15"/>
  <c r="AL42" i="15"/>
  <c r="AK42" i="15"/>
  <c r="AJ42" i="15"/>
  <c r="AI42" i="15"/>
  <c r="AH42" i="15"/>
  <c r="AG42" i="15"/>
  <c r="AF42" i="15"/>
  <c r="AE42" i="15"/>
  <c r="AD42" i="15"/>
  <c r="Y42" i="15"/>
  <c r="W42" i="15"/>
  <c r="V42" i="15"/>
  <c r="U42" i="15"/>
  <c r="T42" i="15"/>
  <c r="AN41" i="15"/>
  <c r="AM41" i="15"/>
  <c r="AL41" i="15"/>
  <c r="AK41" i="15"/>
  <c r="AJ41" i="15"/>
  <c r="AI41" i="15"/>
  <c r="AH41" i="15"/>
  <c r="AG41" i="15"/>
  <c r="AF41" i="15"/>
  <c r="AE41" i="15"/>
  <c r="AD41" i="15"/>
  <c r="Y41" i="15"/>
  <c r="W41" i="15"/>
  <c r="V41" i="15"/>
  <c r="U41" i="15"/>
  <c r="T41" i="15"/>
  <c r="AN40" i="15"/>
  <c r="AM40" i="15"/>
  <c r="AL40" i="15"/>
  <c r="AK40" i="15"/>
  <c r="AJ40" i="15"/>
  <c r="AI40" i="15"/>
  <c r="AH40" i="15"/>
  <c r="AG40" i="15"/>
  <c r="AF40" i="15"/>
  <c r="AE40" i="15"/>
  <c r="AD40" i="15"/>
  <c r="Y40" i="15"/>
  <c r="W40" i="15"/>
  <c r="V40" i="15"/>
  <c r="U40" i="15"/>
  <c r="T40" i="15"/>
  <c r="AN39" i="15"/>
  <c r="AM39" i="15"/>
  <c r="AL39" i="15"/>
  <c r="AK39" i="15"/>
  <c r="AJ39" i="15"/>
  <c r="AI39" i="15"/>
  <c r="AH39" i="15"/>
  <c r="AG39" i="15"/>
  <c r="AF39" i="15"/>
  <c r="AE39" i="15"/>
  <c r="AD39" i="15"/>
  <c r="Y39" i="15"/>
  <c r="W39" i="15"/>
  <c r="V39" i="15"/>
  <c r="U39" i="15"/>
  <c r="T39" i="15"/>
  <c r="AN38" i="15"/>
  <c r="AM38" i="15"/>
  <c r="AL38" i="15"/>
  <c r="AK38" i="15"/>
  <c r="AJ38" i="15"/>
  <c r="AI38" i="15"/>
  <c r="AH38" i="15"/>
  <c r="AG38" i="15"/>
  <c r="AF38" i="15"/>
  <c r="AE38" i="15"/>
  <c r="AD38" i="15"/>
  <c r="Y38" i="15"/>
  <c r="W38" i="15"/>
  <c r="V38" i="15"/>
  <c r="U38" i="15"/>
  <c r="T38" i="15"/>
  <c r="AN37" i="15"/>
  <c r="AM37" i="15"/>
  <c r="AL37" i="15"/>
  <c r="AK37" i="15"/>
  <c r="AJ37" i="15"/>
  <c r="AI37" i="15"/>
  <c r="AH37" i="15"/>
  <c r="AG37" i="15"/>
  <c r="AF37" i="15"/>
  <c r="AE37" i="15"/>
  <c r="AD37" i="15"/>
  <c r="Y37" i="15"/>
  <c r="W37" i="15"/>
  <c r="V37" i="15"/>
  <c r="U37" i="15"/>
  <c r="T37" i="15"/>
  <c r="AN36" i="15"/>
  <c r="AM36" i="15"/>
  <c r="AL36" i="15"/>
  <c r="AK36" i="15"/>
  <c r="AJ36" i="15"/>
  <c r="AI36" i="15"/>
  <c r="AH36" i="15"/>
  <c r="AG36" i="15"/>
  <c r="AF36" i="15"/>
  <c r="AE36" i="15"/>
  <c r="AD36" i="15"/>
  <c r="Y36" i="15"/>
  <c r="W36" i="15"/>
  <c r="V36" i="15"/>
  <c r="U36" i="15"/>
  <c r="T36" i="15"/>
  <c r="AN35" i="15"/>
  <c r="AM35" i="15"/>
  <c r="AL35" i="15"/>
  <c r="AK35" i="15"/>
  <c r="AJ35" i="15"/>
  <c r="AI35" i="15"/>
  <c r="AH35" i="15"/>
  <c r="AG35" i="15"/>
  <c r="AF35" i="15"/>
  <c r="AE35" i="15"/>
  <c r="AD35" i="15"/>
  <c r="Y35" i="15"/>
  <c r="W35" i="15"/>
  <c r="V35" i="15"/>
  <c r="U35" i="15"/>
  <c r="T35" i="15"/>
  <c r="AN34" i="15"/>
  <c r="AM34" i="15"/>
  <c r="AL34" i="15"/>
  <c r="AK34" i="15"/>
  <c r="AJ34" i="15"/>
  <c r="AI34" i="15"/>
  <c r="AH34" i="15"/>
  <c r="AG34" i="15"/>
  <c r="AF34" i="15"/>
  <c r="AE34" i="15"/>
  <c r="AD34" i="15"/>
  <c r="Y34" i="15"/>
  <c r="W34" i="15"/>
  <c r="V34" i="15"/>
  <c r="U34" i="15"/>
  <c r="T34" i="15"/>
  <c r="AN33" i="15"/>
  <c r="AM33" i="15"/>
  <c r="AL33" i="15"/>
  <c r="AK33" i="15"/>
  <c r="AJ33" i="15"/>
  <c r="AI33" i="15"/>
  <c r="AH33" i="15"/>
  <c r="AG33" i="15"/>
  <c r="AF33" i="15"/>
  <c r="AE33" i="15"/>
  <c r="AD33" i="15"/>
  <c r="Y33" i="15"/>
  <c r="W33" i="15"/>
  <c r="V33" i="15"/>
  <c r="U33" i="15"/>
  <c r="T33" i="15"/>
  <c r="AN32" i="15"/>
  <c r="AM32" i="15"/>
  <c r="AL32" i="15"/>
  <c r="AK32" i="15"/>
  <c r="AJ32" i="15"/>
  <c r="AI32" i="15"/>
  <c r="AH32" i="15"/>
  <c r="AG32" i="15"/>
  <c r="AF32" i="15"/>
  <c r="AE32" i="15"/>
  <c r="AD32" i="15"/>
  <c r="Y32" i="15"/>
  <c r="W32" i="15"/>
  <c r="V32" i="15"/>
  <c r="U32" i="15"/>
  <c r="T32" i="15"/>
  <c r="AN31" i="15"/>
  <c r="AM31" i="15"/>
  <c r="AL31" i="15"/>
  <c r="AK31" i="15"/>
  <c r="AJ31" i="15"/>
  <c r="AI31" i="15"/>
  <c r="AH31" i="15"/>
  <c r="AG31" i="15"/>
  <c r="AF31" i="15"/>
  <c r="AE31" i="15"/>
  <c r="AD31" i="15"/>
  <c r="Y31" i="15"/>
  <c r="W31" i="15"/>
  <c r="V31" i="15"/>
  <c r="U31" i="15"/>
  <c r="T31" i="15"/>
  <c r="AN30" i="15"/>
  <c r="AM30" i="15"/>
  <c r="AL30" i="15"/>
  <c r="AK30" i="15"/>
  <c r="AJ30" i="15"/>
  <c r="AI30" i="15"/>
  <c r="AH30" i="15"/>
  <c r="AG30" i="15"/>
  <c r="AF30" i="15"/>
  <c r="AE30" i="15"/>
  <c r="AD30" i="15"/>
  <c r="Y30" i="15"/>
  <c r="W30" i="15"/>
  <c r="V30" i="15"/>
  <c r="U30" i="15"/>
  <c r="T30" i="15"/>
  <c r="AN29" i="15"/>
  <c r="AM29" i="15"/>
  <c r="AL29" i="15"/>
  <c r="AK29" i="15"/>
  <c r="AJ29" i="15"/>
  <c r="AI29" i="15"/>
  <c r="AH29" i="15"/>
  <c r="AG29" i="15"/>
  <c r="AF29" i="15"/>
  <c r="AE29" i="15"/>
  <c r="AD29" i="15"/>
  <c r="Y29" i="15"/>
  <c r="W29" i="15"/>
  <c r="V29" i="15"/>
  <c r="U29" i="15"/>
  <c r="T29" i="15"/>
  <c r="AN28" i="15"/>
  <c r="AM28" i="15"/>
  <c r="AL28" i="15"/>
  <c r="AK28" i="15"/>
  <c r="AJ28" i="15"/>
  <c r="AI28" i="15"/>
  <c r="AH28" i="15"/>
  <c r="AG28" i="15"/>
  <c r="AF28" i="15"/>
  <c r="AE28" i="15"/>
  <c r="AD28" i="15"/>
  <c r="Y28" i="15"/>
  <c r="W28" i="15"/>
  <c r="V28" i="15"/>
  <c r="U28" i="15"/>
  <c r="T28" i="15"/>
  <c r="AN27" i="15"/>
  <c r="AM27" i="15"/>
  <c r="AL27" i="15"/>
  <c r="AK27" i="15"/>
  <c r="AJ27" i="15"/>
  <c r="AI27" i="15"/>
  <c r="AH27" i="15"/>
  <c r="AG27" i="15"/>
  <c r="AF27" i="15"/>
  <c r="AE27" i="15"/>
  <c r="AD27" i="15"/>
  <c r="Y27" i="15"/>
  <c r="W27" i="15"/>
  <c r="V27" i="15"/>
  <c r="U27" i="15"/>
  <c r="T27" i="15"/>
  <c r="AN26" i="15"/>
  <c r="AM26" i="15"/>
  <c r="AL26" i="15"/>
  <c r="AK26" i="15"/>
  <c r="AJ26" i="15"/>
  <c r="AI26" i="15"/>
  <c r="AH26" i="15"/>
  <c r="AG26" i="15"/>
  <c r="AF26" i="15"/>
  <c r="AE26" i="15"/>
  <c r="AD26" i="15"/>
  <c r="Y26" i="15"/>
  <c r="W26" i="15"/>
  <c r="V26" i="15"/>
  <c r="U26" i="15"/>
  <c r="T26" i="15"/>
  <c r="AN25" i="15"/>
  <c r="AM25" i="15"/>
  <c r="AL25" i="15"/>
  <c r="AK25" i="15"/>
  <c r="AJ25" i="15"/>
  <c r="AI25" i="15"/>
  <c r="AH25" i="15"/>
  <c r="AG25" i="15"/>
  <c r="AF25" i="15"/>
  <c r="AE25" i="15"/>
  <c r="AD25" i="15"/>
  <c r="Y25" i="15"/>
  <c r="W25" i="15"/>
  <c r="V25" i="15"/>
  <c r="U25" i="15"/>
  <c r="T25" i="15"/>
  <c r="AN24" i="15"/>
  <c r="AM24" i="15"/>
  <c r="AL24" i="15"/>
  <c r="AK24" i="15"/>
  <c r="AJ24" i="15"/>
  <c r="AI24" i="15"/>
  <c r="AH24" i="15"/>
  <c r="AG24" i="15"/>
  <c r="AF24" i="15"/>
  <c r="AE24" i="15"/>
  <c r="AD24" i="15"/>
  <c r="Y24" i="15"/>
  <c r="W24" i="15"/>
  <c r="V24" i="15"/>
  <c r="U24" i="15"/>
  <c r="T24" i="15"/>
  <c r="AN23" i="15"/>
  <c r="AM23" i="15"/>
  <c r="AL23" i="15"/>
  <c r="AK23" i="15"/>
  <c r="AJ23" i="15"/>
  <c r="AI23" i="15"/>
  <c r="AH23" i="15"/>
  <c r="AG23" i="15"/>
  <c r="AF23" i="15"/>
  <c r="AE23" i="15"/>
  <c r="AD23" i="15"/>
  <c r="Y23" i="15"/>
  <c r="W23" i="15"/>
  <c r="V23" i="15"/>
  <c r="U23" i="15"/>
  <c r="T23" i="15"/>
  <c r="AN22" i="15"/>
  <c r="AM22" i="15"/>
  <c r="AL22" i="15"/>
  <c r="AK22" i="15"/>
  <c r="AJ22" i="15"/>
  <c r="AI22" i="15"/>
  <c r="AH22" i="15"/>
  <c r="AG22" i="15"/>
  <c r="AF22" i="15"/>
  <c r="AE22" i="15"/>
  <c r="AD22" i="15"/>
  <c r="Y22" i="15"/>
  <c r="W22" i="15"/>
  <c r="V22" i="15"/>
  <c r="U22" i="15"/>
  <c r="T22" i="15"/>
  <c r="AN21" i="15"/>
  <c r="AM21" i="15"/>
  <c r="AL21" i="15"/>
  <c r="AK21" i="15"/>
  <c r="AJ21" i="15"/>
  <c r="AI21" i="15"/>
  <c r="AH21" i="15"/>
  <c r="AG21" i="15"/>
  <c r="AF21" i="15"/>
  <c r="AE21" i="15"/>
  <c r="AD21" i="15"/>
  <c r="Y21" i="15"/>
  <c r="W21" i="15"/>
  <c r="V21" i="15"/>
  <c r="U21" i="15"/>
  <c r="T21" i="15"/>
  <c r="AN20" i="15"/>
  <c r="AM20" i="15"/>
  <c r="AL20" i="15"/>
  <c r="AK20" i="15"/>
  <c r="AJ20" i="15"/>
  <c r="AI20" i="15"/>
  <c r="AH20" i="15"/>
  <c r="AG20" i="15"/>
  <c r="AF20" i="15"/>
  <c r="AE20" i="15"/>
  <c r="AD20" i="15"/>
  <c r="Y20" i="15"/>
  <c r="W20" i="15"/>
  <c r="V20" i="15"/>
  <c r="U20" i="15"/>
  <c r="T20" i="15"/>
  <c r="AN19" i="15"/>
  <c r="AM19" i="15"/>
  <c r="AL19" i="15"/>
  <c r="AK19" i="15"/>
  <c r="AJ19" i="15"/>
  <c r="AI19" i="15"/>
  <c r="AH19" i="15"/>
  <c r="AG19" i="15"/>
  <c r="AF19" i="15"/>
  <c r="AE19" i="15"/>
  <c r="AD19" i="15"/>
  <c r="Y19" i="15"/>
  <c r="W19" i="15"/>
  <c r="V19" i="15"/>
  <c r="U19" i="15"/>
  <c r="T19" i="15"/>
  <c r="AN18" i="15"/>
  <c r="AM18" i="15"/>
  <c r="AL18" i="15"/>
  <c r="AK18" i="15"/>
  <c r="AJ18" i="15"/>
  <c r="AI18" i="15"/>
  <c r="AH18" i="15"/>
  <c r="AG18" i="15"/>
  <c r="AF18" i="15"/>
  <c r="AE18" i="15"/>
  <c r="AD18" i="15"/>
  <c r="Y18" i="15"/>
  <c r="W18" i="15"/>
  <c r="V18" i="15"/>
  <c r="U18" i="15"/>
  <c r="T18" i="15"/>
  <c r="AN17" i="15"/>
  <c r="AM17" i="15"/>
  <c r="AL17" i="15"/>
  <c r="AK17" i="15"/>
  <c r="AJ17" i="15"/>
  <c r="AI17" i="15"/>
  <c r="AH17" i="15"/>
  <c r="AG17" i="15"/>
  <c r="AF17" i="15"/>
  <c r="AE17" i="15"/>
  <c r="AD17" i="15"/>
  <c r="Y17" i="15"/>
  <c r="W17" i="15"/>
  <c r="V17" i="15"/>
  <c r="U17" i="15"/>
  <c r="T17" i="15"/>
  <c r="AN16" i="15"/>
  <c r="AM16" i="15"/>
  <c r="AL16" i="15"/>
  <c r="AK16" i="15"/>
  <c r="AJ16" i="15"/>
  <c r="AI16" i="15"/>
  <c r="AH16" i="15"/>
  <c r="AG16" i="15"/>
  <c r="AF16" i="15"/>
  <c r="AE16" i="15"/>
  <c r="AD16" i="15"/>
  <c r="Y16" i="15"/>
  <c r="W16" i="15"/>
  <c r="V16" i="15"/>
  <c r="U16" i="15"/>
  <c r="T16" i="15"/>
  <c r="A16" i="15"/>
  <c r="AN15" i="15"/>
  <c r="AM15" i="15"/>
  <c r="AL15" i="15"/>
  <c r="AK15" i="15"/>
  <c r="AJ15" i="15"/>
  <c r="AI15" i="15"/>
  <c r="AH15" i="15"/>
  <c r="AG15" i="15"/>
  <c r="AF15" i="15"/>
  <c r="AE15" i="15"/>
  <c r="AD15" i="15"/>
  <c r="Y15" i="15"/>
  <c r="W15" i="15"/>
  <c r="V15" i="15"/>
  <c r="U15" i="15"/>
  <c r="T15" i="15"/>
  <c r="AN14" i="15"/>
  <c r="AM14" i="15"/>
  <c r="AL14" i="15"/>
  <c r="AK14" i="15"/>
  <c r="AJ14" i="15"/>
  <c r="AI14" i="15"/>
  <c r="AH14" i="15"/>
  <c r="AG14" i="15"/>
  <c r="AF14" i="15"/>
  <c r="AE14" i="15"/>
  <c r="AD14" i="15"/>
  <c r="Y14" i="15"/>
  <c r="W14" i="15"/>
  <c r="V14" i="15"/>
  <c r="U14" i="15"/>
  <c r="T14" i="15"/>
  <c r="A14" i="15"/>
  <c r="AN13" i="15"/>
  <c r="AM13" i="15"/>
  <c r="AL13" i="15"/>
  <c r="AK13" i="15"/>
  <c r="AJ13" i="15"/>
  <c r="AI13" i="15"/>
  <c r="AH13" i="15"/>
  <c r="AG13" i="15"/>
  <c r="AF13" i="15"/>
  <c r="AE13" i="15"/>
  <c r="AD13" i="15"/>
  <c r="Y13" i="15"/>
  <c r="W13" i="15"/>
  <c r="V13" i="15"/>
  <c r="U13" i="15"/>
  <c r="T13" i="15"/>
  <c r="AN12" i="15"/>
  <c r="AM12" i="15"/>
  <c r="AL12" i="15"/>
  <c r="AK12" i="15"/>
  <c r="AJ12" i="15"/>
  <c r="AI12" i="15"/>
  <c r="AH12" i="15"/>
  <c r="AG12" i="15"/>
  <c r="AF12" i="15"/>
  <c r="AE12" i="15"/>
  <c r="AD12" i="15"/>
  <c r="Y12" i="15"/>
  <c r="W12" i="15"/>
  <c r="V12" i="15"/>
  <c r="U12" i="15"/>
  <c r="T12" i="15"/>
  <c r="A12" i="15"/>
  <c r="AN11" i="15"/>
  <c r="AM11" i="15"/>
  <c r="AL11" i="15"/>
  <c r="AK11" i="15"/>
  <c r="AJ11" i="15"/>
  <c r="AI11" i="15"/>
  <c r="AH11" i="15"/>
  <c r="AG11" i="15"/>
  <c r="AF11" i="15"/>
  <c r="AE11" i="15"/>
  <c r="AD11" i="15"/>
  <c r="Y11" i="15"/>
  <c r="W11" i="15"/>
  <c r="V11" i="15"/>
  <c r="U11" i="15"/>
  <c r="T11" i="15"/>
  <c r="AN10" i="15"/>
  <c r="AM10" i="15"/>
  <c r="AL10" i="15"/>
  <c r="AK10" i="15"/>
  <c r="AJ10" i="15"/>
  <c r="AI10" i="15"/>
  <c r="AH10" i="15"/>
  <c r="AG10" i="15"/>
  <c r="AF10" i="15"/>
  <c r="AE10" i="15"/>
  <c r="AD10" i="15"/>
  <c r="Y10" i="15"/>
  <c r="W10" i="15"/>
  <c r="V10" i="15"/>
  <c r="U10" i="15"/>
  <c r="T10" i="15"/>
  <c r="A10" i="15"/>
  <c r="AN9" i="15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U9" i="15"/>
  <c r="T9" i="15"/>
  <c r="AN8" i="15"/>
  <c r="AM8" i="15"/>
  <c r="AL8" i="15"/>
  <c r="AK8" i="15"/>
  <c r="AJ8" i="15"/>
  <c r="AI8" i="15"/>
  <c r="AH8" i="15"/>
  <c r="AG8" i="15"/>
  <c r="AF8" i="15"/>
  <c r="AD8" i="15"/>
  <c r="Y8" i="15"/>
  <c r="W8" i="15"/>
  <c r="V8" i="15"/>
  <c r="U8" i="15"/>
  <c r="T8" i="15"/>
  <c r="AN7" i="15"/>
  <c r="AM7" i="15"/>
  <c r="AL7" i="15"/>
  <c r="AK7" i="15"/>
  <c r="AJ7" i="15"/>
  <c r="AI7" i="15"/>
  <c r="AH7" i="15"/>
  <c r="AG7" i="15"/>
  <c r="AF7" i="15"/>
  <c r="AD7" i="15"/>
  <c r="Y7" i="15"/>
  <c r="W7" i="15"/>
  <c r="V7" i="15"/>
  <c r="U7" i="15"/>
  <c r="T7" i="15"/>
  <c r="AN6" i="15"/>
  <c r="AM6" i="15"/>
  <c r="AL6" i="15"/>
  <c r="AK6" i="15"/>
  <c r="AJ6" i="15"/>
  <c r="AI6" i="15"/>
  <c r="AH6" i="15"/>
  <c r="AG6" i="15"/>
  <c r="AF6" i="15"/>
  <c r="AD6" i="15"/>
  <c r="Y6" i="15"/>
  <c r="W6" i="15"/>
  <c r="V6" i="15"/>
  <c r="U6" i="15"/>
  <c r="T6" i="15"/>
  <c r="A6" i="15"/>
  <c r="AN5" i="15"/>
  <c r="AM5" i="15"/>
  <c r="AL5" i="15"/>
  <c r="AK5" i="15"/>
  <c r="AJ5" i="15"/>
  <c r="AI5" i="15"/>
  <c r="AH5" i="15"/>
  <c r="AG5" i="15"/>
  <c r="AF5" i="15"/>
  <c r="AD5" i="15"/>
  <c r="Y5" i="15"/>
  <c r="W5" i="15"/>
  <c r="V5" i="15"/>
  <c r="U5" i="15"/>
  <c r="T5" i="15"/>
  <c r="F1" i="15"/>
  <c r="AN24" i="14"/>
  <c r="AM24" i="14"/>
  <c r="AL24" i="14"/>
  <c r="AK24" i="14"/>
  <c r="AJ24" i="14"/>
  <c r="AI24" i="14"/>
  <c r="AH24" i="14"/>
  <c r="AG24" i="14"/>
  <c r="AF24" i="14"/>
  <c r="AE24" i="14"/>
  <c r="AD24" i="14"/>
  <c r="Y24" i="14"/>
  <c r="W24" i="14"/>
  <c r="V24" i="14"/>
  <c r="U24" i="14"/>
  <c r="T24" i="14"/>
  <c r="AN23" i="14"/>
  <c r="AM23" i="14"/>
  <c r="AL23" i="14"/>
  <c r="AK23" i="14"/>
  <c r="AJ23" i="14"/>
  <c r="AI23" i="14"/>
  <c r="AH23" i="14"/>
  <c r="AG23" i="14"/>
  <c r="AF23" i="14"/>
  <c r="AE23" i="14"/>
  <c r="AD23" i="14"/>
  <c r="Y23" i="14"/>
  <c r="W23" i="14"/>
  <c r="V23" i="14"/>
  <c r="U23" i="14"/>
  <c r="T23" i="14"/>
  <c r="AN22" i="14"/>
  <c r="AM22" i="14"/>
  <c r="AL22" i="14"/>
  <c r="AK22" i="14"/>
  <c r="AJ22" i="14"/>
  <c r="AI22" i="14"/>
  <c r="AH22" i="14"/>
  <c r="AG22" i="14"/>
  <c r="AF22" i="14"/>
  <c r="AE22" i="14"/>
  <c r="AD22" i="14"/>
  <c r="Y22" i="14"/>
  <c r="W22" i="14"/>
  <c r="V22" i="14"/>
  <c r="U22" i="14"/>
  <c r="T22" i="14"/>
  <c r="AN21" i="14"/>
  <c r="AM21" i="14"/>
  <c r="AL21" i="14"/>
  <c r="AK21" i="14"/>
  <c r="AJ21" i="14"/>
  <c r="AI21" i="14"/>
  <c r="AH21" i="14"/>
  <c r="AG21" i="14"/>
  <c r="AF21" i="14"/>
  <c r="AE21" i="14"/>
  <c r="AD21" i="14"/>
  <c r="Y21" i="14"/>
  <c r="W21" i="14"/>
  <c r="V21" i="14"/>
  <c r="U21" i="14"/>
  <c r="T21" i="14"/>
  <c r="AN20" i="14"/>
  <c r="AM20" i="14"/>
  <c r="AL20" i="14"/>
  <c r="AK20" i="14"/>
  <c r="AJ20" i="14"/>
  <c r="AI20" i="14"/>
  <c r="AH20" i="14"/>
  <c r="AG20" i="14"/>
  <c r="AF20" i="14"/>
  <c r="AE20" i="14"/>
  <c r="AD20" i="14"/>
  <c r="Y20" i="14"/>
  <c r="W20" i="14"/>
  <c r="V20" i="14"/>
  <c r="U20" i="14"/>
  <c r="T20" i="14"/>
  <c r="AN19" i="14"/>
  <c r="AM19" i="14"/>
  <c r="AL19" i="14"/>
  <c r="AK19" i="14"/>
  <c r="AJ19" i="14"/>
  <c r="AI19" i="14"/>
  <c r="AH19" i="14"/>
  <c r="AG19" i="14"/>
  <c r="AF19" i="14"/>
  <c r="AE19" i="14"/>
  <c r="AD19" i="14"/>
  <c r="Y19" i="14"/>
  <c r="W19" i="14"/>
  <c r="V19" i="14"/>
  <c r="U19" i="14"/>
  <c r="T19" i="14"/>
  <c r="AN18" i="14"/>
  <c r="AM18" i="14"/>
  <c r="AL18" i="14"/>
  <c r="AK18" i="14"/>
  <c r="AJ18" i="14"/>
  <c r="AI18" i="14"/>
  <c r="AH18" i="14"/>
  <c r="AG18" i="14"/>
  <c r="AF18" i="14"/>
  <c r="AE18" i="14"/>
  <c r="AD18" i="14"/>
  <c r="Y18" i="14"/>
  <c r="W18" i="14"/>
  <c r="V18" i="14"/>
  <c r="U18" i="14"/>
  <c r="T18" i="14"/>
  <c r="AN17" i="14"/>
  <c r="AM17" i="14"/>
  <c r="AL17" i="14"/>
  <c r="AK17" i="14"/>
  <c r="AJ17" i="14"/>
  <c r="AI17" i="14"/>
  <c r="AH17" i="14"/>
  <c r="AG17" i="14"/>
  <c r="AF17" i="14"/>
  <c r="AE17" i="14"/>
  <c r="AD17" i="14"/>
  <c r="Y17" i="14"/>
  <c r="W17" i="14"/>
  <c r="V17" i="14"/>
  <c r="U17" i="14"/>
  <c r="T17" i="14"/>
  <c r="AN16" i="14"/>
  <c r="AM16" i="14"/>
  <c r="AL16" i="14"/>
  <c r="AK16" i="14"/>
  <c r="AJ16" i="14"/>
  <c r="AI16" i="14"/>
  <c r="AH16" i="14"/>
  <c r="AG16" i="14"/>
  <c r="AF16" i="14"/>
  <c r="AE16" i="14"/>
  <c r="AD16" i="14"/>
  <c r="Y16" i="14"/>
  <c r="W16" i="14"/>
  <c r="V16" i="14"/>
  <c r="U16" i="14"/>
  <c r="T16" i="14"/>
  <c r="A16" i="14"/>
  <c r="AN15" i="14"/>
  <c r="AM15" i="14"/>
  <c r="AL15" i="14"/>
  <c r="AK15" i="14"/>
  <c r="AJ15" i="14"/>
  <c r="AI15" i="14"/>
  <c r="AH15" i="14"/>
  <c r="AG15" i="14"/>
  <c r="AF15" i="14"/>
  <c r="AE15" i="14"/>
  <c r="AD15" i="14"/>
  <c r="Y15" i="14"/>
  <c r="W15" i="14"/>
  <c r="V15" i="14"/>
  <c r="U15" i="14"/>
  <c r="T15" i="14"/>
  <c r="AN14" i="14"/>
  <c r="AM14" i="14"/>
  <c r="AL14" i="14"/>
  <c r="AK14" i="14"/>
  <c r="AJ14" i="14"/>
  <c r="AI14" i="14"/>
  <c r="AH14" i="14"/>
  <c r="AG14" i="14"/>
  <c r="AF14" i="14"/>
  <c r="AE14" i="14"/>
  <c r="AD14" i="14"/>
  <c r="Y14" i="14"/>
  <c r="W14" i="14"/>
  <c r="V14" i="14"/>
  <c r="U14" i="14"/>
  <c r="T14" i="14"/>
  <c r="A14" i="14"/>
  <c r="AN13" i="14"/>
  <c r="AM13" i="14"/>
  <c r="AL13" i="14"/>
  <c r="AK13" i="14"/>
  <c r="AJ13" i="14"/>
  <c r="AI13" i="14"/>
  <c r="AH13" i="14"/>
  <c r="AG13" i="14"/>
  <c r="AF13" i="14"/>
  <c r="AE13" i="14"/>
  <c r="AD13" i="14"/>
  <c r="Y13" i="14"/>
  <c r="W13" i="14"/>
  <c r="V13" i="14"/>
  <c r="U13" i="14"/>
  <c r="T13" i="14"/>
  <c r="AN12" i="14"/>
  <c r="AM12" i="14"/>
  <c r="AL12" i="14"/>
  <c r="AK12" i="14"/>
  <c r="AJ12" i="14"/>
  <c r="AI12" i="14"/>
  <c r="AH12" i="14"/>
  <c r="AG12" i="14"/>
  <c r="AF12" i="14"/>
  <c r="AE12" i="14"/>
  <c r="AD12" i="14"/>
  <c r="Y12" i="14"/>
  <c r="W12" i="14"/>
  <c r="V12" i="14"/>
  <c r="U12" i="14"/>
  <c r="T12" i="14"/>
  <c r="A12" i="14"/>
  <c r="AN11" i="14"/>
  <c r="AM11" i="14"/>
  <c r="AL11" i="14"/>
  <c r="AK11" i="14"/>
  <c r="AJ11" i="14"/>
  <c r="AI11" i="14"/>
  <c r="AH11" i="14"/>
  <c r="AG11" i="14"/>
  <c r="AF11" i="14"/>
  <c r="AE11" i="14"/>
  <c r="AD11" i="14"/>
  <c r="Y11" i="14"/>
  <c r="W11" i="14"/>
  <c r="V11" i="14"/>
  <c r="U11" i="14"/>
  <c r="T11" i="14"/>
  <c r="AN10" i="14"/>
  <c r="AM10" i="14"/>
  <c r="AL10" i="14"/>
  <c r="AK10" i="14"/>
  <c r="AJ10" i="14"/>
  <c r="AI10" i="14"/>
  <c r="AH10" i="14"/>
  <c r="AG10" i="14"/>
  <c r="AF10" i="14"/>
  <c r="AE10" i="14"/>
  <c r="AD10" i="14"/>
  <c r="Y10" i="14"/>
  <c r="W10" i="14"/>
  <c r="V10" i="14"/>
  <c r="U10" i="14"/>
  <c r="T10" i="14"/>
  <c r="A10" i="14"/>
  <c r="AN9" i="14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U9" i="14"/>
  <c r="T9" i="14"/>
  <c r="AN8" i="14"/>
  <c r="AM8" i="14"/>
  <c r="AL8" i="14"/>
  <c r="AK8" i="14"/>
  <c r="AJ8" i="14"/>
  <c r="AI8" i="14"/>
  <c r="AH8" i="14"/>
  <c r="AG8" i="14"/>
  <c r="AF8" i="14"/>
  <c r="AD8" i="14"/>
  <c r="Y8" i="14"/>
  <c r="W8" i="14"/>
  <c r="V8" i="14"/>
  <c r="U8" i="14"/>
  <c r="T8" i="14"/>
  <c r="AN7" i="14"/>
  <c r="AM7" i="14"/>
  <c r="AL7" i="14"/>
  <c r="AK7" i="14"/>
  <c r="AJ7" i="14"/>
  <c r="AI7" i="14"/>
  <c r="AH7" i="14"/>
  <c r="AG7" i="14"/>
  <c r="AF7" i="14"/>
  <c r="AD7" i="14"/>
  <c r="Y7" i="14"/>
  <c r="W7" i="14"/>
  <c r="V7" i="14"/>
  <c r="U7" i="14"/>
  <c r="T7" i="14"/>
  <c r="AN6" i="14"/>
  <c r="AM6" i="14"/>
  <c r="AL6" i="14"/>
  <c r="AK6" i="14"/>
  <c r="AJ6" i="14"/>
  <c r="AI6" i="14"/>
  <c r="AH6" i="14"/>
  <c r="AG6" i="14"/>
  <c r="AF6" i="14"/>
  <c r="AD6" i="14"/>
  <c r="Y6" i="14"/>
  <c r="W6" i="14"/>
  <c r="V6" i="14"/>
  <c r="U6" i="14"/>
  <c r="T6" i="14"/>
  <c r="A6" i="14"/>
  <c r="AN5" i="14"/>
  <c r="AM5" i="14"/>
  <c r="AL5" i="14"/>
  <c r="AK5" i="14"/>
  <c r="AJ5" i="14"/>
  <c r="AI5" i="14"/>
  <c r="AH5" i="14"/>
  <c r="AG5" i="14"/>
  <c r="AF5" i="14"/>
  <c r="AD5" i="14"/>
  <c r="Y5" i="14"/>
  <c r="W5" i="14"/>
  <c r="V5" i="14"/>
  <c r="U5" i="14"/>
  <c r="T5" i="14"/>
  <c r="F1" i="14"/>
  <c r="AN24" i="13"/>
  <c r="AM24" i="13"/>
  <c r="AL24" i="13"/>
  <c r="AK24" i="13"/>
  <c r="AJ24" i="13"/>
  <c r="AI24" i="13"/>
  <c r="AH24" i="13"/>
  <c r="AG24" i="13"/>
  <c r="AF24" i="13"/>
  <c r="AE24" i="13"/>
  <c r="AD24" i="13"/>
  <c r="Y24" i="13"/>
  <c r="W24" i="13"/>
  <c r="V24" i="13"/>
  <c r="U24" i="13"/>
  <c r="T24" i="13"/>
  <c r="AN23" i="13"/>
  <c r="AM23" i="13"/>
  <c r="AL23" i="13"/>
  <c r="AK23" i="13"/>
  <c r="AJ23" i="13"/>
  <c r="AI23" i="13"/>
  <c r="AH23" i="13"/>
  <c r="AG23" i="13"/>
  <c r="AF23" i="13"/>
  <c r="AE23" i="13"/>
  <c r="AD23" i="13"/>
  <c r="Y23" i="13"/>
  <c r="W23" i="13"/>
  <c r="V23" i="13"/>
  <c r="U23" i="13"/>
  <c r="T23" i="13"/>
  <c r="AN22" i="13"/>
  <c r="AM22" i="13"/>
  <c r="AL22" i="13"/>
  <c r="AK22" i="13"/>
  <c r="AJ22" i="13"/>
  <c r="AI22" i="13"/>
  <c r="AH22" i="13"/>
  <c r="AG22" i="13"/>
  <c r="AF22" i="13"/>
  <c r="AE22" i="13"/>
  <c r="AD22" i="13"/>
  <c r="Y22" i="13"/>
  <c r="W22" i="13"/>
  <c r="V22" i="13"/>
  <c r="U22" i="13"/>
  <c r="T22" i="13"/>
  <c r="AN21" i="13"/>
  <c r="AM21" i="13"/>
  <c r="AL21" i="13"/>
  <c r="AK21" i="13"/>
  <c r="AJ21" i="13"/>
  <c r="AI21" i="13"/>
  <c r="AH21" i="13"/>
  <c r="AG21" i="13"/>
  <c r="AF21" i="13"/>
  <c r="AE21" i="13"/>
  <c r="AD21" i="13"/>
  <c r="Y21" i="13"/>
  <c r="W21" i="13"/>
  <c r="V21" i="13"/>
  <c r="U21" i="13"/>
  <c r="T21" i="13"/>
  <c r="AN20" i="13"/>
  <c r="AM20" i="13"/>
  <c r="AL20" i="13"/>
  <c r="AK20" i="13"/>
  <c r="AJ20" i="13"/>
  <c r="AI20" i="13"/>
  <c r="AH20" i="13"/>
  <c r="AG20" i="13"/>
  <c r="AF20" i="13"/>
  <c r="AE20" i="13"/>
  <c r="AD20" i="13"/>
  <c r="Y20" i="13"/>
  <c r="W20" i="13"/>
  <c r="V20" i="13"/>
  <c r="U20" i="13"/>
  <c r="T20" i="13"/>
  <c r="AN19" i="13"/>
  <c r="AM19" i="13"/>
  <c r="AL19" i="13"/>
  <c r="AK19" i="13"/>
  <c r="AJ19" i="13"/>
  <c r="AI19" i="13"/>
  <c r="AH19" i="13"/>
  <c r="AG19" i="13"/>
  <c r="AF19" i="13"/>
  <c r="AE19" i="13"/>
  <c r="AD19" i="13"/>
  <c r="Y19" i="13"/>
  <c r="W19" i="13"/>
  <c r="V19" i="13"/>
  <c r="U19" i="13"/>
  <c r="T19" i="13"/>
  <c r="AN18" i="13"/>
  <c r="AM18" i="13"/>
  <c r="AL18" i="13"/>
  <c r="AK18" i="13"/>
  <c r="AJ18" i="13"/>
  <c r="AI18" i="13"/>
  <c r="AH18" i="13"/>
  <c r="AG18" i="13"/>
  <c r="AF18" i="13"/>
  <c r="AE18" i="13"/>
  <c r="AD18" i="13"/>
  <c r="Y18" i="13"/>
  <c r="W18" i="13"/>
  <c r="V18" i="13"/>
  <c r="U18" i="13"/>
  <c r="T18" i="13"/>
  <c r="AN17" i="13"/>
  <c r="AM17" i="13"/>
  <c r="AL17" i="13"/>
  <c r="AK17" i="13"/>
  <c r="AJ17" i="13"/>
  <c r="AI17" i="13"/>
  <c r="AH17" i="13"/>
  <c r="AG17" i="13"/>
  <c r="AF17" i="13"/>
  <c r="AE17" i="13"/>
  <c r="AD17" i="13"/>
  <c r="Y17" i="13"/>
  <c r="W17" i="13"/>
  <c r="V17" i="13"/>
  <c r="U17" i="13"/>
  <c r="T17" i="13"/>
  <c r="AN16" i="13"/>
  <c r="AM16" i="13"/>
  <c r="AL16" i="13"/>
  <c r="AK16" i="13"/>
  <c r="AJ16" i="13"/>
  <c r="AI16" i="13"/>
  <c r="AH16" i="13"/>
  <c r="AG16" i="13"/>
  <c r="AF16" i="13"/>
  <c r="AE16" i="13"/>
  <c r="AD16" i="13"/>
  <c r="Y16" i="13"/>
  <c r="W16" i="13"/>
  <c r="V16" i="13"/>
  <c r="U16" i="13"/>
  <c r="T16" i="13"/>
  <c r="A16" i="13"/>
  <c r="AN15" i="13"/>
  <c r="AM15" i="13"/>
  <c r="AL15" i="13"/>
  <c r="AK15" i="13"/>
  <c r="AJ15" i="13"/>
  <c r="AI15" i="13"/>
  <c r="AH15" i="13"/>
  <c r="AG15" i="13"/>
  <c r="AF15" i="13"/>
  <c r="AE15" i="13"/>
  <c r="AD15" i="13"/>
  <c r="Y15" i="13"/>
  <c r="W15" i="13"/>
  <c r="V15" i="13"/>
  <c r="U15" i="13"/>
  <c r="T15" i="13"/>
  <c r="AN14" i="13"/>
  <c r="AM14" i="13"/>
  <c r="AL14" i="13"/>
  <c r="AK14" i="13"/>
  <c r="AJ14" i="13"/>
  <c r="AI14" i="13"/>
  <c r="AH14" i="13"/>
  <c r="AG14" i="13"/>
  <c r="AF14" i="13"/>
  <c r="AE14" i="13"/>
  <c r="AD14" i="13"/>
  <c r="Y14" i="13"/>
  <c r="W14" i="13"/>
  <c r="V14" i="13"/>
  <c r="U14" i="13"/>
  <c r="T14" i="13"/>
  <c r="A14" i="13"/>
  <c r="AN13" i="13"/>
  <c r="AM13" i="13"/>
  <c r="AL13" i="13"/>
  <c r="AK13" i="13"/>
  <c r="AJ13" i="13"/>
  <c r="AI13" i="13"/>
  <c r="AH13" i="13"/>
  <c r="AG13" i="13"/>
  <c r="AF13" i="13"/>
  <c r="AE13" i="13"/>
  <c r="AD13" i="13"/>
  <c r="Y13" i="13"/>
  <c r="W13" i="13"/>
  <c r="V13" i="13"/>
  <c r="U13" i="13"/>
  <c r="T13" i="13"/>
  <c r="AN12" i="13"/>
  <c r="AM12" i="13"/>
  <c r="AL12" i="13"/>
  <c r="AK12" i="13"/>
  <c r="AJ12" i="13"/>
  <c r="AI12" i="13"/>
  <c r="AH12" i="13"/>
  <c r="AG12" i="13"/>
  <c r="AF12" i="13"/>
  <c r="AE12" i="13"/>
  <c r="AD12" i="13"/>
  <c r="Y12" i="13"/>
  <c r="W12" i="13"/>
  <c r="V12" i="13"/>
  <c r="U12" i="13"/>
  <c r="T12" i="13"/>
  <c r="A12" i="13"/>
  <c r="AN11" i="13"/>
  <c r="AM11" i="13"/>
  <c r="AL11" i="13"/>
  <c r="AK11" i="13"/>
  <c r="AJ11" i="13"/>
  <c r="AI11" i="13"/>
  <c r="AH11" i="13"/>
  <c r="AG11" i="13"/>
  <c r="AF11" i="13"/>
  <c r="AE11" i="13"/>
  <c r="AD11" i="13"/>
  <c r="Y11" i="13"/>
  <c r="W11" i="13"/>
  <c r="V11" i="13"/>
  <c r="U11" i="13"/>
  <c r="T11" i="13"/>
  <c r="AN10" i="13"/>
  <c r="AM10" i="13"/>
  <c r="AL10" i="13"/>
  <c r="AK10" i="13"/>
  <c r="AJ10" i="13"/>
  <c r="AI10" i="13"/>
  <c r="AH10" i="13"/>
  <c r="AG10" i="13"/>
  <c r="AF10" i="13"/>
  <c r="AE10" i="13"/>
  <c r="AD10" i="13"/>
  <c r="Y10" i="13"/>
  <c r="W10" i="13"/>
  <c r="V10" i="13"/>
  <c r="U10" i="13"/>
  <c r="T10" i="13"/>
  <c r="A10" i="13"/>
  <c r="AN9" i="13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U9" i="13"/>
  <c r="T9" i="13"/>
  <c r="AN8" i="13"/>
  <c r="AM8" i="13"/>
  <c r="AL8" i="13"/>
  <c r="AK8" i="13"/>
  <c r="AJ8" i="13"/>
  <c r="AI8" i="13"/>
  <c r="AH8" i="13"/>
  <c r="AG8" i="13"/>
  <c r="AF8" i="13"/>
  <c r="AD8" i="13"/>
  <c r="Y8" i="13"/>
  <c r="W8" i="13"/>
  <c r="V8" i="13"/>
  <c r="U8" i="13"/>
  <c r="T8" i="13"/>
  <c r="AN7" i="13"/>
  <c r="AM7" i="13"/>
  <c r="AL7" i="13"/>
  <c r="AK7" i="13"/>
  <c r="AJ7" i="13"/>
  <c r="AI7" i="13"/>
  <c r="AH7" i="13"/>
  <c r="AG7" i="13"/>
  <c r="AF7" i="13"/>
  <c r="AD7" i="13"/>
  <c r="Y7" i="13"/>
  <c r="W7" i="13"/>
  <c r="V7" i="13"/>
  <c r="U7" i="13"/>
  <c r="T7" i="13"/>
  <c r="AN6" i="13"/>
  <c r="AM6" i="13"/>
  <c r="AL6" i="13"/>
  <c r="AK6" i="13"/>
  <c r="AJ6" i="13"/>
  <c r="AI6" i="13"/>
  <c r="AH6" i="13"/>
  <c r="AG6" i="13"/>
  <c r="AF6" i="13"/>
  <c r="AD6" i="13"/>
  <c r="Y6" i="13"/>
  <c r="W6" i="13"/>
  <c r="V6" i="13"/>
  <c r="U6" i="13"/>
  <c r="T6" i="13"/>
  <c r="A6" i="13"/>
  <c r="AN5" i="13"/>
  <c r="AM5" i="13"/>
  <c r="AL5" i="13"/>
  <c r="AK5" i="13"/>
  <c r="AJ5" i="13"/>
  <c r="AI5" i="13"/>
  <c r="AH5" i="13"/>
  <c r="AG5" i="13"/>
  <c r="AF5" i="13"/>
  <c r="AD5" i="13"/>
  <c r="Y5" i="13"/>
  <c r="W5" i="13"/>
  <c r="V5" i="13"/>
  <c r="U5" i="13"/>
  <c r="T5" i="13"/>
  <c r="F1" i="13"/>
  <c r="AN50" i="12"/>
  <c r="AM50" i="12"/>
  <c r="AL50" i="12"/>
  <c r="AK50" i="12"/>
  <c r="AJ50" i="12"/>
  <c r="AI50" i="12"/>
  <c r="AH50" i="12"/>
  <c r="AG50" i="12"/>
  <c r="AF50" i="12"/>
  <c r="AE50" i="12"/>
  <c r="AD50" i="12"/>
  <c r="Y50" i="12"/>
  <c r="W50" i="12"/>
  <c r="V50" i="12"/>
  <c r="U50" i="12"/>
  <c r="T50" i="12"/>
  <c r="AN49" i="12"/>
  <c r="AM49" i="12"/>
  <c r="AL49" i="12"/>
  <c r="AK49" i="12"/>
  <c r="AJ49" i="12"/>
  <c r="AI49" i="12"/>
  <c r="AH49" i="12"/>
  <c r="AG49" i="12"/>
  <c r="AF49" i="12"/>
  <c r="AE49" i="12"/>
  <c r="AD49" i="12"/>
  <c r="Y49" i="12"/>
  <c r="W49" i="12"/>
  <c r="V49" i="12"/>
  <c r="U49" i="12"/>
  <c r="T49" i="12"/>
  <c r="AN48" i="12"/>
  <c r="AM48" i="12"/>
  <c r="AL48" i="12"/>
  <c r="AK48" i="12"/>
  <c r="AJ48" i="12"/>
  <c r="AI48" i="12"/>
  <c r="AH48" i="12"/>
  <c r="AG48" i="12"/>
  <c r="AF48" i="12"/>
  <c r="AE48" i="12"/>
  <c r="AD48" i="12"/>
  <c r="Y48" i="12"/>
  <c r="W48" i="12"/>
  <c r="V48" i="12"/>
  <c r="U48" i="12"/>
  <c r="T48" i="12"/>
  <c r="AN47" i="12"/>
  <c r="AM47" i="12"/>
  <c r="AL47" i="12"/>
  <c r="AK47" i="12"/>
  <c r="AJ47" i="12"/>
  <c r="AI47" i="12"/>
  <c r="AH47" i="12"/>
  <c r="AG47" i="12"/>
  <c r="AF47" i="12"/>
  <c r="AE47" i="12"/>
  <c r="AD47" i="12"/>
  <c r="Y47" i="12"/>
  <c r="W47" i="12"/>
  <c r="V47" i="12"/>
  <c r="U47" i="12"/>
  <c r="T47" i="12"/>
  <c r="AN46" i="12"/>
  <c r="AM46" i="12"/>
  <c r="AL46" i="12"/>
  <c r="AK46" i="12"/>
  <c r="AJ46" i="12"/>
  <c r="AI46" i="12"/>
  <c r="AH46" i="12"/>
  <c r="AG46" i="12"/>
  <c r="AF46" i="12"/>
  <c r="AE46" i="12"/>
  <c r="AD46" i="12"/>
  <c r="Y46" i="12"/>
  <c r="W46" i="12"/>
  <c r="V46" i="12"/>
  <c r="U46" i="12"/>
  <c r="T46" i="12"/>
  <c r="AN45" i="12"/>
  <c r="AM45" i="12"/>
  <c r="AL45" i="12"/>
  <c r="AK45" i="12"/>
  <c r="AJ45" i="12"/>
  <c r="AI45" i="12"/>
  <c r="AH45" i="12"/>
  <c r="AG45" i="12"/>
  <c r="AF45" i="12"/>
  <c r="AE45" i="12"/>
  <c r="AD45" i="12"/>
  <c r="Y45" i="12"/>
  <c r="W45" i="12"/>
  <c r="V45" i="12"/>
  <c r="U45" i="12"/>
  <c r="T45" i="12"/>
  <c r="AN44" i="12"/>
  <c r="AM44" i="12"/>
  <c r="AL44" i="12"/>
  <c r="AK44" i="12"/>
  <c r="AJ44" i="12"/>
  <c r="AI44" i="12"/>
  <c r="AH44" i="12"/>
  <c r="AG44" i="12"/>
  <c r="AF44" i="12"/>
  <c r="AE44" i="12"/>
  <c r="AD44" i="12"/>
  <c r="Y44" i="12"/>
  <c r="W44" i="12"/>
  <c r="V44" i="12"/>
  <c r="U44" i="12"/>
  <c r="T44" i="12"/>
  <c r="AN43" i="12"/>
  <c r="AM43" i="12"/>
  <c r="AL43" i="12"/>
  <c r="AK43" i="12"/>
  <c r="AJ43" i="12"/>
  <c r="AI43" i="12"/>
  <c r="AH43" i="12"/>
  <c r="AG43" i="12"/>
  <c r="AF43" i="12"/>
  <c r="AE43" i="12"/>
  <c r="AD43" i="12"/>
  <c r="Y43" i="12"/>
  <c r="W43" i="12"/>
  <c r="V43" i="12"/>
  <c r="U43" i="12"/>
  <c r="T43" i="12"/>
  <c r="AN42" i="12"/>
  <c r="AM42" i="12"/>
  <c r="AL42" i="12"/>
  <c r="AK42" i="12"/>
  <c r="AJ42" i="12"/>
  <c r="AI42" i="12"/>
  <c r="AH42" i="12"/>
  <c r="AG42" i="12"/>
  <c r="AF42" i="12"/>
  <c r="AE42" i="12"/>
  <c r="AD42" i="12"/>
  <c r="Y42" i="12"/>
  <c r="W42" i="12"/>
  <c r="V42" i="12"/>
  <c r="U42" i="12"/>
  <c r="T42" i="12"/>
  <c r="AN41" i="12"/>
  <c r="AM41" i="12"/>
  <c r="AL41" i="12"/>
  <c r="AK41" i="12"/>
  <c r="AJ41" i="12"/>
  <c r="AI41" i="12"/>
  <c r="AH41" i="12"/>
  <c r="AG41" i="12"/>
  <c r="AF41" i="12"/>
  <c r="AE41" i="12"/>
  <c r="AD41" i="12"/>
  <c r="Y41" i="12"/>
  <c r="W41" i="12"/>
  <c r="V41" i="12"/>
  <c r="U41" i="12"/>
  <c r="T41" i="12"/>
  <c r="AN40" i="12"/>
  <c r="AM40" i="12"/>
  <c r="AL40" i="12"/>
  <c r="AK40" i="12"/>
  <c r="AJ40" i="12"/>
  <c r="AI40" i="12"/>
  <c r="AH40" i="12"/>
  <c r="AG40" i="12"/>
  <c r="AF40" i="12"/>
  <c r="AE40" i="12"/>
  <c r="AD40" i="12"/>
  <c r="Y40" i="12"/>
  <c r="W40" i="12"/>
  <c r="V40" i="12"/>
  <c r="U40" i="12"/>
  <c r="T40" i="12"/>
  <c r="AN39" i="12"/>
  <c r="AM39" i="12"/>
  <c r="AL39" i="12"/>
  <c r="AK39" i="12"/>
  <c r="AJ39" i="12"/>
  <c r="AI39" i="12"/>
  <c r="AH39" i="12"/>
  <c r="AG39" i="12"/>
  <c r="AF39" i="12"/>
  <c r="AE39" i="12"/>
  <c r="AD39" i="12"/>
  <c r="Y39" i="12"/>
  <c r="W39" i="12"/>
  <c r="V39" i="12"/>
  <c r="U39" i="12"/>
  <c r="T39" i="12"/>
  <c r="AN38" i="12"/>
  <c r="AM38" i="12"/>
  <c r="AL38" i="12"/>
  <c r="AK38" i="12"/>
  <c r="AJ38" i="12"/>
  <c r="AI38" i="12"/>
  <c r="AH38" i="12"/>
  <c r="AG38" i="12"/>
  <c r="AF38" i="12"/>
  <c r="AE38" i="12"/>
  <c r="AD38" i="12"/>
  <c r="Y38" i="12"/>
  <c r="W38" i="12"/>
  <c r="V38" i="12"/>
  <c r="U38" i="12"/>
  <c r="T38" i="12"/>
  <c r="AN37" i="12"/>
  <c r="AM37" i="12"/>
  <c r="AL37" i="12"/>
  <c r="AK37" i="12"/>
  <c r="AJ37" i="12"/>
  <c r="AI37" i="12"/>
  <c r="AH37" i="12"/>
  <c r="AG37" i="12"/>
  <c r="AF37" i="12"/>
  <c r="AE37" i="12"/>
  <c r="AD37" i="12"/>
  <c r="Y37" i="12"/>
  <c r="W37" i="12"/>
  <c r="V37" i="12"/>
  <c r="U37" i="12"/>
  <c r="T37" i="12"/>
  <c r="AN36" i="12"/>
  <c r="AM36" i="12"/>
  <c r="AL36" i="12"/>
  <c r="AK36" i="12"/>
  <c r="AJ36" i="12"/>
  <c r="AI36" i="12"/>
  <c r="AH36" i="12"/>
  <c r="AG36" i="12"/>
  <c r="AF36" i="12"/>
  <c r="AE36" i="12"/>
  <c r="AD36" i="12"/>
  <c r="Y36" i="12"/>
  <c r="W36" i="12"/>
  <c r="V36" i="12"/>
  <c r="U36" i="12"/>
  <c r="T36" i="12"/>
  <c r="AN35" i="12"/>
  <c r="AM35" i="12"/>
  <c r="AL35" i="12"/>
  <c r="AK35" i="12"/>
  <c r="AJ35" i="12"/>
  <c r="AI35" i="12"/>
  <c r="AH35" i="12"/>
  <c r="AG35" i="12"/>
  <c r="AF35" i="12"/>
  <c r="AE35" i="12"/>
  <c r="AD35" i="12"/>
  <c r="Y35" i="12"/>
  <c r="W35" i="12"/>
  <c r="V35" i="12"/>
  <c r="U35" i="12"/>
  <c r="T35" i="12"/>
  <c r="AN34" i="12"/>
  <c r="AM34" i="12"/>
  <c r="AL34" i="12"/>
  <c r="AK34" i="12"/>
  <c r="AJ34" i="12"/>
  <c r="AI34" i="12"/>
  <c r="AH34" i="12"/>
  <c r="AG34" i="12"/>
  <c r="AF34" i="12"/>
  <c r="AE34" i="12"/>
  <c r="AD34" i="12"/>
  <c r="Y34" i="12"/>
  <c r="W34" i="12"/>
  <c r="V34" i="12"/>
  <c r="U34" i="12"/>
  <c r="T34" i="12"/>
  <c r="AN33" i="12"/>
  <c r="AM33" i="12"/>
  <c r="AL33" i="12"/>
  <c r="AK33" i="12"/>
  <c r="AJ33" i="12"/>
  <c r="AI33" i="12"/>
  <c r="AH33" i="12"/>
  <c r="AG33" i="12"/>
  <c r="AF33" i="12"/>
  <c r="AE33" i="12"/>
  <c r="AD33" i="12"/>
  <c r="Y33" i="12"/>
  <c r="W33" i="12"/>
  <c r="V33" i="12"/>
  <c r="U33" i="12"/>
  <c r="T33" i="12"/>
  <c r="AN32" i="12"/>
  <c r="AM32" i="12"/>
  <c r="AL32" i="12"/>
  <c r="AK32" i="12"/>
  <c r="AJ32" i="12"/>
  <c r="AI32" i="12"/>
  <c r="AH32" i="12"/>
  <c r="AG32" i="12"/>
  <c r="AF32" i="12"/>
  <c r="AE32" i="12"/>
  <c r="AD32" i="12"/>
  <c r="Y32" i="12"/>
  <c r="W32" i="12"/>
  <c r="V32" i="12"/>
  <c r="U32" i="12"/>
  <c r="T32" i="12"/>
  <c r="AN31" i="12"/>
  <c r="AM31" i="12"/>
  <c r="AL31" i="12"/>
  <c r="AK31" i="12"/>
  <c r="AJ31" i="12"/>
  <c r="AI31" i="12"/>
  <c r="AH31" i="12"/>
  <c r="AG31" i="12"/>
  <c r="AF31" i="12"/>
  <c r="AE31" i="12"/>
  <c r="AD31" i="12"/>
  <c r="Y31" i="12"/>
  <c r="W31" i="12"/>
  <c r="V31" i="12"/>
  <c r="U31" i="12"/>
  <c r="T31" i="12"/>
  <c r="AN30" i="12"/>
  <c r="AM30" i="12"/>
  <c r="AL30" i="12"/>
  <c r="AK30" i="12"/>
  <c r="AJ30" i="12"/>
  <c r="AI30" i="12"/>
  <c r="AH30" i="12"/>
  <c r="AG30" i="12"/>
  <c r="AF30" i="12"/>
  <c r="AE30" i="12"/>
  <c r="AD30" i="12"/>
  <c r="Y30" i="12"/>
  <c r="W30" i="12"/>
  <c r="V30" i="12"/>
  <c r="U30" i="12"/>
  <c r="T30" i="12"/>
  <c r="AN29" i="12"/>
  <c r="AM29" i="12"/>
  <c r="AL29" i="12"/>
  <c r="AK29" i="12"/>
  <c r="AJ29" i="12"/>
  <c r="AI29" i="12"/>
  <c r="AH29" i="12"/>
  <c r="AG29" i="12"/>
  <c r="AF29" i="12"/>
  <c r="AE29" i="12"/>
  <c r="AD29" i="12"/>
  <c r="Y29" i="12"/>
  <c r="W29" i="12"/>
  <c r="V29" i="12"/>
  <c r="U29" i="12"/>
  <c r="T29" i="12"/>
  <c r="AN28" i="12"/>
  <c r="AM28" i="12"/>
  <c r="AL28" i="12"/>
  <c r="AK28" i="12"/>
  <c r="AJ28" i="12"/>
  <c r="AI28" i="12"/>
  <c r="AH28" i="12"/>
  <c r="AG28" i="12"/>
  <c r="AF28" i="12"/>
  <c r="AE28" i="12"/>
  <c r="AD28" i="12"/>
  <c r="Y28" i="12"/>
  <c r="W28" i="12"/>
  <c r="V28" i="12"/>
  <c r="U28" i="12"/>
  <c r="T28" i="12"/>
  <c r="AN27" i="12"/>
  <c r="AM27" i="12"/>
  <c r="AL27" i="12"/>
  <c r="AK27" i="12"/>
  <c r="AJ27" i="12"/>
  <c r="AI27" i="12"/>
  <c r="AH27" i="12"/>
  <c r="AG27" i="12"/>
  <c r="AF27" i="12"/>
  <c r="AE27" i="12"/>
  <c r="AD27" i="12"/>
  <c r="Y27" i="12"/>
  <c r="W27" i="12"/>
  <c r="V27" i="12"/>
  <c r="U27" i="12"/>
  <c r="T27" i="12"/>
  <c r="AN26" i="12"/>
  <c r="AM26" i="12"/>
  <c r="AL26" i="12"/>
  <c r="AK26" i="12"/>
  <c r="AJ26" i="12"/>
  <c r="AI26" i="12"/>
  <c r="AH26" i="12"/>
  <c r="AG26" i="12"/>
  <c r="AF26" i="12"/>
  <c r="AE26" i="12"/>
  <c r="AD26" i="12"/>
  <c r="Y26" i="12"/>
  <c r="W26" i="12"/>
  <c r="V26" i="12"/>
  <c r="U26" i="12"/>
  <c r="T26" i="12"/>
  <c r="AN25" i="12"/>
  <c r="AM25" i="12"/>
  <c r="AL25" i="12"/>
  <c r="AK25" i="12"/>
  <c r="AJ25" i="12"/>
  <c r="AI25" i="12"/>
  <c r="AH25" i="12"/>
  <c r="AG25" i="12"/>
  <c r="AF25" i="12"/>
  <c r="AE25" i="12"/>
  <c r="AD25" i="12"/>
  <c r="Y25" i="12"/>
  <c r="W25" i="12"/>
  <c r="V25" i="12"/>
  <c r="U25" i="12"/>
  <c r="T25" i="12"/>
  <c r="AN24" i="12"/>
  <c r="AM24" i="12"/>
  <c r="AL24" i="12"/>
  <c r="AK24" i="12"/>
  <c r="AJ24" i="12"/>
  <c r="AI24" i="12"/>
  <c r="AH24" i="12"/>
  <c r="AG24" i="12"/>
  <c r="AF24" i="12"/>
  <c r="AE24" i="12"/>
  <c r="AD24" i="12"/>
  <c r="Y24" i="12"/>
  <c r="W24" i="12"/>
  <c r="V24" i="12"/>
  <c r="U24" i="12"/>
  <c r="T24" i="12"/>
  <c r="AN23" i="12"/>
  <c r="AM23" i="12"/>
  <c r="AL23" i="12"/>
  <c r="AK23" i="12"/>
  <c r="AJ23" i="12"/>
  <c r="AI23" i="12"/>
  <c r="AH23" i="12"/>
  <c r="AG23" i="12"/>
  <c r="AF23" i="12"/>
  <c r="AE23" i="12"/>
  <c r="AD23" i="12"/>
  <c r="Y23" i="12"/>
  <c r="W23" i="12"/>
  <c r="V23" i="12"/>
  <c r="U23" i="12"/>
  <c r="T23" i="12"/>
  <c r="AN22" i="12"/>
  <c r="AM22" i="12"/>
  <c r="AL22" i="12"/>
  <c r="AK22" i="12"/>
  <c r="AJ22" i="12"/>
  <c r="AI22" i="12"/>
  <c r="AH22" i="12"/>
  <c r="AG22" i="12"/>
  <c r="AF22" i="12"/>
  <c r="AE22" i="12"/>
  <c r="AD22" i="12"/>
  <c r="Y22" i="12"/>
  <c r="W22" i="12"/>
  <c r="V22" i="12"/>
  <c r="U22" i="12"/>
  <c r="T22" i="12"/>
  <c r="AN21" i="12"/>
  <c r="AM21" i="12"/>
  <c r="AL21" i="12"/>
  <c r="AK21" i="12"/>
  <c r="AJ21" i="12"/>
  <c r="AI21" i="12"/>
  <c r="AH21" i="12"/>
  <c r="AG21" i="12"/>
  <c r="AF21" i="12"/>
  <c r="AE21" i="12"/>
  <c r="AD21" i="12"/>
  <c r="Y21" i="12"/>
  <c r="W21" i="12"/>
  <c r="V21" i="12"/>
  <c r="U21" i="12"/>
  <c r="T21" i="12"/>
  <c r="AN20" i="12"/>
  <c r="AM20" i="12"/>
  <c r="AL20" i="12"/>
  <c r="AK20" i="12"/>
  <c r="AJ20" i="12"/>
  <c r="AI20" i="12"/>
  <c r="AH20" i="12"/>
  <c r="AG20" i="12"/>
  <c r="AF20" i="12"/>
  <c r="AE20" i="12"/>
  <c r="AD20" i="12"/>
  <c r="Y20" i="12"/>
  <c r="W20" i="12"/>
  <c r="V20" i="12"/>
  <c r="U20" i="12"/>
  <c r="T20" i="12"/>
  <c r="AN19" i="12"/>
  <c r="AM19" i="12"/>
  <c r="AL19" i="12"/>
  <c r="AK19" i="12"/>
  <c r="AJ19" i="12"/>
  <c r="AI19" i="12"/>
  <c r="AH19" i="12"/>
  <c r="AG19" i="12"/>
  <c r="AF19" i="12"/>
  <c r="AE19" i="12"/>
  <c r="AD19" i="12"/>
  <c r="Y19" i="12"/>
  <c r="W19" i="12"/>
  <c r="V19" i="12"/>
  <c r="U19" i="12"/>
  <c r="T19" i="12"/>
  <c r="AN18" i="12"/>
  <c r="AM18" i="12"/>
  <c r="AL18" i="12"/>
  <c r="AK18" i="12"/>
  <c r="AJ18" i="12"/>
  <c r="AI18" i="12"/>
  <c r="AH18" i="12"/>
  <c r="AG18" i="12"/>
  <c r="AF18" i="12"/>
  <c r="AE18" i="12"/>
  <c r="AD18" i="12"/>
  <c r="Y18" i="12"/>
  <c r="W18" i="12"/>
  <c r="V18" i="12"/>
  <c r="U18" i="12"/>
  <c r="T18" i="12"/>
  <c r="AN17" i="12"/>
  <c r="AM17" i="12"/>
  <c r="AL17" i="12"/>
  <c r="AK17" i="12"/>
  <c r="AJ17" i="12"/>
  <c r="AI17" i="12"/>
  <c r="AH17" i="12"/>
  <c r="AG17" i="12"/>
  <c r="AF17" i="12"/>
  <c r="AE17" i="12"/>
  <c r="AD17" i="12"/>
  <c r="Y17" i="12"/>
  <c r="W17" i="12"/>
  <c r="V17" i="12"/>
  <c r="U17" i="12"/>
  <c r="T17" i="12"/>
  <c r="AN16" i="12"/>
  <c r="AM16" i="12"/>
  <c r="AL16" i="12"/>
  <c r="AK16" i="12"/>
  <c r="AJ16" i="12"/>
  <c r="AI16" i="12"/>
  <c r="AH16" i="12"/>
  <c r="AG16" i="12"/>
  <c r="AF16" i="12"/>
  <c r="AE16" i="12"/>
  <c r="AD16" i="12"/>
  <c r="Y16" i="12"/>
  <c r="W16" i="12"/>
  <c r="V16" i="12"/>
  <c r="U16" i="12"/>
  <c r="T16" i="12"/>
  <c r="A16" i="12"/>
  <c r="AN15" i="12"/>
  <c r="AM15" i="12"/>
  <c r="AL15" i="12"/>
  <c r="AK15" i="12"/>
  <c r="AJ15" i="12"/>
  <c r="AI15" i="12"/>
  <c r="AH15" i="12"/>
  <c r="AG15" i="12"/>
  <c r="AF15" i="12"/>
  <c r="AE15" i="12"/>
  <c r="AD15" i="12"/>
  <c r="Y15" i="12"/>
  <c r="W15" i="12"/>
  <c r="V15" i="12"/>
  <c r="U15" i="12"/>
  <c r="T15" i="12"/>
  <c r="AN14" i="12"/>
  <c r="AM14" i="12"/>
  <c r="AL14" i="12"/>
  <c r="AK14" i="12"/>
  <c r="AJ14" i="12"/>
  <c r="AI14" i="12"/>
  <c r="AH14" i="12"/>
  <c r="AG14" i="12"/>
  <c r="AF14" i="12"/>
  <c r="AE14" i="12"/>
  <c r="AD14" i="12"/>
  <c r="Y14" i="12"/>
  <c r="W14" i="12"/>
  <c r="V14" i="12"/>
  <c r="U14" i="12"/>
  <c r="T14" i="12"/>
  <c r="A14" i="12"/>
  <c r="AN13" i="12"/>
  <c r="AM13" i="12"/>
  <c r="AL13" i="12"/>
  <c r="AK13" i="12"/>
  <c r="AJ13" i="12"/>
  <c r="AI13" i="12"/>
  <c r="AH13" i="12"/>
  <c r="AG13" i="12"/>
  <c r="AF13" i="12"/>
  <c r="AE13" i="12"/>
  <c r="AD13" i="12"/>
  <c r="Y13" i="12"/>
  <c r="W13" i="12"/>
  <c r="V13" i="12"/>
  <c r="U13" i="12"/>
  <c r="T13" i="12"/>
  <c r="AN12" i="12"/>
  <c r="AM12" i="12"/>
  <c r="AL12" i="12"/>
  <c r="AK12" i="12"/>
  <c r="AJ12" i="12"/>
  <c r="AI12" i="12"/>
  <c r="AH12" i="12"/>
  <c r="AG12" i="12"/>
  <c r="AF12" i="12"/>
  <c r="AE12" i="12"/>
  <c r="AD12" i="12"/>
  <c r="Y12" i="12"/>
  <c r="W12" i="12"/>
  <c r="V12" i="12"/>
  <c r="U12" i="12"/>
  <c r="T12" i="12"/>
  <c r="A12" i="12"/>
  <c r="AN11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U11" i="12"/>
  <c r="T11" i="12"/>
  <c r="AN10" i="12"/>
  <c r="AM10" i="12"/>
  <c r="AL10" i="12"/>
  <c r="AK10" i="12"/>
  <c r="AJ10" i="12"/>
  <c r="AI10" i="12"/>
  <c r="AH10" i="12"/>
  <c r="AG10" i="12"/>
  <c r="AF10" i="12"/>
  <c r="AE10" i="12"/>
  <c r="AD10" i="12"/>
  <c r="Y10" i="12"/>
  <c r="W10" i="12"/>
  <c r="V10" i="12"/>
  <c r="U10" i="12"/>
  <c r="T10" i="12"/>
  <c r="A10" i="12"/>
  <c r="AN9" i="12"/>
  <c r="AM9" i="12"/>
  <c r="AL9" i="12"/>
  <c r="AK9" i="12"/>
  <c r="AJ9" i="12"/>
  <c r="AI9" i="12"/>
  <c r="AH9" i="12"/>
  <c r="AG9" i="12"/>
  <c r="AF9" i="12"/>
  <c r="AE9" i="12"/>
  <c r="AD9" i="12"/>
  <c r="Y9" i="12"/>
  <c r="W9" i="12"/>
  <c r="V9" i="12"/>
  <c r="U9" i="12"/>
  <c r="T9" i="12"/>
  <c r="AN8" i="12"/>
  <c r="AM8" i="12"/>
  <c r="AL8" i="12"/>
  <c r="AK8" i="12"/>
  <c r="AJ8" i="12"/>
  <c r="AI8" i="12"/>
  <c r="AH8" i="12"/>
  <c r="AG8" i="12"/>
  <c r="AF8" i="12"/>
  <c r="AD8" i="12"/>
  <c r="Y8" i="12"/>
  <c r="W8" i="12"/>
  <c r="V8" i="12"/>
  <c r="U8" i="12"/>
  <c r="T8" i="12"/>
  <c r="AN7" i="12"/>
  <c r="AM7" i="12"/>
  <c r="AL7" i="12"/>
  <c r="AK7" i="12"/>
  <c r="AJ7" i="12"/>
  <c r="AI7" i="12"/>
  <c r="AH7" i="12"/>
  <c r="AG7" i="12"/>
  <c r="AF7" i="12"/>
  <c r="AD7" i="12"/>
  <c r="Y7" i="12"/>
  <c r="W7" i="12"/>
  <c r="V7" i="12"/>
  <c r="U7" i="12"/>
  <c r="T7" i="12"/>
  <c r="AN6" i="12"/>
  <c r="AM6" i="12"/>
  <c r="AL6" i="12"/>
  <c r="AK6" i="12"/>
  <c r="AJ6" i="12"/>
  <c r="AI6" i="12"/>
  <c r="AH6" i="12"/>
  <c r="AG6" i="12"/>
  <c r="AF6" i="12"/>
  <c r="AD6" i="12"/>
  <c r="Y6" i="12"/>
  <c r="W6" i="12"/>
  <c r="V6" i="12"/>
  <c r="U6" i="12"/>
  <c r="T6" i="12"/>
  <c r="A6" i="12"/>
  <c r="AN5" i="12"/>
  <c r="AM5" i="12"/>
  <c r="AL5" i="12"/>
  <c r="AK5" i="12"/>
  <c r="AJ5" i="12"/>
  <c r="AI5" i="12"/>
  <c r="AH5" i="12"/>
  <c r="AG5" i="12"/>
  <c r="AF5" i="12"/>
  <c r="AD5" i="12"/>
  <c r="Y5" i="12"/>
  <c r="W5" i="12"/>
  <c r="V5" i="12"/>
  <c r="U5" i="12"/>
  <c r="T5" i="12"/>
  <c r="F1" i="12"/>
  <c r="AN24" i="6"/>
  <c r="AM24" i="6"/>
  <c r="AL24" i="6"/>
  <c r="AK24" i="6"/>
  <c r="AJ24" i="6"/>
  <c r="AI24" i="6"/>
  <c r="AH24" i="6"/>
  <c r="AG24" i="6"/>
  <c r="AF24" i="6"/>
  <c r="AE24" i="6"/>
  <c r="AD24" i="6"/>
  <c r="Y24" i="6"/>
  <c r="W24" i="6"/>
  <c r="V24" i="6"/>
  <c r="U24" i="6"/>
  <c r="T24" i="6"/>
  <c r="AN23" i="6"/>
  <c r="AM23" i="6"/>
  <c r="AL23" i="6"/>
  <c r="AK23" i="6"/>
  <c r="AJ23" i="6"/>
  <c r="AI23" i="6"/>
  <c r="AH23" i="6"/>
  <c r="AG23" i="6"/>
  <c r="AF23" i="6"/>
  <c r="AE23" i="6"/>
  <c r="AD23" i="6"/>
  <c r="Y23" i="6"/>
  <c r="W23" i="6"/>
  <c r="V23" i="6"/>
  <c r="U23" i="6"/>
  <c r="T23" i="6"/>
  <c r="AN22" i="6"/>
  <c r="AM22" i="6"/>
  <c r="AL22" i="6"/>
  <c r="AK22" i="6"/>
  <c r="AJ22" i="6"/>
  <c r="AI22" i="6"/>
  <c r="AH22" i="6"/>
  <c r="AG22" i="6"/>
  <c r="AF22" i="6"/>
  <c r="AE22" i="6"/>
  <c r="AD22" i="6"/>
  <c r="Y22" i="6"/>
  <c r="W22" i="6"/>
  <c r="V22" i="6"/>
  <c r="U22" i="6"/>
  <c r="T22" i="6"/>
  <c r="AN21" i="6"/>
  <c r="AM21" i="6"/>
  <c r="AL21" i="6"/>
  <c r="AK21" i="6"/>
  <c r="AJ21" i="6"/>
  <c r="AI21" i="6"/>
  <c r="AH21" i="6"/>
  <c r="AG21" i="6"/>
  <c r="AF21" i="6"/>
  <c r="AE21" i="6"/>
  <c r="AD21" i="6"/>
  <c r="Y21" i="6"/>
  <c r="W21" i="6"/>
  <c r="V21" i="6"/>
  <c r="U21" i="6"/>
  <c r="T21" i="6"/>
  <c r="AN20" i="6"/>
  <c r="AM20" i="6"/>
  <c r="AL20" i="6"/>
  <c r="AK20" i="6"/>
  <c r="AJ20" i="6"/>
  <c r="AI20" i="6"/>
  <c r="AH20" i="6"/>
  <c r="AG20" i="6"/>
  <c r="AF20" i="6"/>
  <c r="AE20" i="6"/>
  <c r="AD20" i="6"/>
  <c r="Y20" i="6"/>
  <c r="W20" i="6"/>
  <c r="V20" i="6"/>
  <c r="U20" i="6"/>
  <c r="T20" i="6"/>
  <c r="AN19" i="6"/>
  <c r="AM19" i="6"/>
  <c r="AL19" i="6"/>
  <c r="AK19" i="6"/>
  <c r="AJ19" i="6"/>
  <c r="AI19" i="6"/>
  <c r="AH19" i="6"/>
  <c r="AG19" i="6"/>
  <c r="AF19" i="6"/>
  <c r="AE19" i="6"/>
  <c r="AD19" i="6"/>
  <c r="Y19" i="6"/>
  <c r="W19" i="6"/>
  <c r="V19" i="6"/>
  <c r="U19" i="6"/>
  <c r="T19" i="6"/>
  <c r="AN18" i="6"/>
  <c r="AM18" i="6"/>
  <c r="AL18" i="6"/>
  <c r="AK18" i="6"/>
  <c r="AJ18" i="6"/>
  <c r="AI18" i="6"/>
  <c r="AH18" i="6"/>
  <c r="AG18" i="6"/>
  <c r="AF18" i="6"/>
  <c r="AE18" i="6"/>
  <c r="AD18" i="6"/>
  <c r="Y18" i="6"/>
  <c r="W18" i="6"/>
  <c r="V18" i="6"/>
  <c r="U18" i="6"/>
  <c r="T18" i="6"/>
  <c r="AN17" i="6"/>
  <c r="AM17" i="6"/>
  <c r="AL17" i="6"/>
  <c r="AK17" i="6"/>
  <c r="AJ17" i="6"/>
  <c r="AI17" i="6"/>
  <c r="AH17" i="6"/>
  <c r="AG17" i="6"/>
  <c r="AF17" i="6"/>
  <c r="AE17" i="6"/>
  <c r="AD17" i="6"/>
  <c r="Y17" i="6"/>
  <c r="W17" i="6"/>
  <c r="V17" i="6"/>
  <c r="U17" i="6"/>
  <c r="T17" i="6"/>
  <c r="AN16" i="6"/>
  <c r="AM16" i="6"/>
  <c r="AL16" i="6"/>
  <c r="AK16" i="6"/>
  <c r="AJ16" i="6"/>
  <c r="AI16" i="6"/>
  <c r="AH16" i="6"/>
  <c r="AG16" i="6"/>
  <c r="AF16" i="6"/>
  <c r="AE16" i="6"/>
  <c r="AD16" i="6"/>
  <c r="Y16" i="6"/>
  <c r="W16" i="6"/>
  <c r="V16" i="6"/>
  <c r="U16" i="6"/>
  <c r="T16" i="6"/>
  <c r="A16" i="6"/>
  <c r="AN15" i="6"/>
  <c r="AM15" i="6"/>
  <c r="AL15" i="6"/>
  <c r="AK15" i="6"/>
  <c r="AJ15" i="6"/>
  <c r="AI15" i="6"/>
  <c r="AH15" i="6"/>
  <c r="AG15" i="6"/>
  <c r="AF15" i="6"/>
  <c r="AE15" i="6"/>
  <c r="AD15" i="6"/>
  <c r="Y15" i="6"/>
  <c r="W15" i="6"/>
  <c r="V15" i="6"/>
  <c r="U15" i="6"/>
  <c r="T15" i="6"/>
  <c r="AN14" i="6"/>
  <c r="AM14" i="6"/>
  <c r="AL14" i="6"/>
  <c r="AK14" i="6"/>
  <c r="AJ14" i="6"/>
  <c r="AI14" i="6"/>
  <c r="AH14" i="6"/>
  <c r="AG14" i="6"/>
  <c r="AF14" i="6"/>
  <c r="AE14" i="6"/>
  <c r="AD14" i="6"/>
  <c r="Y14" i="6"/>
  <c r="W14" i="6"/>
  <c r="V14" i="6"/>
  <c r="U14" i="6"/>
  <c r="T14" i="6"/>
  <c r="A14" i="6"/>
  <c r="AN13" i="6"/>
  <c r="AM13" i="6"/>
  <c r="AL13" i="6"/>
  <c r="AK13" i="6"/>
  <c r="AJ13" i="6"/>
  <c r="AI13" i="6"/>
  <c r="AH13" i="6"/>
  <c r="AG13" i="6"/>
  <c r="AF13" i="6"/>
  <c r="AE13" i="6"/>
  <c r="AD13" i="6"/>
  <c r="Y13" i="6"/>
  <c r="W13" i="6"/>
  <c r="V13" i="6"/>
  <c r="U13" i="6"/>
  <c r="T13" i="6"/>
  <c r="AN12" i="6"/>
  <c r="AM12" i="6"/>
  <c r="AL12" i="6"/>
  <c r="AK12" i="6"/>
  <c r="AJ12" i="6"/>
  <c r="AI12" i="6"/>
  <c r="AH12" i="6"/>
  <c r="AG12" i="6"/>
  <c r="AF12" i="6"/>
  <c r="AE12" i="6"/>
  <c r="AD12" i="6"/>
  <c r="Y12" i="6"/>
  <c r="W12" i="6"/>
  <c r="V12" i="6"/>
  <c r="U12" i="6"/>
  <c r="T12" i="6"/>
  <c r="A12" i="6"/>
  <c r="AN11" i="6"/>
  <c r="AM11" i="6"/>
  <c r="AL11" i="6"/>
  <c r="AK11" i="6"/>
  <c r="AJ11" i="6"/>
  <c r="AI11" i="6"/>
  <c r="AH11" i="6"/>
  <c r="AG11" i="6"/>
  <c r="AF11" i="6"/>
  <c r="AE11" i="6"/>
  <c r="AD11" i="6"/>
  <c r="Y11" i="6"/>
  <c r="W11" i="6"/>
  <c r="V11" i="6"/>
  <c r="U11" i="6"/>
  <c r="T11" i="6"/>
  <c r="AN10" i="6"/>
  <c r="AM10" i="6"/>
  <c r="AL10" i="6"/>
  <c r="AK10" i="6"/>
  <c r="AJ10" i="6"/>
  <c r="AI10" i="6"/>
  <c r="AH10" i="6"/>
  <c r="AG10" i="6"/>
  <c r="AF10" i="6"/>
  <c r="AE10" i="6"/>
  <c r="AD10" i="6"/>
  <c r="Y10" i="6"/>
  <c r="W10" i="6"/>
  <c r="V10" i="6"/>
  <c r="U10" i="6"/>
  <c r="T10" i="6"/>
  <c r="A10" i="6"/>
  <c r="AN9" i="6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U9" i="6"/>
  <c r="T9" i="6"/>
  <c r="AN8" i="6"/>
  <c r="AM8" i="6"/>
  <c r="AL8" i="6"/>
  <c r="AK8" i="6"/>
  <c r="AJ8" i="6"/>
  <c r="AI8" i="6"/>
  <c r="AH8" i="6"/>
  <c r="AG8" i="6"/>
  <c r="AF8" i="6"/>
  <c r="AD8" i="6"/>
  <c r="Y8" i="6"/>
  <c r="W8" i="6"/>
  <c r="V8" i="6"/>
  <c r="U8" i="6"/>
  <c r="T8" i="6"/>
  <c r="AN7" i="6"/>
  <c r="AM7" i="6"/>
  <c r="AL7" i="6"/>
  <c r="AK7" i="6"/>
  <c r="AJ7" i="6"/>
  <c r="AI7" i="6"/>
  <c r="AH7" i="6"/>
  <c r="AG7" i="6"/>
  <c r="AF7" i="6"/>
  <c r="AD7" i="6"/>
  <c r="Y7" i="6"/>
  <c r="W7" i="6"/>
  <c r="V7" i="6"/>
  <c r="U7" i="6"/>
  <c r="T7" i="6"/>
  <c r="AN6" i="6"/>
  <c r="AM6" i="6"/>
  <c r="AL6" i="6"/>
  <c r="AK6" i="6"/>
  <c r="AJ6" i="6"/>
  <c r="AI6" i="6"/>
  <c r="AH6" i="6"/>
  <c r="AG6" i="6"/>
  <c r="AF6" i="6"/>
  <c r="AD6" i="6"/>
  <c r="Y6" i="6"/>
  <c r="W6" i="6"/>
  <c r="V6" i="6"/>
  <c r="U6" i="6"/>
  <c r="T6" i="6"/>
  <c r="A6" i="6"/>
  <c r="AN5" i="6"/>
  <c r="AM5" i="6"/>
  <c r="AL5" i="6"/>
  <c r="AK5" i="6"/>
  <c r="AJ5" i="6"/>
  <c r="AI5" i="6"/>
  <c r="AH5" i="6"/>
  <c r="AG5" i="6"/>
  <c r="AF5" i="6"/>
  <c r="AD5" i="6"/>
  <c r="Y5" i="6"/>
  <c r="W5" i="6"/>
  <c r="V5" i="6"/>
  <c r="U5" i="6"/>
  <c r="T5" i="6"/>
  <c r="F1" i="6"/>
  <c r="AN52" i="5"/>
  <c r="AM52" i="5"/>
  <c r="AL52" i="5"/>
  <c r="AK52" i="5"/>
  <c r="AJ52" i="5"/>
  <c r="AI52" i="5"/>
  <c r="AH52" i="5"/>
  <c r="AG52" i="5"/>
  <c r="AF52" i="5"/>
  <c r="AE52" i="5"/>
  <c r="AD52" i="5"/>
  <c r="Y52" i="5"/>
  <c r="W52" i="5"/>
  <c r="V52" i="5"/>
  <c r="U52" i="5"/>
  <c r="T52" i="5"/>
  <c r="AN51" i="5"/>
  <c r="AM51" i="5"/>
  <c r="AL51" i="5"/>
  <c r="AK51" i="5"/>
  <c r="AJ51" i="5"/>
  <c r="AI51" i="5"/>
  <c r="AH51" i="5"/>
  <c r="AG51" i="5"/>
  <c r="AF51" i="5"/>
  <c r="AE51" i="5"/>
  <c r="AD51" i="5"/>
  <c r="Y51" i="5"/>
  <c r="W51" i="5"/>
  <c r="V51" i="5"/>
  <c r="U51" i="5"/>
  <c r="T51" i="5"/>
  <c r="AN50" i="5"/>
  <c r="AM50" i="5"/>
  <c r="AL50" i="5"/>
  <c r="AK50" i="5"/>
  <c r="AJ50" i="5"/>
  <c r="AI50" i="5"/>
  <c r="AH50" i="5"/>
  <c r="AG50" i="5"/>
  <c r="AF50" i="5"/>
  <c r="AE50" i="5"/>
  <c r="AD50" i="5"/>
  <c r="Y50" i="5"/>
  <c r="W50" i="5"/>
  <c r="V50" i="5"/>
  <c r="U50" i="5"/>
  <c r="T50" i="5"/>
  <c r="AN49" i="5"/>
  <c r="AM49" i="5"/>
  <c r="AL49" i="5"/>
  <c r="AK49" i="5"/>
  <c r="AJ49" i="5"/>
  <c r="AI49" i="5"/>
  <c r="AH49" i="5"/>
  <c r="AG49" i="5"/>
  <c r="AF49" i="5"/>
  <c r="AE49" i="5"/>
  <c r="AD49" i="5"/>
  <c r="Y49" i="5"/>
  <c r="W49" i="5"/>
  <c r="V49" i="5"/>
  <c r="U49" i="5"/>
  <c r="T49" i="5"/>
  <c r="AN48" i="5"/>
  <c r="AM48" i="5"/>
  <c r="AL48" i="5"/>
  <c r="AK48" i="5"/>
  <c r="AJ48" i="5"/>
  <c r="AI48" i="5"/>
  <c r="AH48" i="5"/>
  <c r="AG48" i="5"/>
  <c r="AF48" i="5"/>
  <c r="AE48" i="5"/>
  <c r="AD48" i="5"/>
  <c r="Y48" i="5"/>
  <c r="W48" i="5"/>
  <c r="V48" i="5"/>
  <c r="U48" i="5"/>
  <c r="T48" i="5"/>
  <c r="AN47" i="5"/>
  <c r="AM47" i="5"/>
  <c r="AL47" i="5"/>
  <c r="AK47" i="5"/>
  <c r="AJ47" i="5"/>
  <c r="AI47" i="5"/>
  <c r="AH47" i="5"/>
  <c r="AG47" i="5"/>
  <c r="AF47" i="5"/>
  <c r="AE47" i="5"/>
  <c r="AD47" i="5"/>
  <c r="Y47" i="5"/>
  <c r="W47" i="5"/>
  <c r="V47" i="5"/>
  <c r="U47" i="5"/>
  <c r="T47" i="5"/>
  <c r="AN46" i="5"/>
  <c r="AM46" i="5"/>
  <c r="AL46" i="5"/>
  <c r="AK46" i="5"/>
  <c r="AJ46" i="5"/>
  <c r="AI46" i="5"/>
  <c r="AH46" i="5"/>
  <c r="AG46" i="5"/>
  <c r="AF46" i="5"/>
  <c r="AE46" i="5"/>
  <c r="AD46" i="5"/>
  <c r="Y46" i="5"/>
  <c r="W46" i="5"/>
  <c r="V46" i="5"/>
  <c r="U46" i="5"/>
  <c r="T46" i="5"/>
  <c r="AN45" i="5"/>
  <c r="AM45" i="5"/>
  <c r="AL45" i="5"/>
  <c r="AK45" i="5"/>
  <c r="AJ45" i="5"/>
  <c r="AI45" i="5"/>
  <c r="AH45" i="5"/>
  <c r="AG45" i="5"/>
  <c r="AF45" i="5"/>
  <c r="AE45" i="5"/>
  <c r="AD45" i="5"/>
  <c r="Y45" i="5"/>
  <c r="W45" i="5"/>
  <c r="V45" i="5"/>
  <c r="U45" i="5"/>
  <c r="T45" i="5"/>
  <c r="AN44" i="5"/>
  <c r="AM44" i="5"/>
  <c r="AL44" i="5"/>
  <c r="AK44" i="5"/>
  <c r="AJ44" i="5"/>
  <c r="AI44" i="5"/>
  <c r="AH44" i="5"/>
  <c r="AG44" i="5"/>
  <c r="AF44" i="5"/>
  <c r="AE44" i="5"/>
  <c r="AD44" i="5"/>
  <c r="Y44" i="5"/>
  <c r="W44" i="5"/>
  <c r="V44" i="5"/>
  <c r="U44" i="5"/>
  <c r="T44" i="5"/>
  <c r="AN43" i="5"/>
  <c r="AM43" i="5"/>
  <c r="AL43" i="5"/>
  <c r="AK43" i="5"/>
  <c r="AJ43" i="5"/>
  <c r="AI43" i="5"/>
  <c r="AH43" i="5"/>
  <c r="AG43" i="5"/>
  <c r="AF43" i="5"/>
  <c r="AE43" i="5"/>
  <c r="AD43" i="5"/>
  <c r="Y43" i="5"/>
  <c r="W43" i="5"/>
  <c r="V43" i="5"/>
  <c r="U43" i="5"/>
  <c r="T43" i="5"/>
  <c r="AN42" i="5"/>
  <c r="AM42" i="5"/>
  <c r="AL42" i="5"/>
  <c r="AK42" i="5"/>
  <c r="AJ42" i="5"/>
  <c r="AI42" i="5"/>
  <c r="AH42" i="5"/>
  <c r="AG42" i="5"/>
  <c r="AF42" i="5"/>
  <c r="AE42" i="5"/>
  <c r="AD42" i="5"/>
  <c r="Y42" i="5"/>
  <c r="W42" i="5"/>
  <c r="V42" i="5"/>
  <c r="U42" i="5"/>
  <c r="T42" i="5"/>
  <c r="AN41" i="5"/>
  <c r="AM41" i="5"/>
  <c r="AL41" i="5"/>
  <c r="AK41" i="5"/>
  <c r="AJ41" i="5"/>
  <c r="AI41" i="5"/>
  <c r="AH41" i="5"/>
  <c r="AG41" i="5"/>
  <c r="AF41" i="5"/>
  <c r="AE41" i="5"/>
  <c r="AD41" i="5"/>
  <c r="Y41" i="5"/>
  <c r="W41" i="5"/>
  <c r="V41" i="5"/>
  <c r="U41" i="5"/>
  <c r="T41" i="5"/>
  <c r="AN40" i="5"/>
  <c r="AM40" i="5"/>
  <c r="AL40" i="5"/>
  <c r="AK40" i="5"/>
  <c r="AJ40" i="5"/>
  <c r="AI40" i="5"/>
  <c r="AH40" i="5"/>
  <c r="AG40" i="5"/>
  <c r="AF40" i="5"/>
  <c r="AE40" i="5"/>
  <c r="AD40" i="5"/>
  <c r="Y40" i="5"/>
  <c r="W40" i="5"/>
  <c r="V40" i="5"/>
  <c r="U40" i="5"/>
  <c r="T40" i="5"/>
  <c r="AN39" i="5"/>
  <c r="AM39" i="5"/>
  <c r="AL39" i="5"/>
  <c r="AK39" i="5"/>
  <c r="AJ39" i="5"/>
  <c r="AI39" i="5"/>
  <c r="AH39" i="5"/>
  <c r="AG39" i="5"/>
  <c r="AF39" i="5"/>
  <c r="AE39" i="5"/>
  <c r="AD39" i="5"/>
  <c r="Y39" i="5"/>
  <c r="W39" i="5"/>
  <c r="V39" i="5"/>
  <c r="U39" i="5"/>
  <c r="T39" i="5"/>
  <c r="AN38" i="5"/>
  <c r="AM38" i="5"/>
  <c r="AL38" i="5"/>
  <c r="AK38" i="5"/>
  <c r="AJ38" i="5"/>
  <c r="AI38" i="5"/>
  <c r="AH38" i="5"/>
  <c r="AG38" i="5"/>
  <c r="AF38" i="5"/>
  <c r="AE38" i="5"/>
  <c r="AD38" i="5"/>
  <c r="Y38" i="5"/>
  <c r="W38" i="5"/>
  <c r="V38" i="5"/>
  <c r="U38" i="5"/>
  <c r="T38" i="5"/>
  <c r="AN37" i="5"/>
  <c r="AM37" i="5"/>
  <c r="AL37" i="5"/>
  <c r="AK37" i="5"/>
  <c r="AJ37" i="5"/>
  <c r="AI37" i="5"/>
  <c r="AH37" i="5"/>
  <c r="AG37" i="5"/>
  <c r="AF37" i="5"/>
  <c r="AE37" i="5"/>
  <c r="AD37" i="5"/>
  <c r="Y37" i="5"/>
  <c r="W37" i="5"/>
  <c r="V37" i="5"/>
  <c r="U37" i="5"/>
  <c r="T37" i="5"/>
  <c r="AN36" i="5"/>
  <c r="AM36" i="5"/>
  <c r="AL36" i="5"/>
  <c r="AK36" i="5"/>
  <c r="AJ36" i="5"/>
  <c r="AI36" i="5"/>
  <c r="AH36" i="5"/>
  <c r="AG36" i="5"/>
  <c r="AF36" i="5"/>
  <c r="AE36" i="5"/>
  <c r="AD36" i="5"/>
  <c r="Y36" i="5"/>
  <c r="W36" i="5"/>
  <c r="V36" i="5"/>
  <c r="U36" i="5"/>
  <c r="T36" i="5"/>
  <c r="AN35" i="5"/>
  <c r="AM35" i="5"/>
  <c r="AL35" i="5"/>
  <c r="AK35" i="5"/>
  <c r="AJ35" i="5"/>
  <c r="AI35" i="5"/>
  <c r="AH35" i="5"/>
  <c r="AG35" i="5"/>
  <c r="AF35" i="5"/>
  <c r="AE35" i="5"/>
  <c r="AD35" i="5"/>
  <c r="Y35" i="5"/>
  <c r="W35" i="5"/>
  <c r="V35" i="5"/>
  <c r="U35" i="5"/>
  <c r="T35" i="5"/>
  <c r="AN34" i="5"/>
  <c r="AM34" i="5"/>
  <c r="AL34" i="5"/>
  <c r="AK34" i="5"/>
  <c r="AJ34" i="5"/>
  <c r="AI34" i="5"/>
  <c r="AH34" i="5"/>
  <c r="AG34" i="5"/>
  <c r="AF34" i="5"/>
  <c r="AE34" i="5"/>
  <c r="AD34" i="5"/>
  <c r="Y34" i="5"/>
  <c r="W34" i="5"/>
  <c r="V34" i="5"/>
  <c r="U34" i="5"/>
  <c r="T34" i="5"/>
  <c r="AN33" i="5"/>
  <c r="AM33" i="5"/>
  <c r="AL33" i="5"/>
  <c r="AK33" i="5"/>
  <c r="AJ33" i="5"/>
  <c r="AI33" i="5"/>
  <c r="AH33" i="5"/>
  <c r="AG33" i="5"/>
  <c r="AF33" i="5"/>
  <c r="AE33" i="5"/>
  <c r="AD33" i="5"/>
  <c r="Y33" i="5"/>
  <c r="W33" i="5"/>
  <c r="V33" i="5"/>
  <c r="U33" i="5"/>
  <c r="T33" i="5"/>
  <c r="AN32" i="5"/>
  <c r="AM32" i="5"/>
  <c r="AL32" i="5"/>
  <c r="AK32" i="5"/>
  <c r="AJ32" i="5"/>
  <c r="AI32" i="5"/>
  <c r="AH32" i="5"/>
  <c r="AG32" i="5"/>
  <c r="AF32" i="5"/>
  <c r="AE32" i="5"/>
  <c r="AD32" i="5"/>
  <c r="Y32" i="5"/>
  <c r="W32" i="5"/>
  <c r="V32" i="5"/>
  <c r="U32" i="5"/>
  <c r="T32" i="5"/>
  <c r="AN31" i="5"/>
  <c r="AM31" i="5"/>
  <c r="AL31" i="5"/>
  <c r="AK31" i="5"/>
  <c r="AJ31" i="5"/>
  <c r="AI31" i="5"/>
  <c r="AH31" i="5"/>
  <c r="AG31" i="5"/>
  <c r="AF31" i="5"/>
  <c r="AE31" i="5"/>
  <c r="AD31" i="5"/>
  <c r="Y31" i="5"/>
  <c r="W31" i="5"/>
  <c r="V31" i="5"/>
  <c r="U31" i="5"/>
  <c r="T31" i="5"/>
  <c r="AN30" i="5"/>
  <c r="AM30" i="5"/>
  <c r="AL30" i="5"/>
  <c r="AK30" i="5"/>
  <c r="AJ30" i="5"/>
  <c r="AI30" i="5"/>
  <c r="AH30" i="5"/>
  <c r="AG30" i="5"/>
  <c r="AF30" i="5"/>
  <c r="AE30" i="5"/>
  <c r="AD30" i="5"/>
  <c r="Y30" i="5"/>
  <c r="W30" i="5"/>
  <c r="V30" i="5"/>
  <c r="U30" i="5"/>
  <c r="T30" i="5"/>
  <c r="AN29" i="5"/>
  <c r="AM29" i="5"/>
  <c r="AL29" i="5"/>
  <c r="AK29" i="5"/>
  <c r="AJ29" i="5"/>
  <c r="AI29" i="5"/>
  <c r="AH29" i="5"/>
  <c r="AG29" i="5"/>
  <c r="AF29" i="5"/>
  <c r="AE29" i="5"/>
  <c r="AD29" i="5"/>
  <c r="Y29" i="5"/>
  <c r="W29" i="5"/>
  <c r="V29" i="5"/>
  <c r="U29" i="5"/>
  <c r="T29" i="5"/>
  <c r="AN28" i="5"/>
  <c r="AM28" i="5"/>
  <c r="AL28" i="5"/>
  <c r="AK28" i="5"/>
  <c r="AJ28" i="5"/>
  <c r="AI28" i="5"/>
  <c r="AH28" i="5"/>
  <c r="AG28" i="5"/>
  <c r="AF28" i="5"/>
  <c r="AE28" i="5"/>
  <c r="AD28" i="5"/>
  <c r="Y28" i="5"/>
  <c r="W28" i="5"/>
  <c r="V28" i="5"/>
  <c r="U28" i="5"/>
  <c r="T28" i="5"/>
  <c r="AN27" i="5"/>
  <c r="AM27" i="5"/>
  <c r="AL27" i="5"/>
  <c r="AK27" i="5"/>
  <c r="AJ27" i="5"/>
  <c r="AI27" i="5"/>
  <c r="AH27" i="5"/>
  <c r="AG27" i="5"/>
  <c r="AF27" i="5"/>
  <c r="AE27" i="5"/>
  <c r="AD27" i="5"/>
  <c r="Y27" i="5"/>
  <c r="W27" i="5"/>
  <c r="V27" i="5"/>
  <c r="U27" i="5"/>
  <c r="T27" i="5"/>
  <c r="AN26" i="5"/>
  <c r="AM26" i="5"/>
  <c r="AL26" i="5"/>
  <c r="AK26" i="5"/>
  <c r="AJ26" i="5"/>
  <c r="AI26" i="5"/>
  <c r="AH26" i="5"/>
  <c r="AG26" i="5"/>
  <c r="AF26" i="5"/>
  <c r="AE26" i="5"/>
  <c r="AD26" i="5"/>
  <c r="Y26" i="5"/>
  <c r="W26" i="5"/>
  <c r="V26" i="5"/>
  <c r="U26" i="5"/>
  <c r="T26" i="5"/>
  <c r="AN25" i="5"/>
  <c r="AM25" i="5"/>
  <c r="AL25" i="5"/>
  <c r="AK25" i="5"/>
  <c r="AJ25" i="5"/>
  <c r="AI25" i="5"/>
  <c r="AH25" i="5"/>
  <c r="AG25" i="5"/>
  <c r="AF25" i="5"/>
  <c r="AE25" i="5"/>
  <c r="AD25" i="5"/>
  <c r="Y25" i="5"/>
  <c r="W25" i="5"/>
  <c r="V25" i="5"/>
  <c r="U25" i="5"/>
  <c r="T25" i="5"/>
  <c r="AN24" i="5"/>
  <c r="AM24" i="5"/>
  <c r="AL24" i="5"/>
  <c r="AK24" i="5"/>
  <c r="AJ24" i="5"/>
  <c r="AI24" i="5"/>
  <c r="AH24" i="5"/>
  <c r="AG24" i="5"/>
  <c r="AF24" i="5"/>
  <c r="AE24" i="5"/>
  <c r="AD24" i="5"/>
  <c r="Y24" i="5"/>
  <c r="W24" i="5"/>
  <c r="V24" i="5"/>
  <c r="U24" i="5"/>
  <c r="T24" i="5"/>
  <c r="AN23" i="5"/>
  <c r="AM23" i="5"/>
  <c r="AL23" i="5"/>
  <c r="AK23" i="5"/>
  <c r="AJ23" i="5"/>
  <c r="AI23" i="5"/>
  <c r="AH23" i="5"/>
  <c r="AG23" i="5"/>
  <c r="AF23" i="5"/>
  <c r="AE23" i="5"/>
  <c r="AD23" i="5"/>
  <c r="Y23" i="5"/>
  <c r="W23" i="5"/>
  <c r="V23" i="5"/>
  <c r="U23" i="5"/>
  <c r="T23" i="5"/>
  <c r="AN22" i="5"/>
  <c r="AM22" i="5"/>
  <c r="AL22" i="5"/>
  <c r="AK22" i="5"/>
  <c r="AJ22" i="5"/>
  <c r="AI22" i="5"/>
  <c r="AH22" i="5"/>
  <c r="AG22" i="5"/>
  <c r="AF22" i="5"/>
  <c r="AE22" i="5"/>
  <c r="AD22" i="5"/>
  <c r="Y22" i="5"/>
  <c r="W22" i="5"/>
  <c r="V22" i="5"/>
  <c r="U22" i="5"/>
  <c r="T22" i="5"/>
  <c r="AN21" i="5"/>
  <c r="AM21" i="5"/>
  <c r="AL21" i="5"/>
  <c r="AK21" i="5"/>
  <c r="AJ21" i="5"/>
  <c r="AI21" i="5"/>
  <c r="AH21" i="5"/>
  <c r="AG21" i="5"/>
  <c r="AF21" i="5"/>
  <c r="AE21" i="5"/>
  <c r="AD21" i="5"/>
  <c r="Y21" i="5"/>
  <c r="W21" i="5"/>
  <c r="V21" i="5"/>
  <c r="U21" i="5"/>
  <c r="T21" i="5"/>
  <c r="AN20" i="5"/>
  <c r="AM20" i="5"/>
  <c r="AL20" i="5"/>
  <c r="AK20" i="5"/>
  <c r="AJ20" i="5"/>
  <c r="AI20" i="5"/>
  <c r="AH20" i="5"/>
  <c r="AG20" i="5"/>
  <c r="AF20" i="5"/>
  <c r="AE20" i="5"/>
  <c r="AD20" i="5"/>
  <c r="Y20" i="5"/>
  <c r="W20" i="5"/>
  <c r="V20" i="5"/>
  <c r="U20" i="5"/>
  <c r="T20" i="5"/>
  <c r="AN19" i="5"/>
  <c r="AM19" i="5"/>
  <c r="AL19" i="5"/>
  <c r="AK19" i="5"/>
  <c r="AJ19" i="5"/>
  <c r="AI19" i="5"/>
  <c r="AH19" i="5"/>
  <c r="AG19" i="5"/>
  <c r="AF19" i="5"/>
  <c r="AE19" i="5"/>
  <c r="AD19" i="5"/>
  <c r="Y19" i="5"/>
  <c r="W19" i="5"/>
  <c r="V19" i="5"/>
  <c r="U19" i="5"/>
  <c r="T19" i="5"/>
  <c r="AN18" i="5"/>
  <c r="AM18" i="5"/>
  <c r="AL18" i="5"/>
  <c r="AK18" i="5"/>
  <c r="AJ18" i="5"/>
  <c r="AI18" i="5"/>
  <c r="AH18" i="5"/>
  <c r="AG18" i="5"/>
  <c r="AF18" i="5"/>
  <c r="AE18" i="5"/>
  <c r="AD18" i="5"/>
  <c r="Y18" i="5"/>
  <c r="W18" i="5"/>
  <c r="V18" i="5"/>
  <c r="U18" i="5"/>
  <c r="T18" i="5"/>
  <c r="AN17" i="5"/>
  <c r="AM17" i="5"/>
  <c r="AL17" i="5"/>
  <c r="AK17" i="5"/>
  <c r="AJ17" i="5"/>
  <c r="AI17" i="5"/>
  <c r="AH17" i="5"/>
  <c r="AG17" i="5"/>
  <c r="AF17" i="5"/>
  <c r="AE17" i="5"/>
  <c r="AD17" i="5"/>
  <c r="Y17" i="5"/>
  <c r="W17" i="5"/>
  <c r="V17" i="5"/>
  <c r="U17" i="5"/>
  <c r="T17" i="5"/>
  <c r="AN16" i="5"/>
  <c r="AM16" i="5"/>
  <c r="AL16" i="5"/>
  <c r="AK16" i="5"/>
  <c r="AJ16" i="5"/>
  <c r="AI16" i="5"/>
  <c r="AH16" i="5"/>
  <c r="AG16" i="5"/>
  <c r="AF16" i="5"/>
  <c r="AE16" i="5"/>
  <c r="AD16" i="5"/>
  <c r="Y16" i="5"/>
  <c r="W16" i="5"/>
  <c r="V16" i="5"/>
  <c r="U16" i="5"/>
  <c r="T16" i="5"/>
  <c r="A16" i="5"/>
  <c r="AN15" i="5"/>
  <c r="AM15" i="5"/>
  <c r="AL15" i="5"/>
  <c r="AK15" i="5"/>
  <c r="AJ15" i="5"/>
  <c r="AI15" i="5"/>
  <c r="AH15" i="5"/>
  <c r="AG15" i="5"/>
  <c r="AF15" i="5"/>
  <c r="AE15" i="5"/>
  <c r="AD15" i="5"/>
  <c r="Y15" i="5"/>
  <c r="W15" i="5"/>
  <c r="V15" i="5"/>
  <c r="U15" i="5"/>
  <c r="T15" i="5"/>
  <c r="AN14" i="5"/>
  <c r="AM14" i="5"/>
  <c r="AL14" i="5"/>
  <c r="AK14" i="5"/>
  <c r="AJ14" i="5"/>
  <c r="AI14" i="5"/>
  <c r="AH14" i="5"/>
  <c r="AG14" i="5"/>
  <c r="AF14" i="5"/>
  <c r="AE14" i="5"/>
  <c r="AD14" i="5"/>
  <c r="Y14" i="5"/>
  <c r="W14" i="5"/>
  <c r="V14" i="5"/>
  <c r="U14" i="5"/>
  <c r="T14" i="5"/>
  <c r="A14" i="5"/>
  <c r="AN13" i="5"/>
  <c r="AM13" i="5"/>
  <c r="AL13" i="5"/>
  <c r="AK13" i="5"/>
  <c r="AJ13" i="5"/>
  <c r="AI13" i="5"/>
  <c r="AH13" i="5"/>
  <c r="AG13" i="5"/>
  <c r="AF13" i="5"/>
  <c r="AE13" i="5"/>
  <c r="AD13" i="5"/>
  <c r="Y13" i="5"/>
  <c r="W13" i="5"/>
  <c r="V13" i="5"/>
  <c r="U13" i="5"/>
  <c r="T13" i="5"/>
  <c r="AN12" i="5"/>
  <c r="AM12" i="5"/>
  <c r="AL12" i="5"/>
  <c r="AK12" i="5"/>
  <c r="AJ12" i="5"/>
  <c r="AI12" i="5"/>
  <c r="AH12" i="5"/>
  <c r="AG12" i="5"/>
  <c r="AF12" i="5"/>
  <c r="AE12" i="5"/>
  <c r="AD12" i="5"/>
  <c r="Y12" i="5"/>
  <c r="W12" i="5"/>
  <c r="V12" i="5"/>
  <c r="U12" i="5"/>
  <c r="T12" i="5"/>
  <c r="A12" i="5"/>
  <c r="AN11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U11" i="5"/>
  <c r="T11" i="5"/>
  <c r="AN10" i="5"/>
  <c r="AM10" i="5"/>
  <c r="AL10" i="5"/>
  <c r="AK10" i="5"/>
  <c r="AJ10" i="5"/>
  <c r="AI10" i="5"/>
  <c r="AH10" i="5"/>
  <c r="AG10" i="5"/>
  <c r="AF10" i="5"/>
  <c r="AE10" i="5"/>
  <c r="AD10" i="5"/>
  <c r="Y10" i="5"/>
  <c r="W10" i="5"/>
  <c r="V10" i="5"/>
  <c r="U10" i="5"/>
  <c r="T10" i="5"/>
  <c r="A10" i="5"/>
  <c r="AN9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U9" i="5"/>
  <c r="T9" i="5"/>
  <c r="AN8" i="5"/>
  <c r="AM8" i="5"/>
  <c r="AL8" i="5"/>
  <c r="AK8" i="5"/>
  <c r="AJ8" i="5"/>
  <c r="AI8" i="5"/>
  <c r="AH8" i="5"/>
  <c r="AG8" i="5"/>
  <c r="AF8" i="5"/>
  <c r="AD8" i="5"/>
  <c r="Y8" i="5"/>
  <c r="W8" i="5"/>
  <c r="V8" i="5"/>
  <c r="U8" i="5"/>
  <c r="T8" i="5"/>
  <c r="AN7" i="5"/>
  <c r="AM7" i="5"/>
  <c r="AL7" i="5"/>
  <c r="AK7" i="5"/>
  <c r="AJ7" i="5"/>
  <c r="AI7" i="5"/>
  <c r="AH7" i="5"/>
  <c r="AG7" i="5"/>
  <c r="AF7" i="5"/>
  <c r="AD7" i="5"/>
  <c r="Y7" i="5"/>
  <c r="W7" i="5"/>
  <c r="V7" i="5"/>
  <c r="U7" i="5"/>
  <c r="T7" i="5"/>
  <c r="AN6" i="5"/>
  <c r="AM6" i="5"/>
  <c r="AL6" i="5"/>
  <c r="AK6" i="5"/>
  <c r="AJ6" i="5"/>
  <c r="AI6" i="5"/>
  <c r="AH6" i="5"/>
  <c r="AG6" i="5"/>
  <c r="AF6" i="5"/>
  <c r="AD6" i="5"/>
  <c r="Y6" i="5"/>
  <c r="W6" i="5"/>
  <c r="V6" i="5"/>
  <c r="U6" i="5"/>
  <c r="T6" i="5"/>
  <c r="A6" i="5"/>
  <c r="AN5" i="5"/>
  <c r="AM5" i="5"/>
  <c r="AL5" i="5"/>
  <c r="AK5" i="5"/>
  <c r="AJ5" i="5"/>
  <c r="AI5" i="5"/>
  <c r="AH5" i="5"/>
  <c r="AG5" i="5"/>
  <c r="AF5" i="5"/>
  <c r="AD5" i="5"/>
  <c r="Y5" i="5"/>
  <c r="W5" i="5"/>
  <c r="V5" i="5"/>
  <c r="U5" i="5"/>
  <c r="T5" i="5"/>
  <c r="F1" i="5"/>
  <c r="AN24" i="3"/>
  <c r="AM24" i="3"/>
  <c r="AL24" i="3"/>
  <c r="AK24" i="3"/>
  <c r="AJ24" i="3"/>
  <c r="AI24" i="3"/>
  <c r="AH24" i="3"/>
  <c r="AG24" i="3"/>
  <c r="AF24" i="3"/>
  <c r="AE24" i="3"/>
  <c r="AD24" i="3"/>
  <c r="Y24" i="3"/>
  <c r="W24" i="3"/>
  <c r="V24" i="3"/>
  <c r="U24" i="3"/>
  <c r="T24" i="3"/>
  <c r="AN23" i="3"/>
  <c r="AM23" i="3"/>
  <c r="AL23" i="3"/>
  <c r="AK23" i="3"/>
  <c r="AJ23" i="3"/>
  <c r="AI23" i="3"/>
  <c r="AH23" i="3"/>
  <c r="AG23" i="3"/>
  <c r="AF23" i="3"/>
  <c r="AE23" i="3"/>
  <c r="AD23" i="3"/>
  <c r="Y23" i="3"/>
  <c r="W23" i="3"/>
  <c r="V23" i="3"/>
  <c r="U23" i="3"/>
  <c r="T23" i="3"/>
  <c r="AN22" i="3"/>
  <c r="AM22" i="3"/>
  <c r="AL22" i="3"/>
  <c r="AK22" i="3"/>
  <c r="AJ22" i="3"/>
  <c r="AI22" i="3"/>
  <c r="AH22" i="3"/>
  <c r="AG22" i="3"/>
  <c r="AF22" i="3"/>
  <c r="AE22" i="3"/>
  <c r="AD22" i="3"/>
  <c r="Y22" i="3"/>
  <c r="W22" i="3"/>
  <c r="V22" i="3"/>
  <c r="U22" i="3"/>
  <c r="T22" i="3"/>
  <c r="AN21" i="3"/>
  <c r="AM21" i="3"/>
  <c r="AL21" i="3"/>
  <c r="AK21" i="3"/>
  <c r="AJ21" i="3"/>
  <c r="AI21" i="3"/>
  <c r="AH21" i="3"/>
  <c r="AG21" i="3"/>
  <c r="AF21" i="3"/>
  <c r="AE21" i="3"/>
  <c r="AD21" i="3"/>
  <c r="Y21" i="3"/>
  <c r="W21" i="3"/>
  <c r="V21" i="3"/>
  <c r="U21" i="3"/>
  <c r="T21" i="3"/>
  <c r="AN20" i="3"/>
  <c r="AM20" i="3"/>
  <c r="AL20" i="3"/>
  <c r="AK20" i="3"/>
  <c r="AJ20" i="3"/>
  <c r="AI20" i="3"/>
  <c r="AH20" i="3"/>
  <c r="AG20" i="3"/>
  <c r="AF20" i="3"/>
  <c r="AE20" i="3"/>
  <c r="AD20" i="3"/>
  <c r="Y20" i="3"/>
  <c r="W20" i="3"/>
  <c r="V20" i="3"/>
  <c r="U20" i="3"/>
  <c r="T20" i="3"/>
  <c r="AN19" i="3"/>
  <c r="AM19" i="3"/>
  <c r="AL19" i="3"/>
  <c r="AK19" i="3"/>
  <c r="AJ19" i="3"/>
  <c r="AI19" i="3"/>
  <c r="AH19" i="3"/>
  <c r="AG19" i="3"/>
  <c r="AF19" i="3"/>
  <c r="AE19" i="3"/>
  <c r="AD19" i="3"/>
  <c r="Y19" i="3"/>
  <c r="W19" i="3"/>
  <c r="V19" i="3"/>
  <c r="U19" i="3"/>
  <c r="T19" i="3"/>
  <c r="AN18" i="3"/>
  <c r="AM18" i="3"/>
  <c r="AL18" i="3"/>
  <c r="AK18" i="3"/>
  <c r="AJ18" i="3"/>
  <c r="AI18" i="3"/>
  <c r="AH18" i="3"/>
  <c r="AG18" i="3"/>
  <c r="AF18" i="3"/>
  <c r="AE18" i="3"/>
  <c r="AD18" i="3"/>
  <c r="Y18" i="3"/>
  <c r="W18" i="3"/>
  <c r="V18" i="3"/>
  <c r="U18" i="3"/>
  <c r="T18" i="3"/>
  <c r="AN17" i="3"/>
  <c r="AM17" i="3"/>
  <c r="AL17" i="3"/>
  <c r="AK17" i="3"/>
  <c r="AJ17" i="3"/>
  <c r="AI17" i="3"/>
  <c r="AH17" i="3"/>
  <c r="AG17" i="3"/>
  <c r="AF17" i="3"/>
  <c r="AE17" i="3"/>
  <c r="AD17" i="3"/>
  <c r="Y17" i="3"/>
  <c r="W17" i="3"/>
  <c r="V17" i="3"/>
  <c r="U17" i="3"/>
  <c r="T17" i="3"/>
  <c r="AN16" i="3"/>
  <c r="AM16" i="3"/>
  <c r="AL16" i="3"/>
  <c r="AK16" i="3"/>
  <c r="AJ16" i="3"/>
  <c r="AI16" i="3"/>
  <c r="AH16" i="3"/>
  <c r="AG16" i="3"/>
  <c r="AF16" i="3"/>
  <c r="AE16" i="3"/>
  <c r="AD16" i="3"/>
  <c r="Y16" i="3"/>
  <c r="W16" i="3"/>
  <c r="V16" i="3"/>
  <c r="U16" i="3"/>
  <c r="T16" i="3"/>
  <c r="A16" i="3"/>
  <c r="AN15" i="3"/>
  <c r="AM15" i="3"/>
  <c r="AL15" i="3"/>
  <c r="AK15" i="3"/>
  <c r="AJ15" i="3"/>
  <c r="AI15" i="3"/>
  <c r="AH15" i="3"/>
  <c r="AG15" i="3"/>
  <c r="AF15" i="3"/>
  <c r="AE15" i="3"/>
  <c r="AD15" i="3"/>
  <c r="Y15" i="3"/>
  <c r="W15" i="3"/>
  <c r="V15" i="3"/>
  <c r="U15" i="3"/>
  <c r="T15" i="3"/>
  <c r="AN14" i="3"/>
  <c r="AM14" i="3"/>
  <c r="AL14" i="3"/>
  <c r="AK14" i="3"/>
  <c r="AJ14" i="3"/>
  <c r="AI14" i="3"/>
  <c r="AH14" i="3"/>
  <c r="AG14" i="3"/>
  <c r="AF14" i="3"/>
  <c r="AE14" i="3"/>
  <c r="AD14" i="3"/>
  <c r="Y14" i="3"/>
  <c r="W14" i="3"/>
  <c r="V14" i="3"/>
  <c r="U14" i="3"/>
  <c r="T14" i="3"/>
  <c r="A14" i="3"/>
  <c r="AN13" i="3"/>
  <c r="AM13" i="3"/>
  <c r="AL13" i="3"/>
  <c r="AK13" i="3"/>
  <c r="AJ13" i="3"/>
  <c r="AI13" i="3"/>
  <c r="AH13" i="3"/>
  <c r="AG13" i="3"/>
  <c r="AF13" i="3"/>
  <c r="AE13" i="3"/>
  <c r="AD13" i="3"/>
  <c r="Y13" i="3"/>
  <c r="W13" i="3"/>
  <c r="V13" i="3"/>
  <c r="U13" i="3"/>
  <c r="T13" i="3"/>
  <c r="AN12" i="3"/>
  <c r="AM12" i="3"/>
  <c r="AL12" i="3"/>
  <c r="AK12" i="3"/>
  <c r="AJ12" i="3"/>
  <c r="AI12" i="3"/>
  <c r="AH12" i="3"/>
  <c r="AG12" i="3"/>
  <c r="AF12" i="3"/>
  <c r="AE12" i="3"/>
  <c r="AD12" i="3"/>
  <c r="Y12" i="3"/>
  <c r="W12" i="3"/>
  <c r="V12" i="3"/>
  <c r="U12" i="3"/>
  <c r="T12" i="3"/>
  <c r="A12" i="3"/>
  <c r="AN11" i="3"/>
  <c r="AM11" i="3"/>
  <c r="AL11" i="3"/>
  <c r="AK11" i="3"/>
  <c r="AJ11" i="3"/>
  <c r="AI11" i="3"/>
  <c r="AH11" i="3"/>
  <c r="AG11" i="3"/>
  <c r="AF11" i="3"/>
  <c r="AE11" i="3"/>
  <c r="AD11" i="3"/>
  <c r="Y11" i="3"/>
  <c r="W11" i="3"/>
  <c r="V11" i="3"/>
  <c r="U11" i="3"/>
  <c r="T11" i="3"/>
  <c r="AN10" i="3"/>
  <c r="AM10" i="3"/>
  <c r="AL10" i="3"/>
  <c r="AK10" i="3"/>
  <c r="AJ10" i="3"/>
  <c r="AI10" i="3"/>
  <c r="AH10" i="3"/>
  <c r="AG10" i="3"/>
  <c r="AF10" i="3"/>
  <c r="AE10" i="3"/>
  <c r="AD10" i="3"/>
  <c r="Y10" i="3"/>
  <c r="W10" i="3"/>
  <c r="V10" i="3"/>
  <c r="U10" i="3"/>
  <c r="T10" i="3"/>
  <c r="A10" i="3"/>
  <c r="AN9" i="3"/>
  <c r="AM9" i="3"/>
  <c r="AL9" i="3"/>
  <c r="AK9" i="3"/>
  <c r="AJ9" i="3"/>
  <c r="AI9" i="3"/>
  <c r="AH9" i="3"/>
  <c r="AG9" i="3"/>
  <c r="AF9" i="3"/>
  <c r="AE9" i="3"/>
  <c r="AD9" i="3"/>
  <c r="Y9" i="3"/>
  <c r="W9" i="3"/>
  <c r="V9" i="3"/>
  <c r="U9" i="3"/>
  <c r="T9" i="3"/>
  <c r="AN8" i="3"/>
  <c r="AM8" i="3"/>
  <c r="AL8" i="3"/>
  <c r="AK8" i="3"/>
  <c r="AJ8" i="3"/>
  <c r="AI8" i="3"/>
  <c r="AH8" i="3"/>
  <c r="AG8" i="3"/>
  <c r="AF8" i="3"/>
  <c r="AD8" i="3"/>
  <c r="Y8" i="3"/>
  <c r="W8" i="3"/>
  <c r="V8" i="3"/>
  <c r="U8" i="3"/>
  <c r="T8" i="3"/>
  <c r="AN7" i="3"/>
  <c r="AM7" i="3"/>
  <c r="AL7" i="3"/>
  <c r="AK7" i="3"/>
  <c r="AJ7" i="3"/>
  <c r="AI7" i="3"/>
  <c r="AH7" i="3"/>
  <c r="AG7" i="3"/>
  <c r="AF7" i="3"/>
  <c r="AD7" i="3"/>
  <c r="Y7" i="3"/>
  <c r="W7" i="3"/>
  <c r="V7" i="3"/>
  <c r="U7" i="3"/>
  <c r="T7" i="3"/>
  <c r="AN6" i="3"/>
  <c r="AM6" i="3"/>
  <c r="AL6" i="3"/>
  <c r="AK6" i="3"/>
  <c r="AJ6" i="3"/>
  <c r="AI6" i="3"/>
  <c r="AH6" i="3"/>
  <c r="AG6" i="3"/>
  <c r="AF6" i="3"/>
  <c r="AD6" i="3"/>
  <c r="Y6" i="3"/>
  <c r="W6" i="3"/>
  <c r="V6" i="3"/>
  <c r="U6" i="3"/>
  <c r="T6" i="3"/>
  <c r="A6" i="3"/>
  <c r="AN5" i="3"/>
  <c r="AM5" i="3"/>
  <c r="AL5" i="3"/>
  <c r="AK5" i="3"/>
  <c r="AJ5" i="3"/>
  <c r="AI5" i="3"/>
  <c r="AH5" i="3"/>
  <c r="AG5" i="3"/>
  <c r="AF5" i="3"/>
  <c r="AD5" i="3"/>
  <c r="Y5" i="3"/>
  <c r="W5" i="3"/>
  <c r="V5" i="3"/>
  <c r="U5" i="3"/>
  <c r="T5" i="3"/>
  <c r="F1" i="3"/>
  <c r="AN233" i="65"/>
  <c r="AM233" i="65"/>
  <c r="AL233" i="65"/>
  <c r="AK233" i="65"/>
  <c r="AJ233" i="65"/>
  <c r="AI233" i="65"/>
  <c r="AH233" i="65"/>
  <c r="AG233" i="65"/>
  <c r="AF233" i="65"/>
  <c r="AE233" i="65"/>
  <c r="AD233" i="65"/>
  <c r="Y233" i="65"/>
  <c r="W233" i="65"/>
  <c r="V233" i="65"/>
  <c r="U233" i="65"/>
  <c r="T233" i="65"/>
  <c r="AN232" i="65"/>
  <c r="AM232" i="65"/>
  <c r="AL232" i="65"/>
  <c r="AK232" i="65"/>
  <c r="AJ232" i="65"/>
  <c r="AI232" i="65"/>
  <c r="AH232" i="65"/>
  <c r="AG232" i="65"/>
  <c r="AF232" i="65"/>
  <c r="AE232" i="65"/>
  <c r="AD232" i="65"/>
  <c r="Y232" i="65"/>
  <c r="W232" i="65"/>
  <c r="V232" i="65"/>
  <c r="U232" i="65"/>
  <c r="T232" i="65"/>
  <c r="AN231" i="65"/>
  <c r="AM231" i="65"/>
  <c r="AL231" i="65"/>
  <c r="AK231" i="65"/>
  <c r="AJ231" i="65"/>
  <c r="AI231" i="65"/>
  <c r="AH231" i="65"/>
  <c r="AG231" i="65"/>
  <c r="AF231" i="65"/>
  <c r="AE231" i="65"/>
  <c r="AD231" i="65"/>
  <c r="Y231" i="65"/>
  <c r="W231" i="65"/>
  <c r="V231" i="65"/>
  <c r="U231" i="65"/>
  <c r="T231" i="65"/>
  <c r="AN230" i="65"/>
  <c r="AM230" i="65"/>
  <c r="AL230" i="65"/>
  <c r="AK230" i="65"/>
  <c r="AJ230" i="65"/>
  <c r="AI230" i="65"/>
  <c r="AH230" i="65"/>
  <c r="AG230" i="65"/>
  <c r="AF230" i="65"/>
  <c r="AE230" i="65"/>
  <c r="AD230" i="65"/>
  <c r="Y230" i="65"/>
  <c r="W230" i="65"/>
  <c r="V230" i="65"/>
  <c r="U230" i="65"/>
  <c r="T230" i="65"/>
  <c r="AN229" i="65"/>
  <c r="AM229" i="65"/>
  <c r="AL229" i="65"/>
  <c r="AK229" i="65"/>
  <c r="AJ229" i="65"/>
  <c r="AI229" i="65"/>
  <c r="AH229" i="65"/>
  <c r="AG229" i="65"/>
  <c r="AF229" i="65"/>
  <c r="AE229" i="65"/>
  <c r="AD229" i="65"/>
  <c r="Y229" i="65"/>
  <c r="W229" i="65"/>
  <c r="V229" i="65"/>
  <c r="U229" i="65"/>
  <c r="T229" i="65"/>
  <c r="AN228" i="65"/>
  <c r="AM228" i="65"/>
  <c r="AL228" i="65"/>
  <c r="AK228" i="65"/>
  <c r="AJ228" i="65"/>
  <c r="AI228" i="65"/>
  <c r="AH228" i="65"/>
  <c r="AG228" i="65"/>
  <c r="AF228" i="65"/>
  <c r="AE228" i="65"/>
  <c r="AD228" i="65"/>
  <c r="Y228" i="65"/>
  <c r="W228" i="65"/>
  <c r="V228" i="65"/>
  <c r="U228" i="65"/>
  <c r="T228" i="65"/>
  <c r="AN227" i="65"/>
  <c r="AM227" i="65"/>
  <c r="AL227" i="65"/>
  <c r="AK227" i="65"/>
  <c r="AJ227" i="65"/>
  <c r="AI227" i="65"/>
  <c r="AH227" i="65"/>
  <c r="AG227" i="65"/>
  <c r="AF227" i="65"/>
  <c r="AE227" i="65"/>
  <c r="AD227" i="65"/>
  <c r="Y227" i="65"/>
  <c r="W227" i="65"/>
  <c r="V227" i="65"/>
  <c r="U227" i="65"/>
  <c r="T227" i="65"/>
  <c r="AN226" i="65"/>
  <c r="AM226" i="65"/>
  <c r="AL226" i="65"/>
  <c r="AK226" i="65"/>
  <c r="AJ226" i="65"/>
  <c r="AI226" i="65"/>
  <c r="AH226" i="65"/>
  <c r="AG226" i="65"/>
  <c r="AF226" i="65"/>
  <c r="AE226" i="65"/>
  <c r="AD226" i="65"/>
  <c r="Y226" i="65"/>
  <c r="W226" i="65"/>
  <c r="V226" i="65"/>
  <c r="U226" i="65"/>
  <c r="T226" i="65"/>
  <c r="AN225" i="65"/>
  <c r="AM225" i="65"/>
  <c r="AL225" i="65"/>
  <c r="AK225" i="65"/>
  <c r="AJ225" i="65"/>
  <c r="AI225" i="65"/>
  <c r="AH225" i="65"/>
  <c r="AG225" i="65"/>
  <c r="AF225" i="65"/>
  <c r="AE225" i="65"/>
  <c r="AD225" i="65"/>
  <c r="Y225" i="65"/>
  <c r="W225" i="65"/>
  <c r="V225" i="65"/>
  <c r="U225" i="65"/>
  <c r="T225" i="65"/>
  <c r="AN224" i="65"/>
  <c r="AM224" i="65"/>
  <c r="AL224" i="65"/>
  <c r="AK224" i="65"/>
  <c r="AJ224" i="65"/>
  <c r="AI224" i="65"/>
  <c r="AH224" i="65"/>
  <c r="AG224" i="65"/>
  <c r="AF224" i="65"/>
  <c r="AE224" i="65"/>
  <c r="AD224" i="65"/>
  <c r="Y224" i="65"/>
  <c r="W224" i="65"/>
  <c r="V224" i="65"/>
  <c r="U224" i="65"/>
  <c r="T224" i="65"/>
  <c r="AN223" i="65"/>
  <c r="AM223" i="65"/>
  <c r="AL223" i="65"/>
  <c r="AK223" i="65"/>
  <c r="AJ223" i="65"/>
  <c r="AI223" i="65"/>
  <c r="AH223" i="65"/>
  <c r="AG223" i="65"/>
  <c r="AF223" i="65"/>
  <c r="AE223" i="65"/>
  <c r="AD223" i="65"/>
  <c r="Y223" i="65"/>
  <c r="W223" i="65"/>
  <c r="V223" i="65"/>
  <c r="U223" i="65"/>
  <c r="T223" i="65"/>
  <c r="AN222" i="65"/>
  <c r="AM222" i="65"/>
  <c r="AL222" i="65"/>
  <c r="AK222" i="65"/>
  <c r="AJ222" i="65"/>
  <c r="AI222" i="65"/>
  <c r="AH222" i="65"/>
  <c r="AG222" i="65"/>
  <c r="AF222" i="65"/>
  <c r="AE222" i="65"/>
  <c r="AD222" i="65"/>
  <c r="Y222" i="65"/>
  <c r="W222" i="65"/>
  <c r="V222" i="65"/>
  <c r="U222" i="65"/>
  <c r="T222" i="65"/>
  <c r="AN221" i="65"/>
  <c r="AM221" i="65"/>
  <c r="AL221" i="65"/>
  <c r="AK221" i="65"/>
  <c r="AJ221" i="65"/>
  <c r="AI221" i="65"/>
  <c r="AH221" i="65"/>
  <c r="AG221" i="65"/>
  <c r="AF221" i="65"/>
  <c r="AE221" i="65"/>
  <c r="AD221" i="65"/>
  <c r="Y221" i="65"/>
  <c r="W221" i="65"/>
  <c r="V221" i="65"/>
  <c r="U221" i="65"/>
  <c r="T221" i="65"/>
  <c r="AN220" i="65"/>
  <c r="AM220" i="65"/>
  <c r="AL220" i="65"/>
  <c r="AK220" i="65"/>
  <c r="AJ220" i="65"/>
  <c r="AI220" i="65"/>
  <c r="AH220" i="65"/>
  <c r="AG220" i="65"/>
  <c r="AF220" i="65"/>
  <c r="AE220" i="65"/>
  <c r="AD220" i="65"/>
  <c r="Y220" i="65"/>
  <c r="W220" i="65"/>
  <c r="V220" i="65"/>
  <c r="U220" i="65"/>
  <c r="T220" i="65"/>
  <c r="AN219" i="65"/>
  <c r="AM219" i="65"/>
  <c r="AL219" i="65"/>
  <c r="AK219" i="65"/>
  <c r="AJ219" i="65"/>
  <c r="AI219" i="65"/>
  <c r="AH219" i="65"/>
  <c r="AG219" i="65"/>
  <c r="AF219" i="65"/>
  <c r="AE219" i="65"/>
  <c r="AD219" i="65"/>
  <c r="Y219" i="65"/>
  <c r="W219" i="65"/>
  <c r="V219" i="65"/>
  <c r="U219" i="65"/>
  <c r="T219" i="65"/>
  <c r="AN218" i="65"/>
  <c r="AM218" i="65"/>
  <c r="AL218" i="65"/>
  <c r="AK218" i="65"/>
  <c r="AJ218" i="65"/>
  <c r="AI218" i="65"/>
  <c r="AH218" i="65"/>
  <c r="AG218" i="65"/>
  <c r="AF218" i="65"/>
  <c r="AE218" i="65"/>
  <c r="AD218" i="65"/>
  <c r="Y218" i="65"/>
  <c r="W218" i="65"/>
  <c r="V218" i="65"/>
  <c r="U218" i="65"/>
  <c r="T218" i="65"/>
  <c r="AN217" i="65"/>
  <c r="AM217" i="65"/>
  <c r="AL217" i="65"/>
  <c r="AK217" i="65"/>
  <c r="AJ217" i="65"/>
  <c r="AI217" i="65"/>
  <c r="AH217" i="65"/>
  <c r="AG217" i="65"/>
  <c r="AF217" i="65"/>
  <c r="AE217" i="65"/>
  <c r="AD217" i="65"/>
  <c r="Y217" i="65"/>
  <c r="W217" i="65"/>
  <c r="V217" i="65"/>
  <c r="U217" i="65"/>
  <c r="T217" i="65"/>
  <c r="AN216" i="65"/>
  <c r="AM216" i="65"/>
  <c r="AL216" i="65"/>
  <c r="AK216" i="65"/>
  <c r="AJ216" i="65"/>
  <c r="AI216" i="65"/>
  <c r="AH216" i="65"/>
  <c r="AG216" i="65"/>
  <c r="AF216" i="65"/>
  <c r="AE216" i="65"/>
  <c r="AD216" i="65"/>
  <c r="Y216" i="65"/>
  <c r="W216" i="65"/>
  <c r="V216" i="65"/>
  <c r="U216" i="65"/>
  <c r="T216" i="65"/>
  <c r="AN215" i="65"/>
  <c r="AM215" i="65"/>
  <c r="AL215" i="65"/>
  <c r="AK215" i="65"/>
  <c r="AJ215" i="65"/>
  <c r="AI215" i="65"/>
  <c r="AH215" i="65"/>
  <c r="AG215" i="65"/>
  <c r="AF215" i="65"/>
  <c r="AE215" i="65"/>
  <c r="AD215" i="65"/>
  <c r="Y215" i="65"/>
  <c r="W215" i="65"/>
  <c r="V215" i="65"/>
  <c r="U215" i="65"/>
  <c r="T215" i="65"/>
  <c r="AN214" i="65"/>
  <c r="AM214" i="65"/>
  <c r="AL214" i="65"/>
  <c r="AK214" i="65"/>
  <c r="AJ214" i="65"/>
  <c r="AI214" i="65"/>
  <c r="AH214" i="65"/>
  <c r="AG214" i="65"/>
  <c r="AF214" i="65"/>
  <c r="AE214" i="65"/>
  <c r="AD214" i="65"/>
  <c r="Y214" i="65"/>
  <c r="W214" i="65"/>
  <c r="V214" i="65"/>
  <c r="U214" i="65"/>
  <c r="T214" i="65"/>
  <c r="AN213" i="65"/>
  <c r="AM213" i="65"/>
  <c r="AL213" i="65"/>
  <c r="AK213" i="65"/>
  <c r="AJ213" i="65"/>
  <c r="AI213" i="65"/>
  <c r="AH213" i="65"/>
  <c r="AG213" i="65"/>
  <c r="AF213" i="65"/>
  <c r="AE213" i="65"/>
  <c r="AD213" i="65"/>
  <c r="Y213" i="65"/>
  <c r="W213" i="65"/>
  <c r="V213" i="65"/>
  <c r="U213" i="65"/>
  <c r="T213" i="65"/>
  <c r="AN212" i="65"/>
  <c r="AM212" i="65"/>
  <c r="AL212" i="65"/>
  <c r="AK212" i="65"/>
  <c r="AJ212" i="65"/>
  <c r="AI212" i="65"/>
  <c r="AH212" i="65"/>
  <c r="AG212" i="65"/>
  <c r="AF212" i="65"/>
  <c r="AE212" i="65"/>
  <c r="AD212" i="65"/>
  <c r="Y212" i="65"/>
  <c r="W212" i="65"/>
  <c r="V212" i="65"/>
  <c r="U212" i="65"/>
  <c r="T212" i="65"/>
  <c r="AN211" i="65"/>
  <c r="AM211" i="65"/>
  <c r="AL211" i="65"/>
  <c r="AK211" i="65"/>
  <c r="AJ211" i="65"/>
  <c r="AI211" i="65"/>
  <c r="AH211" i="65"/>
  <c r="AG211" i="65"/>
  <c r="AF211" i="65"/>
  <c r="AE211" i="65"/>
  <c r="AD211" i="65"/>
  <c r="Y211" i="65"/>
  <c r="W211" i="65"/>
  <c r="V211" i="65"/>
  <c r="U211" i="65"/>
  <c r="T211" i="65"/>
  <c r="AN210" i="65"/>
  <c r="AM210" i="65"/>
  <c r="AL210" i="65"/>
  <c r="AK210" i="65"/>
  <c r="AJ210" i="65"/>
  <c r="AI210" i="65"/>
  <c r="AH210" i="65"/>
  <c r="AG210" i="65"/>
  <c r="AF210" i="65"/>
  <c r="AE210" i="65"/>
  <c r="AD210" i="65"/>
  <c r="Y210" i="65"/>
  <c r="W210" i="65"/>
  <c r="V210" i="65"/>
  <c r="U210" i="65"/>
  <c r="T210" i="65"/>
  <c r="AN209" i="65"/>
  <c r="AM209" i="65"/>
  <c r="AL209" i="65"/>
  <c r="AK209" i="65"/>
  <c r="AJ209" i="65"/>
  <c r="AI209" i="65"/>
  <c r="AH209" i="65"/>
  <c r="AG209" i="65"/>
  <c r="AF209" i="65"/>
  <c r="AE209" i="65"/>
  <c r="AD209" i="65"/>
  <c r="Y209" i="65"/>
  <c r="W209" i="65"/>
  <c r="V209" i="65"/>
  <c r="U209" i="65"/>
  <c r="T209" i="65"/>
  <c r="AN208" i="65"/>
  <c r="AM208" i="65"/>
  <c r="AL208" i="65"/>
  <c r="AK208" i="65"/>
  <c r="AJ208" i="65"/>
  <c r="AI208" i="65"/>
  <c r="AH208" i="65"/>
  <c r="AG208" i="65"/>
  <c r="AF208" i="65"/>
  <c r="AE208" i="65"/>
  <c r="AD208" i="65"/>
  <c r="Y208" i="65"/>
  <c r="W208" i="65"/>
  <c r="V208" i="65"/>
  <c r="U208" i="65"/>
  <c r="T208" i="65"/>
  <c r="AN207" i="65"/>
  <c r="AM207" i="65"/>
  <c r="AL207" i="65"/>
  <c r="AK207" i="65"/>
  <c r="AJ207" i="65"/>
  <c r="AI207" i="65"/>
  <c r="AH207" i="65"/>
  <c r="AG207" i="65"/>
  <c r="AF207" i="65"/>
  <c r="AE207" i="65"/>
  <c r="AD207" i="65"/>
  <c r="Y207" i="65"/>
  <c r="W207" i="65"/>
  <c r="V207" i="65"/>
  <c r="U207" i="65"/>
  <c r="T207" i="65"/>
  <c r="AN206" i="65"/>
  <c r="AM206" i="65"/>
  <c r="AL206" i="65"/>
  <c r="AK206" i="65"/>
  <c r="AJ206" i="65"/>
  <c r="AI206" i="65"/>
  <c r="AH206" i="65"/>
  <c r="AG206" i="65"/>
  <c r="AF206" i="65"/>
  <c r="AE206" i="65"/>
  <c r="AD206" i="65"/>
  <c r="Y206" i="65"/>
  <c r="W206" i="65"/>
  <c r="V206" i="65"/>
  <c r="U206" i="65"/>
  <c r="T206" i="65"/>
  <c r="AN205" i="65"/>
  <c r="AM205" i="65"/>
  <c r="AL205" i="65"/>
  <c r="AK205" i="65"/>
  <c r="AJ205" i="65"/>
  <c r="AI205" i="65"/>
  <c r="AH205" i="65"/>
  <c r="AG205" i="65"/>
  <c r="AF205" i="65"/>
  <c r="AE205" i="65"/>
  <c r="AD205" i="65"/>
  <c r="Y205" i="65"/>
  <c r="W205" i="65"/>
  <c r="V205" i="65"/>
  <c r="U205" i="65"/>
  <c r="T205" i="65"/>
  <c r="AN204" i="65"/>
  <c r="AM204" i="65"/>
  <c r="AL204" i="65"/>
  <c r="AK204" i="65"/>
  <c r="AJ204" i="65"/>
  <c r="AI204" i="65"/>
  <c r="AH204" i="65"/>
  <c r="AG204" i="65"/>
  <c r="AF204" i="65"/>
  <c r="AE204" i="65"/>
  <c r="AD204" i="65"/>
  <c r="Y204" i="65"/>
  <c r="W204" i="65"/>
  <c r="V204" i="65"/>
  <c r="U204" i="65"/>
  <c r="T204" i="65"/>
  <c r="AN203" i="65"/>
  <c r="AM203" i="65"/>
  <c r="AL203" i="65"/>
  <c r="AK203" i="65"/>
  <c r="AJ203" i="65"/>
  <c r="AI203" i="65"/>
  <c r="AH203" i="65"/>
  <c r="AG203" i="65"/>
  <c r="AF203" i="65"/>
  <c r="AE203" i="65"/>
  <c r="AD203" i="65"/>
  <c r="Y203" i="65"/>
  <c r="W203" i="65"/>
  <c r="V203" i="65"/>
  <c r="U203" i="65"/>
  <c r="T203" i="65"/>
  <c r="AN202" i="65"/>
  <c r="AM202" i="65"/>
  <c r="AL202" i="65"/>
  <c r="AK202" i="65"/>
  <c r="AJ202" i="65"/>
  <c r="AI202" i="65"/>
  <c r="AH202" i="65"/>
  <c r="AG202" i="65"/>
  <c r="AF202" i="65"/>
  <c r="AE202" i="65"/>
  <c r="AD202" i="65"/>
  <c r="Y202" i="65"/>
  <c r="W202" i="65"/>
  <c r="V202" i="65"/>
  <c r="U202" i="65"/>
  <c r="T202" i="65"/>
  <c r="AN201" i="65"/>
  <c r="AM201" i="65"/>
  <c r="AL201" i="65"/>
  <c r="AK201" i="65"/>
  <c r="AJ201" i="65"/>
  <c r="AI201" i="65"/>
  <c r="AH201" i="65"/>
  <c r="AG201" i="65"/>
  <c r="AF201" i="65"/>
  <c r="AE201" i="65"/>
  <c r="AD201" i="65"/>
  <c r="Y201" i="65"/>
  <c r="W201" i="65"/>
  <c r="V201" i="65"/>
  <c r="U201" i="65"/>
  <c r="T201" i="65"/>
  <c r="AN200" i="65"/>
  <c r="AM200" i="65"/>
  <c r="AL200" i="65"/>
  <c r="AK200" i="65"/>
  <c r="AJ200" i="65"/>
  <c r="AI200" i="65"/>
  <c r="AH200" i="65"/>
  <c r="AG200" i="65"/>
  <c r="AF200" i="65"/>
  <c r="AE200" i="65"/>
  <c r="AD200" i="65"/>
  <c r="Y200" i="65"/>
  <c r="W200" i="65"/>
  <c r="V200" i="65"/>
  <c r="U200" i="65"/>
  <c r="T200" i="65"/>
  <c r="AN199" i="65"/>
  <c r="AM199" i="65"/>
  <c r="AL199" i="65"/>
  <c r="AK199" i="65"/>
  <c r="AJ199" i="65"/>
  <c r="AI199" i="65"/>
  <c r="AH199" i="65"/>
  <c r="AG199" i="65"/>
  <c r="AF199" i="65"/>
  <c r="AE199" i="65"/>
  <c r="AD199" i="65"/>
  <c r="Y199" i="65"/>
  <c r="W199" i="65"/>
  <c r="V199" i="65"/>
  <c r="U199" i="65"/>
  <c r="T199" i="65"/>
  <c r="AN198" i="65"/>
  <c r="AM198" i="65"/>
  <c r="AL198" i="65"/>
  <c r="AK198" i="65"/>
  <c r="AJ198" i="65"/>
  <c r="AI198" i="65"/>
  <c r="AH198" i="65"/>
  <c r="AG198" i="65"/>
  <c r="AF198" i="65"/>
  <c r="AE198" i="65"/>
  <c r="AD198" i="65"/>
  <c r="Y198" i="65"/>
  <c r="W198" i="65"/>
  <c r="V198" i="65"/>
  <c r="U198" i="65"/>
  <c r="T198" i="65"/>
  <c r="AN197" i="65"/>
  <c r="AM197" i="65"/>
  <c r="AL197" i="65"/>
  <c r="AK197" i="65"/>
  <c r="AJ197" i="65"/>
  <c r="AI197" i="65"/>
  <c r="AH197" i="65"/>
  <c r="AG197" i="65"/>
  <c r="AF197" i="65"/>
  <c r="AE197" i="65"/>
  <c r="AD197" i="65"/>
  <c r="Y197" i="65"/>
  <c r="W197" i="65"/>
  <c r="V197" i="65"/>
  <c r="U197" i="65"/>
  <c r="T197" i="65"/>
  <c r="AN196" i="65"/>
  <c r="AM196" i="65"/>
  <c r="AL196" i="65"/>
  <c r="AK196" i="65"/>
  <c r="AJ196" i="65"/>
  <c r="AI196" i="65"/>
  <c r="AH196" i="65"/>
  <c r="AG196" i="65"/>
  <c r="AF196" i="65"/>
  <c r="AE196" i="65"/>
  <c r="AD196" i="65"/>
  <c r="Y196" i="65"/>
  <c r="W196" i="65"/>
  <c r="V196" i="65"/>
  <c r="U196" i="65"/>
  <c r="T196" i="65"/>
  <c r="AN195" i="65"/>
  <c r="AM195" i="65"/>
  <c r="AL195" i="65"/>
  <c r="AK195" i="65"/>
  <c r="AJ195" i="65"/>
  <c r="AI195" i="65"/>
  <c r="AH195" i="65"/>
  <c r="AG195" i="65"/>
  <c r="AF195" i="65"/>
  <c r="AE195" i="65"/>
  <c r="AD195" i="65"/>
  <c r="Y195" i="65"/>
  <c r="W195" i="65"/>
  <c r="V195" i="65"/>
  <c r="U195" i="65"/>
  <c r="T195" i="65"/>
  <c r="AN194" i="65"/>
  <c r="AM194" i="65"/>
  <c r="AL194" i="65"/>
  <c r="AK194" i="65"/>
  <c r="AJ194" i="65"/>
  <c r="AI194" i="65"/>
  <c r="AH194" i="65"/>
  <c r="AG194" i="65"/>
  <c r="AF194" i="65"/>
  <c r="AE194" i="65"/>
  <c r="AD194" i="65"/>
  <c r="Y194" i="65"/>
  <c r="W194" i="65"/>
  <c r="V194" i="65"/>
  <c r="U194" i="65"/>
  <c r="T194" i="65"/>
  <c r="AN193" i="65"/>
  <c r="AM193" i="65"/>
  <c r="AL193" i="65"/>
  <c r="AK193" i="65"/>
  <c r="AJ193" i="65"/>
  <c r="AI193" i="65"/>
  <c r="AH193" i="65"/>
  <c r="AG193" i="65"/>
  <c r="AF193" i="65"/>
  <c r="AE193" i="65"/>
  <c r="AD193" i="65"/>
  <c r="Y193" i="65"/>
  <c r="W193" i="65"/>
  <c r="V193" i="65"/>
  <c r="U193" i="65"/>
  <c r="T193" i="65"/>
  <c r="AN192" i="65"/>
  <c r="AM192" i="65"/>
  <c r="AL192" i="65"/>
  <c r="AK192" i="65"/>
  <c r="AJ192" i="65"/>
  <c r="AI192" i="65"/>
  <c r="AH192" i="65"/>
  <c r="AG192" i="65"/>
  <c r="AF192" i="65"/>
  <c r="AE192" i="65"/>
  <c r="AD192" i="65"/>
  <c r="Y192" i="65"/>
  <c r="W192" i="65"/>
  <c r="V192" i="65"/>
  <c r="U192" i="65"/>
  <c r="T192" i="65"/>
  <c r="AN191" i="65"/>
  <c r="AM191" i="65"/>
  <c r="AL191" i="65"/>
  <c r="AK191" i="65"/>
  <c r="AJ191" i="65"/>
  <c r="AI191" i="65"/>
  <c r="AH191" i="65"/>
  <c r="AG191" i="65"/>
  <c r="AF191" i="65"/>
  <c r="AE191" i="65"/>
  <c r="AD191" i="65"/>
  <c r="Y191" i="65"/>
  <c r="W191" i="65"/>
  <c r="V191" i="65"/>
  <c r="U191" i="65"/>
  <c r="T191" i="65"/>
  <c r="AN190" i="65"/>
  <c r="AM190" i="65"/>
  <c r="AL190" i="65"/>
  <c r="AK190" i="65"/>
  <c r="AJ190" i="65"/>
  <c r="AI190" i="65"/>
  <c r="AH190" i="65"/>
  <c r="AG190" i="65"/>
  <c r="AF190" i="65"/>
  <c r="AE190" i="65"/>
  <c r="AD190" i="65"/>
  <c r="Y190" i="65"/>
  <c r="W190" i="65"/>
  <c r="V190" i="65"/>
  <c r="U190" i="65"/>
  <c r="T190" i="65"/>
  <c r="AN189" i="65"/>
  <c r="AM189" i="65"/>
  <c r="AL189" i="65"/>
  <c r="AK189" i="65"/>
  <c r="AJ189" i="65"/>
  <c r="AI189" i="65"/>
  <c r="AH189" i="65"/>
  <c r="AG189" i="65"/>
  <c r="AF189" i="65"/>
  <c r="AE189" i="65"/>
  <c r="AD189" i="65"/>
  <c r="Y189" i="65"/>
  <c r="W189" i="65"/>
  <c r="V189" i="65"/>
  <c r="U189" i="65"/>
  <c r="T189" i="65"/>
  <c r="AN188" i="65"/>
  <c r="AM188" i="65"/>
  <c r="AL188" i="65"/>
  <c r="AK188" i="65"/>
  <c r="AJ188" i="65"/>
  <c r="AI188" i="65"/>
  <c r="AH188" i="65"/>
  <c r="AG188" i="65"/>
  <c r="AF188" i="65"/>
  <c r="AE188" i="65"/>
  <c r="AD188" i="65"/>
  <c r="Y188" i="65"/>
  <c r="W188" i="65"/>
  <c r="V188" i="65"/>
  <c r="U188" i="65"/>
  <c r="T188" i="65"/>
  <c r="AN187" i="65"/>
  <c r="AM187" i="65"/>
  <c r="AL187" i="65"/>
  <c r="AK187" i="65"/>
  <c r="AJ187" i="65"/>
  <c r="AI187" i="65"/>
  <c r="AH187" i="65"/>
  <c r="AG187" i="65"/>
  <c r="AF187" i="65"/>
  <c r="AE187" i="65"/>
  <c r="AD187" i="65"/>
  <c r="Y187" i="65"/>
  <c r="W187" i="65"/>
  <c r="V187" i="65"/>
  <c r="U187" i="65"/>
  <c r="T187" i="65"/>
  <c r="AN186" i="65"/>
  <c r="AM186" i="65"/>
  <c r="AL186" i="65"/>
  <c r="AK186" i="65"/>
  <c r="AJ186" i="65"/>
  <c r="AI186" i="65"/>
  <c r="AH186" i="65"/>
  <c r="AG186" i="65"/>
  <c r="AF186" i="65"/>
  <c r="AE186" i="65"/>
  <c r="AD186" i="65"/>
  <c r="Y186" i="65"/>
  <c r="W186" i="65"/>
  <c r="V186" i="65"/>
  <c r="U186" i="65"/>
  <c r="T186" i="65"/>
  <c r="AN185" i="65"/>
  <c r="AM185" i="65"/>
  <c r="AL185" i="65"/>
  <c r="AK185" i="65"/>
  <c r="AJ185" i="65"/>
  <c r="AI185" i="65"/>
  <c r="AH185" i="65"/>
  <c r="AG185" i="65"/>
  <c r="AF185" i="65"/>
  <c r="AE185" i="65"/>
  <c r="AD185" i="65"/>
  <c r="Y185" i="65"/>
  <c r="W185" i="65"/>
  <c r="V185" i="65"/>
  <c r="U185" i="65"/>
  <c r="T185" i="65"/>
  <c r="AN184" i="65"/>
  <c r="AM184" i="65"/>
  <c r="AL184" i="65"/>
  <c r="AK184" i="65"/>
  <c r="AJ184" i="65"/>
  <c r="AI184" i="65"/>
  <c r="AH184" i="65"/>
  <c r="AG184" i="65"/>
  <c r="AF184" i="65"/>
  <c r="AE184" i="65"/>
  <c r="AD184" i="65"/>
  <c r="Y184" i="65"/>
  <c r="W184" i="65"/>
  <c r="V184" i="65"/>
  <c r="U184" i="65"/>
  <c r="T184" i="65"/>
  <c r="AN183" i="65"/>
  <c r="AM183" i="65"/>
  <c r="AL183" i="65"/>
  <c r="AK183" i="65"/>
  <c r="AJ183" i="65"/>
  <c r="AI183" i="65"/>
  <c r="AH183" i="65"/>
  <c r="AG183" i="65"/>
  <c r="AF183" i="65"/>
  <c r="AE183" i="65"/>
  <c r="AD183" i="65"/>
  <c r="Y183" i="65"/>
  <c r="W183" i="65"/>
  <c r="V183" i="65"/>
  <c r="U183" i="65"/>
  <c r="T183" i="65"/>
  <c r="AN182" i="65"/>
  <c r="AM182" i="65"/>
  <c r="AL182" i="65"/>
  <c r="AK182" i="65"/>
  <c r="AJ182" i="65"/>
  <c r="AI182" i="65"/>
  <c r="AH182" i="65"/>
  <c r="AG182" i="65"/>
  <c r="AF182" i="65"/>
  <c r="AE182" i="65"/>
  <c r="AD182" i="65"/>
  <c r="Y182" i="65"/>
  <c r="W182" i="65"/>
  <c r="V182" i="65"/>
  <c r="U182" i="65"/>
  <c r="T182" i="65"/>
  <c r="AN181" i="65"/>
  <c r="AM181" i="65"/>
  <c r="AL181" i="65"/>
  <c r="AK181" i="65"/>
  <c r="AJ181" i="65"/>
  <c r="AI181" i="65"/>
  <c r="AH181" i="65"/>
  <c r="AG181" i="65"/>
  <c r="AF181" i="65"/>
  <c r="AE181" i="65"/>
  <c r="AD181" i="65"/>
  <c r="Y181" i="65"/>
  <c r="W181" i="65"/>
  <c r="V181" i="65"/>
  <c r="U181" i="65"/>
  <c r="T181" i="65"/>
  <c r="AN180" i="65"/>
  <c r="AM180" i="65"/>
  <c r="AL180" i="65"/>
  <c r="AK180" i="65"/>
  <c r="AJ180" i="65"/>
  <c r="AI180" i="65"/>
  <c r="AH180" i="65"/>
  <c r="AG180" i="65"/>
  <c r="AF180" i="65"/>
  <c r="AE180" i="65"/>
  <c r="AD180" i="65"/>
  <c r="Y180" i="65"/>
  <c r="W180" i="65"/>
  <c r="V180" i="65"/>
  <c r="U180" i="65"/>
  <c r="T180" i="65"/>
  <c r="AN179" i="65"/>
  <c r="AM179" i="65"/>
  <c r="AL179" i="65"/>
  <c r="AK179" i="65"/>
  <c r="AJ179" i="65"/>
  <c r="AI179" i="65"/>
  <c r="AH179" i="65"/>
  <c r="AG179" i="65"/>
  <c r="AF179" i="65"/>
  <c r="AE179" i="65"/>
  <c r="AD179" i="65"/>
  <c r="Y179" i="65"/>
  <c r="W179" i="65"/>
  <c r="V179" i="65"/>
  <c r="U179" i="65"/>
  <c r="T179" i="65"/>
  <c r="AN178" i="65"/>
  <c r="AM178" i="65"/>
  <c r="AL178" i="65"/>
  <c r="AK178" i="65"/>
  <c r="AJ178" i="65"/>
  <c r="AI178" i="65"/>
  <c r="AH178" i="65"/>
  <c r="AG178" i="65"/>
  <c r="AF178" i="65"/>
  <c r="AE178" i="65"/>
  <c r="AD178" i="65"/>
  <c r="Y178" i="65"/>
  <c r="W178" i="65"/>
  <c r="V178" i="65"/>
  <c r="U178" i="65"/>
  <c r="T178" i="65"/>
  <c r="AN177" i="65"/>
  <c r="AM177" i="65"/>
  <c r="AL177" i="65"/>
  <c r="AK177" i="65"/>
  <c r="AJ177" i="65"/>
  <c r="AI177" i="65"/>
  <c r="AH177" i="65"/>
  <c r="AG177" i="65"/>
  <c r="AF177" i="65"/>
  <c r="AE177" i="65"/>
  <c r="AD177" i="65"/>
  <c r="Y177" i="65"/>
  <c r="W177" i="65"/>
  <c r="V177" i="65"/>
  <c r="U177" i="65"/>
  <c r="T177" i="65"/>
  <c r="AN176" i="65"/>
  <c r="AM176" i="65"/>
  <c r="AL176" i="65"/>
  <c r="AK176" i="65"/>
  <c r="AJ176" i="65"/>
  <c r="AI176" i="65"/>
  <c r="AH176" i="65"/>
  <c r="AG176" i="65"/>
  <c r="AF176" i="65"/>
  <c r="AE176" i="65"/>
  <c r="AD176" i="65"/>
  <c r="Y176" i="65"/>
  <c r="W176" i="65"/>
  <c r="V176" i="65"/>
  <c r="U176" i="65"/>
  <c r="T176" i="65"/>
  <c r="AN175" i="65"/>
  <c r="AM175" i="65"/>
  <c r="AL175" i="65"/>
  <c r="AK175" i="65"/>
  <c r="AJ175" i="65"/>
  <c r="AI175" i="65"/>
  <c r="AH175" i="65"/>
  <c r="AG175" i="65"/>
  <c r="AF175" i="65"/>
  <c r="AE175" i="65"/>
  <c r="AD175" i="65"/>
  <c r="Y175" i="65"/>
  <c r="W175" i="65"/>
  <c r="V175" i="65"/>
  <c r="U175" i="65"/>
  <c r="T175" i="65"/>
  <c r="AN174" i="65"/>
  <c r="AM174" i="65"/>
  <c r="AL174" i="65"/>
  <c r="AK174" i="65"/>
  <c r="AJ174" i="65"/>
  <c r="AI174" i="65"/>
  <c r="AH174" i="65"/>
  <c r="AG174" i="65"/>
  <c r="AF174" i="65"/>
  <c r="AE174" i="65"/>
  <c r="AD174" i="65"/>
  <c r="Y174" i="65"/>
  <c r="W174" i="65"/>
  <c r="V174" i="65"/>
  <c r="U174" i="65"/>
  <c r="T174" i="65"/>
  <c r="AN173" i="65"/>
  <c r="AM173" i="65"/>
  <c r="AL173" i="65"/>
  <c r="AK173" i="65"/>
  <c r="AJ173" i="65"/>
  <c r="AI173" i="65"/>
  <c r="AH173" i="65"/>
  <c r="AG173" i="65"/>
  <c r="AF173" i="65"/>
  <c r="AE173" i="65"/>
  <c r="AD173" i="65"/>
  <c r="Y173" i="65"/>
  <c r="W173" i="65"/>
  <c r="V173" i="65"/>
  <c r="U173" i="65"/>
  <c r="T173" i="65"/>
  <c r="AN172" i="65"/>
  <c r="AM172" i="65"/>
  <c r="AL172" i="65"/>
  <c r="AK172" i="65"/>
  <c r="AJ172" i="65"/>
  <c r="AI172" i="65"/>
  <c r="AH172" i="65"/>
  <c r="AG172" i="65"/>
  <c r="AF172" i="65"/>
  <c r="AE172" i="65"/>
  <c r="AD172" i="65"/>
  <c r="Y172" i="65"/>
  <c r="W172" i="65"/>
  <c r="V172" i="65"/>
  <c r="U172" i="65"/>
  <c r="T172" i="65"/>
  <c r="AN171" i="65"/>
  <c r="AM171" i="65"/>
  <c r="AL171" i="65"/>
  <c r="AK171" i="65"/>
  <c r="AJ171" i="65"/>
  <c r="AI171" i="65"/>
  <c r="AH171" i="65"/>
  <c r="AG171" i="65"/>
  <c r="AF171" i="65"/>
  <c r="AE171" i="65"/>
  <c r="AD171" i="65"/>
  <c r="Y171" i="65"/>
  <c r="W171" i="65"/>
  <c r="V171" i="65"/>
  <c r="U171" i="65"/>
  <c r="T171" i="65"/>
  <c r="AN170" i="65"/>
  <c r="AM170" i="65"/>
  <c r="AL170" i="65"/>
  <c r="AK170" i="65"/>
  <c r="AJ170" i="65"/>
  <c r="AI170" i="65"/>
  <c r="AH170" i="65"/>
  <c r="AG170" i="65"/>
  <c r="AF170" i="65"/>
  <c r="AE170" i="65"/>
  <c r="AD170" i="65"/>
  <c r="Y170" i="65"/>
  <c r="W170" i="65"/>
  <c r="V170" i="65"/>
  <c r="U170" i="65"/>
  <c r="T170" i="65"/>
  <c r="AN169" i="65"/>
  <c r="AM169" i="65"/>
  <c r="AL169" i="65"/>
  <c r="AK169" i="65"/>
  <c r="AJ169" i="65"/>
  <c r="AI169" i="65"/>
  <c r="AH169" i="65"/>
  <c r="AG169" i="65"/>
  <c r="AF169" i="65"/>
  <c r="AE169" i="65"/>
  <c r="AD169" i="65"/>
  <c r="Y169" i="65"/>
  <c r="W169" i="65"/>
  <c r="V169" i="65"/>
  <c r="U169" i="65"/>
  <c r="T169" i="65"/>
  <c r="AN168" i="65"/>
  <c r="AM168" i="65"/>
  <c r="AL168" i="65"/>
  <c r="AK168" i="65"/>
  <c r="AJ168" i="65"/>
  <c r="AI168" i="65"/>
  <c r="AH168" i="65"/>
  <c r="AG168" i="65"/>
  <c r="AF168" i="65"/>
  <c r="AE168" i="65"/>
  <c r="AD168" i="65"/>
  <c r="Y168" i="65"/>
  <c r="W168" i="65"/>
  <c r="V168" i="65"/>
  <c r="U168" i="65"/>
  <c r="T168" i="65"/>
  <c r="AN167" i="65"/>
  <c r="AM167" i="65"/>
  <c r="AL167" i="65"/>
  <c r="AK167" i="65"/>
  <c r="AJ167" i="65"/>
  <c r="AI167" i="65"/>
  <c r="AH167" i="65"/>
  <c r="AG167" i="65"/>
  <c r="AF167" i="65"/>
  <c r="AE167" i="65"/>
  <c r="AD167" i="65"/>
  <c r="Y167" i="65"/>
  <c r="W167" i="65"/>
  <c r="V167" i="65"/>
  <c r="U167" i="65"/>
  <c r="T167" i="65"/>
  <c r="AN166" i="65"/>
  <c r="AM166" i="65"/>
  <c r="AL166" i="65"/>
  <c r="AK166" i="65"/>
  <c r="AJ166" i="65"/>
  <c r="AI166" i="65"/>
  <c r="AH166" i="65"/>
  <c r="AG166" i="65"/>
  <c r="AF166" i="65"/>
  <c r="AE166" i="65"/>
  <c r="AD166" i="65"/>
  <c r="Y166" i="65"/>
  <c r="W166" i="65"/>
  <c r="V166" i="65"/>
  <c r="U166" i="65"/>
  <c r="T166" i="65"/>
  <c r="AN165" i="65"/>
  <c r="AM165" i="65"/>
  <c r="AL165" i="65"/>
  <c r="AK165" i="65"/>
  <c r="AJ165" i="65"/>
  <c r="AI165" i="65"/>
  <c r="AH165" i="65"/>
  <c r="AG165" i="65"/>
  <c r="AF165" i="65"/>
  <c r="AE165" i="65"/>
  <c r="AD165" i="65"/>
  <c r="Y165" i="65"/>
  <c r="W165" i="65"/>
  <c r="V165" i="65"/>
  <c r="U165" i="65"/>
  <c r="T165" i="65"/>
  <c r="AN164" i="65"/>
  <c r="AM164" i="65"/>
  <c r="AL164" i="65"/>
  <c r="AK164" i="65"/>
  <c r="AJ164" i="65"/>
  <c r="AI164" i="65"/>
  <c r="AH164" i="65"/>
  <c r="AG164" i="65"/>
  <c r="AF164" i="65"/>
  <c r="AE164" i="65"/>
  <c r="AD164" i="65"/>
  <c r="Y164" i="65"/>
  <c r="W164" i="65"/>
  <c r="V164" i="65"/>
  <c r="U164" i="65"/>
  <c r="T164" i="65"/>
  <c r="AN163" i="65"/>
  <c r="AM163" i="65"/>
  <c r="AL163" i="65"/>
  <c r="AK163" i="65"/>
  <c r="AJ163" i="65"/>
  <c r="AI163" i="65"/>
  <c r="AH163" i="65"/>
  <c r="AG163" i="65"/>
  <c r="AF163" i="65"/>
  <c r="AE163" i="65"/>
  <c r="AD163" i="65"/>
  <c r="Y163" i="65"/>
  <c r="W163" i="65"/>
  <c r="V163" i="65"/>
  <c r="U163" i="65"/>
  <c r="T163" i="65"/>
  <c r="AN162" i="65"/>
  <c r="AM162" i="65"/>
  <c r="AL162" i="65"/>
  <c r="AK162" i="65"/>
  <c r="AJ162" i="65"/>
  <c r="AI162" i="65"/>
  <c r="AH162" i="65"/>
  <c r="AG162" i="65"/>
  <c r="AF162" i="65"/>
  <c r="AE162" i="65"/>
  <c r="AD162" i="65"/>
  <c r="Y162" i="65"/>
  <c r="W162" i="65"/>
  <c r="V162" i="65"/>
  <c r="U162" i="65"/>
  <c r="T162" i="65"/>
  <c r="AN161" i="65"/>
  <c r="AM161" i="65"/>
  <c r="AL161" i="65"/>
  <c r="AK161" i="65"/>
  <c r="AJ161" i="65"/>
  <c r="AI161" i="65"/>
  <c r="AH161" i="65"/>
  <c r="AG161" i="65"/>
  <c r="AF161" i="65"/>
  <c r="AE161" i="65"/>
  <c r="AD161" i="65"/>
  <c r="Y161" i="65"/>
  <c r="W161" i="65"/>
  <c r="V161" i="65"/>
  <c r="U161" i="65"/>
  <c r="T161" i="65"/>
  <c r="AN160" i="65"/>
  <c r="AM160" i="65"/>
  <c r="AL160" i="65"/>
  <c r="AK160" i="65"/>
  <c r="AJ160" i="65"/>
  <c r="AI160" i="65"/>
  <c r="AH160" i="65"/>
  <c r="AG160" i="65"/>
  <c r="AF160" i="65"/>
  <c r="AE160" i="65"/>
  <c r="AD160" i="65"/>
  <c r="Y160" i="65"/>
  <c r="W160" i="65"/>
  <c r="V160" i="65"/>
  <c r="U160" i="65"/>
  <c r="T160" i="65"/>
  <c r="AN159" i="65"/>
  <c r="AM159" i="65"/>
  <c r="AL159" i="65"/>
  <c r="AK159" i="65"/>
  <c r="AJ159" i="65"/>
  <c r="AI159" i="65"/>
  <c r="AH159" i="65"/>
  <c r="AG159" i="65"/>
  <c r="AF159" i="65"/>
  <c r="AE159" i="65"/>
  <c r="AD159" i="65"/>
  <c r="Y159" i="65"/>
  <c r="W159" i="65"/>
  <c r="V159" i="65"/>
  <c r="U159" i="65"/>
  <c r="T159" i="65"/>
  <c r="AN158" i="65"/>
  <c r="AM158" i="65"/>
  <c r="AL158" i="65"/>
  <c r="AK158" i="65"/>
  <c r="AJ158" i="65"/>
  <c r="AI158" i="65"/>
  <c r="AH158" i="65"/>
  <c r="AG158" i="65"/>
  <c r="AF158" i="65"/>
  <c r="AE158" i="65"/>
  <c r="AD158" i="65"/>
  <c r="Y158" i="65"/>
  <c r="W158" i="65"/>
  <c r="V158" i="65"/>
  <c r="U158" i="65"/>
  <c r="T158" i="65"/>
  <c r="AN157" i="65"/>
  <c r="AM157" i="65"/>
  <c r="AL157" i="65"/>
  <c r="AK157" i="65"/>
  <c r="AJ157" i="65"/>
  <c r="AI157" i="65"/>
  <c r="AH157" i="65"/>
  <c r="AG157" i="65"/>
  <c r="AF157" i="65"/>
  <c r="AE157" i="65"/>
  <c r="AD157" i="65"/>
  <c r="Y157" i="65"/>
  <c r="W157" i="65"/>
  <c r="V157" i="65"/>
  <c r="U157" i="65"/>
  <c r="T157" i="65"/>
  <c r="AN156" i="65"/>
  <c r="AM156" i="65"/>
  <c r="AL156" i="65"/>
  <c r="AK156" i="65"/>
  <c r="AJ156" i="65"/>
  <c r="AI156" i="65"/>
  <c r="AH156" i="65"/>
  <c r="AG156" i="65"/>
  <c r="AF156" i="65"/>
  <c r="AE156" i="65"/>
  <c r="AD156" i="65"/>
  <c r="Y156" i="65"/>
  <c r="W156" i="65"/>
  <c r="V156" i="65"/>
  <c r="U156" i="65"/>
  <c r="T156" i="65"/>
  <c r="AN155" i="65"/>
  <c r="AM155" i="65"/>
  <c r="AL155" i="65"/>
  <c r="AK155" i="65"/>
  <c r="AJ155" i="65"/>
  <c r="AI155" i="65"/>
  <c r="AH155" i="65"/>
  <c r="AG155" i="65"/>
  <c r="AF155" i="65"/>
  <c r="AE155" i="65"/>
  <c r="AD155" i="65"/>
  <c r="Y155" i="65"/>
  <c r="W155" i="65"/>
  <c r="V155" i="65"/>
  <c r="U155" i="65"/>
  <c r="T155" i="65"/>
  <c r="AN154" i="65"/>
  <c r="AM154" i="65"/>
  <c r="AL154" i="65"/>
  <c r="AK154" i="65"/>
  <c r="AJ154" i="65"/>
  <c r="AI154" i="65"/>
  <c r="AH154" i="65"/>
  <c r="AG154" i="65"/>
  <c r="AF154" i="65"/>
  <c r="AE154" i="65"/>
  <c r="AD154" i="65"/>
  <c r="Y154" i="65"/>
  <c r="W154" i="65"/>
  <c r="V154" i="65"/>
  <c r="U154" i="65"/>
  <c r="T154" i="65"/>
  <c r="AN153" i="65"/>
  <c r="AM153" i="65"/>
  <c r="AL153" i="65"/>
  <c r="AK153" i="65"/>
  <c r="AJ153" i="65"/>
  <c r="AI153" i="65"/>
  <c r="AH153" i="65"/>
  <c r="AG153" i="65"/>
  <c r="AF153" i="65"/>
  <c r="AE153" i="65"/>
  <c r="AD153" i="65"/>
  <c r="Y153" i="65"/>
  <c r="W153" i="65"/>
  <c r="V153" i="65"/>
  <c r="U153" i="65"/>
  <c r="T153" i="65"/>
  <c r="AN152" i="65"/>
  <c r="AM152" i="65"/>
  <c r="AL152" i="65"/>
  <c r="AK152" i="65"/>
  <c r="AJ152" i="65"/>
  <c r="AI152" i="65"/>
  <c r="AH152" i="65"/>
  <c r="AG152" i="65"/>
  <c r="AF152" i="65"/>
  <c r="AE152" i="65"/>
  <c r="AD152" i="65"/>
  <c r="Y152" i="65"/>
  <c r="W152" i="65"/>
  <c r="V152" i="65"/>
  <c r="U152" i="65"/>
  <c r="T152" i="65"/>
  <c r="AN151" i="65"/>
  <c r="AM151" i="65"/>
  <c r="AL151" i="65"/>
  <c r="AK151" i="65"/>
  <c r="AJ151" i="65"/>
  <c r="AI151" i="65"/>
  <c r="AH151" i="65"/>
  <c r="AG151" i="65"/>
  <c r="AF151" i="65"/>
  <c r="AE151" i="65"/>
  <c r="AD151" i="65"/>
  <c r="Y151" i="65"/>
  <c r="W151" i="65"/>
  <c r="V151" i="65"/>
  <c r="U151" i="65"/>
  <c r="T151" i="65"/>
  <c r="AN150" i="65"/>
  <c r="AM150" i="65"/>
  <c r="AL150" i="65"/>
  <c r="AK150" i="65"/>
  <c r="AJ150" i="65"/>
  <c r="AI150" i="65"/>
  <c r="AH150" i="65"/>
  <c r="AG150" i="65"/>
  <c r="AF150" i="65"/>
  <c r="AE150" i="65"/>
  <c r="AD150" i="65"/>
  <c r="Y150" i="65"/>
  <c r="W150" i="65"/>
  <c r="V150" i="65"/>
  <c r="U150" i="65"/>
  <c r="T150" i="65"/>
  <c r="AN149" i="65"/>
  <c r="AM149" i="65"/>
  <c r="AL149" i="65"/>
  <c r="AK149" i="65"/>
  <c r="AJ149" i="65"/>
  <c r="AI149" i="65"/>
  <c r="AH149" i="65"/>
  <c r="AG149" i="65"/>
  <c r="AF149" i="65"/>
  <c r="AE149" i="65"/>
  <c r="AD149" i="65"/>
  <c r="Y149" i="65"/>
  <c r="W149" i="65"/>
  <c r="V149" i="65"/>
  <c r="U149" i="65"/>
  <c r="T149" i="65"/>
  <c r="AN148" i="65"/>
  <c r="AM148" i="65"/>
  <c r="AL148" i="65"/>
  <c r="AK148" i="65"/>
  <c r="AJ148" i="65"/>
  <c r="AI148" i="65"/>
  <c r="AH148" i="65"/>
  <c r="AG148" i="65"/>
  <c r="AF148" i="65"/>
  <c r="AE148" i="65"/>
  <c r="AD148" i="65"/>
  <c r="Y148" i="65"/>
  <c r="W148" i="65"/>
  <c r="V148" i="65"/>
  <c r="U148" i="65"/>
  <c r="T148" i="65"/>
  <c r="AN147" i="65"/>
  <c r="AM147" i="65"/>
  <c r="AL147" i="65"/>
  <c r="AK147" i="65"/>
  <c r="AJ147" i="65"/>
  <c r="AI147" i="65"/>
  <c r="AH147" i="65"/>
  <c r="AG147" i="65"/>
  <c r="AF147" i="65"/>
  <c r="AE147" i="65"/>
  <c r="AD147" i="65"/>
  <c r="Y147" i="65"/>
  <c r="W147" i="65"/>
  <c r="V147" i="65"/>
  <c r="U147" i="65"/>
  <c r="T147" i="65"/>
  <c r="AN146" i="65"/>
  <c r="AM146" i="65"/>
  <c r="AL146" i="65"/>
  <c r="AK146" i="65"/>
  <c r="AJ146" i="65"/>
  <c r="AI146" i="65"/>
  <c r="AH146" i="65"/>
  <c r="AG146" i="65"/>
  <c r="AF146" i="65"/>
  <c r="AE146" i="65"/>
  <c r="AD146" i="65"/>
  <c r="Y146" i="65"/>
  <c r="W146" i="65"/>
  <c r="V146" i="65"/>
  <c r="U146" i="65"/>
  <c r="T146" i="65"/>
  <c r="AN145" i="65"/>
  <c r="AM145" i="65"/>
  <c r="AL145" i="65"/>
  <c r="AK145" i="65"/>
  <c r="AJ145" i="65"/>
  <c r="AI145" i="65"/>
  <c r="AH145" i="65"/>
  <c r="AG145" i="65"/>
  <c r="AF145" i="65"/>
  <c r="AE145" i="65"/>
  <c r="AD145" i="65"/>
  <c r="Y145" i="65"/>
  <c r="W145" i="65"/>
  <c r="V145" i="65"/>
  <c r="U145" i="65"/>
  <c r="T145" i="65"/>
  <c r="AN144" i="65"/>
  <c r="AM144" i="65"/>
  <c r="AL144" i="65"/>
  <c r="AK144" i="65"/>
  <c r="AJ144" i="65"/>
  <c r="AI144" i="65"/>
  <c r="AH144" i="65"/>
  <c r="AG144" i="65"/>
  <c r="AF144" i="65"/>
  <c r="AE144" i="65"/>
  <c r="AD144" i="65"/>
  <c r="Y144" i="65"/>
  <c r="W144" i="65"/>
  <c r="V144" i="65"/>
  <c r="U144" i="65"/>
  <c r="T144" i="65"/>
  <c r="AN143" i="65"/>
  <c r="AM143" i="65"/>
  <c r="AL143" i="65"/>
  <c r="AK143" i="65"/>
  <c r="AJ143" i="65"/>
  <c r="AI143" i="65"/>
  <c r="AH143" i="65"/>
  <c r="AG143" i="65"/>
  <c r="AF143" i="65"/>
  <c r="AE143" i="65"/>
  <c r="AD143" i="65"/>
  <c r="Y143" i="65"/>
  <c r="W143" i="65"/>
  <c r="V143" i="65"/>
  <c r="U143" i="65"/>
  <c r="T143" i="65"/>
  <c r="AN142" i="65"/>
  <c r="AM142" i="65"/>
  <c r="AL142" i="65"/>
  <c r="AK142" i="65"/>
  <c r="AJ142" i="65"/>
  <c r="AI142" i="65"/>
  <c r="AH142" i="65"/>
  <c r="AG142" i="65"/>
  <c r="AF142" i="65"/>
  <c r="AE142" i="65"/>
  <c r="AD142" i="65"/>
  <c r="Y142" i="65"/>
  <c r="W142" i="65"/>
  <c r="V142" i="65"/>
  <c r="U142" i="65"/>
  <c r="T142" i="65"/>
  <c r="AN141" i="65"/>
  <c r="AM141" i="65"/>
  <c r="AL141" i="65"/>
  <c r="AK141" i="65"/>
  <c r="AJ141" i="65"/>
  <c r="AI141" i="65"/>
  <c r="AH141" i="65"/>
  <c r="AG141" i="65"/>
  <c r="AF141" i="65"/>
  <c r="AE141" i="65"/>
  <c r="AD141" i="65"/>
  <c r="Y141" i="65"/>
  <c r="W141" i="65"/>
  <c r="V141" i="65"/>
  <c r="U141" i="65"/>
  <c r="T141" i="65"/>
  <c r="AN140" i="65"/>
  <c r="AM140" i="65"/>
  <c r="AL140" i="65"/>
  <c r="AK140" i="65"/>
  <c r="AJ140" i="65"/>
  <c r="AI140" i="65"/>
  <c r="AH140" i="65"/>
  <c r="AG140" i="65"/>
  <c r="AF140" i="65"/>
  <c r="AE140" i="65"/>
  <c r="AD140" i="65"/>
  <c r="Y140" i="65"/>
  <c r="W140" i="65"/>
  <c r="V140" i="65"/>
  <c r="U140" i="65"/>
  <c r="T140" i="65"/>
  <c r="AN139" i="65"/>
  <c r="AM139" i="65"/>
  <c r="AL139" i="65"/>
  <c r="AK139" i="65"/>
  <c r="AJ139" i="65"/>
  <c r="AI139" i="65"/>
  <c r="AH139" i="65"/>
  <c r="AG139" i="65"/>
  <c r="AF139" i="65"/>
  <c r="AE139" i="65"/>
  <c r="AD139" i="65"/>
  <c r="Y139" i="65"/>
  <c r="W139" i="65"/>
  <c r="V139" i="65"/>
  <c r="U139" i="65"/>
  <c r="T139" i="65"/>
  <c r="AN138" i="65"/>
  <c r="AM138" i="65"/>
  <c r="AL138" i="65"/>
  <c r="AK138" i="65"/>
  <c r="AJ138" i="65"/>
  <c r="AI138" i="65"/>
  <c r="AH138" i="65"/>
  <c r="AG138" i="65"/>
  <c r="AF138" i="65"/>
  <c r="AE138" i="65"/>
  <c r="AD138" i="65"/>
  <c r="Y138" i="65"/>
  <c r="W138" i="65"/>
  <c r="V138" i="65"/>
  <c r="U138" i="65"/>
  <c r="T138" i="65"/>
  <c r="AN137" i="65"/>
  <c r="AM137" i="65"/>
  <c r="AL137" i="65"/>
  <c r="AK137" i="65"/>
  <c r="AJ137" i="65"/>
  <c r="AI137" i="65"/>
  <c r="AH137" i="65"/>
  <c r="AG137" i="65"/>
  <c r="AF137" i="65"/>
  <c r="AE137" i="65"/>
  <c r="AD137" i="65"/>
  <c r="Y137" i="65"/>
  <c r="W137" i="65"/>
  <c r="V137" i="65"/>
  <c r="U137" i="65"/>
  <c r="T137" i="65"/>
  <c r="AN136" i="65"/>
  <c r="AM136" i="65"/>
  <c r="AL136" i="65"/>
  <c r="AK136" i="65"/>
  <c r="AJ136" i="65"/>
  <c r="AI136" i="65"/>
  <c r="AH136" i="65"/>
  <c r="AG136" i="65"/>
  <c r="AF136" i="65"/>
  <c r="AE136" i="65"/>
  <c r="AD136" i="65"/>
  <c r="Y136" i="65"/>
  <c r="W136" i="65"/>
  <c r="V136" i="65"/>
  <c r="U136" i="65"/>
  <c r="T136" i="65"/>
  <c r="AN135" i="65"/>
  <c r="AM135" i="65"/>
  <c r="AL135" i="65"/>
  <c r="AK135" i="65"/>
  <c r="AJ135" i="65"/>
  <c r="AI135" i="65"/>
  <c r="AH135" i="65"/>
  <c r="AG135" i="65"/>
  <c r="AF135" i="65"/>
  <c r="AE135" i="65"/>
  <c r="AD135" i="65"/>
  <c r="Y135" i="65"/>
  <c r="W135" i="65"/>
  <c r="V135" i="65"/>
  <c r="U135" i="65"/>
  <c r="T135" i="65"/>
  <c r="AN134" i="65"/>
  <c r="AM134" i="65"/>
  <c r="AL134" i="65"/>
  <c r="AK134" i="65"/>
  <c r="AJ134" i="65"/>
  <c r="AI134" i="65"/>
  <c r="AH134" i="65"/>
  <c r="AG134" i="65"/>
  <c r="AF134" i="65"/>
  <c r="AE134" i="65"/>
  <c r="AD134" i="65"/>
  <c r="Y134" i="65"/>
  <c r="W134" i="65"/>
  <c r="V134" i="65"/>
  <c r="U134" i="65"/>
  <c r="T134" i="65"/>
  <c r="AN133" i="65"/>
  <c r="AM133" i="65"/>
  <c r="AL133" i="65"/>
  <c r="AK133" i="65"/>
  <c r="AJ133" i="65"/>
  <c r="AI133" i="65"/>
  <c r="AH133" i="65"/>
  <c r="AG133" i="65"/>
  <c r="AF133" i="65"/>
  <c r="AE133" i="65"/>
  <c r="AD133" i="65"/>
  <c r="Y133" i="65"/>
  <c r="W133" i="65"/>
  <c r="V133" i="65"/>
  <c r="U133" i="65"/>
  <c r="T133" i="65"/>
  <c r="AN132" i="65"/>
  <c r="AM132" i="65"/>
  <c r="AL132" i="65"/>
  <c r="AK132" i="65"/>
  <c r="AJ132" i="65"/>
  <c r="AI132" i="65"/>
  <c r="AH132" i="65"/>
  <c r="AG132" i="65"/>
  <c r="AF132" i="65"/>
  <c r="AE132" i="65"/>
  <c r="AD132" i="65"/>
  <c r="Y132" i="65"/>
  <c r="W132" i="65"/>
  <c r="V132" i="65"/>
  <c r="U132" i="65"/>
  <c r="T132" i="65"/>
  <c r="AN131" i="65"/>
  <c r="AM131" i="65"/>
  <c r="AL131" i="65"/>
  <c r="AK131" i="65"/>
  <c r="AJ131" i="65"/>
  <c r="AI131" i="65"/>
  <c r="AH131" i="65"/>
  <c r="AG131" i="65"/>
  <c r="AF131" i="65"/>
  <c r="AE131" i="65"/>
  <c r="AD131" i="65"/>
  <c r="Y131" i="65"/>
  <c r="W131" i="65"/>
  <c r="V131" i="65"/>
  <c r="U131" i="65"/>
  <c r="T131" i="65"/>
  <c r="AN130" i="65"/>
  <c r="AM130" i="65"/>
  <c r="AL130" i="65"/>
  <c r="AK130" i="65"/>
  <c r="AJ130" i="65"/>
  <c r="AI130" i="65"/>
  <c r="AH130" i="65"/>
  <c r="AG130" i="65"/>
  <c r="AF130" i="65"/>
  <c r="AE130" i="65"/>
  <c r="AD130" i="65"/>
  <c r="Y130" i="65"/>
  <c r="W130" i="65"/>
  <c r="V130" i="65"/>
  <c r="U130" i="65"/>
  <c r="T130" i="65"/>
  <c r="AN129" i="65"/>
  <c r="AM129" i="65"/>
  <c r="AL129" i="65"/>
  <c r="AK129" i="65"/>
  <c r="AJ129" i="65"/>
  <c r="AI129" i="65"/>
  <c r="AH129" i="65"/>
  <c r="AG129" i="65"/>
  <c r="AF129" i="65"/>
  <c r="AE129" i="65"/>
  <c r="AD129" i="65"/>
  <c r="Y129" i="65"/>
  <c r="W129" i="65"/>
  <c r="V129" i="65"/>
  <c r="U129" i="65"/>
  <c r="T129" i="65"/>
  <c r="AN128" i="65"/>
  <c r="AM128" i="65"/>
  <c r="AL128" i="65"/>
  <c r="AK128" i="65"/>
  <c r="AJ128" i="65"/>
  <c r="AI128" i="65"/>
  <c r="AH128" i="65"/>
  <c r="AG128" i="65"/>
  <c r="AF128" i="65"/>
  <c r="AE128" i="65"/>
  <c r="AD128" i="65"/>
  <c r="Y128" i="65"/>
  <c r="W128" i="65"/>
  <c r="V128" i="65"/>
  <c r="U128" i="65"/>
  <c r="T128" i="65"/>
  <c r="AN127" i="65"/>
  <c r="AM127" i="65"/>
  <c r="AL127" i="65"/>
  <c r="AK127" i="65"/>
  <c r="AJ127" i="65"/>
  <c r="AI127" i="65"/>
  <c r="AH127" i="65"/>
  <c r="AG127" i="65"/>
  <c r="AF127" i="65"/>
  <c r="AE127" i="65"/>
  <c r="AD127" i="65"/>
  <c r="Y127" i="65"/>
  <c r="W127" i="65"/>
  <c r="V127" i="65"/>
  <c r="U127" i="65"/>
  <c r="T127" i="65"/>
  <c r="AN126" i="65"/>
  <c r="AM126" i="65"/>
  <c r="AL126" i="65"/>
  <c r="AK126" i="65"/>
  <c r="AJ126" i="65"/>
  <c r="AI126" i="65"/>
  <c r="AH126" i="65"/>
  <c r="AG126" i="65"/>
  <c r="AF126" i="65"/>
  <c r="AE126" i="65"/>
  <c r="AD126" i="65"/>
  <c r="Y126" i="65"/>
  <c r="W126" i="65"/>
  <c r="V126" i="65"/>
  <c r="U126" i="65"/>
  <c r="T126" i="65"/>
  <c r="AN125" i="65"/>
  <c r="AM125" i="65"/>
  <c r="AL125" i="65"/>
  <c r="AK125" i="65"/>
  <c r="AJ125" i="65"/>
  <c r="AI125" i="65"/>
  <c r="AH125" i="65"/>
  <c r="AG125" i="65"/>
  <c r="AF125" i="65"/>
  <c r="AE125" i="65"/>
  <c r="AD125" i="65"/>
  <c r="Y125" i="65"/>
  <c r="W125" i="65"/>
  <c r="V125" i="65"/>
  <c r="U125" i="65"/>
  <c r="T125" i="65"/>
  <c r="AN124" i="65"/>
  <c r="AM124" i="65"/>
  <c r="AL124" i="65"/>
  <c r="AK124" i="65"/>
  <c r="AJ124" i="65"/>
  <c r="AI124" i="65"/>
  <c r="AH124" i="65"/>
  <c r="AG124" i="65"/>
  <c r="AF124" i="65"/>
  <c r="AE124" i="65"/>
  <c r="AD124" i="65"/>
  <c r="Y124" i="65"/>
  <c r="W124" i="65"/>
  <c r="V124" i="65"/>
  <c r="U124" i="65"/>
  <c r="T124" i="65"/>
  <c r="AN123" i="65"/>
  <c r="AM123" i="65"/>
  <c r="AL123" i="65"/>
  <c r="AK123" i="65"/>
  <c r="AJ123" i="65"/>
  <c r="AI123" i="65"/>
  <c r="AH123" i="65"/>
  <c r="AG123" i="65"/>
  <c r="AF123" i="65"/>
  <c r="AE123" i="65"/>
  <c r="AD123" i="65"/>
  <c r="Y123" i="65"/>
  <c r="W123" i="65"/>
  <c r="V123" i="65"/>
  <c r="U123" i="65"/>
  <c r="T123" i="65"/>
  <c r="AN122" i="65"/>
  <c r="AM122" i="65"/>
  <c r="AL122" i="65"/>
  <c r="AK122" i="65"/>
  <c r="AJ122" i="65"/>
  <c r="AI122" i="65"/>
  <c r="AH122" i="65"/>
  <c r="AG122" i="65"/>
  <c r="AF122" i="65"/>
  <c r="AE122" i="65"/>
  <c r="AD122" i="65"/>
  <c r="Y122" i="65"/>
  <c r="W122" i="65"/>
  <c r="V122" i="65"/>
  <c r="U122" i="65"/>
  <c r="T122" i="65"/>
  <c r="AN121" i="65"/>
  <c r="AM121" i="65"/>
  <c r="AL121" i="65"/>
  <c r="AK121" i="65"/>
  <c r="AJ121" i="65"/>
  <c r="AI121" i="65"/>
  <c r="AH121" i="65"/>
  <c r="AG121" i="65"/>
  <c r="AF121" i="65"/>
  <c r="AE121" i="65"/>
  <c r="AD121" i="65"/>
  <c r="Y121" i="65"/>
  <c r="W121" i="65"/>
  <c r="V121" i="65"/>
  <c r="U121" i="65"/>
  <c r="T121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Y120" i="65"/>
  <c r="W120" i="65"/>
  <c r="V120" i="65"/>
  <c r="U120" i="65"/>
  <c r="T120" i="65"/>
  <c r="AN119" i="65"/>
  <c r="AM119" i="65"/>
  <c r="AL119" i="65"/>
  <c r="AK119" i="65"/>
  <c r="AJ119" i="65"/>
  <c r="AI119" i="65"/>
  <c r="AH119" i="65"/>
  <c r="AG119" i="65"/>
  <c r="AF119" i="65"/>
  <c r="AE119" i="65"/>
  <c r="AD119" i="65"/>
  <c r="Y119" i="65"/>
  <c r="W119" i="65"/>
  <c r="V119" i="65"/>
  <c r="U119" i="65"/>
  <c r="T119" i="65"/>
  <c r="AN118" i="65"/>
  <c r="AM118" i="65"/>
  <c r="AL118" i="65"/>
  <c r="AK118" i="65"/>
  <c r="AJ118" i="65"/>
  <c r="AI118" i="65"/>
  <c r="AH118" i="65"/>
  <c r="AG118" i="65"/>
  <c r="AF118" i="65"/>
  <c r="AE118" i="65"/>
  <c r="AD118" i="65"/>
  <c r="Y118" i="65"/>
  <c r="W118" i="65"/>
  <c r="V118" i="65"/>
  <c r="U118" i="65"/>
  <c r="T118" i="65"/>
  <c r="AN117" i="65"/>
  <c r="AM117" i="65"/>
  <c r="AL117" i="65"/>
  <c r="AK117" i="65"/>
  <c r="AJ117" i="65"/>
  <c r="AI117" i="65"/>
  <c r="AH117" i="65"/>
  <c r="AG117" i="65"/>
  <c r="AF117" i="65"/>
  <c r="AE117" i="65"/>
  <c r="AD117" i="65"/>
  <c r="Y117" i="65"/>
  <c r="W117" i="65"/>
  <c r="V117" i="65"/>
  <c r="U117" i="65"/>
  <c r="T117" i="65"/>
  <c r="AN116" i="65"/>
  <c r="AM116" i="65"/>
  <c r="AL116" i="65"/>
  <c r="AK116" i="65"/>
  <c r="AJ116" i="65"/>
  <c r="AI116" i="65"/>
  <c r="AH116" i="65"/>
  <c r="AG116" i="65"/>
  <c r="AF116" i="65"/>
  <c r="AE116" i="65"/>
  <c r="AD116" i="65"/>
  <c r="Y116" i="65"/>
  <c r="W116" i="65"/>
  <c r="V116" i="65"/>
  <c r="U116" i="65"/>
  <c r="T116" i="65"/>
  <c r="AN115" i="65"/>
  <c r="AM115" i="65"/>
  <c r="AL115" i="65"/>
  <c r="AK115" i="65"/>
  <c r="AJ115" i="65"/>
  <c r="AI115" i="65"/>
  <c r="AH115" i="65"/>
  <c r="AG115" i="65"/>
  <c r="AF115" i="65"/>
  <c r="AE115" i="65"/>
  <c r="AD115" i="65"/>
  <c r="Y115" i="65"/>
  <c r="W115" i="65"/>
  <c r="V115" i="65"/>
  <c r="U115" i="65"/>
  <c r="T115" i="65"/>
  <c r="AN114" i="65"/>
  <c r="AM114" i="65"/>
  <c r="AL114" i="65"/>
  <c r="AK114" i="65"/>
  <c r="AJ114" i="65"/>
  <c r="AI114" i="65"/>
  <c r="AH114" i="65"/>
  <c r="AG114" i="65"/>
  <c r="AF114" i="65"/>
  <c r="AE114" i="65"/>
  <c r="AD114" i="65"/>
  <c r="Y114" i="65"/>
  <c r="W114" i="65"/>
  <c r="V114" i="65"/>
  <c r="U114" i="65"/>
  <c r="T114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Y113" i="65"/>
  <c r="W113" i="65"/>
  <c r="V113" i="65"/>
  <c r="U113" i="65"/>
  <c r="T113" i="65"/>
  <c r="AN112" i="65"/>
  <c r="AM112" i="65"/>
  <c r="AL112" i="65"/>
  <c r="AK112" i="65"/>
  <c r="AJ112" i="65"/>
  <c r="AI112" i="65"/>
  <c r="AH112" i="65"/>
  <c r="AG112" i="65"/>
  <c r="AF112" i="65"/>
  <c r="AE112" i="65"/>
  <c r="AD112" i="65"/>
  <c r="Y112" i="65"/>
  <c r="W112" i="65"/>
  <c r="V112" i="65"/>
  <c r="U112" i="65"/>
  <c r="T112" i="65"/>
  <c r="AN111" i="65"/>
  <c r="AM111" i="65"/>
  <c r="AL111" i="65"/>
  <c r="AK111" i="65"/>
  <c r="AJ111" i="65"/>
  <c r="AI111" i="65"/>
  <c r="AH111" i="65"/>
  <c r="AG111" i="65"/>
  <c r="AF111" i="65"/>
  <c r="AE111" i="65"/>
  <c r="AD111" i="65"/>
  <c r="Y111" i="65"/>
  <c r="W111" i="65"/>
  <c r="V111" i="65"/>
  <c r="U111" i="65"/>
  <c r="T111" i="65"/>
  <c r="AN110" i="65"/>
  <c r="AM110" i="65"/>
  <c r="AL110" i="65"/>
  <c r="AK110" i="65"/>
  <c r="AJ110" i="65"/>
  <c r="AI110" i="65"/>
  <c r="AH110" i="65"/>
  <c r="AG110" i="65"/>
  <c r="AF110" i="65"/>
  <c r="AE110" i="65"/>
  <c r="AD110" i="65"/>
  <c r="Y110" i="65"/>
  <c r="W110" i="65"/>
  <c r="V110" i="65"/>
  <c r="U110" i="65"/>
  <c r="T110" i="65"/>
  <c r="AN109" i="65"/>
  <c r="AM109" i="65"/>
  <c r="AL109" i="65"/>
  <c r="AK109" i="65"/>
  <c r="AJ109" i="65"/>
  <c r="AI109" i="65"/>
  <c r="AH109" i="65"/>
  <c r="AG109" i="65"/>
  <c r="AF109" i="65"/>
  <c r="AE109" i="65"/>
  <c r="AD109" i="65"/>
  <c r="Y109" i="65"/>
  <c r="W109" i="65"/>
  <c r="V109" i="65"/>
  <c r="U109" i="65"/>
  <c r="T109" i="65"/>
  <c r="AN108" i="65"/>
  <c r="AM108" i="65"/>
  <c r="AL108" i="65"/>
  <c r="AK108" i="65"/>
  <c r="AJ108" i="65"/>
  <c r="AI108" i="65"/>
  <c r="AH108" i="65"/>
  <c r="AG108" i="65"/>
  <c r="AF108" i="65"/>
  <c r="AE108" i="65"/>
  <c r="AD108" i="65"/>
  <c r="Y108" i="65"/>
  <c r="W108" i="65"/>
  <c r="V108" i="65"/>
  <c r="U108" i="65"/>
  <c r="T108" i="65"/>
  <c r="AN107" i="65"/>
  <c r="AM107" i="65"/>
  <c r="AL107" i="65"/>
  <c r="AK107" i="65"/>
  <c r="AJ107" i="65"/>
  <c r="AI107" i="65"/>
  <c r="AH107" i="65"/>
  <c r="AG107" i="65"/>
  <c r="AF107" i="65"/>
  <c r="AE107" i="65"/>
  <c r="AD107" i="65"/>
  <c r="Y107" i="65"/>
  <c r="W107" i="65"/>
  <c r="V107" i="65"/>
  <c r="U107" i="65"/>
  <c r="T107" i="65"/>
  <c r="AN106" i="65"/>
  <c r="AM106" i="65"/>
  <c r="AL106" i="65"/>
  <c r="AK106" i="65"/>
  <c r="AJ106" i="65"/>
  <c r="AI106" i="65"/>
  <c r="AH106" i="65"/>
  <c r="AG106" i="65"/>
  <c r="AF106" i="65"/>
  <c r="AE106" i="65"/>
  <c r="AD106" i="65"/>
  <c r="Y106" i="65"/>
  <c r="W106" i="65"/>
  <c r="V106" i="65"/>
  <c r="U106" i="65"/>
  <c r="T106" i="65"/>
  <c r="AN105" i="65"/>
  <c r="AM105" i="65"/>
  <c r="AL105" i="65"/>
  <c r="AK105" i="65"/>
  <c r="AJ105" i="65"/>
  <c r="AI105" i="65"/>
  <c r="AH105" i="65"/>
  <c r="AG105" i="65"/>
  <c r="AF105" i="65"/>
  <c r="AE105" i="65"/>
  <c r="AD105" i="65"/>
  <c r="Y105" i="65"/>
  <c r="W105" i="65"/>
  <c r="V105" i="65"/>
  <c r="U105" i="65"/>
  <c r="T105" i="65"/>
  <c r="AN104" i="65"/>
  <c r="AM104" i="65"/>
  <c r="AL104" i="65"/>
  <c r="AK104" i="65"/>
  <c r="AJ104" i="65"/>
  <c r="AI104" i="65"/>
  <c r="AH104" i="65"/>
  <c r="AG104" i="65"/>
  <c r="AF104" i="65"/>
  <c r="AE104" i="65"/>
  <c r="AD104" i="65"/>
  <c r="Y104" i="65"/>
  <c r="W104" i="65"/>
  <c r="V104" i="65"/>
  <c r="U104" i="65"/>
  <c r="T104" i="65"/>
  <c r="AN103" i="65"/>
  <c r="AM103" i="65"/>
  <c r="AL103" i="65"/>
  <c r="AK103" i="65"/>
  <c r="AJ103" i="65"/>
  <c r="AI103" i="65"/>
  <c r="AH103" i="65"/>
  <c r="AG103" i="65"/>
  <c r="AF103" i="65"/>
  <c r="AE103" i="65"/>
  <c r="AD103" i="65"/>
  <c r="Y103" i="65"/>
  <c r="W103" i="65"/>
  <c r="V103" i="65"/>
  <c r="U103" i="65"/>
  <c r="T103" i="65"/>
  <c r="AN102" i="65"/>
  <c r="AM102" i="65"/>
  <c r="AL102" i="65"/>
  <c r="AK102" i="65"/>
  <c r="AJ102" i="65"/>
  <c r="AI102" i="65"/>
  <c r="AH102" i="65"/>
  <c r="AG102" i="65"/>
  <c r="AF102" i="65"/>
  <c r="AE102" i="65"/>
  <c r="AD102" i="65"/>
  <c r="Y102" i="65"/>
  <c r="W102" i="65"/>
  <c r="V102" i="65"/>
  <c r="U102" i="65"/>
  <c r="T102" i="65"/>
  <c r="AN101" i="65"/>
  <c r="AM101" i="65"/>
  <c r="AL101" i="65"/>
  <c r="AK101" i="65"/>
  <c r="AJ101" i="65"/>
  <c r="AI101" i="65"/>
  <c r="AH101" i="65"/>
  <c r="AG101" i="65"/>
  <c r="AF101" i="65"/>
  <c r="AE101" i="65"/>
  <c r="AD101" i="65"/>
  <c r="Y101" i="65"/>
  <c r="W101" i="65"/>
  <c r="V101" i="65"/>
  <c r="U101" i="65"/>
  <c r="T101" i="65"/>
  <c r="AN100" i="65"/>
  <c r="AM100" i="65"/>
  <c r="AL100" i="65"/>
  <c r="AK100" i="65"/>
  <c r="AJ100" i="65"/>
  <c r="AI100" i="65"/>
  <c r="AH100" i="65"/>
  <c r="AG100" i="65"/>
  <c r="AF100" i="65"/>
  <c r="AE100" i="65"/>
  <c r="AD100" i="65"/>
  <c r="Y100" i="65"/>
  <c r="W100" i="65"/>
  <c r="V100" i="65"/>
  <c r="U100" i="65"/>
  <c r="T100" i="65"/>
  <c r="AN99" i="65"/>
  <c r="AM99" i="65"/>
  <c r="AL99" i="65"/>
  <c r="AK99" i="65"/>
  <c r="AJ99" i="65"/>
  <c r="AI99" i="65"/>
  <c r="AH99" i="65"/>
  <c r="AG99" i="65"/>
  <c r="AF99" i="65"/>
  <c r="AE99" i="65"/>
  <c r="AD99" i="65"/>
  <c r="Y99" i="65"/>
  <c r="W99" i="65"/>
  <c r="V99" i="65"/>
  <c r="U99" i="65"/>
  <c r="T99" i="65"/>
  <c r="AN98" i="65"/>
  <c r="AM98" i="65"/>
  <c r="AL98" i="65"/>
  <c r="AK98" i="65"/>
  <c r="AJ98" i="65"/>
  <c r="AI98" i="65"/>
  <c r="AH98" i="65"/>
  <c r="AG98" i="65"/>
  <c r="AF98" i="65"/>
  <c r="AE98" i="65"/>
  <c r="AD98" i="65"/>
  <c r="Y98" i="65"/>
  <c r="W98" i="65"/>
  <c r="V98" i="65"/>
  <c r="U98" i="65"/>
  <c r="T98" i="65"/>
  <c r="AN97" i="65"/>
  <c r="AM97" i="65"/>
  <c r="AL97" i="65"/>
  <c r="AK97" i="65"/>
  <c r="AJ97" i="65"/>
  <c r="AI97" i="65"/>
  <c r="AH97" i="65"/>
  <c r="AG97" i="65"/>
  <c r="AF97" i="65"/>
  <c r="AE97" i="65"/>
  <c r="AD97" i="65"/>
  <c r="Y97" i="65"/>
  <c r="W97" i="65"/>
  <c r="V97" i="65"/>
  <c r="U97" i="65"/>
  <c r="T97" i="65"/>
  <c r="AN96" i="65"/>
  <c r="AM96" i="65"/>
  <c r="AL96" i="65"/>
  <c r="AK96" i="65"/>
  <c r="AJ96" i="65"/>
  <c r="AI96" i="65"/>
  <c r="AH96" i="65"/>
  <c r="AG96" i="65"/>
  <c r="AF96" i="65"/>
  <c r="AE96" i="65"/>
  <c r="AD96" i="65"/>
  <c r="Y96" i="65"/>
  <c r="W96" i="65"/>
  <c r="V96" i="65"/>
  <c r="U96" i="65"/>
  <c r="T96" i="65"/>
  <c r="AN95" i="65"/>
  <c r="AM95" i="65"/>
  <c r="AL95" i="65"/>
  <c r="AK95" i="65"/>
  <c r="AJ95" i="65"/>
  <c r="AI95" i="65"/>
  <c r="AH95" i="65"/>
  <c r="AG95" i="65"/>
  <c r="AF95" i="65"/>
  <c r="AE95" i="65"/>
  <c r="AD95" i="65"/>
  <c r="Y95" i="65"/>
  <c r="W95" i="65"/>
  <c r="V95" i="65"/>
  <c r="U95" i="65"/>
  <c r="T95" i="65"/>
  <c r="AN94" i="65"/>
  <c r="AM94" i="65"/>
  <c r="AL94" i="65"/>
  <c r="AK94" i="65"/>
  <c r="AJ94" i="65"/>
  <c r="AI94" i="65"/>
  <c r="AH94" i="65"/>
  <c r="AG94" i="65"/>
  <c r="AF94" i="65"/>
  <c r="AE94" i="65"/>
  <c r="AD94" i="65"/>
  <c r="Y94" i="65"/>
  <c r="W94" i="65"/>
  <c r="V94" i="65"/>
  <c r="U94" i="65"/>
  <c r="T94" i="65"/>
  <c r="AN93" i="65"/>
  <c r="AM93" i="65"/>
  <c r="AL93" i="65"/>
  <c r="AK93" i="65"/>
  <c r="AJ93" i="65"/>
  <c r="AI93" i="65"/>
  <c r="AH93" i="65"/>
  <c r="AG93" i="65"/>
  <c r="AF93" i="65"/>
  <c r="AE93" i="65"/>
  <c r="AD93" i="65"/>
  <c r="Y93" i="65"/>
  <c r="W93" i="65"/>
  <c r="V93" i="65"/>
  <c r="U93" i="65"/>
  <c r="T93" i="65"/>
  <c r="AN92" i="65"/>
  <c r="AM92" i="65"/>
  <c r="AL92" i="65"/>
  <c r="AK92" i="65"/>
  <c r="AJ92" i="65"/>
  <c r="AI92" i="65"/>
  <c r="AH92" i="65"/>
  <c r="AG92" i="65"/>
  <c r="AF92" i="65"/>
  <c r="AE92" i="65"/>
  <c r="AD92" i="65"/>
  <c r="Y92" i="65"/>
  <c r="W92" i="65"/>
  <c r="V92" i="65"/>
  <c r="U92" i="65"/>
  <c r="T92" i="65"/>
  <c r="AN91" i="65"/>
  <c r="AM91" i="65"/>
  <c r="AL91" i="65"/>
  <c r="AK91" i="65"/>
  <c r="AJ91" i="65"/>
  <c r="AI91" i="65"/>
  <c r="AH91" i="65"/>
  <c r="AG91" i="65"/>
  <c r="AF91" i="65"/>
  <c r="AE91" i="65"/>
  <c r="AD91" i="65"/>
  <c r="Y91" i="65"/>
  <c r="W91" i="65"/>
  <c r="V91" i="65"/>
  <c r="U91" i="65"/>
  <c r="T91" i="65"/>
  <c r="AN90" i="65"/>
  <c r="AM90" i="65"/>
  <c r="AL90" i="65"/>
  <c r="AK90" i="65"/>
  <c r="AJ90" i="65"/>
  <c r="AI90" i="65"/>
  <c r="AH90" i="65"/>
  <c r="AG90" i="65"/>
  <c r="AF90" i="65"/>
  <c r="AE90" i="65"/>
  <c r="AD90" i="65"/>
  <c r="Y90" i="65"/>
  <c r="W90" i="65"/>
  <c r="V90" i="65"/>
  <c r="U90" i="65"/>
  <c r="T90" i="65"/>
  <c r="AN89" i="65"/>
  <c r="AM89" i="65"/>
  <c r="AL89" i="65"/>
  <c r="AK89" i="65"/>
  <c r="AJ89" i="65"/>
  <c r="AI89" i="65"/>
  <c r="AH89" i="65"/>
  <c r="AG89" i="65"/>
  <c r="AF89" i="65"/>
  <c r="AE89" i="65"/>
  <c r="AD89" i="65"/>
  <c r="Y89" i="65"/>
  <c r="W89" i="65"/>
  <c r="V89" i="65"/>
  <c r="U89" i="65"/>
  <c r="T89" i="65"/>
  <c r="AN88" i="65"/>
  <c r="AM88" i="65"/>
  <c r="AL88" i="65"/>
  <c r="AK88" i="65"/>
  <c r="AJ88" i="65"/>
  <c r="AI88" i="65"/>
  <c r="AH88" i="65"/>
  <c r="AG88" i="65"/>
  <c r="AF88" i="65"/>
  <c r="AE88" i="65"/>
  <c r="AD88" i="65"/>
  <c r="Y88" i="65"/>
  <c r="W88" i="65"/>
  <c r="V88" i="65"/>
  <c r="U88" i="65"/>
  <c r="T88" i="65"/>
  <c r="AN87" i="65"/>
  <c r="AM87" i="65"/>
  <c r="AL87" i="65"/>
  <c r="AK87" i="65"/>
  <c r="AJ87" i="65"/>
  <c r="AI87" i="65"/>
  <c r="AH87" i="65"/>
  <c r="AG87" i="65"/>
  <c r="AF87" i="65"/>
  <c r="AE87" i="65"/>
  <c r="AD87" i="65"/>
  <c r="Y87" i="65"/>
  <c r="W87" i="65"/>
  <c r="V87" i="65"/>
  <c r="U87" i="65"/>
  <c r="T87" i="65"/>
  <c r="AN86" i="65"/>
  <c r="AM86" i="65"/>
  <c r="AL86" i="65"/>
  <c r="AK86" i="65"/>
  <c r="AJ86" i="65"/>
  <c r="AI86" i="65"/>
  <c r="AH86" i="65"/>
  <c r="AG86" i="65"/>
  <c r="AF86" i="65"/>
  <c r="AE86" i="65"/>
  <c r="AD86" i="65"/>
  <c r="Y86" i="65"/>
  <c r="W86" i="65"/>
  <c r="V86" i="65"/>
  <c r="U86" i="65"/>
  <c r="T86" i="65"/>
  <c r="AN85" i="65"/>
  <c r="AM85" i="65"/>
  <c r="AL85" i="65"/>
  <c r="AK85" i="65"/>
  <c r="AJ85" i="65"/>
  <c r="AI85" i="65"/>
  <c r="AH85" i="65"/>
  <c r="AG85" i="65"/>
  <c r="AF85" i="65"/>
  <c r="AE85" i="65"/>
  <c r="AD85" i="65"/>
  <c r="Y85" i="65"/>
  <c r="W85" i="65"/>
  <c r="V85" i="65"/>
  <c r="U85" i="65"/>
  <c r="T85" i="65"/>
  <c r="AN84" i="65"/>
  <c r="AM84" i="65"/>
  <c r="AL84" i="65"/>
  <c r="AK84" i="65"/>
  <c r="AJ84" i="65"/>
  <c r="AI84" i="65"/>
  <c r="AH84" i="65"/>
  <c r="AG84" i="65"/>
  <c r="AF84" i="65"/>
  <c r="AE84" i="65"/>
  <c r="AD84" i="65"/>
  <c r="Y84" i="65"/>
  <c r="W84" i="65"/>
  <c r="V84" i="65"/>
  <c r="U84" i="65"/>
  <c r="T84" i="65"/>
  <c r="AN83" i="65"/>
  <c r="AM83" i="65"/>
  <c r="AL83" i="65"/>
  <c r="AK83" i="65"/>
  <c r="AJ83" i="65"/>
  <c r="AI83" i="65"/>
  <c r="AH83" i="65"/>
  <c r="AG83" i="65"/>
  <c r="AF83" i="65"/>
  <c r="AE83" i="65"/>
  <c r="AD83" i="65"/>
  <c r="Y83" i="65"/>
  <c r="W83" i="65"/>
  <c r="V83" i="65"/>
  <c r="U83" i="65"/>
  <c r="T83" i="65"/>
  <c r="AN82" i="65"/>
  <c r="AM82" i="65"/>
  <c r="AL82" i="65"/>
  <c r="AK82" i="65"/>
  <c r="AJ82" i="65"/>
  <c r="AI82" i="65"/>
  <c r="AH82" i="65"/>
  <c r="AG82" i="65"/>
  <c r="AF82" i="65"/>
  <c r="AE82" i="65"/>
  <c r="AD82" i="65"/>
  <c r="Y82" i="65"/>
  <c r="W82" i="65"/>
  <c r="V82" i="65"/>
  <c r="U82" i="65"/>
  <c r="T82" i="65"/>
  <c r="AN81" i="65"/>
  <c r="AM81" i="65"/>
  <c r="AL81" i="65"/>
  <c r="AK81" i="65"/>
  <c r="AJ81" i="65"/>
  <c r="AI81" i="65"/>
  <c r="AH81" i="65"/>
  <c r="AG81" i="65"/>
  <c r="AF81" i="65"/>
  <c r="AE81" i="65"/>
  <c r="AD81" i="65"/>
  <c r="Y81" i="65"/>
  <c r="W81" i="65"/>
  <c r="V81" i="65"/>
  <c r="U81" i="65"/>
  <c r="T81" i="65"/>
  <c r="AN80" i="65"/>
  <c r="AM80" i="65"/>
  <c r="AL80" i="65"/>
  <c r="AK80" i="65"/>
  <c r="AJ80" i="65"/>
  <c r="AI80" i="65"/>
  <c r="AH80" i="65"/>
  <c r="AG80" i="65"/>
  <c r="AF80" i="65"/>
  <c r="AE80" i="65"/>
  <c r="AD80" i="65"/>
  <c r="Y80" i="65"/>
  <c r="W80" i="65"/>
  <c r="V80" i="65"/>
  <c r="U80" i="65"/>
  <c r="T80" i="65"/>
  <c r="AN79" i="65"/>
  <c r="AM79" i="65"/>
  <c r="AL79" i="65"/>
  <c r="AK79" i="65"/>
  <c r="AJ79" i="65"/>
  <c r="AI79" i="65"/>
  <c r="AH79" i="65"/>
  <c r="AG79" i="65"/>
  <c r="AF79" i="65"/>
  <c r="AE79" i="65"/>
  <c r="AD79" i="65"/>
  <c r="Y79" i="65"/>
  <c r="W79" i="65"/>
  <c r="V79" i="65"/>
  <c r="U79" i="65"/>
  <c r="T79" i="65"/>
  <c r="AN78" i="65"/>
  <c r="AM78" i="65"/>
  <c r="AL78" i="65"/>
  <c r="AK78" i="65"/>
  <c r="AJ78" i="65"/>
  <c r="AI78" i="65"/>
  <c r="AH78" i="65"/>
  <c r="AG78" i="65"/>
  <c r="AF78" i="65"/>
  <c r="AE78" i="65"/>
  <c r="AD78" i="65"/>
  <c r="Y78" i="65"/>
  <c r="W78" i="65"/>
  <c r="V78" i="65"/>
  <c r="U78" i="65"/>
  <c r="T78" i="65"/>
  <c r="AN77" i="65"/>
  <c r="AM77" i="65"/>
  <c r="AL77" i="65"/>
  <c r="AK77" i="65"/>
  <c r="AJ77" i="65"/>
  <c r="AI77" i="65"/>
  <c r="AH77" i="65"/>
  <c r="AG77" i="65"/>
  <c r="AF77" i="65"/>
  <c r="AE77" i="65"/>
  <c r="AD77" i="65"/>
  <c r="Y77" i="65"/>
  <c r="W77" i="65"/>
  <c r="V77" i="65"/>
  <c r="U77" i="65"/>
  <c r="T77" i="65"/>
  <c r="AN76" i="65"/>
  <c r="AM76" i="65"/>
  <c r="AL76" i="65"/>
  <c r="AK76" i="65"/>
  <c r="AJ76" i="65"/>
  <c r="AI76" i="65"/>
  <c r="AH76" i="65"/>
  <c r="AG76" i="65"/>
  <c r="AF76" i="65"/>
  <c r="AE76" i="65"/>
  <c r="AD76" i="65"/>
  <c r="Y76" i="65"/>
  <c r="W76" i="65"/>
  <c r="V76" i="65"/>
  <c r="U76" i="65"/>
  <c r="T76" i="65"/>
  <c r="AN75" i="65"/>
  <c r="AM75" i="65"/>
  <c r="AL75" i="65"/>
  <c r="AK75" i="65"/>
  <c r="AJ75" i="65"/>
  <c r="AI75" i="65"/>
  <c r="AH75" i="65"/>
  <c r="AG75" i="65"/>
  <c r="AF75" i="65"/>
  <c r="AE75" i="65"/>
  <c r="AD75" i="65"/>
  <c r="Y75" i="65"/>
  <c r="W75" i="65"/>
  <c r="V75" i="65"/>
  <c r="U75" i="65"/>
  <c r="T75" i="65"/>
  <c r="AN74" i="65"/>
  <c r="AM74" i="65"/>
  <c r="AL74" i="65"/>
  <c r="AK74" i="65"/>
  <c r="AJ74" i="65"/>
  <c r="AI74" i="65"/>
  <c r="AH74" i="65"/>
  <c r="AG74" i="65"/>
  <c r="AF74" i="65"/>
  <c r="AE74" i="65"/>
  <c r="AD74" i="65"/>
  <c r="Y74" i="65"/>
  <c r="W74" i="65"/>
  <c r="V74" i="65"/>
  <c r="U74" i="65"/>
  <c r="T74" i="65"/>
  <c r="AN73" i="65"/>
  <c r="AM73" i="65"/>
  <c r="AL73" i="65"/>
  <c r="AK73" i="65"/>
  <c r="AJ73" i="65"/>
  <c r="AI73" i="65"/>
  <c r="AH73" i="65"/>
  <c r="AG73" i="65"/>
  <c r="AF73" i="65"/>
  <c r="AE73" i="65"/>
  <c r="AD73" i="65"/>
  <c r="Y73" i="65"/>
  <c r="W73" i="65"/>
  <c r="V73" i="65"/>
  <c r="U73" i="65"/>
  <c r="T73" i="65"/>
  <c r="AN72" i="65"/>
  <c r="AM72" i="65"/>
  <c r="AL72" i="65"/>
  <c r="AK72" i="65"/>
  <c r="AJ72" i="65"/>
  <c r="AI72" i="65"/>
  <c r="AH72" i="65"/>
  <c r="AG72" i="65"/>
  <c r="AF72" i="65"/>
  <c r="AE72" i="65"/>
  <c r="AD72" i="65"/>
  <c r="Y72" i="65"/>
  <c r="W72" i="65"/>
  <c r="V72" i="65"/>
  <c r="U72" i="65"/>
  <c r="T72" i="65"/>
  <c r="AN71" i="65"/>
  <c r="AM71" i="65"/>
  <c r="AL71" i="65"/>
  <c r="AK71" i="65"/>
  <c r="AJ71" i="65"/>
  <c r="AI71" i="65"/>
  <c r="AH71" i="65"/>
  <c r="AG71" i="65"/>
  <c r="AF71" i="65"/>
  <c r="AE71" i="65"/>
  <c r="AD71" i="65"/>
  <c r="Y71" i="65"/>
  <c r="W71" i="65"/>
  <c r="V71" i="65"/>
  <c r="U71" i="65"/>
  <c r="T71" i="65"/>
  <c r="AN70" i="65"/>
  <c r="AM70" i="65"/>
  <c r="AL70" i="65"/>
  <c r="AK70" i="65"/>
  <c r="AJ70" i="65"/>
  <c r="AI70" i="65"/>
  <c r="AH70" i="65"/>
  <c r="AG70" i="65"/>
  <c r="AF70" i="65"/>
  <c r="AE70" i="65"/>
  <c r="AD70" i="65"/>
  <c r="Y70" i="65"/>
  <c r="W70" i="65"/>
  <c r="V70" i="65"/>
  <c r="U70" i="65"/>
  <c r="T70" i="65"/>
  <c r="AN69" i="65"/>
  <c r="AM69" i="65"/>
  <c r="AL69" i="65"/>
  <c r="AK69" i="65"/>
  <c r="AJ69" i="65"/>
  <c r="AI69" i="65"/>
  <c r="AH69" i="65"/>
  <c r="AG69" i="65"/>
  <c r="AF69" i="65"/>
  <c r="AE69" i="65"/>
  <c r="AD69" i="65"/>
  <c r="Y69" i="65"/>
  <c r="W69" i="65"/>
  <c r="V69" i="65"/>
  <c r="U69" i="65"/>
  <c r="T69" i="65"/>
  <c r="AN68" i="65"/>
  <c r="AM68" i="65"/>
  <c r="AL68" i="65"/>
  <c r="AK68" i="65"/>
  <c r="AJ68" i="65"/>
  <c r="AI68" i="65"/>
  <c r="AH68" i="65"/>
  <c r="AG68" i="65"/>
  <c r="AF68" i="65"/>
  <c r="AE68" i="65"/>
  <c r="AD68" i="65"/>
  <c r="Y68" i="65"/>
  <c r="W68" i="65"/>
  <c r="V68" i="65"/>
  <c r="U68" i="65"/>
  <c r="T68" i="65"/>
  <c r="AN67" i="65"/>
  <c r="AM67" i="65"/>
  <c r="AL67" i="65"/>
  <c r="AK67" i="65"/>
  <c r="AJ67" i="65"/>
  <c r="AI67" i="65"/>
  <c r="AH67" i="65"/>
  <c r="AG67" i="65"/>
  <c r="AF67" i="65"/>
  <c r="AE67" i="65"/>
  <c r="AD67" i="65"/>
  <c r="Y67" i="65"/>
  <c r="W67" i="65"/>
  <c r="V67" i="65"/>
  <c r="U67" i="65"/>
  <c r="T67" i="65"/>
  <c r="AN66" i="65"/>
  <c r="AM66" i="65"/>
  <c r="AL66" i="65"/>
  <c r="AK66" i="65"/>
  <c r="AJ66" i="65"/>
  <c r="AI66" i="65"/>
  <c r="AH66" i="65"/>
  <c r="AG66" i="65"/>
  <c r="AF66" i="65"/>
  <c r="AE66" i="65"/>
  <c r="AD66" i="65"/>
  <c r="Y66" i="65"/>
  <c r="W66" i="65"/>
  <c r="V66" i="65"/>
  <c r="U66" i="65"/>
  <c r="T66" i="65"/>
  <c r="AN65" i="65"/>
  <c r="AM65" i="65"/>
  <c r="AL65" i="65"/>
  <c r="AK65" i="65"/>
  <c r="AJ65" i="65"/>
  <c r="AI65" i="65"/>
  <c r="AH65" i="65"/>
  <c r="AG65" i="65"/>
  <c r="AF65" i="65"/>
  <c r="AE65" i="65"/>
  <c r="AD65" i="65"/>
  <c r="Y65" i="65"/>
  <c r="W65" i="65"/>
  <c r="V65" i="65"/>
  <c r="U65" i="65"/>
  <c r="T65" i="65"/>
  <c r="AN64" i="65"/>
  <c r="AM64" i="65"/>
  <c r="AL64" i="65"/>
  <c r="AK64" i="65"/>
  <c r="AJ64" i="65"/>
  <c r="AI64" i="65"/>
  <c r="AH64" i="65"/>
  <c r="AG64" i="65"/>
  <c r="AF64" i="65"/>
  <c r="AE64" i="65"/>
  <c r="AD64" i="65"/>
  <c r="Y64" i="65"/>
  <c r="W64" i="65"/>
  <c r="V64" i="65"/>
  <c r="U64" i="65"/>
  <c r="T64" i="65"/>
  <c r="AN63" i="65"/>
  <c r="AM63" i="65"/>
  <c r="AL63" i="65"/>
  <c r="AK63" i="65"/>
  <c r="AJ63" i="65"/>
  <c r="AI63" i="65"/>
  <c r="AH63" i="65"/>
  <c r="AG63" i="65"/>
  <c r="AF63" i="65"/>
  <c r="AE63" i="65"/>
  <c r="AD63" i="65"/>
  <c r="Y63" i="65"/>
  <c r="W63" i="65"/>
  <c r="V63" i="65"/>
  <c r="U63" i="65"/>
  <c r="T63" i="65"/>
  <c r="AN62" i="65"/>
  <c r="AM62" i="65"/>
  <c r="AL62" i="65"/>
  <c r="AK62" i="65"/>
  <c r="AJ62" i="65"/>
  <c r="AI62" i="65"/>
  <c r="AH62" i="65"/>
  <c r="AG62" i="65"/>
  <c r="AF62" i="65"/>
  <c r="AE62" i="65"/>
  <c r="AD62" i="65"/>
  <c r="Y62" i="65"/>
  <c r="W62" i="65"/>
  <c r="V62" i="65"/>
  <c r="U62" i="65"/>
  <c r="T62" i="65"/>
  <c r="AN61" i="65"/>
  <c r="AM61" i="65"/>
  <c r="AL61" i="65"/>
  <c r="AK61" i="65"/>
  <c r="AJ61" i="65"/>
  <c r="AI61" i="65"/>
  <c r="AH61" i="65"/>
  <c r="AG61" i="65"/>
  <c r="AF61" i="65"/>
  <c r="AE61" i="65"/>
  <c r="AD61" i="65"/>
  <c r="Y61" i="65"/>
  <c r="W61" i="65"/>
  <c r="V61" i="65"/>
  <c r="U61" i="65"/>
  <c r="T61" i="65"/>
  <c r="AN60" i="65"/>
  <c r="AM60" i="65"/>
  <c r="AL60" i="65"/>
  <c r="AK60" i="65"/>
  <c r="AJ60" i="65"/>
  <c r="AI60" i="65"/>
  <c r="AH60" i="65"/>
  <c r="AG60" i="65"/>
  <c r="AF60" i="65"/>
  <c r="AE60" i="65"/>
  <c r="AD60" i="65"/>
  <c r="Y60" i="65"/>
  <c r="W60" i="65"/>
  <c r="V60" i="65"/>
  <c r="U60" i="65"/>
  <c r="T60" i="65"/>
  <c r="AN59" i="65"/>
  <c r="AM59" i="65"/>
  <c r="AL59" i="65"/>
  <c r="AK59" i="65"/>
  <c r="AJ59" i="65"/>
  <c r="AI59" i="65"/>
  <c r="AH59" i="65"/>
  <c r="AG59" i="65"/>
  <c r="AF59" i="65"/>
  <c r="AE59" i="65"/>
  <c r="AD59" i="65"/>
  <c r="Y59" i="65"/>
  <c r="W59" i="65"/>
  <c r="V59" i="65"/>
  <c r="U59" i="65"/>
  <c r="T59" i="65"/>
  <c r="AN58" i="65"/>
  <c r="AM58" i="65"/>
  <c r="AL58" i="65"/>
  <c r="AK58" i="65"/>
  <c r="AJ58" i="65"/>
  <c r="AI58" i="65"/>
  <c r="AH58" i="65"/>
  <c r="AG58" i="65"/>
  <c r="AF58" i="65"/>
  <c r="AE58" i="65"/>
  <c r="AD58" i="65"/>
  <c r="Y58" i="65"/>
  <c r="W58" i="65"/>
  <c r="V58" i="65"/>
  <c r="U58" i="65"/>
  <c r="T58" i="65"/>
  <c r="AN57" i="65"/>
  <c r="AM57" i="65"/>
  <c r="AL57" i="65"/>
  <c r="AK57" i="65"/>
  <c r="AJ57" i="65"/>
  <c r="AI57" i="65"/>
  <c r="AH57" i="65"/>
  <c r="AG57" i="65"/>
  <c r="AF57" i="65"/>
  <c r="AE57" i="65"/>
  <c r="AD57" i="65"/>
  <c r="Y57" i="65"/>
  <c r="W57" i="65"/>
  <c r="V57" i="65"/>
  <c r="U57" i="65"/>
  <c r="T57" i="65"/>
  <c r="AN56" i="65"/>
  <c r="AM56" i="65"/>
  <c r="AL56" i="65"/>
  <c r="AK56" i="65"/>
  <c r="AJ56" i="65"/>
  <c r="AI56" i="65"/>
  <c r="AH56" i="65"/>
  <c r="AG56" i="65"/>
  <c r="AF56" i="65"/>
  <c r="AE56" i="65"/>
  <c r="AD56" i="65"/>
  <c r="Y56" i="65"/>
  <c r="W56" i="65"/>
  <c r="V56" i="65"/>
  <c r="U56" i="65"/>
  <c r="T56" i="65"/>
  <c r="AN55" i="65"/>
  <c r="AM55" i="65"/>
  <c r="AL55" i="65"/>
  <c r="AK55" i="65"/>
  <c r="AJ55" i="65"/>
  <c r="AI55" i="65"/>
  <c r="AH55" i="65"/>
  <c r="AG55" i="65"/>
  <c r="AF55" i="65"/>
  <c r="AE55" i="65"/>
  <c r="AD55" i="65"/>
  <c r="Y55" i="65"/>
  <c r="W55" i="65"/>
  <c r="V55" i="65"/>
  <c r="U55" i="65"/>
  <c r="T55" i="65"/>
  <c r="AN54" i="65"/>
  <c r="AM54" i="65"/>
  <c r="AL54" i="65"/>
  <c r="AK54" i="65"/>
  <c r="AJ54" i="65"/>
  <c r="AI54" i="65"/>
  <c r="AH54" i="65"/>
  <c r="AG54" i="65"/>
  <c r="AF54" i="65"/>
  <c r="AE54" i="65"/>
  <c r="AD54" i="65"/>
  <c r="Y54" i="65"/>
  <c r="W54" i="65"/>
  <c r="V54" i="65"/>
  <c r="U54" i="65"/>
  <c r="T54" i="65"/>
  <c r="AN53" i="65"/>
  <c r="AM53" i="65"/>
  <c r="AL53" i="65"/>
  <c r="AK53" i="65"/>
  <c r="AJ53" i="65"/>
  <c r="AI53" i="65"/>
  <c r="AH53" i="65"/>
  <c r="AG53" i="65"/>
  <c r="AF53" i="65"/>
  <c r="AE53" i="65"/>
  <c r="AD53" i="65"/>
  <c r="Y53" i="65"/>
  <c r="W53" i="65"/>
  <c r="V53" i="65"/>
  <c r="U53" i="65"/>
  <c r="T53" i="65"/>
  <c r="AN52" i="65"/>
  <c r="AM52" i="65"/>
  <c r="AL52" i="65"/>
  <c r="AK52" i="65"/>
  <c r="AJ52" i="65"/>
  <c r="AI52" i="65"/>
  <c r="AH52" i="65"/>
  <c r="AG52" i="65"/>
  <c r="AF52" i="65"/>
  <c r="AE52" i="65"/>
  <c r="AD52" i="65"/>
  <c r="Y52" i="65"/>
  <c r="W52" i="65"/>
  <c r="V52" i="65"/>
  <c r="U52" i="65"/>
  <c r="T52" i="65"/>
  <c r="AN51" i="65"/>
  <c r="AM51" i="65"/>
  <c r="AL51" i="65"/>
  <c r="AK51" i="65"/>
  <c r="AJ51" i="65"/>
  <c r="AI51" i="65"/>
  <c r="AH51" i="65"/>
  <c r="AG51" i="65"/>
  <c r="AF51" i="65"/>
  <c r="AE51" i="65"/>
  <c r="AD51" i="65"/>
  <c r="Y51" i="65"/>
  <c r="W51" i="65"/>
  <c r="V51" i="65"/>
  <c r="U51" i="65"/>
  <c r="T51" i="65"/>
  <c r="AN50" i="65"/>
  <c r="AM50" i="65"/>
  <c r="AL50" i="65"/>
  <c r="AK50" i="65"/>
  <c r="AJ50" i="65"/>
  <c r="AI50" i="65"/>
  <c r="AH50" i="65"/>
  <c r="AG50" i="65"/>
  <c r="AF50" i="65"/>
  <c r="AE50" i="65"/>
  <c r="AD50" i="65"/>
  <c r="Y50" i="65"/>
  <c r="W50" i="65"/>
  <c r="V50" i="65"/>
  <c r="U50" i="65"/>
  <c r="T50" i="65"/>
  <c r="AN49" i="65"/>
  <c r="AM49" i="65"/>
  <c r="AL49" i="65"/>
  <c r="AK49" i="65"/>
  <c r="AJ49" i="65"/>
  <c r="AI49" i="65"/>
  <c r="AH49" i="65"/>
  <c r="AG49" i="65"/>
  <c r="AF49" i="65"/>
  <c r="AE49" i="65"/>
  <c r="AD49" i="65"/>
  <c r="Y49" i="65"/>
  <c r="W49" i="65"/>
  <c r="V49" i="65"/>
  <c r="U49" i="65"/>
  <c r="T49" i="65"/>
  <c r="AN48" i="65"/>
  <c r="AM48" i="65"/>
  <c r="AL48" i="65"/>
  <c r="AK48" i="65"/>
  <c r="AJ48" i="65"/>
  <c r="AI48" i="65"/>
  <c r="AH48" i="65"/>
  <c r="AG48" i="65"/>
  <c r="AF48" i="65"/>
  <c r="AE48" i="65"/>
  <c r="AD48" i="65"/>
  <c r="Y48" i="65"/>
  <c r="W48" i="65"/>
  <c r="V48" i="65"/>
  <c r="U48" i="65"/>
  <c r="T48" i="65"/>
  <c r="AN47" i="65"/>
  <c r="AM47" i="65"/>
  <c r="AL47" i="65"/>
  <c r="AK47" i="65"/>
  <c r="AJ47" i="65"/>
  <c r="AI47" i="65"/>
  <c r="AH47" i="65"/>
  <c r="AG47" i="65"/>
  <c r="AF47" i="65"/>
  <c r="AE47" i="65"/>
  <c r="AD47" i="65"/>
  <c r="Y47" i="65"/>
  <c r="W47" i="65"/>
  <c r="V47" i="65"/>
  <c r="U47" i="65"/>
  <c r="T47" i="65"/>
  <c r="AN46" i="65"/>
  <c r="AM46" i="65"/>
  <c r="AL46" i="65"/>
  <c r="AK46" i="65"/>
  <c r="AJ46" i="65"/>
  <c r="AI46" i="65"/>
  <c r="AH46" i="65"/>
  <c r="AG46" i="65"/>
  <c r="AF46" i="65"/>
  <c r="AE46" i="65"/>
  <c r="AD46" i="65"/>
  <c r="Y46" i="65"/>
  <c r="W46" i="65"/>
  <c r="V46" i="65"/>
  <c r="U46" i="65"/>
  <c r="T46" i="65"/>
  <c r="AN45" i="65"/>
  <c r="AM45" i="65"/>
  <c r="AL45" i="65"/>
  <c r="AK45" i="65"/>
  <c r="AJ45" i="65"/>
  <c r="AI45" i="65"/>
  <c r="AH45" i="65"/>
  <c r="AG45" i="65"/>
  <c r="AF45" i="65"/>
  <c r="AE45" i="65"/>
  <c r="AD45" i="65"/>
  <c r="Y45" i="65"/>
  <c r="W45" i="65"/>
  <c r="V45" i="65"/>
  <c r="U45" i="65"/>
  <c r="T45" i="65"/>
  <c r="AN44" i="65"/>
  <c r="AM44" i="65"/>
  <c r="AL44" i="65"/>
  <c r="AK44" i="65"/>
  <c r="AJ44" i="65"/>
  <c r="AI44" i="65"/>
  <c r="AH44" i="65"/>
  <c r="AG44" i="65"/>
  <c r="AF44" i="65"/>
  <c r="AE44" i="65"/>
  <c r="AD44" i="65"/>
  <c r="Y44" i="65"/>
  <c r="W44" i="65"/>
  <c r="V44" i="65"/>
  <c r="U44" i="65"/>
  <c r="T44" i="65"/>
  <c r="AN43" i="65"/>
  <c r="AM43" i="65"/>
  <c r="AL43" i="65"/>
  <c r="AK43" i="65"/>
  <c r="AJ43" i="65"/>
  <c r="AI43" i="65"/>
  <c r="AH43" i="65"/>
  <c r="AG43" i="65"/>
  <c r="AF43" i="65"/>
  <c r="AE43" i="65"/>
  <c r="AD43" i="65"/>
  <c r="Y43" i="65"/>
  <c r="W43" i="65"/>
  <c r="V43" i="65"/>
  <c r="U43" i="65"/>
  <c r="T43" i="65"/>
  <c r="AN42" i="65"/>
  <c r="AM42" i="65"/>
  <c r="AL42" i="65"/>
  <c r="AK42" i="65"/>
  <c r="AJ42" i="65"/>
  <c r="AI42" i="65"/>
  <c r="AH42" i="65"/>
  <c r="AG42" i="65"/>
  <c r="AF42" i="65"/>
  <c r="AE42" i="65"/>
  <c r="AD42" i="65"/>
  <c r="Y42" i="65"/>
  <c r="W42" i="65"/>
  <c r="V42" i="65"/>
  <c r="U42" i="65"/>
  <c r="T42" i="65"/>
  <c r="AN41" i="65"/>
  <c r="AM41" i="65"/>
  <c r="AL41" i="65"/>
  <c r="AK41" i="65"/>
  <c r="AJ41" i="65"/>
  <c r="AI41" i="65"/>
  <c r="AH41" i="65"/>
  <c r="AG41" i="65"/>
  <c r="AF41" i="65"/>
  <c r="AE41" i="65"/>
  <c r="AD41" i="65"/>
  <c r="Y41" i="65"/>
  <c r="W41" i="65"/>
  <c r="V41" i="65"/>
  <c r="U41" i="65"/>
  <c r="T41" i="65"/>
  <c r="AN40" i="65"/>
  <c r="AM40" i="65"/>
  <c r="AL40" i="65"/>
  <c r="AK40" i="65"/>
  <c r="AJ40" i="65"/>
  <c r="AI40" i="65"/>
  <c r="AH40" i="65"/>
  <c r="AG40" i="65"/>
  <c r="AF40" i="65"/>
  <c r="AE40" i="65"/>
  <c r="AD40" i="65"/>
  <c r="Y40" i="65"/>
  <c r="W40" i="65"/>
  <c r="V40" i="65"/>
  <c r="U40" i="65"/>
  <c r="T40" i="65"/>
  <c r="AN39" i="65"/>
  <c r="AM39" i="65"/>
  <c r="AL39" i="65"/>
  <c r="AK39" i="65"/>
  <c r="AJ39" i="65"/>
  <c r="AI39" i="65"/>
  <c r="AH39" i="65"/>
  <c r="AG39" i="65"/>
  <c r="AF39" i="65"/>
  <c r="AE39" i="65"/>
  <c r="AD39" i="65"/>
  <c r="Y39" i="65"/>
  <c r="W39" i="65"/>
  <c r="V39" i="65"/>
  <c r="U39" i="65"/>
  <c r="T39" i="65"/>
  <c r="AN38" i="65"/>
  <c r="AM38" i="65"/>
  <c r="AL38" i="65"/>
  <c r="AK38" i="65"/>
  <c r="AJ38" i="65"/>
  <c r="AI38" i="65"/>
  <c r="AH38" i="65"/>
  <c r="AG38" i="65"/>
  <c r="AF38" i="65"/>
  <c r="AE38" i="65"/>
  <c r="AD38" i="65"/>
  <c r="Y38" i="65"/>
  <c r="W38" i="65"/>
  <c r="V38" i="65"/>
  <c r="U38" i="65"/>
  <c r="T38" i="65"/>
  <c r="AN37" i="65"/>
  <c r="AM37" i="65"/>
  <c r="AL37" i="65"/>
  <c r="AK37" i="65"/>
  <c r="AJ37" i="65"/>
  <c r="AI37" i="65"/>
  <c r="AH37" i="65"/>
  <c r="AG37" i="65"/>
  <c r="AF37" i="65"/>
  <c r="AE37" i="65"/>
  <c r="AD37" i="65"/>
  <c r="Y37" i="65"/>
  <c r="W37" i="65"/>
  <c r="V37" i="65"/>
  <c r="U37" i="65"/>
  <c r="T37" i="65"/>
  <c r="AN36" i="65"/>
  <c r="AM36" i="65"/>
  <c r="AL36" i="65"/>
  <c r="AK36" i="65"/>
  <c r="AJ36" i="65"/>
  <c r="AI36" i="65"/>
  <c r="AH36" i="65"/>
  <c r="AG36" i="65"/>
  <c r="AF36" i="65"/>
  <c r="AE36" i="65"/>
  <c r="AD36" i="65"/>
  <c r="Y36" i="65"/>
  <c r="W36" i="65"/>
  <c r="V36" i="65"/>
  <c r="U36" i="65"/>
  <c r="T36" i="65"/>
  <c r="AN35" i="65"/>
  <c r="AM35" i="65"/>
  <c r="AL35" i="65"/>
  <c r="AK35" i="65"/>
  <c r="AJ35" i="65"/>
  <c r="AI35" i="65"/>
  <c r="AH35" i="65"/>
  <c r="AG35" i="65"/>
  <c r="AF35" i="65"/>
  <c r="AE35" i="65"/>
  <c r="AD35" i="65"/>
  <c r="Y35" i="65"/>
  <c r="W35" i="65"/>
  <c r="V35" i="65"/>
  <c r="U35" i="65"/>
  <c r="T35" i="65"/>
  <c r="AN34" i="65"/>
  <c r="AM34" i="65"/>
  <c r="AL34" i="65"/>
  <c r="AK34" i="65"/>
  <c r="AJ34" i="65"/>
  <c r="AI34" i="65"/>
  <c r="AH34" i="65"/>
  <c r="AG34" i="65"/>
  <c r="AF34" i="65"/>
  <c r="AE34" i="65"/>
  <c r="AD34" i="65"/>
  <c r="Y34" i="65"/>
  <c r="W34" i="65"/>
  <c r="V34" i="65"/>
  <c r="U34" i="65"/>
  <c r="T34" i="65"/>
  <c r="AN33" i="65"/>
  <c r="AM33" i="65"/>
  <c r="AL33" i="65"/>
  <c r="AK33" i="65"/>
  <c r="AJ33" i="65"/>
  <c r="AI33" i="65"/>
  <c r="AH33" i="65"/>
  <c r="AG33" i="65"/>
  <c r="AF33" i="65"/>
  <c r="AE33" i="65"/>
  <c r="AD33" i="65"/>
  <c r="Y33" i="65"/>
  <c r="W33" i="65"/>
  <c r="V33" i="65"/>
  <c r="U33" i="65"/>
  <c r="T33" i="65"/>
  <c r="AN32" i="65"/>
  <c r="AM32" i="65"/>
  <c r="AL32" i="65"/>
  <c r="AK32" i="65"/>
  <c r="AJ32" i="65"/>
  <c r="AI32" i="65"/>
  <c r="AH32" i="65"/>
  <c r="AG32" i="65"/>
  <c r="AF32" i="65"/>
  <c r="AE32" i="65"/>
  <c r="AD32" i="65"/>
  <c r="Y32" i="65"/>
  <c r="W32" i="65"/>
  <c r="V32" i="65"/>
  <c r="U32" i="65"/>
  <c r="T32" i="65"/>
  <c r="AN31" i="65"/>
  <c r="AM31" i="65"/>
  <c r="AL31" i="65"/>
  <c r="AK31" i="65"/>
  <c r="AJ31" i="65"/>
  <c r="AI31" i="65"/>
  <c r="AH31" i="65"/>
  <c r="AG31" i="65"/>
  <c r="AF31" i="65"/>
  <c r="AE31" i="65"/>
  <c r="AD31" i="65"/>
  <c r="Y31" i="65"/>
  <c r="W31" i="65"/>
  <c r="V31" i="65"/>
  <c r="U31" i="65"/>
  <c r="T31" i="65"/>
  <c r="AN30" i="65"/>
  <c r="AM30" i="65"/>
  <c r="AL30" i="65"/>
  <c r="AK30" i="65"/>
  <c r="AJ30" i="65"/>
  <c r="AI30" i="65"/>
  <c r="AH30" i="65"/>
  <c r="AG30" i="65"/>
  <c r="AF30" i="65"/>
  <c r="AE30" i="65"/>
  <c r="AD30" i="65"/>
  <c r="Y30" i="65"/>
  <c r="W30" i="65"/>
  <c r="V30" i="65"/>
  <c r="U30" i="65"/>
  <c r="T30" i="65"/>
  <c r="AN29" i="65"/>
  <c r="AM29" i="65"/>
  <c r="AL29" i="65"/>
  <c r="AK29" i="65"/>
  <c r="AJ29" i="65"/>
  <c r="AI29" i="65"/>
  <c r="AH29" i="65"/>
  <c r="AG29" i="65"/>
  <c r="AF29" i="65"/>
  <c r="AE29" i="65"/>
  <c r="AD29" i="65"/>
  <c r="Y29" i="65"/>
  <c r="W29" i="65"/>
  <c r="V29" i="65"/>
  <c r="U29" i="65"/>
  <c r="T29" i="65"/>
  <c r="AN28" i="65"/>
  <c r="AM28" i="65"/>
  <c r="AL28" i="65"/>
  <c r="AK28" i="65"/>
  <c r="AJ28" i="65"/>
  <c r="AI28" i="65"/>
  <c r="AH28" i="65"/>
  <c r="AG28" i="65"/>
  <c r="AF28" i="65"/>
  <c r="AE28" i="65"/>
  <c r="AD28" i="65"/>
  <c r="Y28" i="65"/>
  <c r="W28" i="65"/>
  <c r="V28" i="65"/>
  <c r="U28" i="65"/>
  <c r="T28" i="65"/>
  <c r="AN27" i="65"/>
  <c r="AM27" i="65"/>
  <c r="AL27" i="65"/>
  <c r="AK27" i="65"/>
  <c r="AJ27" i="65"/>
  <c r="AI27" i="65"/>
  <c r="AH27" i="65"/>
  <c r="AG27" i="65"/>
  <c r="AF27" i="65"/>
  <c r="AE27" i="65"/>
  <c r="AD27" i="65"/>
  <c r="Y27" i="65"/>
  <c r="W27" i="65"/>
  <c r="V27" i="65"/>
  <c r="U27" i="65"/>
  <c r="T27" i="65"/>
  <c r="AN26" i="65"/>
  <c r="AM26" i="65"/>
  <c r="AL26" i="65"/>
  <c r="AK26" i="65"/>
  <c r="AJ26" i="65"/>
  <c r="AI26" i="65"/>
  <c r="AH26" i="65"/>
  <c r="AG26" i="65"/>
  <c r="AF26" i="65"/>
  <c r="AE26" i="65"/>
  <c r="AD26" i="65"/>
  <c r="Y26" i="65"/>
  <c r="W26" i="65"/>
  <c r="V26" i="65"/>
  <c r="U26" i="65"/>
  <c r="T26" i="65"/>
  <c r="AN25" i="65"/>
  <c r="AM25" i="65"/>
  <c r="AL25" i="65"/>
  <c r="AK25" i="65"/>
  <c r="AJ25" i="65"/>
  <c r="AI25" i="65"/>
  <c r="AH25" i="65"/>
  <c r="AG25" i="65"/>
  <c r="AF25" i="65"/>
  <c r="AE25" i="65"/>
  <c r="AD25" i="65"/>
  <c r="Y25" i="65"/>
  <c r="W25" i="65"/>
  <c r="V25" i="65"/>
  <c r="U25" i="65"/>
  <c r="T25" i="65"/>
  <c r="AN24" i="65"/>
  <c r="AM24" i="65"/>
  <c r="AL24" i="65"/>
  <c r="AK24" i="65"/>
  <c r="AJ24" i="65"/>
  <c r="AI24" i="65"/>
  <c r="AH24" i="65"/>
  <c r="AG24" i="65"/>
  <c r="AF24" i="65"/>
  <c r="AE24" i="65"/>
  <c r="AD24" i="65"/>
  <c r="Y24" i="65"/>
  <c r="W24" i="65"/>
  <c r="V24" i="65"/>
  <c r="U24" i="65"/>
  <c r="T24" i="65"/>
  <c r="AN23" i="65"/>
  <c r="AM23" i="65"/>
  <c r="AL23" i="65"/>
  <c r="AK23" i="65"/>
  <c r="AJ23" i="65"/>
  <c r="AI23" i="65"/>
  <c r="AH23" i="65"/>
  <c r="AG23" i="65"/>
  <c r="AF23" i="65"/>
  <c r="AE23" i="65"/>
  <c r="AD23" i="65"/>
  <c r="Y23" i="65"/>
  <c r="W23" i="65"/>
  <c r="V23" i="65"/>
  <c r="U23" i="65"/>
  <c r="T23" i="65"/>
  <c r="AN22" i="65"/>
  <c r="AM22" i="65"/>
  <c r="AL22" i="65"/>
  <c r="AK22" i="65"/>
  <c r="AJ22" i="65"/>
  <c r="AI22" i="65"/>
  <c r="AH22" i="65"/>
  <c r="AG22" i="65"/>
  <c r="AF22" i="65"/>
  <c r="AE22" i="65"/>
  <c r="AD22" i="65"/>
  <c r="Y22" i="65"/>
  <c r="W22" i="65"/>
  <c r="V22" i="65"/>
  <c r="U22" i="65"/>
  <c r="T22" i="65"/>
  <c r="AN21" i="65"/>
  <c r="AM21" i="65"/>
  <c r="AL21" i="65"/>
  <c r="AK21" i="65"/>
  <c r="AJ21" i="65"/>
  <c r="AI21" i="65"/>
  <c r="AH21" i="65"/>
  <c r="AG21" i="65"/>
  <c r="AF21" i="65"/>
  <c r="AE21" i="65"/>
  <c r="AD21" i="65"/>
  <c r="Y21" i="65"/>
  <c r="W21" i="65"/>
  <c r="V21" i="65"/>
  <c r="U21" i="65"/>
  <c r="T21" i="65"/>
  <c r="AN20" i="65"/>
  <c r="AM20" i="65"/>
  <c r="AL20" i="65"/>
  <c r="AK20" i="65"/>
  <c r="AJ20" i="65"/>
  <c r="AI20" i="65"/>
  <c r="AH20" i="65"/>
  <c r="AG20" i="65"/>
  <c r="AF20" i="65"/>
  <c r="AE20" i="65"/>
  <c r="AD20" i="65"/>
  <c r="Y20" i="65"/>
  <c r="W20" i="65"/>
  <c r="V20" i="65"/>
  <c r="U20" i="65"/>
  <c r="T20" i="65"/>
  <c r="AN19" i="65"/>
  <c r="AM19" i="65"/>
  <c r="AL19" i="65"/>
  <c r="AK19" i="65"/>
  <c r="AJ19" i="65"/>
  <c r="AI19" i="65"/>
  <c r="AH19" i="65"/>
  <c r="AG19" i="65"/>
  <c r="AF19" i="65"/>
  <c r="AE19" i="65"/>
  <c r="AD19" i="65"/>
  <c r="Y19" i="65"/>
  <c r="W19" i="65"/>
  <c r="V19" i="65"/>
  <c r="U19" i="65"/>
  <c r="T19" i="65"/>
  <c r="AN18" i="65"/>
  <c r="AM18" i="65"/>
  <c r="AL18" i="65"/>
  <c r="AK18" i="65"/>
  <c r="AJ18" i="65"/>
  <c r="AI18" i="65"/>
  <c r="AH18" i="65"/>
  <c r="AG18" i="65"/>
  <c r="AF18" i="65"/>
  <c r="AE18" i="65"/>
  <c r="AD18" i="65"/>
  <c r="Y18" i="65"/>
  <c r="W18" i="65"/>
  <c r="V18" i="65"/>
  <c r="U18" i="65"/>
  <c r="T18" i="65"/>
  <c r="AN17" i="65"/>
  <c r="AM17" i="65"/>
  <c r="AL17" i="65"/>
  <c r="AK17" i="65"/>
  <c r="AJ17" i="65"/>
  <c r="AI17" i="65"/>
  <c r="AH17" i="65"/>
  <c r="AG17" i="65"/>
  <c r="AF17" i="65"/>
  <c r="AE17" i="65"/>
  <c r="AD17" i="65"/>
  <c r="Y17" i="65"/>
  <c r="W17" i="65"/>
  <c r="V17" i="65"/>
  <c r="U17" i="65"/>
  <c r="T17" i="65"/>
  <c r="AN16" i="65"/>
  <c r="AM16" i="65"/>
  <c r="AL16" i="65"/>
  <c r="AK16" i="65"/>
  <c r="AJ16" i="65"/>
  <c r="AI16" i="65"/>
  <c r="AH16" i="65"/>
  <c r="AG16" i="65"/>
  <c r="AF16" i="65"/>
  <c r="AE16" i="65"/>
  <c r="AD16" i="65"/>
  <c r="Y16" i="65"/>
  <c r="W16" i="65"/>
  <c r="V16" i="65"/>
  <c r="U16" i="65"/>
  <c r="T16" i="65"/>
  <c r="A16" i="65"/>
  <c r="AN15" i="65"/>
  <c r="AM15" i="65"/>
  <c r="AL15" i="65"/>
  <c r="AK15" i="65"/>
  <c r="AJ15" i="65"/>
  <c r="AI15" i="65"/>
  <c r="AH15" i="65"/>
  <c r="AG15" i="65"/>
  <c r="AF15" i="65"/>
  <c r="AE15" i="65"/>
  <c r="AD15" i="65"/>
  <c r="Y15" i="65"/>
  <c r="W15" i="65"/>
  <c r="V15" i="65"/>
  <c r="U15" i="65"/>
  <c r="T15" i="65"/>
  <c r="AN14" i="65"/>
  <c r="AM14" i="65"/>
  <c r="AL14" i="65"/>
  <c r="AK14" i="65"/>
  <c r="AJ14" i="65"/>
  <c r="AI14" i="65"/>
  <c r="AH14" i="65"/>
  <c r="AG14" i="65"/>
  <c r="AF14" i="65"/>
  <c r="AE14" i="65"/>
  <c r="AD14" i="65"/>
  <c r="Y14" i="65"/>
  <c r="W14" i="65"/>
  <c r="V14" i="65"/>
  <c r="U14" i="65"/>
  <c r="T14" i="65"/>
  <c r="A14" i="65"/>
  <c r="AN13" i="65"/>
  <c r="AM13" i="65"/>
  <c r="AL13" i="65"/>
  <c r="AK13" i="65"/>
  <c r="AJ13" i="65"/>
  <c r="AI13" i="65"/>
  <c r="AH13" i="65"/>
  <c r="AG13" i="65"/>
  <c r="AF13" i="65"/>
  <c r="AE13" i="65"/>
  <c r="AD13" i="65"/>
  <c r="Y13" i="65"/>
  <c r="W13" i="65"/>
  <c r="V13" i="65"/>
  <c r="U13" i="65"/>
  <c r="T13" i="65"/>
  <c r="AN12" i="65"/>
  <c r="AM12" i="65"/>
  <c r="AL12" i="65"/>
  <c r="AK12" i="65"/>
  <c r="AJ12" i="65"/>
  <c r="AI12" i="65"/>
  <c r="AH12" i="65"/>
  <c r="AG12" i="65"/>
  <c r="AF12" i="65"/>
  <c r="AE12" i="65"/>
  <c r="AD12" i="65"/>
  <c r="Y12" i="65"/>
  <c r="W12" i="65"/>
  <c r="V12" i="65"/>
  <c r="U12" i="65"/>
  <c r="T12" i="65"/>
  <c r="A12" i="65"/>
  <c r="AN11" i="65"/>
  <c r="AM11" i="65"/>
  <c r="AL11" i="65"/>
  <c r="AK11" i="65"/>
  <c r="AJ11" i="65"/>
  <c r="AI11" i="65"/>
  <c r="AH11" i="65"/>
  <c r="AG11" i="65"/>
  <c r="AF11" i="65"/>
  <c r="AE11" i="65"/>
  <c r="AD11" i="65"/>
  <c r="Y11" i="65"/>
  <c r="W11" i="65"/>
  <c r="V11" i="65"/>
  <c r="U11" i="65"/>
  <c r="T11" i="65"/>
  <c r="AN10" i="65"/>
  <c r="AM10" i="65"/>
  <c r="AL10" i="65"/>
  <c r="AK10" i="65"/>
  <c r="AJ10" i="65"/>
  <c r="AI10" i="65"/>
  <c r="AH10" i="65"/>
  <c r="AG10" i="65"/>
  <c r="AF10" i="65"/>
  <c r="AE10" i="65"/>
  <c r="AD10" i="65"/>
  <c r="Y10" i="65"/>
  <c r="W10" i="65"/>
  <c r="V10" i="65"/>
  <c r="U10" i="65"/>
  <c r="T10" i="65"/>
  <c r="A10" i="65"/>
  <c r="AN9" i="65"/>
  <c r="AM9" i="65"/>
  <c r="AL9" i="65"/>
  <c r="AK9" i="65"/>
  <c r="AJ9" i="65"/>
  <c r="AI9" i="65"/>
  <c r="AH9" i="65"/>
  <c r="AG9" i="65"/>
  <c r="AF9" i="65"/>
  <c r="AE9" i="65"/>
  <c r="AD9" i="65"/>
  <c r="Y9" i="65"/>
  <c r="W9" i="65"/>
  <c r="V9" i="65"/>
  <c r="U9" i="65"/>
  <c r="T9" i="65"/>
  <c r="AN8" i="65"/>
  <c r="AM8" i="65"/>
  <c r="AL8" i="65"/>
  <c r="AK8" i="65"/>
  <c r="AJ8" i="65"/>
  <c r="AI8" i="65"/>
  <c r="AH8" i="65"/>
  <c r="AG8" i="65"/>
  <c r="AF8" i="65"/>
  <c r="AD8" i="65"/>
  <c r="Y8" i="65"/>
  <c r="W8" i="65"/>
  <c r="V8" i="65"/>
  <c r="U8" i="65"/>
  <c r="T8" i="65"/>
  <c r="AN7" i="65"/>
  <c r="AM7" i="65"/>
  <c r="AL7" i="65"/>
  <c r="AK7" i="65"/>
  <c r="AJ7" i="65"/>
  <c r="AI7" i="65"/>
  <c r="AH7" i="65"/>
  <c r="AG7" i="65"/>
  <c r="AF7" i="65"/>
  <c r="AD7" i="65"/>
  <c r="Y7" i="65"/>
  <c r="W7" i="65"/>
  <c r="V7" i="65"/>
  <c r="U7" i="65"/>
  <c r="T7" i="65"/>
  <c r="AN6" i="65"/>
  <c r="AM6" i="65"/>
  <c r="AL6" i="65"/>
  <c r="AK6" i="65"/>
  <c r="AJ6" i="65"/>
  <c r="AI6" i="65"/>
  <c r="AH6" i="65"/>
  <c r="AG6" i="65"/>
  <c r="AF6" i="65"/>
  <c r="AD6" i="65"/>
  <c r="Y6" i="65"/>
  <c r="W6" i="65"/>
  <c r="V6" i="65"/>
  <c r="U6" i="65"/>
  <c r="T6" i="65"/>
  <c r="A6" i="65"/>
  <c r="AN5" i="65"/>
  <c r="AM5" i="65"/>
  <c r="AL5" i="65"/>
  <c r="AK5" i="65"/>
  <c r="AJ5" i="65"/>
  <c r="AI5" i="65"/>
  <c r="AH5" i="65"/>
  <c r="AG5" i="65"/>
  <c r="AF5" i="65"/>
  <c r="AD5" i="65"/>
  <c r="Y5" i="65"/>
  <c r="W5" i="65"/>
  <c r="V5" i="65"/>
  <c r="U5" i="65"/>
  <c r="T5" i="65"/>
  <c r="F1" i="65"/>
  <c r="N117" i="1"/>
  <c r="O117" i="1" s="1"/>
  <c r="N116" i="1"/>
  <c r="N115" i="1"/>
  <c r="I47" i="67" s="1"/>
  <c r="O47" i="67" s="1"/>
  <c r="R47" i="67" s="1"/>
  <c r="N114" i="1"/>
  <c r="I53" i="68" s="1"/>
  <c r="O53" i="68" s="1"/>
  <c r="R53" i="68" s="1"/>
  <c r="N113" i="1"/>
  <c r="O113" i="1" s="1"/>
  <c r="A8" i="64" s="1"/>
  <c r="N112" i="1"/>
  <c r="O112" i="1" s="1"/>
  <c r="A8" i="36" s="1"/>
  <c r="N111" i="1"/>
  <c r="O111" i="1" s="1"/>
  <c r="I65" i="67" s="1"/>
  <c r="N65" i="67" s="1"/>
  <c r="Q65" i="67" s="1"/>
  <c r="N110" i="1"/>
  <c r="O110" i="1" s="1"/>
  <c r="N109" i="1"/>
  <c r="O109" i="1" s="1"/>
  <c r="N108" i="1"/>
  <c r="N107" i="1"/>
  <c r="O107" i="1" s="1"/>
  <c r="N106" i="1"/>
  <c r="O106" i="1" s="1"/>
  <c r="A8" i="63" s="1"/>
  <c r="N105" i="1"/>
  <c r="O105" i="1" s="1"/>
  <c r="N104" i="1"/>
  <c r="O104" i="1" s="1"/>
  <c r="A8" i="44" s="1"/>
  <c r="I12" i="67" s="1"/>
  <c r="N103" i="1"/>
  <c r="O103" i="1" s="1"/>
  <c r="A8" i="13" s="1"/>
  <c r="X19" i="13" s="1"/>
  <c r="N102" i="1"/>
  <c r="O102" i="1" s="1"/>
  <c r="A8" i="60" s="1"/>
  <c r="I34" i="67" s="1"/>
  <c r="N101" i="1"/>
  <c r="O101" i="1" s="1"/>
  <c r="A8" i="32" s="1"/>
  <c r="X57" i="32" s="1"/>
  <c r="N100" i="1"/>
  <c r="O100" i="1" s="1"/>
  <c r="A8" i="49" s="1"/>
  <c r="N99" i="1"/>
  <c r="O99" i="1" s="1"/>
  <c r="A8" i="18" s="1"/>
  <c r="X11" i="18" s="1"/>
  <c r="N98" i="1"/>
  <c r="O98" i="1" s="1"/>
  <c r="N97" i="1"/>
  <c r="O97" i="1" s="1"/>
  <c r="A8" i="46" s="1"/>
  <c r="N96" i="1"/>
  <c r="O96" i="1" s="1"/>
  <c r="A8" i="15" s="1"/>
  <c r="X484" i="15" s="1"/>
  <c r="N95" i="1"/>
  <c r="O95" i="1" s="1"/>
  <c r="A8" i="40" s="1"/>
  <c r="N94" i="1"/>
  <c r="O94" i="1" s="1"/>
  <c r="A8" i="6" s="1"/>
  <c r="X19" i="6" s="1"/>
  <c r="N93" i="1"/>
  <c r="O93" i="1" s="1"/>
  <c r="A8" i="39" s="1"/>
  <c r="N92" i="1"/>
  <c r="O92" i="1" s="1"/>
  <c r="A8" i="5" s="1"/>
  <c r="N91" i="1"/>
  <c r="O91" i="1" s="1"/>
  <c r="N90" i="1"/>
  <c r="O90" i="1" s="1"/>
  <c r="A8" i="34" s="1"/>
  <c r="N89" i="1"/>
  <c r="O89" i="1" s="1"/>
  <c r="N88" i="1"/>
  <c r="O88" i="1" s="1"/>
  <c r="N87" i="1"/>
  <c r="O87" i="1" s="1"/>
  <c r="A8" i="45" s="1"/>
  <c r="N86" i="1"/>
  <c r="O86" i="1" s="1"/>
  <c r="A8" i="14" s="1"/>
  <c r="N85" i="1"/>
  <c r="O85" i="1" s="1"/>
  <c r="A8" i="3" s="1"/>
  <c r="X18" i="3" s="1"/>
  <c r="N84" i="1"/>
  <c r="N83" i="1"/>
  <c r="O83" i="1" s="1"/>
  <c r="N82" i="1"/>
  <c r="O82" i="1" s="1"/>
  <c r="N81" i="1"/>
  <c r="O81" i="1" s="1"/>
  <c r="N80" i="1"/>
  <c r="I46" i="67" s="1"/>
  <c r="N46" i="67" s="1"/>
  <c r="Q46" i="67" s="1"/>
  <c r="N79" i="1"/>
  <c r="O79" i="1" s="1"/>
  <c r="N78" i="1"/>
  <c r="O78" i="1" s="1"/>
  <c r="N77" i="1"/>
  <c r="O77" i="1" s="1"/>
  <c r="N76" i="1"/>
  <c r="O76" i="1" s="1"/>
  <c r="A8" i="56" s="1"/>
  <c r="N75" i="1"/>
  <c r="O75" i="1" s="1"/>
  <c r="A8" i="25" s="1"/>
  <c r="X23" i="25" s="1"/>
  <c r="N74" i="1"/>
  <c r="O74" i="1" s="1"/>
  <c r="A8" i="37" s="1"/>
  <c r="N73" i="1"/>
  <c r="N72" i="1"/>
  <c r="O72" i="1" s="1"/>
  <c r="A8" i="61" s="1"/>
  <c r="I36" i="67" s="1"/>
  <c r="N71" i="1"/>
  <c r="O71" i="1" s="1"/>
  <c r="A8" i="51" s="1"/>
  <c r="O70" i="1"/>
  <c r="A8" i="20" s="1"/>
  <c r="X10" i="20" s="1"/>
  <c r="N70" i="1"/>
  <c r="N69" i="1"/>
  <c r="O69" i="1" s="1"/>
  <c r="A8" i="52" s="1"/>
  <c r="I20" i="67" s="1"/>
  <c r="N68" i="1"/>
  <c r="O68" i="1" s="1"/>
  <c r="A8" i="21" s="1"/>
  <c r="N67" i="1"/>
  <c r="O67" i="1" s="1"/>
  <c r="A8" i="75" s="1"/>
  <c r="I16" i="67" s="1"/>
  <c r="N66" i="1"/>
  <c r="O66" i="1" s="1"/>
  <c r="A8" i="74" s="1"/>
  <c r="X8" i="74" s="1"/>
  <c r="N65" i="1"/>
  <c r="O65" i="1" s="1"/>
  <c r="N64" i="1"/>
  <c r="O64" i="1" s="1"/>
  <c r="N63" i="1"/>
  <c r="O63" i="1" s="1"/>
  <c r="N62" i="1"/>
  <c r="O62" i="1" s="1"/>
  <c r="N61" i="1"/>
  <c r="O61" i="1" s="1"/>
  <c r="A8" i="19" s="1"/>
  <c r="I18" i="68" s="1"/>
  <c r="N60" i="1"/>
  <c r="O60" i="1" s="1"/>
  <c r="N59" i="1"/>
  <c r="O59" i="1" s="1"/>
  <c r="A8" i="66" s="1"/>
  <c r="N58" i="1"/>
  <c r="O58" i="1" s="1"/>
  <c r="A8" i="65" s="1"/>
  <c r="X175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X17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X16" i="26" s="1"/>
  <c r="N44" i="1"/>
  <c r="O44" i="1" s="1"/>
  <c r="A8" i="27" s="1"/>
  <c r="X17" i="27" s="1"/>
  <c r="AA17" i="27" s="1"/>
  <c r="AC17" i="27" s="1"/>
  <c r="AP17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1" i="68" s="1"/>
  <c r="O51" i="68" s="1"/>
  <c r="R51" i="68" s="1"/>
  <c r="N32" i="1"/>
  <c r="O32" i="1" s="1"/>
  <c r="N31" i="1"/>
  <c r="O31" i="1" s="1"/>
  <c r="N30" i="1"/>
  <c r="O30" i="1" s="1"/>
  <c r="N29" i="1"/>
  <c r="O29" i="1" s="1"/>
  <c r="N28" i="1"/>
  <c r="N27" i="1"/>
  <c r="O27" i="1" s="1"/>
  <c r="N26" i="1"/>
  <c r="O26" i="1" s="1"/>
  <c r="N25" i="1"/>
  <c r="O25" i="1" s="1"/>
  <c r="N58" i="68" s="1"/>
  <c r="Q58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N17" i="1"/>
  <c r="O17" i="1" s="1"/>
  <c r="N16" i="1"/>
  <c r="O16" i="1" s="1"/>
  <c r="A8" i="57" s="1"/>
  <c r="N15" i="1"/>
  <c r="O15" i="1" s="1"/>
  <c r="A8" i="29" s="1"/>
  <c r="X23" i="29" s="1"/>
  <c r="N14" i="1"/>
  <c r="O14" i="1" s="1"/>
  <c r="A8" i="53" s="1"/>
  <c r="N13" i="1"/>
  <c r="O13" i="1" s="1"/>
  <c r="A8" i="22" s="1"/>
  <c r="X68" i="22" s="1"/>
  <c r="N12" i="1"/>
  <c r="O12" i="1" s="1"/>
  <c r="A8" i="54" s="1"/>
  <c r="I27" i="67" s="1"/>
  <c r="N11" i="1"/>
  <c r="O11" i="1" s="1"/>
  <c r="A8" i="23" s="1"/>
  <c r="X25" i="23" s="1"/>
  <c r="N10" i="1"/>
  <c r="O10" i="1" s="1"/>
  <c r="A8" i="58" s="1"/>
  <c r="N9" i="1"/>
  <c r="O9" i="1" s="1"/>
  <c r="A8" i="30" s="1"/>
  <c r="X23" i="30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6" i="67"/>
  <c r="S66" i="67"/>
  <c r="P66" i="67"/>
  <c r="M66" i="67"/>
  <c r="L66" i="67"/>
  <c r="K66" i="67"/>
  <c r="J66" i="67"/>
  <c r="I64" i="67"/>
  <c r="I66" i="67" s="1"/>
  <c r="T62" i="67"/>
  <c r="S62" i="67"/>
  <c r="P62" i="67"/>
  <c r="M62" i="67"/>
  <c r="L62" i="67"/>
  <c r="K62" i="67"/>
  <c r="J62" i="67"/>
  <c r="H62" i="67"/>
  <c r="T61" i="67"/>
  <c r="S61" i="67"/>
  <c r="P61" i="67"/>
  <c r="M61" i="67"/>
  <c r="L61" i="67"/>
  <c r="K61" i="67"/>
  <c r="J61" i="67"/>
  <c r="H61" i="67"/>
  <c r="T60" i="67"/>
  <c r="S60" i="67"/>
  <c r="P60" i="67"/>
  <c r="M60" i="67"/>
  <c r="L60" i="67"/>
  <c r="K60" i="67"/>
  <c r="J60" i="67"/>
  <c r="H60" i="67"/>
  <c r="I59" i="67"/>
  <c r="N59" i="67" s="1"/>
  <c r="Q59" i="67" s="1"/>
  <c r="T55" i="67"/>
  <c r="S55" i="67"/>
  <c r="P55" i="67"/>
  <c r="M55" i="67"/>
  <c r="L55" i="67"/>
  <c r="K55" i="67"/>
  <c r="J55" i="67"/>
  <c r="H55" i="67"/>
  <c r="I51" i="67"/>
  <c r="O51" i="67" s="1"/>
  <c r="R51" i="67" s="1"/>
  <c r="I48" i="67"/>
  <c r="N47" i="67"/>
  <c r="Q47" i="67" s="1"/>
  <c r="I43" i="67"/>
  <c r="N43" i="67" s="1"/>
  <c r="T41" i="67"/>
  <c r="S41" i="67"/>
  <c r="P41" i="67"/>
  <c r="M41" i="67"/>
  <c r="L41" i="67"/>
  <c r="K41" i="67"/>
  <c r="J41" i="67"/>
  <c r="H41" i="67"/>
  <c r="T40" i="67"/>
  <c r="S40" i="67"/>
  <c r="P40" i="67"/>
  <c r="H40" i="67"/>
  <c r="T39" i="67"/>
  <c r="S39" i="67"/>
  <c r="P39" i="67"/>
  <c r="I39" i="67"/>
  <c r="O39" i="67" s="1"/>
  <c r="R39" i="67" s="1"/>
  <c r="H39" i="67"/>
  <c r="T38" i="67"/>
  <c r="S38" i="67"/>
  <c r="P38" i="67"/>
  <c r="M38" i="67"/>
  <c r="L38" i="67"/>
  <c r="K38" i="67"/>
  <c r="J38" i="67"/>
  <c r="T37" i="67"/>
  <c r="S37" i="67"/>
  <c r="P37" i="67"/>
  <c r="L37" i="67"/>
  <c r="K37" i="67"/>
  <c r="J37" i="67"/>
  <c r="H37" i="67"/>
  <c r="F37" i="67"/>
  <c r="T36" i="67"/>
  <c r="S36" i="67"/>
  <c r="P36" i="67"/>
  <c r="L36" i="67"/>
  <c r="K36" i="67"/>
  <c r="J36" i="67"/>
  <c r="H36" i="67"/>
  <c r="T35" i="67"/>
  <c r="P35" i="67"/>
  <c r="T34" i="67"/>
  <c r="S34" i="67"/>
  <c r="P34" i="67"/>
  <c r="L34" i="67"/>
  <c r="K34" i="67"/>
  <c r="J34" i="67"/>
  <c r="H34" i="67"/>
  <c r="F34" i="67"/>
  <c r="T33" i="67"/>
  <c r="S33" i="67"/>
  <c r="P33" i="67"/>
  <c r="L33" i="67"/>
  <c r="K33" i="67"/>
  <c r="J33" i="67"/>
  <c r="H33" i="67"/>
  <c r="F33" i="67"/>
  <c r="T32" i="67"/>
  <c r="S32" i="67"/>
  <c r="P32" i="67"/>
  <c r="L32" i="67"/>
  <c r="K32" i="67"/>
  <c r="J32" i="67"/>
  <c r="H32" i="67"/>
  <c r="F32" i="67"/>
  <c r="T31" i="67"/>
  <c r="S31" i="67"/>
  <c r="P31" i="67"/>
  <c r="L31" i="67"/>
  <c r="K31" i="67"/>
  <c r="J31" i="67"/>
  <c r="H31" i="67"/>
  <c r="F31" i="67"/>
  <c r="T30" i="67"/>
  <c r="S30" i="67"/>
  <c r="P30" i="67"/>
  <c r="L30" i="67"/>
  <c r="K30" i="67"/>
  <c r="J30" i="67"/>
  <c r="H30" i="67"/>
  <c r="T29" i="67"/>
  <c r="S29" i="67"/>
  <c r="P29" i="67"/>
  <c r="L29" i="67"/>
  <c r="K29" i="67"/>
  <c r="J29" i="67"/>
  <c r="H29" i="67"/>
  <c r="F29" i="67"/>
  <c r="T28" i="67"/>
  <c r="S28" i="67"/>
  <c r="P28" i="67"/>
  <c r="L28" i="67"/>
  <c r="K28" i="67"/>
  <c r="J28" i="67"/>
  <c r="H28" i="67"/>
  <c r="F28" i="67"/>
  <c r="T27" i="67"/>
  <c r="S27" i="67"/>
  <c r="P27" i="67"/>
  <c r="L27" i="67"/>
  <c r="K27" i="67"/>
  <c r="J27" i="67"/>
  <c r="H27" i="67"/>
  <c r="F27" i="67"/>
  <c r="T26" i="67"/>
  <c r="S26" i="67"/>
  <c r="P26" i="67"/>
  <c r="L26" i="67"/>
  <c r="K26" i="67"/>
  <c r="J26" i="67"/>
  <c r="H26" i="67"/>
  <c r="F26" i="67"/>
  <c r="T25" i="67"/>
  <c r="S25" i="67"/>
  <c r="P25" i="67"/>
  <c r="L25" i="67"/>
  <c r="K25" i="67"/>
  <c r="J25" i="67"/>
  <c r="H25" i="67"/>
  <c r="F25" i="67"/>
  <c r="T24" i="67"/>
  <c r="S24" i="67"/>
  <c r="P24" i="67"/>
  <c r="L24" i="67"/>
  <c r="K24" i="67"/>
  <c r="J24" i="67"/>
  <c r="H24" i="67"/>
  <c r="F24" i="67"/>
  <c r="T23" i="67"/>
  <c r="S23" i="67"/>
  <c r="P23" i="67"/>
  <c r="M23" i="67"/>
  <c r="L23" i="67"/>
  <c r="K23" i="67"/>
  <c r="J23" i="67"/>
  <c r="H23" i="67"/>
  <c r="T22" i="67"/>
  <c r="S22" i="67"/>
  <c r="P22" i="67"/>
  <c r="M22" i="67"/>
  <c r="L22" i="67"/>
  <c r="K22" i="67"/>
  <c r="J22" i="67"/>
  <c r="H22" i="67"/>
  <c r="T21" i="67"/>
  <c r="S21" i="67"/>
  <c r="P21" i="67"/>
  <c r="L21" i="67"/>
  <c r="K21" i="67"/>
  <c r="J21" i="67"/>
  <c r="H21" i="67"/>
  <c r="T20" i="67"/>
  <c r="S20" i="67"/>
  <c r="P20" i="67"/>
  <c r="L20" i="67"/>
  <c r="K20" i="67"/>
  <c r="J20" i="67"/>
  <c r="H20" i="67"/>
  <c r="F20" i="67"/>
  <c r="T19" i="67"/>
  <c r="S19" i="67"/>
  <c r="P19" i="67"/>
  <c r="L19" i="67"/>
  <c r="K19" i="67"/>
  <c r="J19" i="67"/>
  <c r="H19" i="67"/>
  <c r="F19" i="67"/>
  <c r="T18" i="67"/>
  <c r="S18" i="67"/>
  <c r="P18" i="67"/>
  <c r="L18" i="67"/>
  <c r="K18" i="67"/>
  <c r="J18" i="67"/>
  <c r="I18" i="67"/>
  <c r="H18" i="67"/>
  <c r="F18" i="67"/>
  <c r="T17" i="67"/>
  <c r="S17" i="67"/>
  <c r="P17" i="67"/>
  <c r="L17" i="67"/>
  <c r="K17" i="67"/>
  <c r="J17" i="67"/>
  <c r="H17" i="67"/>
  <c r="F17" i="67"/>
  <c r="T16" i="67"/>
  <c r="S16" i="67"/>
  <c r="P16" i="67"/>
  <c r="L16" i="67"/>
  <c r="K16" i="67"/>
  <c r="J16" i="67"/>
  <c r="H16" i="67"/>
  <c r="F16" i="67"/>
  <c r="T15" i="67"/>
  <c r="S15" i="67"/>
  <c r="P15" i="67"/>
  <c r="L15" i="67"/>
  <c r="K15" i="67"/>
  <c r="J15" i="67"/>
  <c r="H15" i="67"/>
  <c r="F15" i="67"/>
  <c r="T14" i="67"/>
  <c r="S14" i="67"/>
  <c r="P14" i="67"/>
  <c r="L14" i="67"/>
  <c r="K14" i="67"/>
  <c r="J14" i="67"/>
  <c r="H14" i="67"/>
  <c r="F14" i="67"/>
  <c r="T13" i="67"/>
  <c r="S13" i="67"/>
  <c r="P13" i="67"/>
  <c r="L13" i="67"/>
  <c r="K13" i="67"/>
  <c r="J13" i="67"/>
  <c r="H13" i="67"/>
  <c r="F13" i="67"/>
  <c r="T12" i="67"/>
  <c r="S12" i="67"/>
  <c r="P12" i="67"/>
  <c r="L12" i="67"/>
  <c r="K12" i="67"/>
  <c r="J12" i="67"/>
  <c r="H12" i="67"/>
  <c r="F12" i="67"/>
  <c r="V11" i="67"/>
  <c r="U11" i="67"/>
  <c r="T11" i="67"/>
  <c r="S11" i="67"/>
  <c r="R11" i="67"/>
  <c r="Q11" i="67"/>
  <c r="P11" i="67"/>
  <c r="O11" i="67"/>
  <c r="N11" i="67"/>
  <c r="L11" i="67"/>
  <c r="K11" i="67"/>
  <c r="J11" i="67"/>
  <c r="I11" i="67"/>
  <c r="H11" i="67"/>
  <c r="F11" i="67"/>
  <c r="V10" i="67"/>
  <c r="U10" i="67"/>
  <c r="R10" i="67"/>
  <c r="Q10" i="67"/>
  <c r="T9" i="67"/>
  <c r="S9" i="67"/>
  <c r="P9" i="67"/>
  <c r="L9" i="67"/>
  <c r="K9" i="67"/>
  <c r="J9" i="67"/>
  <c r="H9" i="67"/>
  <c r="F9" i="67"/>
  <c r="T8" i="67"/>
  <c r="S8" i="67"/>
  <c r="P8" i="67"/>
  <c r="L8" i="67"/>
  <c r="K8" i="67"/>
  <c r="J8" i="67"/>
  <c r="H8" i="67"/>
  <c r="F8" i="67"/>
  <c r="T7" i="67"/>
  <c r="S7" i="67"/>
  <c r="P7" i="67"/>
  <c r="M7" i="67"/>
  <c r="L7" i="67"/>
  <c r="K7" i="67"/>
  <c r="J7" i="67"/>
  <c r="H7" i="67"/>
  <c r="T6" i="67"/>
  <c r="S6" i="67"/>
  <c r="P6" i="67"/>
  <c r="L6" i="67"/>
  <c r="K6" i="67"/>
  <c r="J6" i="67"/>
  <c r="H6" i="67"/>
  <c r="F6" i="67"/>
  <c r="C2" i="67"/>
  <c r="T72" i="68"/>
  <c r="S72" i="68"/>
  <c r="P72" i="68"/>
  <c r="M72" i="68"/>
  <c r="L72" i="68"/>
  <c r="K72" i="68"/>
  <c r="J72" i="68"/>
  <c r="I71" i="68"/>
  <c r="O71" i="68" s="1"/>
  <c r="R71" i="68" s="1"/>
  <c r="T68" i="68"/>
  <c r="S68" i="68"/>
  <c r="M68" i="68"/>
  <c r="L68" i="68"/>
  <c r="K68" i="68"/>
  <c r="J68" i="68"/>
  <c r="H68" i="68"/>
  <c r="T67" i="68"/>
  <c r="S67" i="68"/>
  <c r="P67" i="68"/>
  <c r="M67" i="68"/>
  <c r="L67" i="68"/>
  <c r="K67" i="68"/>
  <c r="J67" i="68"/>
  <c r="H67" i="68"/>
  <c r="I65" i="68"/>
  <c r="O65" i="68" s="1"/>
  <c r="R65" i="68" s="1"/>
  <c r="T61" i="68"/>
  <c r="S61" i="68"/>
  <c r="P61" i="68"/>
  <c r="M61" i="68"/>
  <c r="L61" i="68"/>
  <c r="K61" i="68"/>
  <c r="J61" i="68"/>
  <c r="H61" i="68"/>
  <c r="I60" i="68"/>
  <c r="I59" i="68"/>
  <c r="O59" i="68" s="1"/>
  <c r="R59" i="68" s="1"/>
  <c r="I49" i="68"/>
  <c r="O49" i="68" s="1"/>
  <c r="R49" i="68" s="1"/>
  <c r="T47" i="68"/>
  <c r="S47" i="68"/>
  <c r="P47" i="68"/>
  <c r="M47" i="68"/>
  <c r="L47" i="68"/>
  <c r="K47" i="68"/>
  <c r="J47" i="68"/>
  <c r="H47" i="68"/>
  <c r="U46" i="68"/>
  <c r="S46" i="68"/>
  <c r="J46" i="68"/>
  <c r="H46" i="68"/>
  <c r="F46" i="68"/>
  <c r="T45" i="68"/>
  <c r="S45" i="68"/>
  <c r="P45" i="68"/>
  <c r="L45" i="68"/>
  <c r="K45" i="68"/>
  <c r="J45" i="68"/>
  <c r="H45" i="68"/>
  <c r="F45" i="68"/>
  <c r="E45" i="68"/>
  <c r="T44" i="68"/>
  <c r="S44" i="68"/>
  <c r="P44" i="68"/>
  <c r="L44" i="68"/>
  <c r="K44" i="68"/>
  <c r="J44" i="68"/>
  <c r="H44" i="68"/>
  <c r="F44" i="68"/>
  <c r="E44" i="68"/>
  <c r="T43" i="68"/>
  <c r="S43" i="68"/>
  <c r="P43" i="68"/>
  <c r="M43" i="68"/>
  <c r="L43" i="68"/>
  <c r="K43" i="68"/>
  <c r="J43" i="68"/>
  <c r="H43" i="68"/>
  <c r="T42" i="68"/>
  <c r="S42" i="68"/>
  <c r="P42" i="68"/>
  <c r="L42" i="68"/>
  <c r="K42" i="68"/>
  <c r="J42" i="68"/>
  <c r="H42" i="68"/>
  <c r="T41" i="68"/>
  <c r="S41" i="68"/>
  <c r="P41" i="68"/>
  <c r="L41" i="68"/>
  <c r="K41" i="68"/>
  <c r="J41" i="68"/>
  <c r="H41" i="68"/>
  <c r="E41" i="68"/>
  <c r="T40" i="68"/>
  <c r="S40" i="68"/>
  <c r="P40" i="68"/>
  <c r="M40" i="68"/>
  <c r="L40" i="68"/>
  <c r="K40" i="68"/>
  <c r="J40" i="68"/>
  <c r="H40" i="68"/>
  <c r="T39" i="68"/>
  <c r="S39" i="68"/>
  <c r="P39" i="68"/>
  <c r="L39" i="68"/>
  <c r="K39" i="68"/>
  <c r="J39" i="68"/>
  <c r="H39" i="68"/>
  <c r="F39" i="68"/>
  <c r="T38" i="68"/>
  <c r="S38" i="68"/>
  <c r="P38" i="68"/>
  <c r="L38" i="68"/>
  <c r="K38" i="68"/>
  <c r="J38" i="68"/>
  <c r="I38" i="68"/>
  <c r="H38" i="68"/>
  <c r="F38" i="68"/>
  <c r="T37" i="68"/>
  <c r="S37" i="68"/>
  <c r="P37" i="68"/>
  <c r="L37" i="68"/>
  <c r="K37" i="68"/>
  <c r="J37" i="68"/>
  <c r="H37" i="68"/>
  <c r="F37" i="68"/>
  <c r="T36" i="68"/>
  <c r="S36" i="68"/>
  <c r="P36" i="68"/>
  <c r="L36" i="68"/>
  <c r="K36" i="68"/>
  <c r="J36" i="68"/>
  <c r="H36" i="68"/>
  <c r="F36" i="68"/>
  <c r="T35" i="68"/>
  <c r="S35" i="68"/>
  <c r="P35" i="68"/>
  <c r="L35" i="68"/>
  <c r="K35" i="68"/>
  <c r="J35" i="68"/>
  <c r="H35" i="68"/>
  <c r="F35" i="68"/>
  <c r="T34" i="68"/>
  <c r="S34" i="68"/>
  <c r="P34" i="68"/>
  <c r="L34" i="68"/>
  <c r="K34" i="68"/>
  <c r="J34" i="68"/>
  <c r="H34" i="68"/>
  <c r="F34" i="68"/>
  <c r="T33" i="68"/>
  <c r="S33" i="68"/>
  <c r="P33" i="68"/>
  <c r="M33" i="68"/>
  <c r="L33" i="68"/>
  <c r="K33" i="68"/>
  <c r="J33" i="68"/>
  <c r="H33" i="68"/>
  <c r="E33" i="68"/>
  <c r="T32" i="68"/>
  <c r="S32" i="68"/>
  <c r="P32" i="68"/>
  <c r="L32" i="68"/>
  <c r="K32" i="68"/>
  <c r="J32" i="68"/>
  <c r="H32" i="68"/>
  <c r="F32" i="68"/>
  <c r="T31" i="68"/>
  <c r="S31" i="68"/>
  <c r="P31" i="68"/>
  <c r="L31" i="68"/>
  <c r="K31" i="68"/>
  <c r="J31" i="68"/>
  <c r="H31" i="68"/>
  <c r="F31" i="68"/>
  <c r="E31" i="68"/>
  <c r="T30" i="68"/>
  <c r="S30" i="68"/>
  <c r="P30" i="68"/>
  <c r="L30" i="68"/>
  <c r="K30" i="68"/>
  <c r="J30" i="68"/>
  <c r="I30" i="68"/>
  <c r="H30" i="68"/>
  <c r="F30" i="68"/>
  <c r="T29" i="68"/>
  <c r="S29" i="68"/>
  <c r="P29" i="68"/>
  <c r="L29" i="68"/>
  <c r="K29" i="68"/>
  <c r="J29" i="68"/>
  <c r="H29" i="68"/>
  <c r="F29" i="68"/>
  <c r="T28" i="68"/>
  <c r="S28" i="68"/>
  <c r="P28" i="68"/>
  <c r="L28" i="68"/>
  <c r="K28" i="68"/>
  <c r="J28" i="68"/>
  <c r="H28" i="68"/>
  <c r="F28" i="68"/>
  <c r="E28" i="68"/>
  <c r="T27" i="68"/>
  <c r="S27" i="68"/>
  <c r="P27" i="68"/>
  <c r="L27" i="68"/>
  <c r="K27" i="68"/>
  <c r="J27" i="68"/>
  <c r="H27" i="68"/>
  <c r="F27" i="68"/>
  <c r="E27" i="68"/>
  <c r="T26" i="68"/>
  <c r="S26" i="68"/>
  <c r="P26" i="68"/>
  <c r="L26" i="68"/>
  <c r="K26" i="68"/>
  <c r="J26" i="68"/>
  <c r="H26" i="68"/>
  <c r="F26" i="68"/>
  <c r="E26" i="68"/>
  <c r="T25" i="68"/>
  <c r="S25" i="68"/>
  <c r="P25" i="68"/>
  <c r="L25" i="68"/>
  <c r="K25" i="68"/>
  <c r="J25" i="68"/>
  <c r="H25" i="68"/>
  <c r="F25" i="68"/>
  <c r="E25" i="68"/>
  <c r="T24" i="68"/>
  <c r="S24" i="68"/>
  <c r="P24" i="68"/>
  <c r="L24" i="68"/>
  <c r="K24" i="68"/>
  <c r="J24" i="68"/>
  <c r="H24" i="68"/>
  <c r="F24" i="68"/>
  <c r="E24" i="68"/>
  <c r="T23" i="68"/>
  <c r="S23" i="68"/>
  <c r="P23" i="68"/>
  <c r="L23" i="68"/>
  <c r="K23" i="68"/>
  <c r="J23" i="68"/>
  <c r="H23" i="68"/>
  <c r="T22" i="68"/>
  <c r="S22" i="68"/>
  <c r="P22" i="68"/>
  <c r="M22" i="68"/>
  <c r="L22" i="68"/>
  <c r="K22" i="68"/>
  <c r="J22" i="68"/>
  <c r="H22" i="68"/>
  <c r="T21" i="68"/>
  <c r="S21" i="68"/>
  <c r="P21" i="68"/>
  <c r="M21" i="68"/>
  <c r="L21" i="68"/>
  <c r="K21" i="68"/>
  <c r="J21" i="68"/>
  <c r="H21" i="68"/>
  <c r="T20" i="68"/>
  <c r="S20" i="68"/>
  <c r="P20" i="68"/>
  <c r="L20" i="68"/>
  <c r="K20" i="68"/>
  <c r="J20" i="68"/>
  <c r="H20" i="68"/>
  <c r="F20" i="68"/>
  <c r="T19" i="68"/>
  <c r="S19" i="68"/>
  <c r="P19" i="68"/>
  <c r="L19" i="68"/>
  <c r="K19" i="68"/>
  <c r="J19" i="68"/>
  <c r="H19" i="68"/>
  <c r="F19" i="68"/>
  <c r="T18" i="68"/>
  <c r="S18" i="68"/>
  <c r="P18" i="68"/>
  <c r="L18" i="68"/>
  <c r="K18" i="68"/>
  <c r="J18" i="68"/>
  <c r="H18" i="68"/>
  <c r="F18" i="68"/>
  <c r="T17" i="68"/>
  <c r="S17" i="68"/>
  <c r="P17" i="68"/>
  <c r="L17" i="68"/>
  <c r="K17" i="68"/>
  <c r="J17" i="68"/>
  <c r="H17" i="68"/>
  <c r="F17" i="68"/>
  <c r="T16" i="68"/>
  <c r="S16" i="68"/>
  <c r="P16" i="68"/>
  <c r="L16" i="68"/>
  <c r="K16" i="68"/>
  <c r="J16" i="68"/>
  <c r="H16" i="68"/>
  <c r="F16" i="68"/>
  <c r="E16" i="68"/>
  <c r="T15" i="68"/>
  <c r="S15" i="68"/>
  <c r="P15" i="68"/>
  <c r="L15" i="68"/>
  <c r="K15" i="68"/>
  <c r="J15" i="68"/>
  <c r="H15" i="68"/>
  <c r="F15" i="68"/>
  <c r="E15" i="68"/>
  <c r="T14" i="68"/>
  <c r="S14" i="68"/>
  <c r="P14" i="68"/>
  <c r="L14" i="68"/>
  <c r="K14" i="68"/>
  <c r="J14" i="68"/>
  <c r="H14" i="68"/>
  <c r="F14" i="68"/>
  <c r="E14" i="68"/>
  <c r="T13" i="68"/>
  <c r="S13" i="68"/>
  <c r="P13" i="68"/>
  <c r="L13" i="68"/>
  <c r="K13" i="68"/>
  <c r="J13" i="68"/>
  <c r="H13" i="68"/>
  <c r="F13" i="68"/>
  <c r="E13" i="68"/>
  <c r="T12" i="68"/>
  <c r="S12" i="68"/>
  <c r="P12" i="68"/>
  <c r="L12" i="68"/>
  <c r="K12" i="68"/>
  <c r="J12" i="68"/>
  <c r="H12" i="68"/>
  <c r="F12" i="68"/>
  <c r="E12" i="68"/>
  <c r="T11" i="68"/>
  <c r="S11" i="68"/>
  <c r="P11" i="68"/>
  <c r="L11" i="68"/>
  <c r="K11" i="68"/>
  <c r="J11" i="68"/>
  <c r="H11" i="68"/>
  <c r="F11" i="68"/>
  <c r="E11" i="68"/>
  <c r="T10" i="68"/>
  <c r="S10" i="68"/>
  <c r="P10" i="68"/>
  <c r="L10" i="68"/>
  <c r="K10" i="68"/>
  <c r="J10" i="68"/>
  <c r="H10" i="68"/>
  <c r="F10" i="68"/>
  <c r="E10" i="68"/>
  <c r="T9" i="68"/>
  <c r="S9" i="68"/>
  <c r="P9" i="68"/>
  <c r="L9" i="68"/>
  <c r="K9" i="68"/>
  <c r="J9" i="68"/>
  <c r="H9" i="68"/>
  <c r="F9" i="68"/>
  <c r="E9" i="68"/>
  <c r="T8" i="68"/>
  <c r="S8" i="68"/>
  <c r="P8" i="68"/>
  <c r="L8" i="68"/>
  <c r="K8" i="68"/>
  <c r="J8" i="68"/>
  <c r="H8" i="68"/>
  <c r="F8" i="68"/>
  <c r="T7" i="68"/>
  <c r="S7" i="68"/>
  <c r="P7" i="68"/>
  <c r="M7" i="68"/>
  <c r="L7" i="68"/>
  <c r="K7" i="68"/>
  <c r="J7" i="68"/>
  <c r="H7" i="68"/>
  <c r="T6" i="68"/>
  <c r="S6" i="68"/>
  <c r="P6" i="68"/>
  <c r="L6" i="68"/>
  <c r="K6" i="68"/>
  <c r="J6" i="68"/>
  <c r="H6" i="68"/>
  <c r="F6" i="68"/>
  <c r="E6" i="68"/>
  <c r="C2" i="68"/>
  <c r="E50" i="2"/>
  <c r="C50" i="2"/>
  <c r="C49" i="2"/>
  <c r="E47" i="2"/>
  <c r="C47" i="2"/>
  <c r="C45" i="2"/>
  <c r="C44" i="2"/>
  <c r="E43" i="2"/>
  <c r="C43" i="2"/>
  <c r="M42" i="2"/>
  <c r="K42" i="2"/>
  <c r="E42" i="2"/>
  <c r="C42" i="2"/>
  <c r="B42" i="2"/>
  <c r="K41" i="2"/>
  <c r="C41" i="2"/>
  <c r="M40" i="2"/>
  <c r="K40" i="2"/>
  <c r="E40" i="2"/>
  <c r="C40" i="2"/>
  <c r="B40" i="2"/>
  <c r="M39" i="2"/>
  <c r="K39" i="2"/>
  <c r="E39" i="2"/>
  <c r="C39" i="2"/>
  <c r="M38" i="2"/>
  <c r="K38" i="2"/>
  <c r="C38" i="2"/>
  <c r="O37" i="2"/>
  <c r="N37" i="2"/>
  <c r="M37" i="2"/>
  <c r="K37" i="2"/>
  <c r="E37" i="2"/>
  <c r="C37" i="2"/>
  <c r="B37" i="2"/>
  <c r="K36" i="2"/>
  <c r="E36" i="2"/>
  <c r="C36" i="2"/>
  <c r="O35" i="2"/>
  <c r="N35" i="2"/>
  <c r="M35" i="2"/>
  <c r="K35" i="2"/>
  <c r="E35" i="2"/>
  <c r="C35" i="2"/>
  <c r="M34" i="2"/>
  <c r="K34" i="2"/>
  <c r="E34" i="2"/>
  <c r="C34" i="2"/>
  <c r="M33" i="2"/>
  <c r="K33" i="2"/>
  <c r="E33" i="2"/>
  <c r="C33" i="2"/>
  <c r="M32" i="2"/>
  <c r="K32" i="2"/>
  <c r="E32" i="2"/>
  <c r="C32" i="2"/>
  <c r="M31" i="2"/>
  <c r="K31" i="2"/>
  <c r="E31" i="2"/>
  <c r="C31" i="2"/>
  <c r="M30" i="2"/>
  <c r="K30" i="2"/>
  <c r="J30" i="2"/>
  <c r="E30" i="2"/>
  <c r="C30" i="2"/>
  <c r="M29" i="2"/>
  <c r="K29" i="2"/>
  <c r="J29" i="2"/>
  <c r="E29" i="2"/>
  <c r="C29" i="2"/>
  <c r="M28" i="2"/>
  <c r="K28" i="2"/>
  <c r="J28" i="2"/>
  <c r="E28" i="2"/>
  <c r="C28" i="2"/>
  <c r="M27" i="2"/>
  <c r="K27" i="2"/>
  <c r="J27" i="2"/>
  <c r="E27" i="2"/>
  <c r="C27" i="2"/>
  <c r="M26" i="2"/>
  <c r="K26" i="2"/>
  <c r="E26" i="2"/>
  <c r="C26" i="2"/>
  <c r="M25" i="2"/>
  <c r="K25" i="2"/>
  <c r="E25" i="2"/>
  <c r="C25" i="2"/>
  <c r="M24" i="2"/>
  <c r="K24" i="2"/>
  <c r="J24" i="2"/>
  <c r="E24" i="2"/>
  <c r="C24" i="2"/>
  <c r="M23" i="2"/>
  <c r="K23" i="2"/>
  <c r="J23" i="2"/>
  <c r="E23" i="2"/>
  <c r="C23" i="2"/>
  <c r="M22" i="2"/>
  <c r="K22" i="2"/>
  <c r="E22" i="2"/>
  <c r="C22" i="2"/>
  <c r="M21" i="2"/>
  <c r="K21" i="2"/>
  <c r="E21" i="2"/>
  <c r="C21" i="2"/>
  <c r="M20" i="2"/>
  <c r="K20" i="2"/>
  <c r="E20" i="2"/>
  <c r="C20" i="2"/>
  <c r="M19" i="2"/>
  <c r="K19" i="2"/>
  <c r="E19" i="2"/>
  <c r="C19" i="2"/>
  <c r="M18" i="2"/>
  <c r="K18" i="2"/>
  <c r="E18" i="2"/>
  <c r="C18" i="2"/>
  <c r="M17" i="2"/>
  <c r="K17" i="2"/>
  <c r="E17" i="2"/>
  <c r="C17" i="2"/>
  <c r="M16" i="2"/>
  <c r="K16" i="2"/>
  <c r="E16" i="2"/>
  <c r="C16" i="2"/>
  <c r="M15" i="2"/>
  <c r="K15" i="2"/>
  <c r="E15" i="2"/>
  <c r="C15" i="2"/>
  <c r="M14" i="2"/>
  <c r="K14" i="2"/>
  <c r="E14" i="2"/>
  <c r="C14" i="2"/>
  <c r="M13" i="2"/>
  <c r="K13" i="2"/>
  <c r="E13" i="2"/>
  <c r="C13" i="2"/>
  <c r="M12" i="2"/>
  <c r="K12" i="2"/>
  <c r="E12" i="2"/>
  <c r="C12" i="2"/>
  <c r="O11" i="2"/>
  <c r="N11" i="2"/>
  <c r="M11" i="2"/>
  <c r="L11" i="2"/>
  <c r="K11" i="2"/>
  <c r="E11" i="2"/>
  <c r="C11" i="2"/>
  <c r="M10" i="2"/>
  <c r="K10" i="2"/>
  <c r="E10" i="2"/>
  <c r="C10" i="2"/>
  <c r="M9" i="2"/>
  <c r="K9" i="2"/>
  <c r="E9" i="2"/>
  <c r="C9" i="2"/>
  <c r="M8" i="2"/>
  <c r="K8" i="2"/>
  <c r="E8" i="2"/>
  <c r="C8" i="2"/>
  <c r="M6" i="2"/>
  <c r="K6" i="2"/>
  <c r="E6" i="2"/>
  <c r="C6" i="2"/>
  <c r="X18" i="50" l="1"/>
  <c r="X22" i="27"/>
  <c r="AA22" i="27" s="1"/>
  <c r="AC22" i="27" s="1"/>
  <c r="AP22" i="27" s="1"/>
  <c r="I32" i="68"/>
  <c r="I55" i="68"/>
  <c r="O55" i="68" s="1"/>
  <c r="R55" i="68" s="1"/>
  <c r="I57" i="68"/>
  <c r="O57" i="68" s="1"/>
  <c r="R57" i="68" s="1"/>
  <c r="O43" i="67"/>
  <c r="R43" i="67" s="1"/>
  <c r="I57" i="67"/>
  <c r="O57" i="67" s="1"/>
  <c r="R57" i="67" s="1"/>
  <c r="X7" i="27"/>
  <c r="Z7" i="27" s="1"/>
  <c r="AB7" i="27" s="1"/>
  <c r="AO7" i="27" s="1"/>
  <c r="X19" i="27"/>
  <c r="X11" i="50"/>
  <c r="X14" i="50"/>
  <c r="AA14" i="50" s="1"/>
  <c r="AC14" i="50" s="1"/>
  <c r="AP14" i="50" s="1"/>
  <c r="N51" i="67"/>
  <c r="Q51" i="67" s="1"/>
  <c r="N39" i="67"/>
  <c r="O59" i="67"/>
  <c r="R59" i="67" s="1"/>
  <c r="I56" i="68"/>
  <c r="O56" i="68" s="1"/>
  <c r="R56" i="68" s="1"/>
  <c r="I64" i="68"/>
  <c r="O64" i="68" s="1"/>
  <c r="R64" i="68" s="1"/>
  <c r="I49" i="67"/>
  <c r="O49" i="67" s="1"/>
  <c r="R49" i="67" s="1"/>
  <c r="I56" i="67"/>
  <c r="O56" i="67" s="1"/>
  <c r="X47" i="65"/>
  <c r="AA47" i="65" s="1"/>
  <c r="AC47" i="65" s="1"/>
  <c r="AP47" i="65" s="1"/>
  <c r="X14" i="18"/>
  <c r="Z14" i="18" s="1"/>
  <c r="AB14" i="18" s="1"/>
  <c r="AO14" i="18" s="1"/>
  <c r="Z18" i="50"/>
  <c r="AB18" i="50" s="1"/>
  <c r="AO18" i="50" s="1"/>
  <c r="X29" i="28"/>
  <c r="AA29" i="28" s="1"/>
  <c r="AC29" i="28" s="1"/>
  <c r="AP29" i="28" s="1"/>
  <c r="Z5" i="50"/>
  <c r="AB5" i="50" s="1"/>
  <c r="A22" i="50" s="1"/>
  <c r="X19" i="50"/>
  <c r="AA19" i="50" s="1"/>
  <c r="AC19" i="50" s="1"/>
  <c r="AP19" i="50" s="1"/>
  <c r="X16" i="62"/>
  <c r="I66" i="68"/>
  <c r="N66" i="68" s="1"/>
  <c r="Q66" i="68" s="1"/>
  <c r="O4" i="1"/>
  <c r="I50" i="67"/>
  <c r="N50" i="67" s="1"/>
  <c r="Q50" i="67" s="1"/>
  <c r="O36" i="1"/>
  <c r="X7" i="42"/>
  <c r="AA7" i="42" s="1"/>
  <c r="AC7" i="42" s="1"/>
  <c r="AP7" i="42" s="1"/>
  <c r="X227" i="65"/>
  <c r="AA227" i="65" s="1"/>
  <c r="AC227" i="65" s="1"/>
  <c r="AP227" i="65" s="1"/>
  <c r="X195" i="65"/>
  <c r="X163" i="65"/>
  <c r="AA163" i="65" s="1"/>
  <c r="AC163" i="65" s="1"/>
  <c r="AP163" i="65" s="1"/>
  <c r="X131" i="65"/>
  <c r="Z131" i="65" s="1"/>
  <c r="AB131" i="65" s="1"/>
  <c r="AO131" i="65" s="1"/>
  <c r="X99" i="65"/>
  <c r="AA99" i="65" s="1"/>
  <c r="AC99" i="65" s="1"/>
  <c r="AP99" i="65" s="1"/>
  <c r="X67" i="65"/>
  <c r="X35" i="65"/>
  <c r="AA35" i="65" s="1"/>
  <c r="AC35" i="65" s="1"/>
  <c r="AP35" i="65" s="1"/>
  <c r="X8" i="65"/>
  <c r="Z8" i="65" s="1"/>
  <c r="AB8" i="65" s="1"/>
  <c r="AO8" i="65" s="1"/>
  <c r="X223" i="65"/>
  <c r="Z223" i="65" s="1"/>
  <c r="AB223" i="65" s="1"/>
  <c r="AO223" i="65" s="1"/>
  <c r="X191" i="65"/>
  <c r="X159" i="65"/>
  <c r="AA159" i="65" s="1"/>
  <c r="AC159" i="65" s="1"/>
  <c r="AP159" i="65" s="1"/>
  <c r="X63" i="65"/>
  <c r="AA63" i="65" s="1"/>
  <c r="AC63" i="65" s="1"/>
  <c r="AP63" i="65" s="1"/>
  <c r="X31" i="65"/>
  <c r="Z31" i="65" s="1"/>
  <c r="AB31" i="65" s="1"/>
  <c r="AO31" i="65" s="1"/>
  <c r="X14" i="65"/>
  <c r="AA14" i="65" s="1"/>
  <c r="AC14" i="65" s="1"/>
  <c r="AP14" i="65" s="1"/>
  <c r="X211" i="65"/>
  <c r="Z211" i="65" s="1"/>
  <c r="AB211" i="65" s="1"/>
  <c r="AO211" i="65" s="1"/>
  <c r="X179" i="65"/>
  <c r="AA179" i="65" s="1"/>
  <c r="AC179" i="65" s="1"/>
  <c r="AP179" i="65" s="1"/>
  <c r="X147" i="65"/>
  <c r="Z147" i="65" s="1"/>
  <c r="AB147" i="65" s="1"/>
  <c r="AO147" i="65" s="1"/>
  <c r="I6" i="68"/>
  <c r="X127" i="65"/>
  <c r="AA127" i="65" s="1"/>
  <c r="AC127" i="65" s="1"/>
  <c r="AP127" i="65" s="1"/>
  <c r="X95" i="65"/>
  <c r="Z95" i="65" s="1"/>
  <c r="AB95" i="65" s="1"/>
  <c r="AO95" i="65" s="1"/>
  <c r="X115" i="65"/>
  <c r="Z115" i="65" s="1"/>
  <c r="AB115" i="65" s="1"/>
  <c r="AO115" i="65" s="1"/>
  <c r="X83" i="65"/>
  <c r="X51" i="65"/>
  <c r="Z51" i="65" s="1"/>
  <c r="AB51" i="65" s="1"/>
  <c r="AO51" i="65" s="1"/>
  <c r="X22" i="65"/>
  <c r="Z22" i="65" s="1"/>
  <c r="AB22" i="65" s="1"/>
  <c r="AO22" i="65" s="1"/>
  <c r="O108" i="1"/>
  <c r="I63" i="68"/>
  <c r="X5" i="65"/>
  <c r="AA5" i="65" s="1"/>
  <c r="AC5" i="65" s="1"/>
  <c r="AP5" i="65" s="1"/>
  <c r="AA6" i="50"/>
  <c r="AC6" i="50" s="1"/>
  <c r="AP6" i="50" s="1"/>
  <c r="Z6" i="50"/>
  <c r="AB6" i="50" s="1"/>
  <c r="AO6" i="50" s="1"/>
  <c r="X24" i="42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AP15" i="42" s="1"/>
  <c r="X11" i="42"/>
  <c r="AA11" i="42" s="1"/>
  <c r="AC11" i="42" s="1"/>
  <c r="AP11" i="42" s="1"/>
  <c r="X79" i="65"/>
  <c r="AA79" i="65" s="1"/>
  <c r="AC79" i="65" s="1"/>
  <c r="AP79" i="65" s="1"/>
  <c r="X207" i="65"/>
  <c r="X6" i="16"/>
  <c r="Z6" i="16" s="1"/>
  <c r="AB6" i="16" s="1"/>
  <c r="AO6" i="16" s="1"/>
  <c r="X16" i="16"/>
  <c r="Z16" i="16" s="1"/>
  <c r="AB16" i="16" s="1"/>
  <c r="AO16" i="16" s="1"/>
  <c r="O73" i="1"/>
  <c r="I70" i="68"/>
  <c r="N70" i="68" s="1"/>
  <c r="O84" i="1"/>
  <c r="I44" i="67"/>
  <c r="O44" i="67" s="1"/>
  <c r="R44" i="67" s="1"/>
  <c r="I54" i="68"/>
  <c r="N54" i="68" s="1"/>
  <c r="Q54" i="68" s="1"/>
  <c r="O116" i="1"/>
  <c r="X111" i="65"/>
  <c r="AA111" i="65" s="1"/>
  <c r="AC111" i="65" s="1"/>
  <c r="AP111" i="65" s="1"/>
  <c r="AA7" i="27"/>
  <c r="AC7" i="27" s="1"/>
  <c r="AP7" i="27" s="1"/>
  <c r="O28" i="1"/>
  <c r="I52" i="67"/>
  <c r="N52" i="67" s="1"/>
  <c r="Q52" i="67" s="1"/>
  <c r="A20" i="65"/>
  <c r="O6" i="68" s="1"/>
  <c r="R6" i="68" s="1"/>
  <c r="V6" i="68" s="1"/>
  <c r="G6" i="2" s="1"/>
  <c r="X143" i="65"/>
  <c r="AA143" i="65" s="1"/>
  <c r="AC143" i="65" s="1"/>
  <c r="AP143" i="65" s="1"/>
  <c r="I52" i="68"/>
  <c r="O52" i="68" s="1"/>
  <c r="R52" i="68" s="1"/>
  <c r="N59" i="68"/>
  <c r="Q59" i="68" s="1"/>
  <c r="I45" i="67"/>
  <c r="O45" i="67" s="1"/>
  <c r="R45" i="67" s="1"/>
  <c r="X9" i="28"/>
  <c r="Z9" i="28" s="1"/>
  <c r="AB9" i="28" s="1"/>
  <c r="AO9" i="28" s="1"/>
  <c r="A18" i="42"/>
  <c r="X9" i="50"/>
  <c r="X10" i="50"/>
  <c r="Z13" i="50"/>
  <c r="AB13" i="50" s="1"/>
  <c r="AO13" i="50" s="1"/>
  <c r="X20" i="50"/>
  <c r="X17" i="62"/>
  <c r="AA17" i="62" s="1"/>
  <c r="AC17" i="62" s="1"/>
  <c r="AP17" i="62" s="1"/>
  <c r="O114" i="1"/>
  <c r="X9" i="3"/>
  <c r="Z9" i="3" s="1"/>
  <c r="AB9" i="3" s="1"/>
  <c r="AO9" i="3" s="1"/>
  <c r="I34" i="68"/>
  <c r="O46" i="67"/>
  <c r="R46" i="67" s="1"/>
  <c r="I53" i="67"/>
  <c r="O53" i="67" s="1"/>
  <c r="R53" i="67" s="1"/>
  <c r="O80" i="1"/>
  <c r="A18" i="50"/>
  <c r="N18" i="67" s="1"/>
  <c r="X8" i="50"/>
  <c r="X12" i="50"/>
  <c r="AA12" i="50" s="1"/>
  <c r="AC12" i="50" s="1"/>
  <c r="AP12" i="50" s="1"/>
  <c r="X17" i="50"/>
  <c r="Z17" i="50" s="1"/>
  <c r="AB17" i="50" s="1"/>
  <c r="AO17" i="50" s="1"/>
  <c r="Z23" i="30"/>
  <c r="AB23" i="30" s="1"/>
  <c r="AO23" i="30" s="1"/>
  <c r="AA23" i="30"/>
  <c r="AC23" i="30" s="1"/>
  <c r="AP23" i="3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13" i="12"/>
  <c r="X47" i="12"/>
  <c r="X6" i="12"/>
  <c r="X44" i="12"/>
  <c r="X41" i="12"/>
  <c r="X31" i="12"/>
  <c r="X28" i="12"/>
  <c r="X25" i="12"/>
  <c r="X22" i="12"/>
  <c r="A20" i="12"/>
  <c r="O11" i="68" s="1"/>
  <c r="R11" i="68" s="1"/>
  <c r="V11" i="68" s="1"/>
  <c r="G12" i="2" s="1"/>
  <c r="X15" i="12"/>
  <c r="X10" i="12"/>
  <c r="Z10" i="20"/>
  <c r="AB10" i="20" s="1"/>
  <c r="AO10" i="20" s="1"/>
  <c r="AA10" i="20"/>
  <c r="AC10" i="20" s="1"/>
  <c r="AP10" i="20" s="1"/>
  <c r="Z23" i="29"/>
  <c r="AB23" i="29" s="1"/>
  <c r="AO23" i="29" s="1"/>
  <c r="AA23" i="29"/>
  <c r="AC23" i="29" s="1"/>
  <c r="AP23" i="29" s="1"/>
  <c r="AA19" i="13"/>
  <c r="AC19" i="13" s="1"/>
  <c r="AP19" i="13" s="1"/>
  <c r="Z19" i="13"/>
  <c r="AB19" i="13" s="1"/>
  <c r="AO19" i="13" s="1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V13" i="68" s="1"/>
  <c r="G14" i="2" s="1"/>
  <c r="X15" i="14"/>
  <c r="X22" i="14"/>
  <c r="X10" i="14"/>
  <c r="AA19" i="6"/>
  <c r="AC19" i="6" s="1"/>
  <c r="AP19" i="6" s="1"/>
  <c r="Z19" i="6"/>
  <c r="AB19" i="6" s="1"/>
  <c r="AO19" i="6" s="1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V9" i="68" s="1"/>
  <c r="G10" i="2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AA484" i="15"/>
  <c r="AC484" i="15" s="1"/>
  <c r="AP484" i="15" s="1"/>
  <c r="Z484" i="15"/>
  <c r="AB484" i="15" s="1"/>
  <c r="AO484" i="15" s="1"/>
  <c r="AA68" i="22"/>
  <c r="AC68" i="22" s="1"/>
  <c r="AP68" i="22" s="1"/>
  <c r="Z68" i="22"/>
  <c r="AB68" i="22" s="1"/>
  <c r="AO68" i="22" s="1"/>
  <c r="O70" i="68"/>
  <c r="X55" i="53"/>
  <c r="X51" i="53"/>
  <c r="X47" i="53"/>
  <c r="X43" i="53"/>
  <c r="X39" i="53"/>
  <c r="X35" i="53"/>
  <c r="X31" i="53"/>
  <c r="X27" i="53"/>
  <c r="X22" i="53"/>
  <c r="X21" i="53"/>
  <c r="A20" i="53"/>
  <c r="O24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4" i="67"/>
  <c r="X24" i="55"/>
  <c r="X23" i="55"/>
  <c r="X16" i="55"/>
  <c r="X15" i="55"/>
  <c r="X20" i="55"/>
  <c r="X6" i="55"/>
  <c r="X9" i="55"/>
  <c r="X14" i="55"/>
  <c r="X11" i="55"/>
  <c r="X8" i="55"/>
  <c r="X22" i="55"/>
  <c r="A20" i="55"/>
  <c r="O28" i="67" s="1"/>
  <c r="R28" i="67" s="1"/>
  <c r="V28" i="67" s="1"/>
  <c r="O25" i="2" s="1"/>
  <c r="X19" i="55"/>
  <c r="X18" i="55"/>
  <c r="X10" i="55"/>
  <c r="X13" i="55"/>
  <c r="X7" i="55"/>
  <c r="X21" i="55"/>
  <c r="X17" i="55"/>
  <c r="X12" i="55"/>
  <c r="X5" i="55"/>
  <c r="I28" i="67"/>
  <c r="N51" i="68"/>
  <c r="Q51" i="68" s="1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N27" i="68" s="1"/>
  <c r="Q27" i="68" s="1"/>
  <c r="U27" i="68" s="1"/>
  <c r="X13" i="72"/>
  <c r="X20" i="72"/>
  <c r="X14" i="72"/>
  <c r="X19" i="72"/>
  <c r="X11" i="72"/>
  <c r="I27" i="68"/>
  <c r="X12" i="72"/>
  <c r="X5" i="72"/>
  <c r="X18" i="54"/>
  <c r="X17" i="54"/>
  <c r="X10" i="54"/>
  <c r="X9" i="54"/>
  <c r="X23" i="54"/>
  <c r="X20" i="54"/>
  <c r="A18" i="54"/>
  <c r="N27" i="67" s="1"/>
  <c r="X11" i="54"/>
  <c r="X8" i="54"/>
  <c r="X5" i="54"/>
  <c r="X22" i="54"/>
  <c r="A20" i="54"/>
  <c r="O27" i="67" s="1"/>
  <c r="R27" i="67" s="1"/>
  <c r="V27" i="67" s="1"/>
  <c r="O24" i="2" s="1"/>
  <c r="X13" i="54"/>
  <c r="X7" i="54"/>
  <c r="X16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0" i="68" s="1"/>
  <c r="R20" i="68" s="1"/>
  <c r="V20" i="68" s="1"/>
  <c r="G21" i="2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0" i="68"/>
  <c r="X20" i="45"/>
  <c r="X19" i="45"/>
  <c r="X12" i="45"/>
  <c r="X11" i="45"/>
  <c r="X7" i="45"/>
  <c r="X22" i="45"/>
  <c r="X21" i="45"/>
  <c r="A20" i="45"/>
  <c r="O13" i="67" s="1"/>
  <c r="R13" i="67" s="1"/>
  <c r="V13" i="67" s="1"/>
  <c r="O13" i="2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V17" i="67" s="1"/>
  <c r="O17" i="2" s="1"/>
  <c r="X13" i="49"/>
  <c r="X5" i="49"/>
  <c r="X7" i="49"/>
  <c r="X11" i="49"/>
  <c r="X20" i="49"/>
  <c r="X19" i="49"/>
  <c r="X12" i="49"/>
  <c r="X14" i="49"/>
  <c r="A18" i="49"/>
  <c r="N17" i="67" s="1"/>
  <c r="X8" i="49"/>
  <c r="I17" i="67"/>
  <c r="AA31" i="65"/>
  <c r="AC31" i="65" s="1"/>
  <c r="AP31" i="65" s="1"/>
  <c r="Z111" i="65"/>
  <c r="AB111" i="65" s="1"/>
  <c r="AO111" i="65" s="1"/>
  <c r="A20" i="15"/>
  <c r="O14" i="68" s="1"/>
  <c r="R14" i="68" s="1"/>
  <c r="V14" i="68" s="1"/>
  <c r="G15" i="2" s="1"/>
  <c r="X108" i="15"/>
  <c r="X111" i="15"/>
  <c r="X236" i="15"/>
  <c r="AA11" i="18"/>
  <c r="AC11" i="18" s="1"/>
  <c r="AP11" i="18" s="1"/>
  <c r="Z11" i="18"/>
  <c r="AB11" i="18" s="1"/>
  <c r="AO11" i="18" s="1"/>
  <c r="X6" i="22"/>
  <c r="X14" i="22"/>
  <c r="X39" i="22"/>
  <c r="X52" i="22"/>
  <c r="A20" i="72"/>
  <c r="O27" i="68" s="1"/>
  <c r="R27" i="68" s="1"/>
  <c r="V27" i="68" s="1"/>
  <c r="X18" i="26"/>
  <c r="X17" i="26"/>
  <c r="X10" i="26"/>
  <c r="X9" i="26"/>
  <c r="X20" i="26"/>
  <c r="X19" i="26"/>
  <c r="X12" i="26"/>
  <c r="X11" i="26"/>
  <c r="X7" i="26"/>
  <c r="X24" i="26"/>
  <c r="X23" i="26"/>
  <c r="X8" i="26"/>
  <c r="X22" i="26"/>
  <c r="X5" i="26"/>
  <c r="A20" i="26"/>
  <c r="O31" i="68" s="1"/>
  <c r="R31" i="68" s="1"/>
  <c r="V31" i="68" s="1"/>
  <c r="G28" i="2" s="1"/>
  <c r="X13" i="26"/>
  <c r="X21" i="26"/>
  <c r="X15" i="26"/>
  <c r="Z29" i="28"/>
  <c r="AB29" i="28" s="1"/>
  <c r="AO29" i="28" s="1"/>
  <c r="N56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29" i="67" s="1"/>
  <c r="R29" i="67" s="1"/>
  <c r="V29" i="67" s="1"/>
  <c r="O26" i="2" s="1"/>
  <c r="X14" i="56"/>
  <c r="X13" i="56"/>
  <c r="X8" i="56"/>
  <c r="X5" i="56"/>
  <c r="X24" i="56"/>
  <c r="X17" i="56"/>
  <c r="X12" i="56"/>
  <c r="X10" i="56"/>
  <c r="A18" i="56"/>
  <c r="N29" i="67" s="1"/>
  <c r="X15" i="56"/>
  <c r="X9" i="56"/>
  <c r="X6" i="56"/>
  <c r="X23" i="56"/>
  <c r="X20" i="56"/>
  <c r="X11" i="56"/>
  <c r="X19" i="56"/>
  <c r="X16" i="56"/>
  <c r="X18" i="56"/>
  <c r="X7" i="56"/>
  <c r="I29" i="67"/>
  <c r="AA22" i="65"/>
  <c r="AC22" i="65" s="1"/>
  <c r="AP22" i="65" s="1"/>
  <c r="AA95" i="65"/>
  <c r="AC95" i="65" s="1"/>
  <c r="AP95" i="65" s="1"/>
  <c r="AA223" i="65"/>
  <c r="AC223" i="65" s="1"/>
  <c r="AP223" i="65" s="1"/>
  <c r="X47" i="15"/>
  <c r="X162" i="15"/>
  <c r="X172" i="15"/>
  <c r="X268" i="15"/>
  <c r="X428" i="15"/>
  <c r="N52" i="68"/>
  <c r="Q52" i="68" s="1"/>
  <c r="O58" i="68"/>
  <c r="R58" i="68" s="1"/>
  <c r="O60" i="68"/>
  <c r="R60" i="68" s="1"/>
  <c r="N60" i="68"/>
  <c r="Q60" i="68" s="1"/>
  <c r="Q43" i="67"/>
  <c r="O48" i="67"/>
  <c r="R48" i="67" s="1"/>
  <c r="N48" i="67"/>
  <c r="Q48" i="67" s="1"/>
  <c r="X65" i="69"/>
  <c r="X61" i="69"/>
  <c r="X57" i="69"/>
  <c r="X53" i="69"/>
  <c r="X49" i="69"/>
  <c r="X45" i="69"/>
  <c r="X41" i="69"/>
  <c r="X37" i="69"/>
  <c r="X33" i="69"/>
  <c r="X29" i="69"/>
  <c r="X25" i="69"/>
  <c r="X18" i="69"/>
  <c r="X17" i="69"/>
  <c r="X10" i="69"/>
  <c r="X9" i="69"/>
  <c r="X66" i="69"/>
  <c r="X62" i="69"/>
  <c r="X58" i="69"/>
  <c r="X54" i="69"/>
  <c r="X50" i="69"/>
  <c r="X46" i="69"/>
  <c r="X42" i="69"/>
  <c r="X38" i="69"/>
  <c r="X34" i="69"/>
  <c r="X30" i="69"/>
  <c r="X26" i="69"/>
  <c r="X20" i="69"/>
  <c r="X19" i="69"/>
  <c r="A18" i="69"/>
  <c r="N25" i="68" s="1"/>
  <c r="Q25" i="68" s="1"/>
  <c r="U25" i="68" s="1"/>
  <c r="X12" i="69"/>
  <c r="X11" i="69"/>
  <c r="X7" i="69"/>
  <c r="X60" i="69"/>
  <c r="X52" i="69"/>
  <c r="X44" i="69"/>
  <c r="X36" i="69"/>
  <c r="X28" i="69"/>
  <c r="X16" i="69"/>
  <c r="X14" i="69"/>
  <c r="X13" i="69"/>
  <c r="X63" i="69"/>
  <c r="X55" i="69"/>
  <c r="X47" i="69"/>
  <c r="X39" i="69"/>
  <c r="X31" i="69"/>
  <c r="X22" i="69"/>
  <c r="X21" i="69"/>
  <c r="A20" i="69"/>
  <c r="O25" i="68" s="1"/>
  <c r="R25" i="68" s="1"/>
  <c r="V25" i="68" s="1"/>
  <c r="X15" i="69"/>
  <c r="X6" i="69"/>
  <c r="X5" i="69"/>
  <c r="X67" i="69"/>
  <c r="X64" i="69"/>
  <c r="X51" i="69"/>
  <c r="X48" i="69"/>
  <c r="X35" i="69"/>
  <c r="X32" i="69"/>
  <c r="X56" i="69"/>
  <c r="X43" i="69"/>
  <c r="X8" i="69"/>
  <c r="X23" i="69"/>
  <c r="I25" i="68"/>
  <c r="X59" i="69"/>
  <c r="X40" i="69"/>
  <c r="X27" i="69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O32" i="67" s="1"/>
  <c r="R32" i="67" s="1"/>
  <c r="V32" i="67" s="1"/>
  <c r="O28" i="2" s="1"/>
  <c r="X13" i="58"/>
  <c r="X5" i="58"/>
  <c r="X7" i="58"/>
  <c r="X11" i="58"/>
  <c r="X20" i="58"/>
  <c r="X19" i="58"/>
  <c r="X12" i="58"/>
  <c r="A18" i="58"/>
  <c r="N32" i="67" s="1"/>
  <c r="X8" i="58"/>
  <c r="X14" i="58"/>
  <c r="I32" i="67"/>
  <c r="X18" i="59"/>
  <c r="X17" i="59"/>
  <c r="X10" i="59"/>
  <c r="X9" i="59"/>
  <c r="X21" i="59"/>
  <c r="X24" i="59"/>
  <c r="X11" i="59"/>
  <c r="X8" i="59"/>
  <c r="X5" i="59"/>
  <c r="X23" i="59"/>
  <c r="X22" i="59"/>
  <c r="X20" i="59"/>
  <c r="X13" i="59"/>
  <c r="X6" i="59"/>
  <c r="A20" i="59"/>
  <c r="O33" i="67" s="1"/>
  <c r="R33" i="67" s="1"/>
  <c r="V33" i="67" s="1"/>
  <c r="O29" i="2" s="1"/>
  <c r="X16" i="59"/>
  <c r="X14" i="59"/>
  <c r="X15" i="59"/>
  <c r="X7" i="59"/>
  <c r="X12" i="59"/>
  <c r="X19" i="59"/>
  <c r="A18" i="59"/>
  <c r="N33" i="67" s="1"/>
  <c r="I33" i="67"/>
  <c r="X27" i="24"/>
  <c r="X22" i="24"/>
  <c r="X21" i="24"/>
  <c r="A20" i="24"/>
  <c r="O29" i="68" s="1"/>
  <c r="R29" i="68" s="1"/>
  <c r="V29" i="68" s="1"/>
  <c r="G26" i="2" s="1"/>
  <c r="X14" i="24"/>
  <c r="X13" i="24"/>
  <c r="X8" i="24"/>
  <c r="X5" i="24"/>
  <c r="X28" i="24"/>
  <c r="X24" i="24"/>
  <c r="X23" i="24"/>
  <c r="X16" i="24"/>
  <c r="X15" i="24"/>
  <c r="X6" i="24"/>
  <c r="X18" i="24"/>
  <c r="X17" i="24"/>
  <c r="X12" i="24"/>
  <c r="X10" i="24"/>
  <c r="X9" i="24"/>
  <c r="X20" i="24"/>
  <c r="X19" i="24"/>
  <c r="X11" i="24"/>
  <c r="X26" i="24"/>
  <c r="X25" i="24"/>
  <c r="X7" i="24"/>
  <c r="I29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N45" i="68" s="1"/>
  <c r="X19" i="38"/>
  <c r="X7" i="38"/>
  <c r="X20" i="38"/>
  <c r="X11" i="38"/>
  <c r="I45" i="68"/>
  <c r="O45" i="68" s="1"/>
  <c r="R45" i="68" s="1"/>
  <c r="V45" i="68" s="1"/>
  <c r="G42" i="2" s="1"/>
  <c r="X18" i="70"/>
  <c r="X17" i="70"/>
  <c r="X10" i="70"/>
  <c r="X9" i="70"/>
  <c r="X20" i="70"/>
  <c r="X19" i="70"/>
  <c r="X12" i="70"/>
  <c r="X11" i="70"/>
  <c r="X7" i="70"/>
  <c r="X24" i="70"/>
  <c r="X23" i="70"/>
  <c r="X8" i="70"/>
  <c r="A20" i="70"/>
  <c r="O26" i="68" s="1"/>
  <c r="R26" i="68" s="1"/>
  <c r="V26" i="68" s="1"/>
  <c r="X13" i="70"/>
  <c r="X22" i="70"/>
  <c r="X5" i="70"/>
  <c r="X16" i="70"/>
  <c r="X14" i="70"/>
  <c r="X6" i="70"/>
  <c r="I26" i="68"/>
  <c r="X47" i="28"/>
  <c r="X43" i="28"/>
  <c r="X39" i="28"/>
  <c r="X35" i="28"/>
  <c r="X31" i="28"/>
  <c r="X27" i="28"/>
  <c r="X22" i="28"/>
  <c r="X21" i="28"/>
  <c r="A20" i="28"/>
  <c r="O34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8" i="65"/>
  <c r="X204" i="65"/>
  <c r="X200" i="65"/>
  <c r="X196" i="65"/>
  <c r="X192" i="65"/>
  <c r="X188" i="65"/>
  <c r="X184" i="65"/>
  <c r="X180" i="65"/>
  <c r="X176" i="65"/>
  <c r="X172" i="65"/>
  <c r="X168" i="65"/>
  <c r="X164" i="65"/>
  <c r="X160" i="65"/>
  <c r="X156" i="65"/>
  <c r="X152" i="65"/>
  <c r="X148" i="65"/>
  <c r="X144" i="65"/>
  <c r="X140" i="65"/>
  <c r="X136" i="65"/>
  <c r="X132" i="65"/>
  <c r="X128" i="65"/>
  <c r="X124" i="65"/>
  <c r="X120" i="65"/>
  <c r="X116" i="65"/>
  <c r="X112" i="65"/>
  <c r="X108" i="65"/>
  <c r="X104" i="65"/>
  <c r="X100" i="65"/>
  <c r="X96" i="65"/>
  <c r="X92" i="65"/>
  <c r="X88" i="65"/>
  <c r="X84" i="65"/>
  <c r="X80" i="65"/>
  <c r="X76" i="65"/>
  <c r="X72" i="65"/>
  <c r="X68" i="65"/>
  <c r="X64" i="65"/>
  <c r="X60" i="65"/>
  <c r="X56" i="65"/>
  <c r="X52" i="65"/>
  <c r="X48" i="65"/>
  <c r="X44" i="65"/>
  <c r="X40" i="65"/>
  <c r="X36" i="65"/>
  <c r="X32" i="65"/>
  <c r="X28" i="65"/>
  <c r="X24" i="65"/>
  <c r="X23" i="65"/>
  <c r="X16" i="65"/>
  <c r="X15" i="65"/>
  <c r="X6" i="65"/>
  <c r="X218" i="65"/>
  <c r="X206" i="65"/>
  <c r="X198" i="65"/>
  <c r="X194" i="65"/>
  <c r="X190" i="65"/>
  <c r="X182" i="65"/>
  <c r="X178" i="65"/>
  <c r="X174" i="65"/>
  <c r="X170" i="65"/>
  <c r="X158" i="65"/>
  <c r="X146" i="65"/>
  <c r="X142" i="65"/>
  <c r="X134" i="65"/>
  <c r="X130" i="65"/>
  <c r="X126" i="65"/>
  <c r="X114" i="65"/>
  <c r="X110" i="65"/>
  <c r="X98" i="65"/>
  <c r="X82" i="65"/>
  <c r="X78" i="65"/>
  <c r="X66" i="65"/>
  <c r="X62" i="65"/>
  <c r="X58" i="65"/>
  <c r="X42" i="65"/>
  <c r="X38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201" i="65"/>
  <c r="X197" i="65"/>
  <c r="X193" i="65"/>
  <c r="X189" i="65"/>
  <c r="X185" i="65"/>
  <c r="X181" i="65"/>
  <c r="X177" i="65"/>
  <c r="X173" i="65"/>
  <c r="X169" i="65"/>
  <c r="X165" i="65"/>
  <c r="X161" i="65"/>
  <c r="X157" i="65"/>
  <c r="X153" i="65"/>
  <c r="X149" i="65"/>
  <c r="X145" i="65"/>
  <c r="X141" i="65"/>
  <c r="X137" i="65"/>
  <c r="X133" i="65"/>
  <c r="X129" i="65"/>
  <c r="X125" i="65"/>
  <c r="X121" i="65"/>
  <c r="X117" i="65"/>
  <c r="X113" i="65"/>
  <c r="X109" i="65"/>
  <c r="X105" i="65"/>
  <c r="X101" i="65"/>
  <c r="X97" i="65"/>
  <c r="X93" i="65"/>
  <c r="X89" i="65"/>
  <c r="X85" i="65"/>
  <c r="X81" i="65"/>
  <c r="X77" i="65"/>
  <c r="X73" i="65"/>
  <c r="X69" i="65"/>
  <c r="X65" i="65"/>
  <c r="X61" i="65"/>
  <c r="X57" i="65"/>
  <c r="X53" i="65"/>
  <c r="X49" i="65"/>
  <c r="X45" i="65"/>
  <c r="X41" i="65"/>
  <c r="X37" i="65"/>
  <c r="X33" i="65"/>
  <c r="X29" i="65"/>
  <c r="X25" i="65"/>
  <c r="X18" i="65"/>
  <c r="X17" i="65"/>
  <c r="X10" i="65"/>
  <c r="X9" i="65"/>
  <c r="X230" i="65"/>
  <c r="X226" i="65"/>
  <c r="X222" i="65"/>
  <c r="X214" i="65"/>
  <c r="X210" i="65"/>
  <c r="X202" i="65"/>
  <c r="X186" i="65"/>
  <c r="X166" i="65"/>
  <c r="X162" i="65"/>
  <c r="X154" i="65"/>
  <c r="X150" i="65"/>
  <c r="X138" i="65"/>
  <c r="X122" i="65"/>
  <c r="X118" i="65"/>
  <c r="X106" i="65"/>
  <c r="X102" i="65"/>
  <c r="X94" i="65"/>
  <c r="X90" i="65"/>
  <c r="X86" i="65"/>
  <c r="X74" i="65"/>
  <c r="X70" i="65"/>
  <c r="X54" i="65"/>
  <c r="X50" i="65"/>
  <c r="X46" i="65"/>
  <c r="X30" i="65"/>
  <c r="A18" i="65"/>
  <c r="N6" i="68" s="1"/>
  <c r="X12" i="65"/>
  <c r="X11" i="65"/>
  <c r="X7" i="65"/>
  <c r="X24" i="19"/>
  <c r="X23" i="19"/>
  <c r="X16" i="19"/>
  <c r="X15" i="19"/>
  <c r="X6" i="19"/>
  <c r="X18" i="19"/>
  <c r="X17" i="19"/>
  <c r="X10" i="19"/>
  <c r="X9" i="19"/>
  <c r="X20" i="19"/>
  <c r="X19" i="19"/>
  <c r="A18" i="19"/>
  <c r="N18" i="68" s="1"/>
  <c r="X14" i="19"/>
  <c r="X12" i="19"/>
  <c r="X11" i="19"/>
  <c r="X22" i="19"/>
  <c r="X21" i="19"/>
  <c r="A20" i="19"/>
  <c r="O18" i="68" s="1"/>
  <c r="R18" i="68" s="1"/>
  <c r="V18" i="68" s="1"/>
  <c r="G19" i="2" s="1"/>
  <c r="X13" i="19"/>
  <c r="X8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6" i="68" s="1"/>
  <c r="R16" i="68" s="1"/>
  <c r="V16" i="68" s="1"/>
  <c r="G17" i="2" s="1"/>
  <c r="X15" i="74"/>
  <c r="X6" i="74"/>
  <c r="X5" i="74"/>
  <c r="I16" i="68"/>
  <c r="X24" i="74"/>
  <c r="X23" i="74"/>
  <c r="X22" i="52"/>
  <c r="X21" i="52"/>
  <c r="A20" i="52"/>
  <c r="O20" i="67" s="1"/>
  <c r="R20" i="67" s="1"/>
  <c r="V20" i="67" s="1"/>
  <c r="O20" i="2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4" i="68" s="1"/>
  <c r="X14" i="37"/>
  <c r="X8" i="37"/>
  <c r="X11" i="37"/>
  <c r="X19" i="37"/>
  <c r="X12" i="37"/>
  <c r="I44" i="68"/>
  <c r="X20" i="37"/>
  <c r="X20" i="3"/>
  <c r="X19" i="3"/>
  <c r="X12" i="3"/>
  <c r="X11" i="3"/>
  <c r="X7" i="3"/>
  <c r="X23" i="3"/>
  <c r="X22" i="3"/>
  <c r="X21" i="3"/>
  <c r="A20" i="3"/>
  <c r="O8" i="68" s="1"/>
  <c r="X14" i="3"/>
  <c r="X13" i="3"/>
  <c r="X8" i="3"/>
  <c r="X5" i="3"/>
  <c r="I8" i="68"/>
  <c r="X24" i="3"/>
  <c r="X16" i="3"/>
  <c r="X15" i="3"/>
  <c r="X6" i="3"/>
  <c r="X20" i="34"/>
  <c r="X19" i="34"/>
  <c r="X12" i="34"/>
  <c r="X11" i="34"/>
  <c r="X22" i="34"/>
  <c r="X21" i="34"/>
  <c r="A20" i="34"/>
  <c r="O41" i="68" s="1"/>
  <c r="X14" i="34"/>
  <c r="X13" i="34"/>
  <c r="X18" i="34"/>
  <c r="X17" i="34"/>
  <c r="X10" i="34"/>
  <c r="X8" i="34"/>
  <c r="X23" i="34"/>
  <c r="X7" i="34"/>
  <c r="X5" i="34"/>
  <c r="X15" i="34"/>
  <c r="X16" i="34"/>
  <c r="X6" i="34"/>
  <c r="I41" i="68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40" i="32"/>
  <c r="X136" i="32"/>
  <c r="X132" i="32"/>
  <c r="X128" i="32"/>
  <c r="X124" i="32"/>
  <c r="X120" i="32"/>
  <c r="X116" i="32"/>
  <c r="X112" i="32"/>
  <c r="X108" i="32"/>
  <c r="X104" i="32"/>
  <c r="X100" i="32"/>
  <c r="X96" i="32"/>
  <c r="X92" i="32"/>
  <c r="X88" i="32"/>
  <c r="X84" i="32"/>
  <c r="X80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23" i="32"/>
  <c r="X16" i="32"/>
  <c r="X15" i="32"/>
  <c r="X8" i="32"/>
  <c r="X5" i="32"/>
  <c r="X169" i="32"/>
  <c r="X165" i="32"/>
  <c r="X161" i="32"/>
  <c r="X157" i="32"/>
  <c r="X153" i="32"/>
  <c r="X149" i="32"/>
  <c r="X145" i="32"/>
  <c r="X141" i="32"/>
  <c r="X137" i="32"/>
  <c r="X133" i="32"/>
  <c r="X129" i="32"/>
  <c r="X125" i="32"/>
  <c r="X121" i="32"/>
  <c r="X117" i="32"/>
  <c r="X113" i="32"/>
  <c r="X109" i="32"/>
  <c r="X105" i="32"/>
  <c r="X101" i="32"/>
  <c r="X97" i="32"/>
  <c r="X93" i="32"/>
  <c r="X89" i="32"/>
  <c r="X85" i="32"/>
  <c r="X81" i="32"/>
  <c r="X77" i="32"/>
  <c r="X167" i="32"/>
  <c r="X159" i="32"/>
  <c r="X151" i="32"/>
  <c r="X143" i="32"/>
  <c r="X135" i="32"/>
  <c r="X127" i="32"/>
  <c r="X119" i="32"/>
  <c r="X111" i="32"/>
  <c r="X103" i="32"/>
  <c r="X95" i="32"/>
  <c r="X87" i="32"/>
  <c r="X79" i="32"/>
  <c r="X65" i="32"/>
  <c r="X62" i="32"/>
  <c r="X59" i="32"/>
  <c r="X49" i="32"/>
  <c r="X46" i="32"/>
  <c r="X43" i="32"/>
  <c r="X33" i="32"/>
  <c r="X30" i="32"/>
  <c r="X27" i="32"/>
  <c r="X19" i="32"/>
  <c r="X14" i="32"/>
  <c r="X12" i="32"/>
  <c r="X7" i="32"/>
  <c r="X6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21" i="32"/>
  <c r="X18" i="32"/>
  <c r="X9" i="32"/>
  <c r="X166" i="32"/>
  <c r="X163" i="32"/>
  <c r="X150" i="32"/>
  <c r="X147" i="32"/>
  <c r="X134" i="32"/>
  <c r="X131" i="32"/>
  <c r="X118" i="32"/>
  <c r="X115" i="32"/>
  <c r="X102" i="32"/>
  <c r="X99" i="32"/>
  <c r="X86" i="32"/>
  <c r="X83" i="32"/>
  <c r="X73" i="32"/>
  <c r="X70" i="32"/>
  <c r="X66" i="32"/>
  <c r="X63" i="32"/>
  <c r="X41" i="32"/>
  <c r="X38" i="32"/>
  <c r="X34" i="32"/>
  <c r="X31" i="32"/>
  <c r="X11" i="32"/>
  <c r="X67" i="32"/>
  <c r="X53" i="32"/>
  <c r="X35" i="32"/>
  <c r="X20" i="32"/>
  <c r="X17" i="32"/>
  <c r="X171" i="32"/>
  <c r="X158" i="32"/>
  <c r="X155" i="32"/>
  <c r="X142" i="32"/>
  <c r="X139" i="32"/>
  <c r="X126" i="32"/>
  <c r="X123" i="32"/>
  <c r="X110" i="32"/>
  <c r="X107" i="32"/>
  <c r="X54" i="32"/>
  <c r="X51" i="32"/>
  <c r="X47" i="32"/>
  <c r="X37" i="32"/>
  <c r="X69" i="32"/>
  <c r="A20" i="32"/>
  <c r="O38" i="68" s="1"/>
  <c r="R38" i="68" s="1"/>
  <c r="V38" i="68" s="1"/>
  <c r="G34" i="2" s="1"/>
  <c r="X13" i="32"/>
  <c r="X10" i="32"/>
  <c r="X91" i="32"/>
  <c r="X78" i="32"/>
  <c r="X50" i="32"/>
  <c r="X25" i="32"/>
  <c r="X22" i="32"/>
  <c r="A18" i="32"/>
  <c r="N38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0" i="67"/>
  <c r="X13" i="65"/>
  <c r="X27" i="65"/>
  <c r="X43" i="65"/>
  <c r="X59" i="65"/>
  <c r="X75" i="65"/>
  <c r="X91" i="65"/>
  <c r="X107" i="65"/>
  <c r="X123" i="65"/>
  <c r="X139" i="65"/>
  <c r="X155" i="65"/>
  <c r="X171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29" i="68" s="1"/>
  <c r="X6" i="26"/>
  <c r="X14" i="26"/>
  <c r="A18" i="28"/>
  <c r="N34" i="68" s="1"/>
  <c r="X38" i="28"/>
  <c r="X45" i="28"/>
  <c r="A8" i="31"/>
  <c r="A18" i="31" s="1"/>
  <c r="N37" i="68" s="1"/>
  <c r="X94" i="32"/>
  <c r="X9" i="34"/>
  <c r="X20" i="30"/>
  <c r="X19" i="30"/>
  <c r="X12" i="30"/>
  <c r="X11" i="30"/>
  <c r="X7" i="30"/>
  <c r="X22" i="30"/>
  <c r="X21" i="30"/>
  <c r="A20" i="30"/>
  <c r="O36" i="68" s="1"/>
  <c r="R36" i="68" s="1"/>
  <c r="V36" i="68" s="1"/>
  <c r="G32" i="2" s="1"/>
  <c r="X14" i="30"/>
  <c r="X13" i="30"/>
  <c r="X8" i="30"/>
  <c r="X5" i="30"/>
  <c r="X16" i="30"/>
  <c r="X15" i="30"/>
  <c r="X10" i="30"/>
  <c r="X6" i="30"/>
  <c r="X17" i="30"/>
  <c r="X24" i="30"/>
  <c r="X9" i="30"/>
  <c r="X18" i="30"/>
  <c r="I36" i="68"/>
  <c r="X66" i="47"/>
  <c r="X62" i="47"/>
  <c r="X58" i="47"/>
  <c r="X54" i="47"/>
  <c r="X50" i="47"/>
  <c r="X46" i="47"/>
  <c r="X42" i="47"/>
  <c r="X38" i="47"/>
  <c r="X34" i="47"/>
  <c r="X30" i="47"/>
  <c r="X26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X22" i="47"/>
  <c r="X21" i="47"/>
  <c r="A20" i="47"/>
  <c r="O15" i="67" s="1"/>
  <c r="R15" i="67" s="1"/>
  <c r="V15" i="67" s="1"/>
  <c r="O15" i="2" s="1"/>
  <c r="X14" i="47"/>
  <c r="X13" i="47"/>
  <c r="X8" i="47"/>
  <c r="X5" i="47"/>
  <c r="X64" i="47"/>
  <c r="X60" i="47"/>
  <c r="X56" i="47"/>
  <c r="X52" i="47"/>
  <c r="X48" i="47"/>
  <c r="X44" i="47"/>
  <c r="X40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X41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5" i="20"/>
  <c r="X31" i="20"/>
  <c r="X27" i="20"/>
  <c r="X22" i="20"/>
  <c r="X21" i="20"/>
  <c r="A20" i="20"/>
  <c r="O19" i="68" s="1"/>
  <c r="R19" i="68" s="1"/>
  <c r="V19" i="68" s="1"/>
  <c r="G20" i="2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40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19" i="68"/>
  <c r="X54" i="20"/>
  <c r="X17" i="20"/>
  <c r="X19" i="20"/>
  <c r="X11" i="20"/>
  <c r="X77" i="20"/>
  <c r="X70" i="20"/>
  <c r="X61" i="20"/>
  <c r="X45" i="20"/>
  <c r="X38" i="20"/>
  <c r="X29" i="20"/>
  <c r="X9" i="20"/>
  <c r="X22" i="6"/>
  <c r="X21" i="6"/>
  <c r="A20" i="6"/>
  <c r="O10" i="68" s="1"/>
  <c r="R10" i="68" s="1"/>
  <c r="V10" i="68" s="1"/>
  <c r="G11" i="2" s="1"/>
  <c r="X14" i="6"/>
  <c r="X13" i="6"/>
  <c r="X8" i="6"/>
  <c r="X5" i="6"/>
  <c r="X23" i="6"/>
  <c r="X18" i="6"/>
  <c r="X9" i="6"/>
  <c r="X12" i="6"/>
  <c r="X10" i="6"/>
  <c r="X20" i="6"/>
  <c r="X15" i="6"/>
  <c r="X11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7" i="46"/>
  <c r="X10" i="46"/>
  <c r="X9" i="46"/>
  <c r="X82" i="46"/>
  <c r="X78" i="46"/>
  <c r="X74" i="46"/>
  <c r="X70" i="46"/>
  <c r="X66" i="46"/>
  <c r="X62" i="46"/>
  <c r="X58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51" i="46"/>
  <c r="X47" i="46"/>
  <c r="X43" i="46"/>
  <c r="X39" i="46"/>
  <c r="X35" i="46"/>
  <c r="X31" i="46"/>
  <c r="X27" i="46"/>
  <c r="X22" i="46"/>
  <c r="X21" i="46"/>
  <c r="A20" i="46"/>
  <c r="O14" i="67" s="1"/>
  <c r="R14" i="67" s="1"/>
  <c r="V14" i="67" s="1"/>
  <c r="O14" i="2" s="1"/>
  <c r="X14" i="46"/>
  <c r="X13" i="46"/>
  <c r="X8" i="46"/>
  <c r="X5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4" i="67" s="1"/>
  <c r="R34" i="67" s="1"/>
  <c r="V34" i="67" s="1"/>
  <c r="O30" i="2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I38" i="67" s="1"/>
  <c r="AA8" i="65"/>
  <c r="AC8" i="65" s="1"/>
  <c r="AP8" i="65" s="1"/>
  <c r="AA67" i="65"/>
  <c r="AC67" i="65" s="1"/>
  <c r="AP67" i="65" s="1"/>
  <c r="Z67" i="65"/>
  <c r="AB67" i="65" s="1"/>
  <c r="AO67" i="65" s="1"/>
  <c r="AA83" i="65"/>
  <c r="AC83" i="65" s="1"/>
  <c r="AP83" i="65" s="1"/>
  <c r="Z83" i="65"/>
  <c r="AB83" i="65" s="1"/>
  <c r="AO83" i="65" s="1"/>
  <c r="AA115" i="65"/>
  <c r="AC115" i="65" s="1"/>
  <c r="AP115" i="65" s="1"/>
  <c r="AA131" i="65"/>
  <c r="AC131" i="65" s="1"/>
  <c r="AP131" i="65" s="1"/>
  <c r="AA147" i="65"/>
  <c r="AC147" i="65" s="1"/>
  <c r="AP147" i="65" s="1"/>
  <c r="Z179" i="65"/>
  <c r="AB179" i="65" s="1"/>
  <c r="AO179" i="65" s="1"/>
  <c r="AA195" i="65"/>
  <c r="AC195" i="65" s="1"/>
  <c r="AP195" i="65" s="1"/>
  <c r="Z195" i="65"/>
  <c r="AB195" i="65" s="1"/>
  <c r="AO195" i="65" s="1"/>
  <c r="AA211" i="65"/>
  <c r="AC211" i="65" s="1"/>
  <c r="AP211" i="65" s="1"/>
  <c r="AA9" i="3"/>
  <c r="AC9" i="3" s="1"/>
  <c r="AP9" i="3" s="1"/>
  <c r="AA18" i="3"/>
  <c r="AC18" i="3" s="1"/>
  <c r="AP18" i="3" s="1"/>
  <c r="Z18" i="3"/>
  <c r="AB18" i="3" s="1"/>
  <c r="AO18" i="3" s="1"/>
  <c r="X513" i="15"/>
  <c r="X509" i="15"/>
  <c r="X505" i="15"/>
  <c r="X501" i="15"/>
  <c r="X497" i="15"/>
  <c r="X493" i="15"/>
  <c r="X489" i="15"/>
  <c r="X485" i="15"/>
  <c r="X481" i="15"/>
  <c r="X477" i="15"/>
  <c r="X473" i="15"/>
  <c r="X469" i="15"/>
  <c r="X465" i="15"/>
  <c r="X461" i="15"/>
  <c r="X457" i="15"/>
  <c r="X453" i="15"/>
  <c r="X449" i="15"/>
  <c r="X445" i="15"/>
  <c r="X441" i="15"/>
  <c r="X437" i="15"/>
  <c r="X433" i="15"/>
  <c r="X429" i="15"/>
  <c r="X425" i="15"/>
  <c r="X421" i="15"/>
  <c r="X417" i="15"/>
  <c r="X413" i="15"/>
  <c r="X409" i="15"/>
  <c r="X405" i="15"/>
  <c r="X401" i="15"/>
  <c r="X397" i="15"/>
  <c r="X393" i="15"/>
  <c r="X389" i="15"/>
  <c r="X385" i="15"/>
  <c r="X381" i="15"/>
  <c r="X377" i="15"/>
  <c r="X373" i="15"/>
  <c r="X369" i="15"/>
  <c r="X365" i="15"/>
  <c r="X361" i="15"/>
  <c r="X357" i="15"/>
  <c r="X353" i="15"/>
  <c r="X349" i="15"/>
  <c r="X345" i="15"/>
  <c r="X341" i="15"/>
  <c r="X337" i="15"/>
  <c r="X333" i="15"/>
  <c r="X329" i="15"/>
  <c r="X325" i="15"/>
  <c r="X321" i="15"/>
  <c r="X317" i="15"/>
  <c r="X313" i="15"/>
  <c r="X309" i="15"/>
  <c r="X305" i="15"/>
  <c r="X301" i="15"/>
  <c r="X297" i="15"/>
  <c r="X293" i="15"/>
  <c r="X289" i="15"/>
  <c r="X285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81" i="15"/>
  <c r="X177" i="15"/>
  <c r="X173" i="15"/>
  <c r="X169" i="15"/>
  <c r="X165" i="15"/>
  <c r="X161" i="15"/>
  <c r="X157" i="15"/>
  <c r="X153" i="15"/>
  <c r="X149" i="15"/>
  <c r="X145" i="15"/>
  <c r="X141" i="15"/>
  <c r="X137" i="15"/>
  <c r="X133" i="15"/>
  <c r="X129" i="15"/>
  <c r="X125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9" i="15"/>
  <c r="X65" i="15"/>
  <c r="X61" i="15"/>
  <c r="X57" i="15"/>
  <c r="X53" i="15"/>
  <c r="X49" i="15"/>
  <c r="X45" i="15"/>
  <c r="X41" i="15"/>
  <c r="X37" i="15"/>
  <c r="X33" i="15"/>
  <c r="X29" i="15"/>
  <c r="X25" i="15"/>
  <c r="X18" i="15"/>
  <c r="X17" i="15"/>
  <c r="X10" i="15"/>
  <c r="X9" i="15"/>
  <c r="X514" i="15"/>
  <c r="X510" i="15"/>
  <c r="X506" i="15"/>
  <c r="X502" i="15"/>
  <c r="X498" i="15"/>
  <c r="X494" i="15"/>
  <c r="X490" i="15"/>
  <c r="X486" i="15"/>
  <c r="X482" i="15"/>
  <c r="X478" i="15"/>
  <c r="X474" i="15"/>
  <c r="X470" i="15"/>
  <c r="X466" i="15"/>
  <c r="X462" i="15"/>
  <c r="X458" i="15"/>
  <c r="X454" i="15"/>
  <c r="X450" i="15"/>
  <c r="X446" i="15"/>
  <c r="X442" i="15"/>
  <c r="X438" i="15"/>
  <c r="X434" i="15"/>
  <c r="X430" i="15"/>
  <c r="X426" i="15"/>
  <c r="X422" i="15"/>
  <c r="X418" i="15"/>
  <c r="X414" i="15"/>
  <c r="X410" i="15"/>
  <c r="X406" i="15"/>
  <c r="X402" i="15"/>
  <c r="X398" i="15"/>
  <c r="X394" i="15"/>
  <c r="X390" i="15"/>
  <c r="X386" i="15"/>
  <c r="X382" i="15"/>
  <c r="X378" i="15"/>
  <c r="X374" i="15"/>
  <c r="X370" i="15"/>
  <c r="X366" i="15"/>
  <c r="X362" i="15"/>
  <c r="X358" i="15"/>
  <c r="X354" i="15"/>
  <c r="X350" i="15"/>
  <c r="X346" i="15"/>
  <c r="X342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46" i="15"/>
  <c r="X242" i="15"/>
  <c r="X238" i="15"/>
  <c r="X234" i="15"/>
  <c r="X230" i="15"/>
  <c r="X226" i="15"/>
  <c r="X222" i="15"/>
  <c r="X218" i="15"/>
  <c r="X214" i="15"/>
  <c r="X210" i="15"/>
  <c r="X206" i="15"/>
  <c r="X202" i="15"/>
  <c r="X198" i="15"/>
  <c r="X194" i="15"/>
  <c r="X190" i="15"/>
  <c r="X186" i="15"/>
  <c r="X182" i="15"/>
  <c r="X178" i="15"/>
  <c r="X174" i="15"/>
  <c r="X511" i="15"/>
  <c r="X503" i="15"/>
  <c r="X495" i="15"/>
  <c r="X487" i="15"/>
  <c r="X479" i="15"/>
  <c r="X471" i="15"/>
  <c r="X463" i="15"/>
  <c r="X455" i="15"/>
  <c r="X447" i="15"/>
  <c r="X439" i="15"/>
  <c r="X431" i="15"/>
  <c r="X423" i="15"/>
  <c r="X415" i="15"/>
  <c r="X407" i="15"/>
  <c r="X399" i="15"/>
  <c r="X391" i="15"/>
  <c r="X383" i="15"/>
  <c r="X375" i="15"/>
  <c r="X367" i="15"/>
  <c r="X359" i="15"/>
  <c r="X351" i="15"/>
  <c r="X343" i="15"/>
  <c r="X335" i="15"/>
  <c r="X327" i="15"/>
  <c r="X319" i="15"/>
  <c r="X311" i="15"/>
  <c r="X303" i="15"/>
  <c r="X295" i="15"/>
  <c r="X287" i="15"/>
  <c r="X279" i="15"/>
  <c r="X271" i="15"/>
  <c r="X263" i="15"/>
  <c r="X255" i="15"/>
  <c r="X247" i="15"/>
  <c r="X239" i="15"/>
  <c r="X231" i="15"/>
  <c r="X223" i="15"/>
  <c r="X215" i="15"/>
  <c r="X207" i="15"/>
  <c r="X199" i="15"/>
  <c r="X191" i="15"/>
  <c r="X183" i="15"/>
  <c r="X175" i="15"/>
  <c r="X171" i="15"/>
  <c r="X168" i="15"/>
  <c r="X158" i="15"/>
  <c r="X155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8" i="15"/>
  <c r="X75" i="15"/>
  <c r="X72" i="15"/>
  <c r="X62" i="15"/>
  <c r="X59" i="15"/>
  <c r="X56" i="15"/>
  <c r="X46" i="15"/>
  <c r="X43" i="15"/>
  <c r="X40" i="15"/>
  <c r="X30" i="15"/>
  <c r="X27" i="15"/>
  <c r="X24" i="15"/>
  <c r="X19" i="15"/>
  <c r="X15" i="15"/>
  <c r="X12" i="15"/>
  <c r="X6" i="15"/>
  <c r="X499" i="15"/>
  <c r="X491" i="15"/>
  <c r="X483" i="15"/>
  <c r="X459" i="15"/>
  <c r="X451" i="15"/>
  <c r="X427" i="15"/>
  <c r="X403" i="15"/>
  <c r="X395" i="15"/>
  <c r="X379" i="15"/>
  <c r="X371" i="15"/>
  <c r="X347" i="15"/>
  <c r="X323" i="15"/>
  <c r="X307" i="15"/>
  <c r="X283" i="15"/>
  <c r="X275" i="15"/>
  <c r="X267" i="15"/>
  <c r="X251" i="15"/>
  <c r="X243" i="15"/>
  <c r="X227" i="15"/>
  <c r="X187" i="15"/>
  <c r="X160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54" i="15"/>
  <c r="X48" i="15"/>
  <c r="X38" i="15"/>
  <c r="X35" i="15"/>
  <c r="X23" i="15"/>
  <c r="A18" i="15"/>
  <c r="N14" i="68" s="1"/>
  <c r="X8" i="15"/>
  <c r="X5" i="15"/>
  <c r="X512" i="15"/>
  <c r="X504" i="15"/>
  <c r="X496" i="15"/>
  <c r="X488" i="15"/>
  <c r="X480" i="15"/>
  <c r="X472" i="15"/>
  <c r="X464" i="15"/>
  <c r="X456" i="15"/>
  <c r="X448" i="15"/>
  <c r="X440" i="15"/>
  <c r="X432" i="15"/>
  <c r="X424" i="15"/>
  <c r="X416" i="15"/>
  <c r="X408" i="15"/>
  <c r="X400" i="15"/>
  <c r="X392" i="15"/>
  <c r="X384" i="15"/>
  <c r="X376" i="15"/>
  <c r="X368" i="15"/>
  <c r="X360" i="15"/>
  <c r="X352" i="15"/>
  <c r="X344" i="15"/>
  <c r="X336" i="15"/>
  <c r="X328" i="15"/>
  <c r="X320" i="15"/>
  <c r="X312" i="15"/>
  <c r="X304" i="15"/>
  <c r="X296" i="15"/>
  <c r="X288" i="15"/>
  <c r="X280" i="15"/>
  <c r="X272" i="15"/>
  <c r="X264" i="15"/>
  <c r="X256" i="15"/>
  <c r="X248" i="15"/>
  <c r="X240" i="15"/>
  <c r="X232" i="15"/>
  <c r="X224" i="15"/>
  <c r="X216" i="15"/>
  <c r="X208" i="15"/>
  <c r="X200" i="15"/>
  <c r="X192" i="15"/>
  <c r="X184" i="15"/>
  <c r="X176" i="15"/>
  <c r="X170" i="15"/>
  <c r="X167" i="15"/>
  <c r="X164" i="15"/>
  <c r="X154" i="15"/>
  <c r="X151" i="15"/>
  <c r="X148" i="15"/>
  <c r="X138" i="15"/>
  <c r="X135" i="15"/>
  <c r="X132" i="15"/>
  <c r="X122" i="15"/>
  <c r="X119" i="15"/>
  <c r="X116" i="15"/>
  <c r="X106" i="15"/>
  <c r="X103" i="15"/>
  <c r="X100" i="15"/>
  <c r="X90" i="15"/>
  <c r="X87" i="15"/>
  <c r="X84" i="15"/>
  <c r="X74" i="15"/>
  <c r="X71" i="15"/>
  <c r="X68" i="15"/>
  <c r="X58" i="15"/>
  <c r="X55" i="15"/>
  <c r="X52" i="15"/>
  <c r="X42" i="15"/>
  <c r="X39" i="15"/>
  <c r="X36" i="15"/>
  <c r="X26" i="15"/>
  <c r="X21" i="15"/>
  <c r="X16" i="15"/>
  <c r="X14" i="15"/>
  <c r="I14" i="68"/>
  <c r="X515" i="15"/>
  <c r="X507" i="15"/>
  <c r="X475" i="15"/>
  <c r="X467" i="15"/>
  <c r="X443" i="15"/>
  <c r="X435" i="15"/>
  <c r="X419" i="15"/>
  <c r="X411" i="15"/>
  <c r="X387" i="15"/>
  <c r="X363" i="15"/>
  <c r="X355" i="15"/>
  <c r="X339" i="15"/>
  <c r="X331" i="15"/>
  <c r="X315" i="15"/>
  <c r="X299" i="15"/>
  <c r="X291" i="15"/>
  <c r="X259" i="15"/>
  <c r="X235" i="15"/>
  <c r="X219" i="15"/>
  <c r="X211" i="15"/>
  <c r="X203" i="15"/>
  <c r="X195" i="15"/>
  <c r="X179" i="15"/>
  <c r="X166" i="15"/>
  <c r="X163" i="15"/>
  <c r="X134" i="15"/>
  <c r="X118" i="15"/>
  <c r="X96" i="15"/>
  <c r="X83" i="15"/>
  <c r="X70" i="15"/>
  <c r="X67" i="15"/>
  <c r="X51" i="15"/>
  <c r="X32" i="15"/>
  <c r="X20" i="15"/>
  <c r="X11" i="15"/>
  <c r="X22" i="15"/>
  <c r="X28" i="15"/>
  <c r="X31" i="15"/>
  <c r="X82" i="15"/>
  <c r="X92" i="15"/>
  <c r="X95" i="15"/>
  <c r="X146" i="15"/>
  <c r="X156" i="15"/>
  <c r="X159" i="15"/>
  <c r="X180" i="15"/>
  <c r="X212" i="15"/>
  <c r="X244" i="15"/>
  <c r="X276" i="15"/>
  <c r="X308" i="15"/>
  <c r="X340" i="15"/>
  <c r="X372" i="15"/>
  <c r="X404" i="15"/>
  <c r="X436" i="15"/>
  <c r="X468" i="15"/>
  <c r="X500" i="15"/>
  <c r="Z8" i="74"/>
  <c r="AB8" i="74" s="1"/>
  <c r="AO8" i="74" s="1"/>
  <c r="AA8" i="74"/>
  <c r="AC8" i="74" s="1"/>
  <c r="AP8" i="74" s="1"/>
  <c r="A18" i="20"/>
  <c r="N19" i="68" s="1"/>
  <c r="X18" i="20"/>
  <c r="X89" i="22"/>
  <c r="X85" i="22"/>
  <c r="X81" i="22"/>
  <c r="X77" i="22"/>
  <c r="X73" i="22"/>
  <c r="X69" i="22"/>
  <c r="X65" i="22"/>
  <c r="X61" i="22"/>
  <c r="X57" i="22"/>
  <c r="X53" i="22"/>
  <c r="X49" i="22"/>
  <c r="X45" i="22"/>
  <c r="X41" i="22"/>
  <c r="X37" i="22"/>
  <c r="X33" i="22"/>
  <c r="X29" i="22"/>
  <c r="X25" i="22"/>
  <c r="X18" i="22"/>
  <c r="X17" i="22"/>
  <c r="X10" i="22"/>
  <c r="X9" i="22"/>
  <c r="X90" i="22"/>
  <c r="X86" i="22"/>
  <c r="X82" i="22"/>
  <c r="X78" i="22"/>
  <c r="X74" i="22"/>
  <c r="X70" i="22"/>
  <c r="X66" i="22"/>
  <c r="X62" i="22"/>
  <c r="X58" i="22"/>
  <c r="X54" i="22"/>
  <c r="X50" i="22"/>
  <c r="X46" i="22"/>
  <c r="X42" i="22"/>
  <c r="X38" i="22"/>
  <c r="X34" i="22"/>
  <c r="X30" i="22"/>
  <c r="X26" i="22"/>
  <c r="X20" i="22"/>
  <c r="X19" i="22"/>
  <c r="X12" i="22"/>
  <c r="X11" i="22"/>
  <c r="X7" i="22"/>
  <c r="X88" i="22"/>
  <c r="X80" i="22"/>
  <c r="X72" i="22"/>
  <c r="X64" i="22"/>
  <c r="X56" i="22"/>
  <c r="X48" i="22"/>
  <c r="X40" i="22"/>
  <c r="X32" i="22"/>
  <c r="X24" i="22"/>
  <c r="X23" i="22"/>
  <c r="X91" i="22"/>
  <c r="X83" i="22"/>
  <c r="X75" i="22"/>
  <c r="X67" i="22"/>
  <c r="X59" i="22"/>
  <c r="X51" i="22"/>
  <c r="X43" i="22"/>
  <c r="X35" i="22"/>
  <c r="X27" i="22"/>
  <c r="X8" i="22"/>
  <c r="X22" i="22"/>
  <c r="X5" i="22"/>
  <c r="A20" i="22"/>
  <c r="O24" i="68" s="1"/>
  <c r="X79" i="22"/>
  <c r="X76" i="22"/>
  <c r="X63" i="22"/>
  <c r="X60" i="22"/>
  <c r="X47" i="22"/>
  <c r="X44" i="22"/>
  <c r="X31" i="22"/>
  <c r="X28" i="22"/>
  <c r="X21" i="22"/>
  <c r="X15" i="22"/>
  <c r="I24" i="68"/>
  <c r="X13" i="22"/>
  <c r="X36" i="22"/>
  <c r="X87" i="22"/>
  <c r="Z25" i="23"/>
  <c r="AB25" i="23" s="1"/>
  <c r="AO25" i="23" s="1"/>
  <c r="AA25" i="23"/>
  <c r="AC25" i="23" s="1"/>
  <c r="AP25" i="23" s="1"/>
  <c r="Z23" i="25"/>
  <c r="AB23" i="25" s="1"/>
  <c r="AO23" i="25" s="1"/>
  <c r="AA23" i="25"/>
  <c r="AC23" i="25" s="1"/>
  <c r="AP23" i="25" s="1"/>
  <c r="AA16" i="26"/>
  <c r="AC16" i="26" s="1"/>
  <c r="AP16" i="26" s="1"/>
  <c r="Z16" i="26"/>
  <c r="AB16" i="26" s="1"/>
  <c r="AO16" i="26" s="1"/>
  <c r="Z17" i="28"/>
  <c r="AB17" i="28" s="1"/>
  <c r="AO17" i="28" s="1"/>
  <c r="AA17" i="28"/>
  <c r="AC17" i="28" s="1"/>
  <c r="AP17" i="28" s="1"/>
  <c r="Z57" i="32"/>
  <c r="AB57" i="32" s="1"/>
  <c r="AO57" i="32" s="1"/>
  <c r="AA57" i="32"/>
  <c r="AC57" i="32" s="1"/>
  <c r="AP57" i="32" s="1"/>
  <c r="N64" i="68"/>
  <c r="Q64" i="68" s="1"/>
  <c r="Q39" i="67"/>
  <c r="L32" i="2"/>
  <c r="X82" i="29"/>
  <c r="X78" i="29"/>
  <c r="X74" i="29"/>
  <c r="X70" i="29"/>
  <c r="X66" i="29"/>
  <c r="X62" i="29"/>
  <c r="X58" i="29"/>
  <c r="X54" i="29"/>
  <c r="X50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7" i="29"/>
  <c r="X63" i="29"/>
  <c r="X59" i="29"/>
  <c r="X55" i="29"/>
  <c r="X51" i="29"/>
  <c r="X47" i="29"/>
  <c r="X43" i="29"/>
  <c r="X39" i="29"/>
  <c r="X35" i="29"/>
  <c r="X31" i="29"/>
  <c r="X27" i="29"/>
  <c r="X22" i="29"/>
  <c r="X21" i="29"/>
  <c r="A20" i="29"/>
  <c r="O35" i="68" s="1"/>
  <c r="R35" i="68" s="1"/>
  <c r="V35" i="68" s="1"/>
  <c r="G31" i="2" s="1"/>
  <c r="X14" i="29"/>
  <c r="X13" i="29"/>
  <c r="X6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53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5" i="68"/>
  <c r="X80" i="29"/>
  <c r="X73" i="29"/>
  <c r="X64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O19" i="67" s="1"/>
  <c r="R19" i="67" s="1"/>
  <c r="V19" i="67" s="1"/>
  <c r="O19" i="2" s="1"/>
  <c r="X14" i="51"/>
  <c r="X13" i="51"/>
  <c r="X8" i="51"/>
  <c r="X5" i="51"/>
  <c r="X18" i="51"/>
  <c r="X17" i="51"/>
  <c r="X9" i="51"/>
  <c r="X24" i="51"/>
  <c r="X23" i="51"/>
  <c r="X16" i="51"/>
  <c r="X6" i="51"/>
  <c r="X15" i="51"/>
  <c r="X10" i="51"/>
  <c r="I19" i="67"/>
  <c r="X18" i="40"/>
  <c r="X17" i="40"/>
  <c r="X24" i="40"/>
  <c r="X19" i="40"/>
  <c r="X15" i="40"/>
  <c r="X12" i="40"/>
  <c r="X10" i="40"/>
  <c r="X9" i="40"/>
  <c r="X21" i="40"/>
  <c r="X16" i="40"/>
  <c r="X14" i="40"/>
  <c r="X7" i="40"/>
  <c r="X20" i="40"/>
  <c r="A20" i="40"/>
  <c r="O9" i="67" s="1"/>
  <c r="R9" i="67" s="1"/>
  <c r="V9" i="67" s="1"/>
  <c r="O10" i="2" s="1"/>
  <c r="X11" i="40"/>
  <c r="X6" i="40"/>
  <c r="X5" i="40"/>
  <c r="X22" i="40"/>
  <c r="A18" i="40"/>
  <c r="N9" i="67" s="1"/>
  <c r="X23" i="40"/>
  <c r="X8" i="40"/>
  <c r="I9" i="67"/>
  <c r="X13" i="40"/>
  <c r="X22" i="13"/>
  <c r="X21" i="13"/>
  <c r="A20" i="13"/>
  <c r="O12" i="68" s="1"/>
  <c r="R12" i="68" s="1"/>
  <c r="V12" i="68" s="1"/>
  <c r="G13" i="2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Z143" i="65"/>
  <c r="AB143" i="65" s="1"/>
  <c r="AO143" i="65" s="1"/>
  <c r="AA175" i="65"/>
  <c r="AC175" i="65" s="1"/>
  <c r="AP175" i="65" s="1"/>
  <c r="Z175" i="65"/>
  <c r="AB175" i="65" s="1"/>
  <c r="AO175" i="65" s="1"/>
  <c r="AA191" i="65"/>
  <c r="AC191" i="65" s="1"/>
  <c r="AP191" i="65" s="1"/>
  <c r="Z191" i="65"/>
  <c r="AB191" i="65" s="1"/>
  <c r="AO191" i="65" s="1"/>
  <c r="AA207" i="65"/>
  <c r="AC207" i="65" s="1"/>
  <c r="AP207" i="65" s="1"/>
  <c r="Z207" i="65"/>
  <c r="AB207" i="65" s="1"/>
  <c r="AO207" i="65" s="1"/>
  <c r="X34" i="15"/>
  <c r="X44" i="15"/>
  <c r="X98" i="15"/>
  <c r="X204" i="15"/>
  <c r="X300" i="15"/>
  <c r="X332" i="15"/>
  <c r="X364" i="15"/>
  <c r="X396" i="15"/>
  <c r="X460" i="15"/>
  <c r="X492" i="15"/>
  <c r="I31" i="68"/>
  <c r="O54" i="68"/>
  <c r="R54" i="68" s="1"/>
  <c r="V39" i="67"/>
  <c r="O32" i="2" s="1"/>
  <c r="O65" i="67"/>
  <c r="R65" i="67" s="1"/>
  <c r="X22" i="71"/>
  <c r="X21" i="71"/>
  <c r="A20" i="71"/>
  <c r="O25" i="67" s="1"/>
  <c r="R25" i="67" s="1"/>
  <c r="V25" i="67" s="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5" i="67"/>
  <c r="X27" i="23"/>
  <c r="X22" i="23"/>
  <c r="X21" i="23"/>
  <c r="A20" i="23"/>
  <c r="O28" i="68" s="1"/>
  <c r="R28" i="68" s="1"/>
  <c r="V28" i="68" s="1"/>
  <c r="G25" i="2" s="1"/>
  <c r="X14" i="23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28" i="68"/>
  <c r="X45" i="57"/>
  <c r="X41" i="57"/>
  <c r="X37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9" i="57"/>
  <c r="X31" i="57"/>
  <c r="X22" i="57"/>
  <c r="X21" i="57"/>
  <c r="A20" i="57"/>
  <c r="O31" i="67" s="1"/>
  <c r="X15" i="57"/>
  <c r="X13" i="57"/>
  <c r="X9" i="57"/>
  <c r="X8" i="57"/>
  <c r="X48" i="57"/>
  <c r="X40" i="57"/>
  <c r="X32" i="57"/>
  <c r="X24" i="57"/>
  <c r="X23" i="57"/>
  <c r="X10" i="57"/>
  <c r="X44" i="57"/>
  <c r="X35" i="57"/>
  <c r="X28" i="57"/>
  <c r="X16" i="57"/>
  <c r="X43" i="57"/>
  <c r="X36" i="57"/>
  <c r="X27" i="57"/>
  <c r="X6" i="57"/>
  <c r="X5" i="57"/>
  <c r="X14" i="57"/>
  <c r="I31" i="67"/>
  <c r="A8" i="35"/>
  <c r="X20" i="16"/>
  <c r="X19" i="16"/>
  <c r="X12" i="16"/>
  <c r="X11" i="16"/>
  <c r="X7" i="16"/>
  <c r="X22" i="16"/>
  <c r="X21" i="16"/>
  <c r="A20" i="16"/>
  <c r="O15" i="68" s="1"/>
  <c r="R15" i="68" s="1"/>
  <c r="V15" i="68" s="1"/>
  <c r="G16" i="2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6" i="67" s="1"/>
  <c r="R26" i="67" s="1"/>
  <c r="V26" i="67" s="1"/>
  <c r="X15" i="73"/>
  <c r="X10" i="73"/>
  <c r="X6" i="73"/>
  <c r="X14" i="73"/>
  <c r="X16" i="73"/>
  <c r="X5" i="73"/>
  <c r="X17" i="73"/>
  <c r="X21" i="73"/>
  <c r="X24" i="73"/>
  <c r="I26" i="67"/>
  <c r="X22" i="33"/>
  <c r="X21" i="33"/>
  <c r="A20" i="33"/>
  <c r="O39" i="68" s="1"/>
  <c r="R39" i="68" s="1"/>
  <c r="V39" i="68" s="1"/>
  <c r="G35" i="2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39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V6" i="67" s="1"/>
  <c r="O6" i="2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V16" i="67" s="1"/>
  <c r="O16" i="2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6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O30" i="68" s="1"/>
  <c r="R30" i="68" s="1"/>
  <c r="V30" i="68" s="1"/>
  <c r="G27" i="2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O17" i="68" s="1"/>
  <c r="R17" i="68" s="1"/>
  <c r="V17" i="68" s="1"/>
  <c r="G18" i="2" s="1"/>
  <c r="X13" i="18"/>
  <c r="X8" i="18"/>
  <c r="X7" i="18"/>
  <c r="X24" i="18"/>
  <c r="X19" i="18"/>
  <c r="X15" i="18"/>
  <c r="X12" i="18"/>
  <c r="X23" i="18"/>
  <c r="X20" i="18"/>
  <c r="X16" i="18"/>
  <c r="X6" i="18"/>
  <c r="X5" i="18"/>
  <c r="I17" i="68"/>
  <c r="X21" i="18"/>
  <c r="A18" i="18"/>
  <c r="N17" i="68" s="1"/>
  <c r="X9" i="18"/>
  <c r="X22" i="44"/>
  <c r="X21" i="44"/>
  <c r="A20" i="44"/>
  <c r="O12" i="67" s="1"/>
  <c r="R12" i="67" s="1"/>
  <c r="V12" i="67" s="1"/>
  <c r="O12" i="2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6" i="68"/>
  <c r="O46" i="68" s="1"/>
  <c r="R46" i="68" s="1"/>
  <c r="V46" i="68" s="1"/>
  <c r="X21" i="65"/>
  <c r="X39" i="65"/>
  <c r="X55" i="65"/>
  <c r="X71" i="65"/>
  <c r="X87" i="65"/>
  <c r="X103" i="65"/>
  <c r="X119" i="65"/>
  <c r="X135" i="65"/>
  <c r="X151" i="65"/>
  <c r="X167" i="65"/>
  <c r="X183" i="65"/>
  <c r="X199" i="65"/>
  <c r="X215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188" i="15"/>
  <c r="X220" i="15"/>
  <c r="X252" i="15"/>
  <c r="X284" i="15"/>
  <c r="X316" i="15"/>
  <c r="X348" i="15"/>
  <c r="X380" i="15"/>
  <c r="X412" i="15"/>
  <c r="X444" i="15"/>
  <c r="X476" i="15"/>
  <c r="X508" i="15"/>
  <c r="X10" i="16"/>
  <c r="X15" i="16"/>
  <c r="X12" i="20"/>
  <c r="X23" i="21"/>
  <c r="X16" i="22"/>
  <c r="X71" i="22"/>
  <c r="X84" i="22"/>
  <c r="X15" i="70"/>
  <c r="X21" i="70"/>
  <c r="X7" i="23"/>
  <c r="X75" i="32"/>
  <c r="N49" i="68"/>
  <c r="I50" i="68"/>
  <c r="N53" i="68"/>
  <c r="Q53" i="68" s="1"/>
  <c r="N57" i="68"/>
  <c r="Q57" i="68" s="1"/>
  <c r="I62" i="68"/>
  <c r="N65" i="68"/>
  <c r="Q65" i="68" s="1"/>
  <c r="N71" i="68"/>
  <c r="Q71" i="68" s="1"/>
  <c r="N49" i="67"/>
  <c r="Q49" i="67" s="1"/>
  <c r="I54" i="67"/>
  <c r="I58" i="67"/>
  <c r="N64" i="67"/>
  <c r="O33" i="1"/>
  <c r="O115" i="1"/>
  <c r="A18" i="74"/>
  <c r="N16" i="68" s="1"/>
  <c r="O64" i="67"/>
  <c r="A18" i="12"/>
  <c r="N11" i="68" s="1"/>
  <c r="A18" i="14"/>
  <c r="N13" i="68" s="1"/>
  <c r="A18" i="16"/>
  <c r="N15" i="68" s="1"/>
  <c r="A18" i="21"/>
  <c r="N20" i="68" s="1"/>
  <c r="A18" i="23"/>
  <c r="N28" i="68" s="1"/>
  <c r="A18" i="25"/>
  <c r="N30" i="68" s="1"/>
  <c r="A18" i="30"/>
  <c r="N36" i="68" s="1"/>
  <c r="A18" i="34"/>
  <c r="N41" i="68" s="1"/>
  <c r="Z10" i="42"/>
  <c r="AB10" i="42" s="1"/>
  <c r="AO10" i="42" s="1"/>
  <c r="A18" i="33"/>
  <c r="N39" i="68" s="1"/>
  <c r="A18" i="22"/>
  <c r="N24" i="68" s="1"/>
  <c r="A18" i="70"/>
  <c r="N26" i="68" s="1"/>
  <c r="Q26" i="68" s="1"/>
  <c r="U26" i="68" s="1"/>
  <c r="A18" i="26"/>
  <c r="N31" i="68" s="1"/>
  <c r="A18" i="29"/>
  <c r="N35" i="68" s="1"/>
  <c r="A18" i="36"/>
  <c r="N46" i="68" s="1"/>
  <c r="D41" i="2" s="1"/>
  <c r="AA12" i="42"/>
  <c r="AC12" i="42" s="1"/>
  <c r="AP12" i="42" s="1"/>
  <c r="Z12" i="42"/>
  <c r="AB12" i="42" s="1"/>
  <c r="AO12" i="42" s="1"/>
  <c r="AA24" i="42"/>
  <c r="AC24" i="42" s="1"/>
  <c r="AP24" i="42" s="1"/>
  <c r="Z24" i="42"/>
  <c r="AB24" i="42" s="1"/>
  <c r="AO24" i="42" s="1"/>
  <c r="A18" i="75"/>
  <c r="N16" i="67" s="1"/>
  <c r="A24" i="50"/>
  <c r="AP5" i="50"/>
  <c r="A18" i="47"/>
  <c r="N15" i="67" s="1"/>
  <c r="A18" i="53"/>
  <c r="N24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Z20" i="42"/>
  <c r="AB20" i="42" s="1"/>
  <c r="AO20" i="42" s="1"/>
  <c r="A18" i="71"/>
  <c r="N25" i="67" s="1"/>
  <c r="Q25" i="67" s="1"/>
  <c r="U25" i="67" s="1"/>
  <c r="AA11" i="50"/>
  <c r="AC11" i="50" s="1"/>
  <c r="AP11" i="50" s="1"/>
  <c r="Z11" i="50"/>
  <c r="AB11" i="50" s="1"/>
  <c r="AO11" i="50" s="1"/>
  <c r="A18" i="55"/>
  <c r="N28" i="67" s="1"/>
  <c r="AA7" i="50"/>
  <c r="AC7" i="50" s="1"/>
  <c r="AP7" i="50" s="1"/>
  <c r="Z7" i="50"/>
  <c r="AB7" i="50" s="1"/>
  <c r="AO7" i="50" s="1"/>
  <c r="Z14" i="50"/>
  <c r="AB14" i="50" s="1"/>
  <c r="AO14" i="50" s="1"/>
  <c r="AA18" i="50"/>
  <c r="AC18" i="50" s="1"/>
  <c r="AP18" i="50" s="1"/>
  <c r="A18" i="52"/>
  <c r="N20" i="67" s="1"/>
  <c r="A18" i="73"/>
  <c r="N26" i="67" s="1"/>
  <c r="Q26" i="67" s="1"/>
  <c r="U26" i="67" s="1"/>
  <c r="Z19" i="50"/>
  <c r="AB19" i="50" s="1"/>
  <c r="AO19" i="50" s="1"/>
  <c r="AA20" i="50"/>
  <c r="AC20" i="50" s="1"/>
  <c r="AP20" i="50" s="1"/>
  <c r="Z20" i="50"/>
  <c r="AB20" i="50" s="1"/>
  <c r="AO20" i="50" s="1"/>
  <c r="A18" i="51"/>
  <c r="N19" i="67" s="1"/>
  <c r="A18" i="57"/>
  <c r="N31" i="67" s="1"/>
  <c r="X15" i="50"/>
  <c r="X16" i="50"/>
  <c r="X23" i="50"/>
  <c r="X24" i="50"/>
  <c r="A20" i="50"/>
  <c r="O18" i="67" s="1"/>
  <c r="R18" i="67" s="1"/>
  <c r="V18" i="67" s="1"/>
  <c r="O18" i="2" s="1"/>
  <c r="X21" i="50"/>
  <c r="Z5" i="62"/>
  <c r="AB5" i="62" s="1"/>
  <c r="AA5" i="62"/>
  <c r="AC5" i="62" s="1"/>
  <c r="Z16" i="62"/>
  <c r="AB16" i="62" s="1"/>
  <c r="AO16" i="62" s="1"/>
  <c r="AA16" i="62"/>
  <c r="AC16" i="62" s="1"/>
  <c r="AP16" i="62" s="1"/>
  <c r="A18" i="60"/>
  <c r="N34" i="67" s="1"/>
  <c r="A18" i="63"/>
  <c r="A18" i="64"/>
  <c r="N37" i="67" s="1"/>
  <c r="A18" i="61"/>
  <c r="N36" i="67" s="1"/>
  <c r="Z14" i="62"/>
  <c r="AB14" i="62" s="1"/>
  <c r="AO14" i="62" s="1"/>
  <c r="Z6" i="62"/>
  <c r="AB6" i="62" s="1"/>
  <c r="AO6" i="62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AP9" i="27" s="1"/>
  <c r="AA19" i="27"/>
  <c r="AC19" i="27" s="1"/>
  <c r="AP19" i="27" s="1"/>
  <c r="Z19" i="27"/>
  <c r="AB19" i="27" s="1"/>
  <c r="AO19" i="27" s="1"/>
  <c r="X5" i="27"/>
  <c r="X6" i="27"/>
  <c r="X12" i="27"/>
  <c r="X14" i="27"/>
  <c r="A18" i="27"/>
  <c r="N32" i="68" s="1"/>
  <c r="Q32" i="68" s="1"/>
  <c r="U32" i="68" s="1"/>
  <c r="F29" i="2" s="1"/>
  <c r="X20" i="27"/>
  <c r="X24" i="27"/>
  <c r="R32" i="68"/>
  <c r="V32" i="68" s="1"/>
  <c r="G29" i="2" s="1"/>
  <c r="X10" i="27"/>
  <c r="X13" i="27"/>
  <c r="X16" i="27"/>
  <c r="Z17" i="27"/>
  <c r="AB17" i="27" s="1"/>
  <c r="AO17" i="27" s="1"/>
  <c r="X18" i="27"/>
  <c r="X21" i="27"/>
  <c r="Z22" i="27"/>
  <c r="AB22" i="27" s="1"/>
  <c r="AO22" i="27" s="1"/>
  <c r="X23" i="27"/>
  <c r="X8" i="27"/>
  <c r="X11" i="27"/>
  <c r="X15" i="27"/>
  <c r="N53" i="67" l="1"/>
  <c r="Q53" i="67" s="1"/>
  <c r="I30" i="67"/>
  <c r="Z63" i="65"/>
  <c r="AB63" i="65" s="1"/>
  <c r="AO63" i="65" s="1"/>
  <c r="AA16" i="16"/>
  <c r="AC16" i="16" s="1"/>
  <c r="AP16" i="16" s="1"/>
  <c r="N55" i="68"/>
  <c r="Q55" i="68" s="1"/>
  <c r="Z12" i="50"/>
  <c r="AB12" i="50" s="1"/>
  <c r="AO12" i="50" s="1"/>
  <c r="AO5" i="50"/>
  <c r="Z11" i="42"/>
  <c r="AB11" i="42" s="1"/>
  <c r="AO11" i="42" s="1"/>
  <c r="AA17" i="42"/>
  <c r="AC17" i="42" s="1"/>
  <c r="AP17" i="42" s="1"/>
  <c r="I60" i="67"/>
  <c r="L39" i="2" s="1"/>
  <c r="AA14" i="18"/>
  <c r="AC14" i="18" s="1"/>
  <c r="AP14" i="18" s="1"/>
  <c r="AA51" i="65"/>
  <c r="AC51" i="65" s="1"/>
  <c r="AP51" i="65" s="1"/>
  <c r="Z7" i="42"/>
  <c r="AB7" i="42" s="1"/>
  <c r="AO7" i="42" s="1"/>
  <c r="N57" i="67"/>
  <c r="Q57" i="67" s="1"/>
  <c r="N45" i="67"/>
  <c r="Q45" i="67" s="1"/>
  <c r="I23" i="68"/>
  <c r="N44" i="67"/>
  <c r="Q44" i="67" s="1"/>
  <c r="AA6" i="16"/>
  <c r="AC6" i="16" s="1"/>
  <c r="AP6" i="16" s="1"/>
  <c r="O66" i="68"/>
  <c r="R66" i="68" s="1"/>
  <c r="Z17" i="62"/>
  <c r="AB17" i="62" s="1"/>
  <c r="AO17" i="62" s="1"/>
  <c r="Z6" i="42"/>
  <c r="AB6" i="42" s="1"/>
  <c r="AO6" i="42" s="1"/>
  <c r="Z5" i="65"/>
  <c r="AB5" i="65" s="1"/>
  <c r="AO5" i="65" s="1"/>
  <c r="D29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2" i="67"/>
  <c r="R52" i="67" s="1"/>
  <c r="Z159" i="65"/>
  <c r="AB159" i="65" s="1"/>
  <c r="AO159" i="65" s="1"/>
  <c r="N56" i="68"/>
  <c r="Q56" i="68" s="1"/>
  <c r="Z14" i="65"/>
  <c r="AB14" i="65" s="1"/>
  <c r="AO14" i="65" s="1"/>
  <c r="Z127" i="65"/>
  <c r="AB127" i="65" s="1"/>
  <c r="AO127" i="65" s="1"/>
  <c r="I72" i="68"/>
  <c r="O50" i="67"/>
  <c r="R50" i="67" s="1"/>
  <c r="I61" i="68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63" i="68"/>
  <c r="R63" i="68" s="1"/>
  <c r="N63" i="68"/>
  <c r="Q63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36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3" i="2"/>
  <c r="Q37" i="68"/>
  <c r="U37" i="68" s="1"/>
  <c r="F33" i="2" s="1"/>
  <c r="N23" i="68"/>
  <c r="D24" i="2" s="1"/>
  <c r="Q24" i="68"/>
  <c r="Q30" i="68"/>
  <c r="U30" i="68" s="1"/>
  <c r="F27" i="2" s="1"/>
  <c r="D27" i="2"/>
  <c r="Q13" i="68"/>
  <c r="U13" i="68" s="1"/>
  <c r="F14" i="2" s="1"/>
  <c r="D14" i="2"/>
  <c r="D17" i="2"/>
  <c r="Q16" i="68"/>
  <c r="U16" i="68" s="1"/>
  <c r="F17" i="2" s="1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O42" i="68" s="1"/>
  <c r="R42" i="68" s="1"/>
  <c r="V42" i="68" s="1"/>
  <c r="G38" i="2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2" i="68"/>
  <c r="I43" i="68" s="1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D15" i="2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AP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AP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29" i="2"/>
  <c r="Q33" i="67"/>
  <c r="U33" i="67" s="1"/>
  <c r="N29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Q56" i="67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2" i="68" s="1"/>
  <c r="N43" i="68" s="1"/>
  <c r="Q41" i="68"/>
  <c r="D37" i="2"/>
  <c r="Q11" i="68"/>
  <c r="U11" i="68" s="1"/>
  <c r="F12" i="2" s="1"/>
  <c r="D12" i="2"/>
  <c r="N62" i="68"/>
  <c r="I67" i="68"/>
  <c r="O62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U12" i="68" s="1"/>
  <c r="F13" i="2" s="1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AP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U39" i="67"/>
  <c r="N32" i="2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1" i="67"/>
  <c r="I22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U6" i="68" s="1"/>
  <c r="F6" i="2" s="1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U32" i="67" s="1"/>
  <c r="N28" i="2" s="1"/>
  <c r="L28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7" i="67"/>
  <c r="U27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3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N72" i="68"/>
  <c r="D49" i="2" s="1"/>
  <c r="Q70" i="68"/>
  <c r="Q72" i="68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4" i="67"/>
  <c r="U34" i="67" s="1"/>
  <c r="N30" i="2" s="1"/>
  <c r="L30" i="2"/>
  <c r="A22" i="62"/>
  <c r="AO5" i="62"/>
  <c r="Z23" i="50"/>
  <c r="AB23" i="50" s="1"/>
  <c r="AO23" i="50" s="1"/>
  <c r="AA23" i="50"/>
  <c r="AC23" i="50" s="1"/>
  <c r="AP23" i="50" s="1"/>
  <c r="Q19" i="67"/>
  <c r="U19" i="67" s="1"/>
  <c r="N19" i="2" s="1"/>
  <c r="L19" i="2"/>
  <c r="Q28" i="67"/>
  <c r="U28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4" i="67"/>
  <c r="N23" i="67"/>
  <c r="L23" i="2" s="1"/>
  <c r="Q16" i="67"/>
  <c r="U16" i="67" s="1"/>
  <c r="N16" i="2" s="1"/>
  <c r="L16" i="2"/>
  <c r="Q31" i="68"/>
  <c r="U31" i="68" s="1"/>
  <c r="F28" i="2" s="1"/>
  <c r="D28" i="2"/>
  <c r="Q39" i="68"/>
  <c r="U39" i="68" s="1"/>
  <c r="F35" i="2" s="1"/>
  <c r="D35" i="2"/>
  <c r="Q36" i="68"/>
  <c r="U36" i="68" s="1"/>
  <c r="F32" i="2" s="1"/>
  <c r="D32" i="2"/>
  <c r="D21" i="2"/>
  <c r="Q20" i="68"/>
  <c r="U20" i="68" s="1"/>
  <c r="F21" i="2" s="1"/>
  <c r="R64" i="67"/>
  <c r="R66" i="67" s="1"/>
  <c r="O66" i="67"/>
  <c r="Q49" i="68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U10" i="68" s="1"/>
  <c r="F11" i="2" s="1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AP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AP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1" i="67"/>
  <c r="O30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L10" i="2"/>
  <c r="Q9" i="67"/>
  <c r="U9" i="67" s="1"/>
  <c r="N10" i="2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AP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AP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D26" i="2"/>
  <c r="Q29" i="68"/>
  <c r="U29" i="68" s="1"/>
  <c r="F26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AP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1" i="67"/>
  <c r="N22" i="67" s="1"/>
  <c r="Q8" i="67"/>
  <c r="L9" i="2"/>
  <c r="N7" i="67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R41" i="68"/>
  <c r="O43" i="68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O21" i="68"/>
  <c r="O22" i="68" s="1"/>
  <c r="R8" i="68"/>
  <c r="O7" i="68"/>
  <c r="R7" i="68" s="1"/>
  <c r="V7" i="68" s="1"/>
  <c r="G8" i="2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0" i="2"/>
  <c r="Q44" i="68"/>
  <c r="N47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8" i="68"/>
  <c r="U18" i="68" s="1"/>
  <c r="F19" i="2" s="1"/>
  <c r="D19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AP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AP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AP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AP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Q58" i="67" s="1"/>
  <c r="O58" i="67"/>
  <c r="R58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38" i="67"/>
  <c r="R36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O23" i="68"/>
  <c r="R24" i="68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7" i="68" s="1"/>
  <c r="R37" i="68" s="1"/>
  <c r="V37" i="68" s="1"/>
  <c r="G33" i="2" s="1"/>
  <c r="X13" i="31"/>
  <c r="X44" i="31"/>
  <c r="X31" i="31"/>
  <c r="X28" i="31"/>
  <c r="X21" i="31"/>
  <c r="X15" i="31"/>
  <c r="I37" i="68"/>
  <c r="I40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N7" i="68"/>
  <c r="D9" i="2"/>
  <c r="N21" i="68"/>
  <c r="N22" i="68" s="1"/>
  <c r="D23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7" i="68"/>
  <c r="O44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AP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AP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P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0" i="68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7" i="2"/>
  <c r="Q31" i="67"/>
  <c r="N30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5" i="68"/>
  <c r="U35" i="68" s="1"/>
  <c r="F31" i="2" s="1"/>
  <c r="D31" i="2"/>
  <c r="Q28" i="68"/>
  <c r="U28" i="68" s="1"/>
  <c r="F25" i="2" s="1"/>
  <c r="D25" i="2"/>
  <c r="N50" i="68"/>
  <c r="Q50" i="68" s="1"/>
  <c r="O50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38" i="68"/>
  <c r="U38" i="68" s="1"/>
  <c r="F34" i="2" s="1"/>
  <c r="D34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O21" i="67"/>
  <c r="O22" i="67" s="1"/>
  <c r="R8" i="67"/>
  <c r="O7" i="67"/>
  <c r="R7" i="67" s="1"/>
  <c r="V7" i="67" s="1"/>
  <c r="O8" i="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5" i="34"/>
  <c r="AC5" i="34" s="1"/>
  <c r="Z5" i="34"/>
  <c r="AB5" i="34" s="1"/>
  <c r="AA14" i="34"/>
  <c r="AC14" i="34" s="1"/>
  <c r="AP14" i="34" s="1"/>
  <c r="Z14" i="34"/>
  <c r="AB14" i="34" s="1"/>
  <c r="AO14" i="34" s="1"/>
  <c r="I7" i="68"/>
  <c r="I21" i="68"/>
  <c r="I22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AP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O33" i="68"/>
  <c r="R33" i="68" s="1"/>
  <c r="V33" i="68" s="1"/>
  <c r="R34" i="68"/>
  <c r="V34" i="68" s="1"/>
  <c r="G30" i="2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6" i="67"/>
  <c r="L35" i="2"/>
  <c r="N38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O40" i="68"/>
  <c r="R40" i="68" s="1"/>
  <c r="D16" i="2"/>
  <c r="Q15" i="68"/>
  <c r="U15" i="68" s="1"/>
  <c r="F16" i="2" s="1"/>
  <c r="N66" i="67"/>
  <c r="L41" i="2" s="1"/>
  <c r="Q64" i="67"/>
  <c r="Q66" i="67" s="1"/>
  <c r="N54" i="67"/>
  <c r="Q54" i="67" s="1"/>
  <c r="O54" i="67"/>
  <c r="R54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AP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19" i="68"/>
  <c r="U19" i="68" s="1"/>
  <c r="F20" i="2" s="1"/>
  <c r="D20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5" i="67"/>
  <c r="I61" i="67" s="1"/>
  <c r="Z94" i="32"/>
  <c r="AB94" i="32" s="1"/>
  <c r="AO94" i="32" s="1"/>
  <c r="AA94" i="32"/>
  <c r="AC94" i="32" s="1"/>
  <c r="AP94" i="32" s="1"/>
  <c r="Q34" i="68"/>
  <c r="U34" i="68" s="1"/>
  <c r="F30" i="2" s="1"/>
  <c r="D30" i="2"/>
  <c r="N33" i="68"/>
  <c r="Q33" i="68" s="1"/>
  <c r="U33" i="68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AP59" i="65" s="1"/>
  <c r="Z59" i="65"/>
  <c r="AB59" i="65" s="1"/>
  <c r="AO59" i="65" s="1"/>
  <c r="N40" i="67"/>
  <c r="I41" i="67"/>
  <c r="O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AP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AP57" i="65" s="1"/>
  <c r="Z57" i="65"/>
  <c r="AB57" i="65" s="1"/>
  <c r="AO57" i="65" s="1"/>
  <c r="AA73" i="65"/>
  <c r="AC73" i="65" s="1"/>
  <c r="AP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AP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AP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AP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P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5" i="68"/>
  <c r="U45" i="68" s="1"/>
  <c r="F42" i="2" s="1"/>
  <c r="D42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4" i="67"/>
  <c r="O23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0" i="68"/>
  <c r="R72" i="68" s="1"/>
  <c r="O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V40" i="68"/>
  <c r="G36" i="2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Q40" i="68"/>
  <c r="I33" i="68" l="1"/>
  <c r="Q55" i="67"/>
  <c r="R55" i="67"/>
  <c r="D36" i="2"/>
  <c r="Q61" i="68"/>
  <c r="N60" i="67"/>
  <c r="Q60" i="67" s="1"/>
  <c r="Q61" i="67" s="1"/>
  <c r="L37" i="2"/>
  <c r="N61" i="68"/>
  <c r="D44" i="2" s="1"/>
  <c r="AP5" i="24"/>
  <c r="A24" i="24"/>
  <c r="AO5" i="13"/>
  <c r="A22" i="13"/>
  <c r="A24" i="42"/>
  <c r="AP5" i="42"/>
  <c r="A22" i="19"/>
  <c r="AO5" i="19"/>
  <c r="AP5" i="64"/>
  <c r="A24" i="64"/>
  <c r="AP5" i="33"/>
  <c r="A24" i="33"/>
  <c r="Q30" i="67"/>
  <c r="U30" i="67" s="1"/>
  <c r="U31" i="67"/>
  <c r="N27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4" i="68"/>
  <c r="O47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3" i="2"/>
  <c r="R21" i="68"/>
  <c r="V8" i="68"/>
  <c r="G9" i="2" s="1"/>
  <c r="Q7" i="67"/>
  <c r="U7" i="67" s="1"/>
  <c r="N8" i="2" s="1"/>
  <c r="L8" i="2"/>
  <c r="AO5" i="29"/>
  <c r="A22" i="29"/>
  <c r="A24" i="75"/>
  <c r="AP5" i="75"/>
  <c r="I62" i="67"/>
  <c r="A24" i="36"/>
  <c r="AP5" i="36"/>
  <c r="O67" i="68"/>
  <c r="R62" i="68"/>
  <c r="Q42" i="68"/>
  <c r="U42" i="68" s="1"/>
  <c r="F38" i="2" s="1"/>
  <c r="D38" i="2"/>
  <c r="D39" i="2" s="1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V35" i="67"/>
  <c r="O31" i="2" s="1"/>
  <c r="R23" i="67"/>
  <c r="V23" i="67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4" i="68"/>
  <c r="R23" i="68"/>
  <c r="V23" i="68" s="1"/>
  <c r="G24" i="2" s="1"/>
  <c r="AP5" i="16"/>
  <c r="A24" i="16"/>
  <c r="AP5" i="73"/>
  <c r="A24" i="73"/>
  <c r="R38" i="67"/>
  <c r="V38" i="67" s="1"/>
  <c r="V36" i="67"/>
  <c r="A24" i="54"/>
  <c r="AP5" i="54"/>
  <c r="Q47" i="68"/>
  <c r="U47" i="68" s="1"/>
  <c r="F43" i="2" s="1"/>
  <c r="U44" i="68"/>
  <c r="F40" i="2" s="1"/>
  <c r="AP5" i="3"/>
  <c r="A24" i="3"/>
  <c r="L22" i="2"/>
  <c r="A22" i="75"/>
  <c r="AO5" i="75"/>
  <c r="Q23" i="67"/>
  <c r="U23" i="67" s="1"/>
  <c r="N23" i="2" s="1"/>
  <c r="U35" i="67"/>
  <c r="N31" i="2" s="1"/>
  <c r="U24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0" i="67"/>
  <c r="O41" i="67"/>
  <c r="AP5" i="51"/>
  <c r="A24" i="51"/>
  <c r="AO5" i="25"/>
  <c r="A22" i="25"/>
  <c r="I68" i="68"/>
  <c r="A24" i="19"/>
  <c r="AP5" i="19"/>
  <c r="A24" i="46"/>
  <c r="AP5" i="46"/>
  <c r="R50" i="68"/>
  <c r="R61" i="68" s="1"/>
  <c r="O61" i="68"/>
  <c r="A24" i="5"/>
  <c r="AP5" i="5"/>
  <c r="U8" i="68"/>
  <c r="F9" i="2" s="1"/>
  <c r="Q21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22" i="34"/>
  <c r="AO5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5" i="67"/>
  <c r="AP5" i="38"/>
  <c r="A24" i="38"/>
  <c r="A22" i="74"/>
  <c r="AO5" i="74"/>
  <c r="R43" i="68"/>
  <c r="V43" i="68" s="1"/>
  <c r="G39" i="2" s="1"/>
  <c r="V41" i="68"/>
  <c r="G37" i="2" s="1"/>
  <c r="AP5" i="29"/>
  <c r="A24" i="29"/>
  <c r="AO5" i="23"/>
  <c r="A22" i="23"/>
  <c r="A24" i="18"/>
  <c r="AP5" i="18"/>
  <c r="O55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2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L34" i="2" s="1"/>
  <c r="Q40" i="67"/>
  <c r="N41" i="67"/>
  <c r="AP5" i="30"/>
  <c r="A24" i="30"/>
  <c r="AO5" i="6"/>
  <c r="A22" i="6"/>
  <c r="A24" i="13"/>
  <c r="AP5" i="13"/>
  <c r="AO5" i="42"/>
  <c r="A22" i="42"/>
  <c r="U36" i="67"/>
  <c r="Q38" i="67"/>
  <c r="U38" i="67" s="1"/>
  <c r="O60" i="67"/>
  <c r="R60" i="67" s="1"/>
  <c r="R61" i="67" s="1"/>
  <c r="A24" i="65"/>
  <c r="AP6" i="65"/>
  <c r="AP5" i="34"/>
  <c r="A24" i="34"/>
  <c r="V8" i="67"/>
  <c r="O9" i="2" s="1"/>
  <c r="R21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1" i="67"/>
  <c r="AO5" i="63"/>
  <c r="A22" i="63"/>
  <c r="A24" i="15"/>
  <c r="AP5" i="15"/>
  <c r="AP5" i="23"/>
  <c r="A24" i="23"/>
  <c r="V31" i="67"/>
  <c r="O27" i="2" s="1"/>
  <c r="R30" i="67"/>
  <c r="V30" i="67" s="1"/>
  <c r="A22" i="18"/>
  <c r="AO5" i="18"/>
  <c r="L31" i="2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7" i="68"/>
  <c r="Q62" i="68"/>
  <c r="U41" i="68"/>
  <c r="F37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4" i="68"/>
  <c r="Q23" i="68"/>
  <c r="U23" i="68" s="1"/>
  <c r="F24" i="2" s="1"/>
  <c r="AP5" i="27"/>
  <c r="A24" i="27"/>
  <c r="A22" i="27"/>
  <c r="AO5" i="27"/>
  <c r="U40" i="68"/>
  <c r="F36" i="2" s="1"/>
  <c r="Q43" i="68" l="1"/>
  <c r="U43" i="68" s="1"/>
  <c r="F39" i="2" s="1"/>
  <c r="AP5" i="35"/>
  <c r="A24" i="35"/>
  <c r="R67" i="68"/>
  <c r="O68" i="68"/>
  <c r="U40" i="67"/>
  <c r="N33" i="2" s="1"/>
  <c r="N34" i="2" s="1"/>
  <c r="Q41" i="67"/>
  <c r="U41" i="67" s="1"/>
  <c r="O61" i="67"/>
  <c r="O62" i="67" s="1"/>
  <c r="D45" i="2"/>
  <c r="D47" i="2" s="1"/>
  <c r="Q67" i="68"/>
  <c r="N68" i="68"/>
  <c r="A24" i="31"/>
  <c r="AP5" i="31"/>
  <c r="N61" i="67"/>
  <c r="N62" i="67" s="1"/>
  <c r="L38" i="2"/>
  <c r="L40" i="2" s="1"/>
  <c r="V44" i="68"/>
  <c r="G40" i="2" s="1"/>
  <c r="R47" i="68"/>
  <c r="V47" i="68" s="1"/>
  <c r="G43" i="2" s="1"/>
  <c r="U21" i="67"/>
  <c r="Q22" i="67"/>
  <c r="AO5" i="35"/>
  <c r="A22" i="35"/>
  <c r="A22" i="31"/>
  <c r="AO5" i="31"/>
  <c r="V21" i="67"/>
  <c r="R22" i="67"/>
  <c r="Q22" i="68"/>
  <c r="U22" i="68" s="1"/>
  <c r="F23" i="2" s="1"/>
  <c r="U21" i="68"/>
  <c r="V40" i="67"/>
  <c r="O33" i="2" s="1"/>
  <c r="O34" i="2" s="1"/>
  <c r="R41" i="67"/>
  <c r="V41" i="67" s="1"/>
  <c r="V21" i="68"/>
  <c r="R22" i="68"/>
  <c r="V22" i="68" s="1"/>
  <c r="G23" i="2" s="1"/>
  <c r="Q68" i="68" l="1"/>
  <c r="U68" i="68" s="1"/>
  <c r="F47" i="2" s="1"/>
  <c r="L42" i="2"/>
  <c r="Q62" i="67"/>
  <c r="U62" i="67" s="1"/>
  <c r="N40" i="2" s="1"/>
  <c r="U22" i="67"/>
  <c r="N22" i="2" s="1"/>
  <c r="V22" i="67"/>
  <c r="O22" i="2" s="1"/>
  <c r="R62" i="67"/>
  <c r="V62" i="67" s="1"/>
  <c r="O40" i="2" s="1"/>
  <c r="D50" i="2"/>
  <c r="V67" i="68"/>
  <c r="R68" i="68"/>
  <c r="V68" i="68" s="1"/>
  <c r="G47" i="2" s="1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charset val="1"/>
          </rPr>
          <t>Curtis, Kasey:</t>
        </r>
        <r>
          <rPr>
            <sz val="9"/>
            <color indexed="81"/>
            <rFont val="Tahoma"/>
            <charset val="1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<sst xmlns="http://schemas.openxmlformats.org/spreadsheetml/2006/main" count="11616" uniqueCount="1840">
  <si>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</si>
  <si>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</si>
  <si>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</si>
  <si>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</si>
  <si>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</si>
  <si>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</si>
  <si>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</si>
  <si>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</si>
  <si>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</si>
  <si>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</si>
  <si>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</si>
  <si>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</si>
  <si>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</si>
  <si>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</si>
  <si>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</si>
  <si>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</si>
  <si>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</si>
  <si>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</si>
  <si>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</si>
  <si>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</si>
  <si>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</si>
  <si>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</si>
  <si>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</si>
  <si>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</si>
  <si>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</si>
  <si>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</si>
  <si>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</si>
  <si>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</si>
  <si>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</si>
  <si>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</si>
  <si>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</si>
  <si>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</si>
  <si>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</si>
  <si>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</si>
  <si>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</si>
  <si>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</si>
  <si>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</si>
  <si>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</si>
  <si>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</si>
  <si>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</si>
  <si>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</si>
  <si>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</si>
  <si>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</si>
  <si>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</si>
  <si>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</si>
  <si>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</si>
  <si>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</si>
  <si>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</si>
  <si>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</si>
  <si>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</si>
  <si>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</si>
  <si>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</si>
  <si>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</si>
  <si>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</si>
  <si>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</si>
  <si>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</si>
  <si>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</si>
  <si>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</si>
  <si>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</si>
  <si>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</si>
  <si>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</si>
  <si>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</si>
  <si>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</si>
  <si>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</si>
  <si>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</si>
  <si>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</si>
  <si>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</si>
  <si>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</si>
  <si>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</si>
  <si>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</si>
  <si>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</si>
  <si>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</si>
  <si>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</si>
  <si>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</si>
  <si>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</si>
  <si>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</si>
  <si>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</si>
  <si>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</si>
  <si>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</si>
  <si>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</si>
  <si>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</si>
  <si>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</si>
  <si>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</si>
  <si>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</si>
  <si>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</si>
  <si>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</si>
  <si>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</si>
  <si>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</si>
  <si>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</si>
  <si>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</si>
  <si>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</si>
  <si>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</si>
  <si>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</si>
  <si>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</si>
  <si>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</si>
  <si>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</si>
  <si>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</si>
  <si>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</si>
  <si>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</si>
  <si>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</si>
  <si>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</si>
  <si>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</si>
  <si>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</si>
  <si>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</si>
  <si>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</si>
  <si>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</si>
  <si>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</si>
  <si>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</si>
  <si>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</si>
  <si>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</si>
  <si>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</si>
  <si>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</si>
  <si>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</si>
  <si>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</si>
  <si>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</si>
  <si>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</si>
  <si>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</si>
  <si>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</si>
  <si>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</si>
  <si>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</si>
  <si>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</si>
  <si>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</si>
  <si>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</si>
  <si>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</si>
  <si>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</si>
  <si>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</si>
  <si>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</si>
  <si>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</si>
  <si>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</si>
  <si>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</si>
  <si>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</si>
  <si>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</si>
  <si>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</si>
  <si>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</si>
  <si>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</si>
  <si>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</si>
  <si>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</si>
  <si>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</si>
  <si>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</si>
  <si>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</si>
  <si>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</si>
  <si>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</si>
  <si>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</si>
  <si>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</si>
  <si>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</si>
  <si>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</si>
  <si>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</si>
  <si>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</si>
  <si>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</si>
  <si>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</si>
  <si>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</si>
  <si>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</si>
  <si>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</si>
  <si>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</si>
  <si>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</si>
  <si>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</si>
  <si>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</si>
  <si>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</si>
  <si>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</si>
  <si>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</si>
  <si>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</si>
  <si>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</si>
  <si>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</si>
  <si>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</si>
  <si>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</si>
  <si>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</si>
  <si>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</si>
  <si>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</si>
  <si>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</si>
  <si>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</si>
  <si>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</si>
  <si>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</si>
  <si>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</si>
  <si>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</si>
  <si>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</si>
  <si>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</si>
  <si>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</si>
  <si>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</si>
  <si>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</si>
  <si>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</si>
  <si>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</si>
  <si>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</si>
  <si>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</si>
  <si>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</si>
  <si>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</si>
  <si>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</si>
  <si>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</si>
  <si>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</si>
  <si>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</si>
  <si>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</si>
  <si>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</si>
  <si>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</si>
  <si>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</si>
  <si>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</si>
  <si>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</si>
  <si>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</si>
  <si>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</si>
  <si>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</si>
  <si>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</si>
  <si>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</si>
  <si>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</si>
  <si>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</si>
  <si>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</si>
  <si>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</si>
  <si>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</si>
  <si>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</si>
  <si>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</si>
  <si>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</si>
  <si>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</si>
  <si>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</si>
  <si>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</si>
  <si>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</si>
  <si>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</si>
  <si>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</si>
  <si>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</si>
  <si>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</si>
  <si>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</si>
  <si>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</si>
  <si>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</si>
  <si>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</si>
  <si>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</si>
  <si>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</si>
  <si>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</si>
  <si>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</si>
  <si>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</si>
  <si>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</si>
  <si>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</si>
  <si>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</si>
  <si>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</si>
  <si>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</si>
  <si>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</si>
  <si>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</si>
  <si>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</si>
  <si>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</si>
  <si>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</si>
  <si>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</si>
  <si>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</si>
  <si>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</si>
  <si>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</si>
  <si>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</si>
  <si>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</si>
  <si>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</si>
  <si>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</si>
  <si>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</si>
  <si>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</si>
  <si>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</si>
  <si>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</si>
  <si>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</si>
  <si>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</si>
  <si>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</si>
  <si>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</si>
  <si>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</si>
  <si>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</si>
  <si>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</si>
  <si>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</si>
  <si>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</si>
  <si>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</si>
  <si>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</si>
  <si>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</si>
  <si>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</si>
  <si>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</si>
  <si>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</si>
  <si>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</si>
  <si>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</si>
  <si>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</si>
  <si>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</si>
  <si>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</si>
  <si>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</si>
  <si>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</si>
  <si>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</si>
  <si>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</si>
  <si>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</si>
  <si>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</si>
  <si>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</si>
  <si>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</si>
  <si>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</si>
  <si>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</si>
  <si>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</si>
  <si>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</si>
  <si>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</si>
  <si>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</si>
  <si>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</si>
  <si>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</si>
  <si>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</si>
  <si>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</si>
  <si>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</si>
  <si>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</si>
  <si>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</si>
  <si>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</si>
  <si>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</si>
  <si>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</si>
  <si>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</si>
  <si>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</si>
  <si>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</si>
  <si>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</si>
  <si>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</si>
  <si>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</si>
  <si>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</si>
  <si>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</si>
  <si>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</si>
  <si>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</si>
  <si>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</si>
  <si>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</si>
  <si>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</si>
  <si>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</si>
  <si>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</si>
  <si>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</si>
  <si>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</si>
  <si>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</si>
  <si>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</si>
  <si>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</si>
  <si>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</si>
  <si>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</si>
  <si>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</si>
  <si>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</si>
  <si>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</si>
  <si>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</si>
  <si>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</si>
  <si>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</si>
  <si>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</si>
  <si>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</si>
  <si>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</si>
  <si>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</si>
  <si>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</si>
  <si>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</si>
  <si>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</si>
  <si>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</si>
  <si>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</si>
  <si>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</si>
  <si>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</si>
  <si>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</si>
  <si>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</si>
  <si>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</si>
  <si>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</si>
  <si>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</si>
  <si>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</si>
  <si>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</si>
  <si>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</si>
  <si>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</si>
  <si>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</si>
  <si>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</si>
  <si>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</si>
  <si>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</si>
  <si>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</si>
  <si>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</si>
  <si>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</si>
  <si>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</si>
  <si>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</si>
  <si>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</si>
  <si>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</si>
  <si>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</si>
  <si>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</si>
  <si>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</si>
  <si>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</si>
  <si>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</si>
  <si>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</si>
  <si>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</si>
  <si>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</si>
  <si>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</si>
  <si>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</si>
  <si>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</si>
  <si>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</si>
  <si>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</si>
  <si>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</si>
  <si>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</si>
  <si>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</si>
  <si>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</si>
  <si>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</si>
  <si>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</si>
  <si>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</si>
  <si>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</si>
  <si>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</si>
  <si>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</si>
  <si>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</si>
  <si>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</si>
  <si>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</si>
  <si>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</si>
  <si>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</si>
  <si>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</si>
  <si>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</si>
  <si>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</si>
  <si>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</si>
  <si>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</si>
  <si>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</si>
  <si>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</si>
  <si>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</si>
  <si>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</si>
  <si>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</si>
  <si>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</si>
  <si>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</si>
  <si>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</si>
  <si>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</si>
  <si>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</si>
  <si>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</si>
  <si>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</si>
  <si>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</si>
  <si>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</si>
  <si>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</si>
  <si>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</si>
  <si>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</si>
  <si>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</si>
  <si>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</si>
  <si>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</si>
  <si>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</si>
  <si>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</si>
  <si>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</si>
  <si>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</si>
  <si>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</si>
  <si>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</si>
  <si>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</si>
  <si>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</si>
  <si>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</si>
  <si>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</si>
  <si>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</si>
  <si>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</si>
  <si>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</si>
  <si>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</si>
  <si>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</si>
  <si>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</si>
  <si>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</si>
  <si>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</si>
  <si>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</si>
  <si>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</si>
  <si>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</si>
  <si>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</si>
  <si>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</si>
  <si>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</si>
  <si>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</si>
  <si>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</si>
  <si>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</si>
  <si>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</si>
  <si>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</si>
  <si>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</si>
  <si>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</si>
  <si>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</si>
  <si>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</si>
  <si>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</si>
  <si>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</si>
  <si>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</si>
  <si>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</si>
  <si>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</si>
  <si>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</si>
  <si>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</si>
  <si>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</si>
  <si>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</si>
  <si>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</si>
  <si>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</si>
  <si>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</si>
  <si>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</si>
  <si>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</si>
  <si>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</si>
  <si>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</si>
  <si>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</si>
  <si>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</si>
  <si>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</si>
  <si>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</si>
  <si>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</si>
  <si>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</si>
  <si>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</si>
  <si>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</si>
  <si>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</si>
  <si>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</si>
  <si>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</si>
  <si>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</si>
  <si>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</si>
  <si>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</si>
  <si>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</si>
  <si>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</si>
  <si>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</si>
  <si>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</si>
  <si>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</si>
  <si>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</si>
  <si>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</si>
  <si>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</si>
  <si>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</si>
  <si>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</si>
  <si>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</si>
  <si>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</si>
  <si>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</si>
  <si>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</si>
  <si>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</si>
  <si>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</si>
  <si>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</si>
  <si>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</si>
  <si>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</si>
  <si>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</si>
  <si>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</si>
  <si>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</si>
  <si>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</si>
  <si>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</si>
  <si>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</si>
  <si>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</si>
  <si>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</si>
  <si>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</si>
  <si>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</si>
  <si>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</si>
  <si>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</si>
  <si>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</si>
  <si>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</si>
  <si>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</si>
  <si>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</si>
  <si>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</si>
  <si>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</si>
  <si>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</si>
  <si>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</si>
  <si>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</si>
  <si>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</si>
  <si>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</si>
  <si>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</si>
  <si>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</si>
  <si>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</si>
  <si>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</si>
  <si>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</si>
  <si>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</si>
  <si>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</si>
  <si>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</si>
  <si>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</si>
  <si>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</si>
  <si>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</si>
  <si>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</si>
  <si>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</si>
  <si>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</si>
  <si>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</si>
  <si>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</si>
  <si>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</si>
  <si>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</si>
  <si>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</si>
  <si>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</si>
  <si>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</si>
  <si>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</si>
  <si>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</si>
  <si>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</si>
  <si>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</si>
  <si>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</si>
  <si>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</si>
  <si>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</si>
  <si>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</si>
  <si>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</si>
  <si>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</si>
  <si>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</si>
  <si>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</si>
  <si>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</si>
  <si>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</si>
  <si>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</si>
  <si>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</si>
  <si>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</si>
  <si>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</si>
  <si>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</si>
  <si>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</si>
  <si>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</si>
  <si>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</si>
  <si>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</si>
  <si>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</si>
  <si>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</si>
  <si>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</si>
  <si>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</si>
  <si>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</si>
  <si>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</si>
  <si>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</si>
  <si>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</si>
  <si>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</si>
  <si>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</si>
  <si>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</si>
  <si>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</si>
  <si>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</si>
  <si>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</si>
  <si>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</si>
  <si>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</si>
  <si>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</si>
  <si>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</si>
  <si>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</si>
  <si>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</si>
  <si>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</si>
  <si>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</si>
  <si>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</si>
  <si>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</si>
  <si>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</si>
  <si>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</si>
  <si>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</si>
  <si>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</si>
  <si>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</si>
  <si>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</si>
  <si>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</si>
  <si>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</si>
  <si>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</si>
  <si>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</si>
  <si>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</si>
  <si>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</si>
  <si>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</si>
  <si>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</si>
  <si>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</si>
  <si>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</si>
  <si>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</si>
  <si>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</si>
  <si>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</si>
  <si>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</si>
  <si>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</si>
  <si>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</si>
  <si>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</si>
  <si>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</si>
  <si>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</si>
  <si>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</si>
  <si>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</si>
  <si>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</si>
  <si>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</si>
  <si>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</si>
  <si>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</si>
  <si>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</si>
  <si>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</si>
  <si>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</si>
  <si>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</si>
  <si>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</si>
  <si>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</si>
  <si>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</si>
  <si>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</si>
  <si>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</si>
  <si>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</si>
  <si>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</si>
  <si>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</si>
  <si>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</si>
  <si>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</si>
  <si>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</si>
  <si>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</si>
  <si>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</si>
  <si>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</si>
  <si>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</si>
  <si>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</si>
  <si>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</si>
  <si>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</si>
  <si>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</si>
  <si>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</si>
  <si>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</si>
  <si>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</si>
  <si>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</si>
  <si>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</si>
  <si>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</si>
  <si>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</si>
  <si>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</si>
  <si>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</si>
  <si>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</si>
  <si>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</si>
  <si>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</si>
  <si>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</si>
  <si>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</si>
  <si>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</si>
  <si>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</si>
  <si>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</si>
  <si>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</si>
  <si>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</si>
  <si>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</si>
  <si>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</si>
  <si>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</si>
  <si>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</si>
  <si>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</si>
  <si>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</si>
  <si>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</si>
  <si>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</si>
  <si>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</si>
  <si>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</si>
  <si>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</si>
  <si>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</si>
  <si>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</si>
  <si>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</si>
  <si>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</si>
  <si>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</si>
  <si>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</si>
  <si>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</si>
  <si>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</si>
  <si>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</si>
  <si>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</si>
  <si>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</si>
  <si>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</si>
  <si>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</si>
  <si>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</si>
  <si>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</si>
  <si>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</si>
  <si>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</si>
  <si>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</si>
  <si>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</si>
  <si>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</si>
  <si>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</si>
  <si>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</si>
  <si>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</si>
  <si>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</si>
  <si>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</si>
  <si>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</si>
  <si>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</si>
  <si>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</si>
  <si>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</si>
  <si>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</si>
  <si>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</si>
  <si>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</si>
  <si>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</si>
  <si>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</si>
  <si>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</si>
  <si>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</si>
  <si>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</si>
  <si>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</si>
  <si>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</si>
  <si>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</si>
  <si>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</si>
  <si>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</si>
  <si>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</si>
  <si>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</si>
  <si>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</si>
  <si>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</si>
  <si>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</si>
  <si>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</si>
  <si>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</si>
  <si>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</si>
  <si>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</si>
  <si>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</si>
  <si>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</si>
  <si>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</si>
  <si>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</si>
  <si>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</si>
  <si>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</si>
  <si>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</si>
  <si>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</si>
  <si>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</si>
  <si>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</si>
  <si>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</si>
  <si>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</si>
  <si>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</si>
  <si>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</si>
  <si>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</si>
  <si>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</si>
  <si>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</si>
  <si>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</si>
  <si>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</si>
  <si>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</si>
  <si>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</si>
  <si>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</si>
  <si>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</si>
  <si>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</si>
  <si>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</si>
  <si>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</si>
  <si>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</si>
  <si>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</si>
  <si>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</si>
  <si>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</si>
  <si>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</si>
  <si>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</si>
  <si>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</si>
  <si>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</si>
  <si>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</si>
  <si>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</si>
  <si>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</si>
  <si>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</si>
  <si>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</si>
  <si>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</si>
  <si>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</si>
  <si>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</si>
  <si>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</si>
  <si>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</si>
  <si>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</si>
  <si>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</si>
  <si>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</si>
  <si>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</si>
  <si>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</si>
  <si>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</si>
  <si>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</si>
  <si>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</si>
  <si>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</si>
  <si>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</si>
  <si>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</si>
  <si>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</si>
  <si>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</si>
  <si>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</si>
  <si>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</si>
  <si>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</si>
  <si>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</si>
  <si>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</si>
  <si>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</si>
  <si>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</si>
  <si>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</si>
  <si>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</si>
  <si>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</si>
  <si>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</si>
  <si>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</si>
  <si>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</si>
  <si>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</si>
  <si>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</si>
  <si>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</si>
  <si>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</si>
  <si>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</si>
  <si>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</si>
  <si>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</si>
  <si>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</si>
  <si>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</si>
  <si>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</si>
  <si>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</si>
  <si>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</si>
  <si>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</si>
  <si>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</si>
  <si>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</si>
  <si>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</si>
  <si>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</si>
  <si>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</si>
  <si>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</si>
  <si>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</si>
  <si>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</si>
  <si>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</si>
  <si>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</si>
  <si>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</si>
  <si>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</si>
  <si>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</si>
  <si>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</si>
  <si>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</si>
  <si>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</si>
  <si>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</si>
  <si>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</si>
  <si>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</si>
  <si>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</si>
  <si>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</si>
  <si>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</si>
  <si>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</si>
  <si>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</si>
  <si>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</si>
  <si>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</si>
  <si>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</si>
  <si>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</si>
  <si>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</si>
  <si>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</si>
  <si>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</si>
  <si>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</si>
  <si>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</si>
  <si>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</si>
  <si>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</si>
  <si>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</si>
  <si>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</si>
  <si>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</si>
  <si>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</si>
  <si>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</si>
  <si>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</si>
  <si>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</si>
  <si>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</si>
  <si>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</si>
  <si>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</si>
  <si>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</si>
  <si>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</si>
  <si>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</si>
  <si>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</si>
  <si>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</si>
  <si>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</si>
  <si>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</si>
  <si>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</si>
  <si>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</si>
  <si>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</si>
  <si>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</si>
  <si>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</si>
  <si>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</si>
  <si>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</si>
  <si>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</si>
  <si>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</si>
  <si>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</si>
  <si>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</si>
  <si>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</si>
  <si>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</si>
  <si>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</si>
  <si>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</si>
  <si>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</si>
  <si>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</si>
  <si>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</si>
  <si>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</si>
  <si>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</si>
  <si>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</si>
  <si>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</si>
  <si>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</si>
  <si>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</si>
  <si>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</si>
  <si>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</si>
  <si>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</si>
  <si>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</si>
  <si>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</si>
  <si>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</si>
  <si>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</si>
  <si>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</si>
  <si>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</si>
  <si>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</si>
  <si>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</si>
  <si>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</si>
  <si>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</si>
  <si>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</si>
  <si>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</si>
  <si>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</si>
  <si>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</si>
  <si>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</si>
  <si>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</si>
  <si>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</si>
  <si>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</si>
  <si>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</si>
  <si>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</si>
  <si>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</si>
  <si>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</si>
  <si>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</si>
  <si>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</si>
  <si>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</si>
  <si>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</si>
  <si>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</si>
  <si>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</si>
  <si>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</si>
  <si>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</si>
  <si>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</si>
  <si>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</si>
  <si>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</si>
  <si>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</si>
  <si>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</si>
  <si>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</si>
  <si>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</si>
  <si>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</si>
  <si>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</si>
  <si>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</si>
  <si>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</si>
  <si>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</si>
  <si>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</si>
  <si>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</si>
  <si>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</si>
  <si>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</si>
  <si>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</si>
  <si>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</si>
  <si>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</si>
  <si>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</si>
  <si>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</si>
  <si>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</si>
  <si>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</si>
  <si>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</si>
  <si>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</si>
  <si>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</si>
  <si>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</si>
  <si>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</si>
  <si>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</si>
  <si>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</si>
  <si>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</si>
  <si>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</si>
  <si>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</si>
  <si>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</si>
  <si>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</si>
  <si>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</si>
  <si>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</si>
  <si>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</si>
  <si>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</si>
  <si>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</si>
  <si>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</si>
  <si>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</si>
  <si>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</si>
  <si>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</si>
  <si>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</si>
  <si>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</si>
  <si>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</si>
  <si>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</si>
  <si>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</si>
  <si>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</si>
  <si>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</si>
  <si>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</si>
  <si>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</si>
  <si>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</si>
  <si>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</si>
  <si>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</si>
  <si>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</si>
  <si>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</si>
  <si>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</si>
  <si>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</si>
  <si>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</si>
  <si>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</si>
  <si>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</si>
  <si>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</si>
  <si>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</si>
  <si>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</si>
  <si>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</si>
  <si>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</si>
  <si>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</si>
  <si>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</si>
  <si>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</si>
  <si>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</si>
  <si>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</si>
  <si>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</si>
  <si>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</si>
  <si>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</si>
  <si>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</si>
  <si>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</si>
  <si>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</si>
  <si>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</si>
  <si>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</si>
  <si>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</si>
  <si>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</si>
  <si>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</si>
  <si>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</si>
  <si>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</si>
  <si>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</si>
  <si>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</si>
  <si>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</si>
  <si>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</si>
  <si>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</si>
  <si>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</si>
  <si>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</si>
  <si>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</si>
  <si>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</si>
  <si>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</si>
  <si>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</si>
  <si>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</si>
  <si>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</si>
  <si>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</si>
  <si>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</si>
  <si>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</si>
  <si>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</si>
  <si>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</si>
  <si>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</si>
  <si>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</si>
  <si>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</si>
  <si>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</si>
  <si>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</si>
  <si>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</si>
  <si>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</si>
  <si>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</si>
  <si>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</si>
  <si>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</si>
  <si>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</si>
  <si>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</si>
  <si>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</si>
  <si>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</si>
  <si>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</si>
  <si>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</si>
  <si>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</si>
  <si>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</si>
  <si>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</si>
  <si>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</si>
  <si>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</si>
  <si>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</si>
  <si>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</si>
  <si>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</si>
  <si>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</si>
  <si>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</si>
  <si>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</si>
  <si>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</si>
  <si>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</si>
  <si>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</si>
  <si>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</si>
  <si>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</si>
  <si>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</si>
  <si>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</si>
  <si>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</si>
  <si>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</si>
  <si>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</si>
  <si>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</si>
  <si>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</si>
  <si>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</si>
  <si>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</si>
  <si>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</si>
  <si>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</si>
  <si>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</si>
  <si>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</si>
  <si>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</si>
  <si>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</si>
  <si>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</si>
  <si>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</si>
  <si>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</si>
  <si>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</si>
  <si>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</si>
  <si>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</si>
  <si>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</si>
  <si>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</si>
  <si>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</si>
  <si>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</si>
  <si>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</si>
  <si>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</si>
  <si>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</si>
  <si>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</si>
  <si>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</si>
  <si>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</si>
  <si>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</si>
  <si>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</si>
  <si>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</si>
  <si>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</si>
  <si>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</si>
  <si>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</si>
  <si>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</si>
  <si>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</si>
  <si>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</si>
  <si>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</si>
  <si>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</si>
  <si>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</si>
  <si>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</si>
  <si>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</si>
  <si>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</si>
  <si>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</si>
  <si>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</si>
  <si>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</si>
  <si>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</si>
  <si>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</si>
  <si>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</si>
  <si>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</si>
  <si>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</si>
  <si>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</si>
  <si>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</si>
  <si>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</si>
  <si>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</si>
  <si>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</si>
  <si>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</si>
  <si>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</si>
  <si>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</si>
  <si>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</si>
  <si>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</si>
  <si>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</si>
  <si>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</si>
  <si>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</si>
  <si>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</si>
  <si>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</si>
  <si>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</si>
  <si>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</si>
  <si>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</si>
  <si>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</si>
  <si>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</si>
  <si>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</si>
  <si>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</si>
  <si>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</si>
  <si>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</si>
  <si>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</si>
  <si>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</si>
  <si>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</si>
  <si>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</si>
  <si>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</si>
  <si>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</si>
  <si>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</si>
  <si>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</si>
  <si>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</si>
  <si>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</si>
  <si>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</si>
  <si>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</si>
  <si>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</si>
  <si>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</si>
  <si>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</si>
  <si>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</si>
  <si>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</si>
  <si>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</si>
  <si>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</si>
  <si>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</si>
  <si>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</si>
  <si>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</si>
  <si>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</si>
  <si>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</si>
  <si>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</si>
  <si>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</si>
  <si>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</si>
  <si>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</si>
  <si>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</si>
  <si>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</si>
  <si>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</si>
  <si>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</si>
  <si>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</si>
  <si>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</si>
  <si>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</si>
  <si>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</si>
  <si>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</si>
  <si>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</si>
  <si>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</si>
  <si>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</si>
  <si>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</si>
  <si>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</si>
  <si>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</si>
  <si>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</si>
  <si>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</si>
  <si>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</si>
  <si>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</si>
  <si>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</si>
  <si>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</si>
  <si>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</si>
  <si>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</si>
  <si>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</si>
  <si>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</si>
  <si>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</si>
  <si>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</si>
  <si>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</si>
  <si>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</si>
  <si>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</si>
  <si>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</si>
  <si>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</si>
  <si>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</si>
  <si>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</si>
  <si>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</si>
  <si>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</si>
  <si>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</si>
  <si>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</si>
  <si>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</si>
  <si>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</si>
  <si>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</si>
  <si>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</si>
  <si>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</si>
  <si>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</si>
  <si>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</si>
  <si>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</si>
  <si>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</si>
  <si>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</si>
  <si>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</si>
  <si>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</si>
  <si>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</si>
  <si>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</si>
  <si>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</si>
  <si>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</si>
  <si>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</si>
  <si>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</si>
  <si>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</si>
  <si>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</si>
  <si>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</si>
  <si>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</si>
  <si>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</si>
  <si>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</si>
  <si>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</si>
  <si>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</si>
  <si>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</si>
  <si>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</si>
  <si>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</si>
  <si>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</si>
  <si>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</si>
  <si>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</si>
  <si>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</si>
  <si>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</si>
  <si>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</si>
  <si>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</si>
  <si>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</si>
  <si>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</si>
  <si>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</si>
  <si>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</si>
  <si>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</si>
  <si>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</si>
  <si>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</si>
  <si>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</si>
  <si>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</si>
  <si>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</si>
  <si>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</si>
  <si>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</si>
  <si>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</si>
  <si>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</si>
  <si>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</si>
  <si>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</si>
  <si>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</si>
  <si>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</si>
  <si>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</si>
  <si>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</si>
  <si>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</si>
  <si>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</si>
  <si>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</si>
  <si>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</si>
  <si>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</si>
  <si>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</si>
  <si>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</si>
  <si>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</si>
  <si>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</si>
  <si>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</si>
  <si>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</si>
  <si>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</si>
  <si>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</si>
  <si>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</si>
  <si>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</si>
  <si>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</si>
  <si>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</si>
  <si>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</si>
  <si>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</si>
  <si>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</si>
  <si>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</si>
  <si>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</si>
  <si>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</si>
  <si>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</si>
  <si>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</si>
  <si>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</si>
  <si>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</si>
  <si>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</si>
  <si>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</si>
  <si>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</si>
  <si>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</si>
  <si>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</si>
  <si>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</si>
  <si>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</si>
  <si>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</si>
  <si>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</si>
  <si>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</si>
  <si>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</si>
  <si>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</si>
  <si>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</si>
  <si>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</si>
  <si>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</si>
  <si>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</si>
  <si>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</si>
  <si>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</si>
  <si>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</si>
  <si>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</si>
  <si>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</si>
  <si>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</si>
  <si>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</si>
  <si>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</si>
  <si>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</si>
  <si>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</si>
  <si>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</si>
  <si>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</si>
  <si>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</si>
  <si>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</si>
  <si>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</si>
  <si>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</si>
  <si>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</si>
  <si>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</si>
  <si>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</si>
  <si>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</si>
  <si>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</si>
  <si>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</si>
  <si>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</si>
  <si>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</si>
  <si>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</si>
  <si>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</si>
  <si>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</si>
  <si>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</si>
  <si>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</si>
  <si>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</si>
  <si>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</si>
  <si>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</si>
  <si>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</si>
  <si>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</si>
  <si>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</si>
  <si>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</si>
  <si>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</si>
  <si>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</si>
  <si>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</si>
  <si>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</si>
  <si>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</si>
  <si>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</si>
  <si>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</si>
  <si>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</si>
  <si>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</si>
  <si>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</si>
  <si>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</si>
  <si>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</si>
  <si>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</si>
  <si>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</si>
  <si>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</si>
  <si>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</si>
  <si>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</si>
  <si>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</si>
  <si>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</si>
  <si>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</si>
  <si>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</si>
  <si>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</si>
  <si>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</si>
  <si>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</si>
  <si>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</si>
  <si>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</si>
  <si>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</si>
  <si>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</si>
  <si>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</si>
  <si>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</si>
  <si>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</si>
  <si>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</si>
  <si>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</si>
  <si>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</si>
  <si>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</si>
  <si>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</si>
  <si>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</si>
  <si>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</si>
  <si>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</si>
  <si>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</si>
  <si>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</si>
  <si>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</si>
  <si>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</si>
  <si>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</si>
  <si>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</si>
  <si>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</si>
  <si>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</si>
  <si>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</si>
  <si>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</si>
  <si>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</si>
  <si>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</si>
  <si>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</si>
  <si>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</si>
  <si>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</si>
  <si>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</si>
  <si>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</si>
  <si>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</si>
  <si>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</si>
  <si>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</si>
  <si>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</si>
  <si>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</si>
  <si>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</si>
  <si>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</si>
  <si>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</si>
  <si>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</si>
  <si>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</si>
  <si>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</si>
  <si>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</si>
  <si>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</si>
  <si>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</si>
  <si>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</si>
  <si>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</si>
  <si>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</si>
  <si>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</si>
  <si>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</si>
  <si>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</si>
  <si>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</si>
  <si>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</si>
  <si>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</si>
  <si>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</si>
  <si>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</si>
  <si>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</si>
  <si>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</si>
  <si>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</si>
  <si>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</si>
  <si>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</si>
  <si>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</si>
  <si>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</si>
  <si>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</si>
  <si>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</si>
  <si>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</si>
  <si>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</si>
  <si>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</si>
  <si>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</si>
  <si>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</si>
  <si>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</si>
  <si>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</si>
  <si>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</si>
  <si>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</si>
  <si>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</si>
  <si>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</si>
  <si>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</si>
  <si>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</si>
  <si>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</si>
  <si>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</si>
  <si>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</si>
  <si>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</si>
  <si>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</si>
  <si>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</si>
  <si>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</si>
  <si>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</si>
  <si>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</si>
  <si>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</si>
  <si>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</si>
  <si>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</si>
  <si>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</si>
  <si>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</si>
  <si>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</si>
  <si>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</si>
  <si>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</si>
  <si>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</si>
  <si>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</si>
  <si>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</si>
  <si>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</si>
  <si>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</si>
  <si>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</si>
  <si>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</si>
  <si>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</si>
  <si>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</si>
  <si>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</si>
  <si>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</si>
  <si>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</si>
  <si>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</si>
  <si>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</si>
  <si>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</si>
  <si>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</si>
  <si>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</si>
  <si>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</si>
  <si>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</si>
  <si>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</si>
  <si>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</si>
  <si>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</si>
  <si>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</si>
  <si>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</si>
  <si>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</si>
  <si>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</si>
  <si>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</si>
  <si>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</si>
  <si>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</si>
  <si>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</si>
  <si>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</si>
  <si>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</si>
  <si>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</si>
  <si>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</si>
  <si>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</si>
  <si>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</si>
  <si>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</si>
  <si>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</si>
  <si>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</si>
  <si>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</si>
  <si>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</si>
  <si>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</si>
  <si>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</si>
  <si>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</si>
  <si>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</si>
  <si>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</si>
  <si>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</si>
  <si>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</si>
  <si>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</si>
  <si>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</si>
  <si>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</si>
  <si>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</si>
  <si>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</si>
  <si>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</si>
  <si>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</si>
  <si>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</si>
  <si>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</si>
  <si>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</si>
  <si>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</si>
  <si>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</si>
  <si>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</si>
  <si>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</si>
  <si>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</si>
  <si>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</si>
  <si>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</si>
  <si>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</si>
  <si>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</si>
  <si>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</si>
  <si>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</si>
  <si>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</si>
  <si>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</si>
  <si>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</si>
  <si>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</si>
  <si>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</si>
  <si>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</si>
  <si>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</si>
  <si>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</si>
  <si>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</si>
  <si>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</si>
  <si>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</si>
  <si>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</si>
  <si>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</si>
  <si>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</si>
  <si>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</si>
  <si>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</si>
  <si>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</si>
  <si>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</si>
  <si>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</si>
  <si>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</si>
  <si>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</si>
  <si>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</si>
  <si>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</si>
  <si>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</si>
  <si>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</si>
  <si>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</si>
  <si>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</si>
  <si>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</si>
  <si>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</si>
  <si>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</si>
  <si>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</si>
  <si>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</si>
  <si>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</si>
  <si>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</si>
  <si>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</si>
  <si>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</si>
  <si>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</si>
  <si>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</si>
  <si>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</si>
  <si>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</si>
  <si>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</si>
  <si>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</si>
  <si>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</si>
  <si>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</si>
  <si>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</si>
  <si>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</si>
  <si>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</si>
  <si>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</si>
  <si>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</si>
  <si>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</si>
  <si>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</si>
  <si>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</si>
  <si>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</si>
  <si>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</si>
  <si>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</si>
  <si>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</si>
  <si>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</si>
  <si>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</si>
  <si>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</si>
  <si>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</si>
  <si>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</si>
  <si>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</si>
  <si>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</si>
  <si>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</si>
  <si>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</si>
  <si>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</si>
  <si>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</si>
  <si>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</si>
  <si>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</si>
  <si>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</si>
  <si>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</si>
  <si>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</si>
  <si>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</si>
  <si>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</si>
  <si>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</si>
  <si>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</si>
  <si>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</si>
  <si>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</si>
  <si>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</si>
  <si>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</si>
  <si>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</si>
  <si>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</si>
  <si>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</si>
  <si>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</si>
  <si>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</si>
  <si>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</si>
  <si>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</si>
  <si>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</si>
  <si>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</si>
  <si>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</si>
  <si>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</si>
  <si>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</si>
  <si>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</si>
  <si>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</si>
  <si>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</si>
  <si>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</si>
  <si>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</si>
  <si>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</si>
  <si>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</si>
  <si>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</si>
  <si>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</si>
  <si>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</si>
  <si>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</si>
  <si>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</si>
  <si>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</si>
  <si>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</si>
  <si>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</si>
  <si>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</si>
  <si>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</si>
  <si>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</si>
  <si>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</si>
  <si>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</si>
  <si>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</si>
  <si>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</si>
  <si>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</si>
  <si>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</si>
  <si>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</si>
  <si>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</si>
  <si>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</si>
  <si>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</si>
  <si>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</si>
  <si>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</si>
  <si>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</si>
  <si>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</si>
  <si>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</si>
  <si>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</si>
  <si>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</si>
  <si>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</si>
  <si>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</si>
  <si>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</si>
  <si>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</si>
  <si>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</si>
  <si>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</si>
  <si>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</si>
  <si>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</si>
  <si>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</si>
  <si>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</si>
  <si>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</si>
  <si>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</si>
  <si>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</si>
  <si>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</si>
  <si>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</si>
  <si>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</si>
  <si>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</si>
  <si>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</si>
  <si>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</si>
  <si>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</si>
  <si>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</si>
  <si>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</si>
  <si>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</si>
  <si>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</si>
  <si>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</si>
  <si>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</si>
  <si>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</si>
  <si>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</si>
  <si>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</si>
  <si>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</si>
  <si>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</si>
  <si>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</si>
  <si>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</si>
  <si>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</si>
  <si>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</si>
  <si>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</si>
  <si>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</si>
  <si>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</si>
  <si>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</si>
  <si>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</si>
  <si>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</si>
  <si>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</si>
  <si>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</si>
  <si>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</si>
  <si>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</si>
  <si>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</si>
  <si>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</si>
  <si>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</si>
  <si>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</si>
  <si>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</si>
  <si>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</si>
  <si>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</si>
  <si>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</si>
  <si>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</si>
  <si>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</si>
  <si>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</si>
  <si>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</si>
  <si>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</si>
  <si>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</si>
  <si>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</si>
  <si>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</si>
  <si>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</si>
  <si>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</si>
  <si>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</si>
  <si>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</si>
  <si>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</si>
  <si>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</si>
  <si>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</si>
  <si>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</si>
  <si>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</si>
  <si>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</si>
  <si>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</si>
  <si>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</si>
  <si>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</si>
  <si>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</si>
  <si>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</si>
  <si>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</si>
  <si>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</si>
  <si>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</si>
  <si>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</si>
  <si>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</si>
  <si>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</si>
  <si>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</si>
  <si>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</si>
  <si>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</si>
  <si>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</si>
  <si>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</si>
  <si>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</si>
  <si>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</si>
  <si>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</si>
  <si>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</si>
  <si>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</si>
  <si>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</si>
  <si>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</si>
  <si>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</si>
  <si>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</si>
  <si>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</si>
  <si>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</si>
  <si>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</si>
  <si>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</si>
  <si>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</si>
  <si>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</si>
  <si>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</si>
  <si>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</si>
  <si>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</si>
  <si>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</si>
  <si>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</si>
  <si>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</si>
  <si>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</si>
  <si>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</si>
  <si>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</si>
  <si>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</si>
  <si>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</si>
  <si>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</si>
  <si>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</si>
  <si>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</si>
  <si>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</si>
  <si>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</si>
  <si>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</si>
  <si>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</si>
  <si>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</si>
  <si>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</si>
  <si>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</si>
  <si>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</si>
  <si>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</si>
  <si>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</si>
  <si>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</si>
  <si>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</si>
  <si>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</si>
  <si>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</si>
  <si>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</si>
  <si>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</si>
  <si>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</si>
  <si>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</si>
  <si>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</si>
  <si>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</si>
  <si>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</si>
  <si>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</si>
  <si>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</si>
  <si>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</si>
  <si>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</si>
  <si>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</si>
  <si>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</si>
  <si>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</si>
  <si>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</si>
  <si>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</si>
  <si>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</si>
  <si>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</si>
  <si>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</si>
  <si>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</si>
  <si>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</si>
  <si>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</si>
  <si>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</si>
  <si>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</si>
  <si>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</si>
  <si>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</si>
  <si>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</si>
  <si>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</si>
  <si>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</si>
  <si>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</si>
  <si>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</si>
  <si>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</si>
  <si>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</si>
  <si>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</si>
  <si>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</si>
  <si>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</si>
  <si>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</si>
  <si>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Exhibit 2: 2021 Annual Cost Effectiveness Estimates</t>
  </si>
  <si>
    <t xml:space="preserve">2021 Electric Cost-Effectiveness Tests:  </t>
  </si>
  <si>
    <t xml:space="preserve">2021 Gas Cost-Effectiveness Tests:  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</si>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</sst>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1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2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7"/>
  <sheetViews>
    <sheetView tabSelected="1" zoomScale="70" zoomScaleNormal="70" workbookViewId="0">
      <selection activeCell="B12" sqref="B12"/>
    </sheetView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1801</v>
      </c>
    </row>
    <row r="2" spans="2:16" ht="18">
      <c r="B2" s="395" t="s">
        <v>481</v>
      </c>
    </row>
    <row r="4" spans="2:16" ht="15.75" thickBot="1">
      <c r="B4" s="131" t="s">
        <v>482</v>
      </c>
      <c r="J4" s="131" t="s">
        <v>483</v>
      </c>
      <c r="O4" s="396"/>
    </row>
    <row r="5" spans="2:16" ht="45.75" thickBot="1">
      <c r="B5" s="397" t="s">
        <v>484</v>
      </c>
      <c r="C5" s="398" t="s">
        <v>485</v>
      </c>
      <c r="D5" s="398" t="s">
        <v>486</v>
      </c>
      <c r="E5" s="398" t="s">
        <v>487</v>
      </c>
      <c r="F5" s="398" t="s">
        <v>488</v>
      </c>
      <c r="G5" s="399" t="s">
        <v>489</v>
      </c>
      <c r="H5" s="400"/>
      <c r="J5" s="397" t="s">
        <v>484</v>
      </c>
      <c r="K5" s="398" t="s">
        <v>485</v>
      </c>
      <c r="L5" s="398" t="s">
        <v>486</v>
      </c>
      <c r="M5" s="398" t="s">
        <v>487</v>
      </c>
      <c r="N5" s="398" t="s">
        <v>488</v>
      </c>
      <c r="O5" s="399" t="s">
        <v>490</v>
      </c>
    </row>
    <row r="6" spans="2:16" ht="15.75" thickTop="1">
      <c r="B6" s="401" t="s">
        <v>379</v>
      </c>
      <c r="C6" s="402">
        <f>'Electric CE'!H6</f>
        <v>1066698.69</v>
      </c>
      <c r="D6" s="403">
        <f>'Electric CE'!N6</f>
        <v>1744532.7699999998</v>
      </c>
      <c r="E6" s="403">
        <f>'Electric CE'!T6</f>
        <v>383978.17120417854</v>
      </c>
      <c r="F6" s="404">
        <f>'Electric CE'!U6</f>
        <v>1.1736169793934446</v>
      </c>
      <c r="G6" s="405">
        <f>'Electric CE'!V6</f>
        <v>0.87228010170331871</v>
      </c>
      <c r="H6" s="406"/>
      <c r="J6" s="401" t="s">
        <v>379</v>
      </c>
      <c r="K6" s="402">
        <f>'Gas CE'!H6</f>
        <v>9411.0899999999965</v>
      </c>
      <c r="L6" s="403">
        <f>'Gas CE'!N6</f>
        <v>496004.1</v>
      </c>
      <c r="M6" s="403">
        <f>'Gas CE'!T6</f>
        <v>1276.7998264378712</v>
      </c>
      <c r="N6" s="404">
        <f>'Gas CE'!U6</f>
        <v>0.387318285670048</v>
      </c>
      <c r="O6" s="405">
        <f>'Gas CE'!V6</f>
        <v>0.37829664739096003</v>
      </c>
      <c r="P6" s="406"/>
    </row>
    <row r="7" spans="2:16">
      <c r="B7" s="401"/>
      <c r="C7" s="402"/>
      <c r="D7" s="403"/>
      <c r="E7" s="403"/>
      <c r="F7" s="407"/>
      <c r="G7" s="408" t="s">
        <v>491</v>
      </c>
      <c r="H7" s="406"/>
      <c r="I7" s="396"/>
      <c r="J7" s="401"/>
      <c r="K7" s="402"/>
      <c r="L7" s="403"/>
      <c r="M7" s="403"/>
      <c r="N7" s="407"/>
      <c r="O7" s="408" t="s">
        <v>491</v>
      </c>
      <c r="P7" s="406"/>
    </row>
    <row r="8" spans="2:16">
      <c r="B8" s="401" t="s">
        <v>1835</v>
      </c>
      <c r="C8" s="402">
        <f>'Electric CE'!H7</f>
        <v>28937234.930000015</v>
      </c>
      <c r="D8" s="403">
        <f>'Electric CE'!N7</f>
        <v>15907776.289999997</v>
      </c>
      <c r="E8" s="403">
        <f>'Electric CE'!T7</f>
        <v>1716457.8841086847</v>
      </c>
      <c r="F8" s="407">
        <f>'Electric CE'!U7</f>
        <v>1.376224833859037</v>
      </c>
      <c r="G8" s="409">
        <f>'Electric CE'!V7</f>
        <v>1.0930026251616005</v>
      </c>
      <c r="H8" s="406"/>
      <c r="J8" s="401" t="s">
        <v>1836</v>
      </c>
      <c r="K8" s="402">
        <f>'Gas CE'!H7</f>
        <v>837216.60000000009</v>
      </c>
      <c r="L8" s="403">
        <f>'Gas CE'!N7</f>
        <v>6803705.6000000006</v>
      </c>
      <c r="M8" s="403">
        <f>'Gas CE'!T7</f>
        <v>1335223.1671939795</v>
      </c>
      <c r="N8" s="407">
        <f>'Gas CE'!U7</f>
        <v>2.6508436683585246</v>
      </c>
      <c r="O8" s="409">
        <f>'Gas CE'!V7</f>
        <v>1.3288060401315267</v>
      </c>
      <c r="P8" s="406"/>
    </row>
    <row r="9" spans="2:16">
      <c r="B9" s="510" t="s">
        <v>382</v>
      </c>
      <c r="C9" s="402">
        <f>'Electric CE'!H8</f>
        <v>1162759.6000000159</v>
      </c>
      <c r="D9" s="403">
        <f>'Electric CE'!N8</f>
        <v>1550052.53</v>
      </c>
      <c r="E9" s="403">
        <f>'Electric CE'!T8</f>
        <v>0</v>
      </c>
      <c r="F9" s="407">
        <f>'Electric CE'!U8</f>
        <v>0.84926388563506816</v>
      </c>
      <c r="G9" s="409">
        <f>'Electric CE'!V8</f>
        <v>1.8558566821093516</v>
      </c>
      <c r="H9" s="410"/>
      <c r="J9" s="510" t="s">
        <v>492</v>
      </c>
      <c r="K9" s="402">
        <f>'Gas CE'!H8</f>
        <v>487878</v>
      </c>
      <c r="L9" s="403">
        <f>'Gas CE'!N8</f>
        <v>1700453.36</v>
      </c>
      <c r="M9" s="403">
        <f>'Gas CE'!T8</f>
        <v>0</v>
      </c>
      <c r="N9" s="407">
        <f>'Gas CE'!U8</f>
        <v>4.2221730265395561</v>
      </c>
      <c r="O9" s="409">
        <f>'Gas CE'!V8</f>
        <v>2.7843201339682238</v>
      </c>
    </row>
    <row r="10" spans="2:16">
      <c r="B10" s="510" t="s">
        <v>492</v>
      </c>
      <c r="C10" s="402">
        <f>'Electric CE'!H9</f>
        <v>17242039</v>
      </c>
      <c r="D10" s="403">
        <f>'Electric CE'!N9</f>
        <v>8069488.3799999999</v>
      </c>
      <c r="E10" s="403">
        <f>'Electric CE'!T9</f>
        <v>399709.92131226871</v>
      </c>
      <c r="F10" s="407">
        <f>'Electric CE'!U9</f>
        <v>1.2933094398986578</v>
      </c>
      <c r="G10" s="409">
        <f>'Electric CE'!V9</f>
        <v>0.83068710915291755</v>
      </c>
      <c r="H10" s="410"/>
      <c r="J10" s="510" t="s">
        <v>493</v>
      </c>
      <c r="K10" s="402">
        <f>'Gas CE'!H9</f>
        <v>56345</v>
      </c>
      <c r="L10" s="403">
        <f>'Gas CE'!N9</f>
        <v>395565.2</v>
      </c>
      <c r="M10" s="403">
        <f>'Gas CE'!T9</f>
        <v>195502.32791535632</v>
      </c>
      <c r="N10" s="407">
        <f>'Gas CE'!U9</f>
        <v>1.9800283984529357</v>
      </c>
      <c r="O10" s="409">
        <f>'Gas CE'!V9</f>
        <v>0.86223858538623666</v>
      </c>
    </row>
    <row r="11" spans="2:16">
      <c r="B11" s="510" t="s">
        <v>493</v>
      </c>
      <c r="C11" s="402">
        <f>'Electric CE'!H10</f>
        <v>2913617.2</v>
      </c>
      <c r="D11" s="403">
        <f>'Electric CE'!N10</f>
        <v>1732775.02</v>
      </c>
      <c r="E11" s="403">
        <f>'Electric CE'!T10</f>
        <v>0</v>
      </c>
      <c r="F11" s="407">
        <f>'Electric CE'!U10</f>
        <v>0.79024264234235986</v>
      </c>
      <c r="G11" s="409">
        <f>'Electric CE'!V10</f>
        <v>0.86213350475482542</v>
      </c>
      <c r="H11" s="410"/>
      <c r="J11" s="510" t="s">
        <v>387</v>
      </c>
      <c r="K11" s="402">
        <f>'Gas CE'!H11</f>
        <v>7752.2000000001335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0</v>
      </c>
    </row>
    <row r="12" spans="2:16">
      <c r="B12" s="510" t="s">
        <v>387</v>
      </c>
      <c r="C12" s="402">
        <f>'Electric CE'!H11</f>
        <v>1772026</v>
      </c>
      <c r="D12" s="403">
        <f>'Electric CE'!N11</f>
        <v>1307549.1199999999</v>
      </c>
      <c r="E12" s="403">
        <f>'Electric CE'!T11</f>
        <v>1159524.5033458581</v>
      </c>
      <c r="F12" s="407">
        <f>'Electric CE'!U11</f>
        <v>1.1400817482790111</v>
      </c>
      <c r="G12" s="409">
        <f>'Electric CE'!V11</f>
        <v>2.1862070536277085</v>
      </c>
      <c r="H12" s="410"/>
      <c r="J12" s="510" t="s">
        <v>461</v>
      </c>
      <c r="K12" s="402">
        <f>'Gas CE'!H12</f>
        <v>435822</v>
      </c>
      <c r="L12" s="403">
        <f>'Gas CE'!N12</f>
        <v>1290608.46</v>
      </c>
      <c r="M12" s="403">
        <f>'Gas CE'!T12</f>
        <v>0</v>
      </c>
      <c r="N12" s="407">
        <f>'Gas CE'!U12</f>
        <v>2.9881472100431159</v>
      </c>
      <c r="O12" s="409">
        <f>'Gas CE'!V12</f>
        <v>1.6039430467918885</v>
      </c>
    </row>
    <row r="13" spans="2:16">
      <c r="B13" s="510" t="s">
        <v>461</v>
      </c>
      <c r="C13" s="402">
        <f>'Electric CE'!H12</f>
        <v>2420124</v>
      </c>
      <c r="D13" s="403">
        <f>'Electric CE'!N12</f>
        <v>681594.19</v>
      </c>
      <c r="E13" s="403">
        <f>'Electric CE'!T12</f>
        <v>0</v>
      </c>
      <c r="F13" s="407">
        <f>'Electric CE'!U12</f>
        <v>4.1992664024659607</v>
      </c>
      <c r="G13" s="409">
        <f>'Electric CE'!V12</f>
        <v>2.6988143424314006</v>
      </c>
      <c r="H13" s="410"/>
      <c r="J13" s="510" t="s">
        <v>390</v>
      </c>
      <c r="K13" s="402">
        <f>'Gas CE'!H13</f>
        <v>2473.200000000003</v>
      </c>
      <c r="L13" s="403">
        <f>'Gas CE'!N13</f>
        <v>30169.97</v>
      </c>
      <c r="M13" s="403">
        <f>'Gas CE'!T13</f>
        <v>92553.653330250658</v>
      </c>
      <c r="N13" s="407">
        <f>'Gas CE'!U13</f>
        <v>0.6261052333235545</v>
      </c>
      <c r="O13" s="409">
        <f>'Gas CE'!V13</f>
        <v>3.5257390576125789</v>
      </c>
    </row>
    <row r="14" spans="2:16">
      <c r="B14" s="510" t="s">
        <v>390</v>
      </c>
      <c r="C14" s="402">
        <f>'Electric CE'!H13</f>
        <v>72190.700000000012</v>
      </c>
      <c r="D14" s="403">
        <f>'Electric CE'!N13</f>
        <v>80924.429999999993</v>
      </c>
      <c r="E14" s="403">
        <f>'Electric CE'!T13</f>
        <v>92553.653330250658</v>
      </c>
      <c r="F14" s="407">
        <f>'Electric CE'!U13</f>
        <v>0.51426099372938083</v>
      </c>
      <c r="G14" s="409">
        <f>'Electric CE'!V13</f>
        <v>1.8511023957537036</v>
      </c>
      <c r="H14" s="410"/>
      <c r="J14" s="510" t="s">
        <v>494</v>
      </c>
      <c r="K14" s="402">
        <f>'Gas CE'!H14</f>
        <v>284347.2</v>
      </c>
      <c r="L14" s="403">
        <f>'Gas CE'!N14</f>
        <v>2347358.6</v>
      </c>
      <c r="M14" s="403">
        <f>'Gas CE'!T14</f>
        <v>122.47385074939528</v>
      </c>
      <c r="N14" s="407">
        <f>'Gas CE'!U14</f>
        <v>2.9199073604166288</v>
      </c>
      <c r="O14" s="409">
        <f>'Gas CE'!V14</f>
        <v>0.90731936087759457</v>
      </c>
    </row>
    <row r="15" spans="2:16">
      <c r="B15" s="510" t="s">
        <v>494</v>
      </c>
      <c r="C15" s="402">
        <f>'Electric CE'!H14</f>
        <v>1328478.43</v>
      </c>
      <c r="D15" s="403">
        <f>'Electric CE'!N14</f>
        <v>996002.63</v>
      </c>
      <c r="E15" s="403">
        <f>'Electric CE'!T14</f>
        <v>64669.806120307447</v>
      </c>
      <c r="F15" s="407">
        <f>'Electric CE'!U14</f>
        <v>4.0311019765650897</v>
      </c>
      <c r="G15" s="409">
        <f>'Electric CE'!V14</f>
        <v>1.5661545879998036</v>
      </c>
      <c r="H15" s="410"/>
      <c r="J15" s="510" t="s">
        <v>392</v>
      </c>
      <c r="K15" s="402">
        <f>'Gas CE'!H15</f>
        <v>-437401</v>
      </c>
      <c r="L15" s="403">
        <f>'Gas CE'!N15</f>
        <v>982557.56</v>
      </c>
      <c r="M15" s="403">
        <f>'Gas CE'!T15</f>
        <v>0</v>
      </c>
      <c r="N15" s="407">
        <f>'Gas CE'!U15</f>
        <v>-0.74949650222156161</v>
      </c>
      <c r="O15" s="409">
        <f>'Gas CE'!V15</f>
        <v>-0.91934592136824722</v>
      </c>
    </row>
    <row r="16" spans="2:16">
      <c r="B16" s="510" t="s">
        <v>392</v>
      </c>
      <c r="C16" s="402">
        <f>'Electric CE'!H15</f>
        <v>2026000</v>
      </c>
      <c r="D16" s="403">
        <f>'Electric CE'!N15</f>
        <v>1432214.62</v>
      </c>
      <c r="E16" s="403">
        <f>'Electric CE'!T15</f>
        <v>0</v>
      </c>
      <c r="F16" s="407">
        <f>'Electric CE'!U15</f>
        <v>0.25212842939031721</v>
      </c>
      <c r="G16" s="409">
        <f>'Electric CE'!V15</f>
        <v>0.29052269316099544</v>
      </c>
      <c r="H16" s="410"/>
      <c r="J16" s="510" t="s">
        <v>1837</v>
      </c>
      <c r="K16" s="402">
        <f>'Gas CE'!H16</f>
        <v>0</v>
      </c>
      <c r="L16" s="403">
        <f>'Gas CE'!N16</f>
        <v>56992.450000000004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1837</v>
      </c>
      <c r="C17" s="402">
        <f>'Electric CE'!H16</f>
        <v>0</v>
      </c>
      <c r="D17" s="403">
        <f>'Electric CE'!N16</f>
        <v>57175.369999999995</v>
      </c>
      <c r="E17" s="403">
        <f>'Electric CE'!T16</f>
        <v>0</v>
      </c>
      <c r="F17" s="407">
        <f>'Electric CE'!U16</f>
        <v>0</v>
      </c>
      <c r="G17" s="409">
        <f>'Electric CE'!V16</f>
        <v>0</v>
      </c>
      <c r="H17" s="410"/>
      <c r="J17" s="401" t="s">
        <v>393</v>
      </c>
      <c r="K17" s="402">
        <f>'Gas CE'!H17</f>
        <v>1027</v>
      </c>
      <c r="L17" s="403">
        <f>'Gas CE'!N17</f>
        <v>23936.23</v>
      </c>
      <c r="M17" s="403">
        <f>'Gas CE'!T17</f>
        <v>906.00425714286951</v>
      </c>
      <c r="N17" s="407">
        <f>'Gas CE'!U17</f>
        <v>0.80266494529840149</v>
      </c>
      <c r="O17" s="409">
        <f>'Gas CE'!V17</f>
        <v>0.57899300651143559</v>
      </c>
    </row>
    <row r="18" spans="1:19">
      <c r="A18" s="396"/>
      <c r="B18" s="401" t="s">
        <v>393</v>
      </c>
      <c r="C18" s="402">
        <f>'Electric CE'!H17</f>
        <v>79645.61</v>
      </c>
      <c r="D18" s="403">
        <f>'Electric CE'!N17</f>
        <v>62633.25</v>
      </c>
      <c r="E18" s="403">
        <f>'Electric CE'!T17</f>
        <v>2719.7581235771027</v>
      </c>
      <c r="F18" s="407">
        <f>'Electric CE'!U17</f>
        <v>3.1828083786212273</v>
      </c>
      <c r="G18" s="409">
        <f>'Electric CE'!V17</f>
        <v>1.7646307451487899</v>
      </c>
      <c r="H18" s="410"/>
      <c r="J18" s="401" t="s">
        <v>463</v>
      </c>
      <c r="K18" s="402">
        <f>'Gas CE'!H18</f>
        <v>0</v>
      </c>
      <c r="L18" s="403">
        <f>'Gas CE'!N18</f>
        <v>0</v>
      </c>
      <c r="M18" s="403">
        <f>'Gas CE'!T18</f>
        <v>0</v>
      </c>
      <c r="N18" s="407">
        <f>'Gas CE'!U18</f>
        <v>0</v>
      </c>
      <c r="O18" s="409">
        <f>'Gas CE'!V18</f>
        <v>0</v>
      </c>
    </row>
    <row r="19" spans="1:19">
      <c r="B19" s="401" t="s">
        <v>463</v>
      </c>
      <c r="C19" s="402">
        <f>'Electric CE'!H18</f>
        <v>128180</v>
      </c>
      <c r="D19" s="403">
        <f>'Electric CE'!N18</f>
        <v>151341.07</v>
      </c>
      <c r="E19" s="403">
        <f>'Electric CE'!T18</f>
        <v>7256.6143072719751</v>
      </c>
      <c r="F19" s="407">
        <f>'Electric CE'!U18</f>
        <v>3.0436165740319239</v>
      </c>
      <c r="G19" s="409">
        <f>'Electric CE'!V18</f>
        <v>2.4499418608868799</v>
      </c>
      <c r="H19" s="410"/>
      <c r="J19" s="401" t="s">
        <v>464</v>
      </c>
      <c r="K19" s="402">
        <f>'Gas CE'!H19</f>
        <v>34509.64</v>
      </c>
      <c r="L19" s="403">
        <f>'Gas CE'!N19</f>
        <v>352233.83999999997</v>
      </c>
      <c r="M19" s="403">
        <f>'Gas CE'!T19</f>
        <v>11452.962815341227</v>
      </c>
      <c r="N19" s="407">
        <f>'Gas CE'!U19</f>
        <v>2.6320279612926867</v>
      </c>
      <c r="O19" s="409">
        <f>'Gas CE'!V19</f>
        <v>1.2652555057263486</v>
      </c>
    </row>
    <row r="20" spans="1:19">
      <c r="B20" s="401" t="s">
        <v>464</v>
      </c>
      <c r="C20" s="402">
        <f>'Electric CE'!H19</f>
        <v>6706309.9000000004</v>
      </c>
      <c r="D20" s="403">
        <f>'Electric CE'!N19</f>
        <v>5843584.25</v>
      </c>
      <c r="E20" s="403">
        <f>'Electric CE'!T19</f>
        <v>137627.19856779967</v>
      </c>
      <c r="F20" s="407">
        <f>'Electric CE'!U19</f>
        <v>2.8248560109737708</v>
      </c>
      <c r="G20" s="409">
        <f>'Electric CE'!V19</f>
        <v>1.8579963140700084</v>
      </c>
      <c r="H20" s="410"/>
      <c r="J20" s="401" t="s">
        <v>396</v>
      </c>
      <c r="K20" s="402">
        <f>'Gas CE'!H20</f>
        <v>15716</v>
      </c>
      <c r="L20" s="403">
        <f>'Gas CE'!N20</f>
        <v>198653.69</v>
      </c>
      <c r="M20" s="403">
        <f>'Gas CE'!T20</f>
        <v>0</v>
      </c>
      <c r="N20" s="407">
        <f>'Gas CE'!U20</f>
        <v>0.81631028243869186</v>
      </c>
      <c r="O20" s="409">
        <f>'Gas CE'!V20</f>
        <v>0.897941310682561</v>
      </c>
    </row>
    <row r="21" spans="1:19">
      <c r="A21" s="396"/>
      <c r="B21" s="401" t="s">
        <v>396</v>
      </c>
      <c r="C21" s="402">
        <f>'Electric CE'!H20</f>
        <v>844510</v>
      </c>
      <c r="D21" s="403">
        <f>'Electric CE'!N20</f>
        <v>646269.89</v>
      </c>
      <c r="E21" s="403">
        <f>'Electric CE'!T20</f>
        <v>0</v>
      </c>
      <c r="F21" s="407">
        <f>'Electric CE'!U20</f>
        <v>1.4399016165643077</v>
      </c>
      <c r="G21" s="409">
        <f>'Electric CE'!V20</f>
        <v>1.5838917782207387</v>
      </c>
      <c r="H21" s="410"/>
      <c r="J21" s="412" t="s">
        <v>495</v>
      </c>
      <c r="K21" s="413">
        <f>SUM(K6,K9:K20)</f>
        <v>897880.33000000019</v>
      </c>
      <c r="L21" s="414">
        <f>SUM(L6,L9:L20)</f>
        <v>7874533.4600000009</v>
      </c>
      <c r="M21" s="415">
        <f>SUM(M6,M9:M20)</f>
        <v>1348858.9340929014</v>
      </c>
      <c r="N21" s="416"/>
      <c r="O21" s="417"/>
    </row>
    <row r="22" spans="1:19">
      <c r="B22" s="412" t="s">
        <v>495</v>
      </c>
      <c r="C22" s="418">
        <f>SUM(C6,C9:C21)</f>
        <v>37762579.13000001</v>
      </c>
      <c r="D22" s="415">
        <f>SUM(D6,D9:D21)</f>
        <v>24356137.52</v>
      </c>
      <c r="E22" s="415">
        <f>SUM(E6,E9:E21)</f>
        <v>2248039.6263115122</v>
      </c>
      <c r="F22" s="419"/>
      <c r="G22" s="420"/>
      <c r="H22" s="410"/>
      <c r="J22" s="422" t="s">
        <v>496</v>
      </c>
      <c r="K22" s="413">
        <f>'Gas CE'!H22</f>
        <v>888469.24000000011</v>
      </c>
      <c r="L22" s="414">
        <f>'Gas CE'!N22</f>
        <v>7378529.3600000013</v>
      </c>
      <c r="M22" s="415">
        <f>'Gas CE'!T22</f>
        <v>1347582.1342664636</v>
      </c>
      <c r="N22" s="416">
        <f>'Gas CE'!U22</f>
        <v>2.5945583618933949</v>
      </c>
      <c r="O22" s="417">
        <f>'Gas CE'!V22</f>
        <v>1.3190710126447649</v>
      </c>
      <c r="P22" s="423"/>
    </row>
    <row r="23" spans="1:19">
      <c r="A23" s="396"/>
      <c r="B23" s="422" t="s">
        <v>496</v>
      </c>
      <c r="C23" s="418">
        <f>'Electric CE'!H22</f>
        <v>36695880.440000013</v>
      </c>
      <c r="D23" s="415">
        <f>'Electric CE'!N22</f>
        <v>22611604.75</v>
      </c>
      <c r="E23" s="415">
        <f>'Electric CE'!T22</f>
        <v>1864061.4551073336</v>
      </c>
      <c r="F23" s="419">
        <f>'Electric CE'!U22</f>
        <v>1.7685829997195563</v>
      </c>
      <c r="G23" s="420">
        <f>'Electric CE'!V22</f>
        <v>1.3310427528319519</v>
      </c>
      <c r="H23" s="421"/>
      <c r="I23" s="396"/>
      <c r="J23" s="424" t="str">
        <f>'Gas CE'!C24</f>
        <v>Commercial/Industrial Retrofit</v>
      </c>
      <c r="K23" s="402">
        <f>'Gas CE'!H23</f>
        <v>309586</v>
      </c>
      <c r="L23" s="403">
        <f>'Gas CE'!N23</f>
        <v>1576838.88</v>
      </c>
      <c r="M23" s="426">
        <f>'Gas CE'!T23</f>
        <v>0</v>
      </c>
      <c r="N23" s="407">
        <f>'Gas CE'!U23</f>
        <v>2.2288597654556961</v>
      </c>
      <c r="O23" s="409">
        <f>'Gas CE'!V24</f>
        <v>1.4286153161141304</v>
      </c>
      <c r="P23" s="396"/>
    </row>
    <row r="24" spans="1:19" s="396" customFormat="1" ht="16.350000000000001" customHeight="1">
      <c r="A24" s="433"/>
      <c r="B24" s="427" t="s">
        <v>399</v>
      </c>
      <c r="C24" s="428">
        <f>'Electric CE'!H23</f>
        <v>57575865.5</v>
      </c>
      <c r="D24" s="429">
        <f>'Electric CE'!N23</f>
        <v>18777486.349999998</v>
      </c>
      <c r="E24" s="429">
        <f>'Electric CE'!T23</f>
        <v>0</v>
      </c>
      <c r="F24" s="430">
        <f>'Electric CE'!U23</f>
        <v>3.3055493223478427</v>
      </c>
      <c r="G24" s="431">
        <f>'Electric CE'!V23</f>
        <v>1.7895526887523014</v>
      </c>
      <c r="H24" s="421"/>
      <c r="I24"/>
      <c r="J24" s="424" t="str">
        <f>'Gas CE'!C27</f>
        <v>Commercial/Industrial New Construction</v>
      </c>
      <c r="K24" s="425">
        <f>'Gas CE'!H27</f>
        <v>52324</v>
      </c>
      <c r="L24" s="403">
        <f>'Gas CE'!N27</f>
        <v>318188.16000000003</v>
      </c>
      <c r="M24" s="426">
        <f>'Gas CE'!T27</f>
        <v>0</v>
      </c>
      <c r="N24" s="407">
        <f>'Gas CE'!U27</f>
        <v>1.7061530678109003</v>
      </c>
      <c r="O24" s="409">
        <f>'Gas CE'!V27</f>
        <v>1.873241933136881</v>
      </c>
      <c r="P24" s="432"/>
      <c r="S24"/>
    </row>
    <row r="25" spans="1:19">
      <c r="B25" s="427" t="s">
        <v>400</v>
      </c>
      <c r="C25" s="428">
        <f>'Electric CE'!H28</f>
        <v>9061654</v>
      </c>
      <c r="D25" s="429">
        <f>'Electric CE'!N28</f>
        <v>2185721.6</v>
      </c>
      <c r="E25" s="429">
        <f>'Electric CE'!T28</f>
        <v>0</v>
      </c>
      <c r="F25" s="430">
        <f>'Electric CE'!U28</f>
        <v>3.3229153921785066</v>
      </c>
      <c r="G25" s="431">
        <f>'Electric CE'!V28</f>
        <v>2.7945634988620873</v>
      </c>
      <c r="J25" s="424" t="s">
        <v>401</v>
      </c>
      <c r="K25" s="425">
        <f>'Gas CE'!H28</f>
        <v>355433</v>
      </c>
      <c r="L25" s="403">
        <f>'Gas CE'!N28</f>
        <v>550400.99</v>
      </c>
      <c r="M25" s="426">
        <f>'Gas CE'!T28</f>
        <v>0</v>
      </c>
      <c r="N25" s="407">
        <f>'Gas CE'!U28</f>
        <v>1.4878240021690317</v>
      </c>
      <c r="O25" s="409">
        <f>'Gas CE'!V28</f>
        <v>1.6791338063808829</v>
      </c>
      <c r="P25" s="432"/>
    </row>
    <row r="26" spans="1:19">
      <c r="B26" s="427" t="s">
        <v>401</v>
      </c>
      <c r="C26" s="428">
        <f>'Electric CE'!H29</f>
        <v>6595843</v>
      </c>
      <c r="D26" s="429">
        <f>'Electric CE'!N29</f>
        <v>1239327.56</v>
      </c>
      <c r="E26" s="429">
        <f>'Electric CE'!T29</f>
        <v>0</v>
      </c>
      <c r="F26" s="430">
        <f>'Electric CE'!U29</f>
        <v>1.2563773643765195</v>
      </c>
      <c r="G26" s="431">
        <f>'Electric CE'!V29</f>
        <v>1.2542389925492283</v>
      </c>
      <c r="H26" s="432"/>
      <c r="J26" s="424" t="s">
        <v>402</v>
      </c>
      <c r="K26" s="425">
        <f>'Gas CE'!H29</f>
        <v>0</v>
      </c>
      <c r="L26" s="403">
        <f>'Gas CE'!N29</f>
        <v>2854.83</v>
      </c>
      <c r="M26" s="426">
        <f>'Gas CE'!T29</f>
        <v>0</v>
      </c>
      <c r="N26" s="407">
        <f>'Gas CE'!U29</f>
        <v>0</v>
      </c>
      <c r="O26" s="409">
        <f>'Gas CE'!V29</f>
        <v>0</v>
      </c>
      <c r="P26" s="432"/>
    </row>
    <row r="27" spans="1:19">
      <c r="B27" s="427" t="s">
        <v>402</v>
      </c>
      <c r="C27" s="428">
        <f>'Electric CE'!H30</f>
        <v>80136</v>
      </c>
      <c r="D27" s="429">
        <f>'Electric CE'!N30</f>
        <v>37623.279999999999</v>
      </c>
      <c r="E27" s="429">
        <f>'Electric CE'!T30</f>
        <v>0</v>
      </c>
      <c r="F27" s="430">
        <f>'Electric CE'!U30</f>
        <v>2.210218403941278</v>
      </c>
      <c r="G27" s="431">
        <f>'Electric CE'!V30</f>
        <v>1.2346748565963359</v>
      </c>
      <c r="H27" s="432"/>
      <c r="J27" s="424" t="str">
        <f>'Gas CE'!C31</f>
        <v>Commercial Kitchen &amp; Laundry</v>
      </c>
      <c r="K27" s="425">
        <f>'Gas CE'!H31</f>
        <v>154309.44</v>
      </c>
      <c r="L27" s="403">
        <f>'Gas CE'!N31</f>
        <v>868723.08000000007</v>
      </c>
      <c r="M27" s="426">
        <f>'Gas CE'!T31</f>
        <v>3035219.2224997315</v>
      </c>
      <c r="N27" s="434">
        <f>'Gas CE'!U31</f>
        <v>1.595217649375845</v>
      </c>
      <c r="O27" s="435">
        <f>'Gas CE'!V31</f>
        <v>7.1215523413297124</v>
      </c>
    </row>
    <row r="28" spans="1:19">
      <c r="B28" s="427" t="s">
        <v>497</v>
      </c>
      <c r="C28" s="428">
        <f>'Electric CE'!H31</f>
        <v>7475425</v>
      </c>
      <c r="D28" s="429">
        <f>'Electric CE'!N31</f>
        <v>3559423.39</v>
      </c>
      <c r="E28" s="429">
        <f>'Electric CE'!T31</f>
        <v>0</v>
      </c>
      <c r="F28" s="430">
        <f>'Electric CE'!U31</f>
        <v>2.1350642698085474</v>
      </c>
      <c r="G28" s="431">
        <f>'Electric CE'!V31</f>
        <v>1.1808915645325802</v>
      </c>
      <c r="H28" s="432"/>
      <c r="I28" s="433"/>
      <c r="J28" s="424" t="str">
        <f>'Gas CE'!C32</f>
        <v>Commercial HVAC</v>
      </c>
      <c r="K28" s="425">
        <f>'Gas CE'!H32</f>
        <v>14782.380000000001</v>
      </c>
      <c r="L28" s="403">
        <f>'Gas CE'!N32</f>
        <v>15740.98</v>
      </c>
      <c r="M28" s="426">
        <f>'Gas CE'!T32</f>
        <v>0</v>
      </c>
      <c r="N28" s="434">
        <f>'Gas CE'!U32</f>
        <v>9.3543258932477595</v>
      </c>
      <c r="O28" s="435">
        <f>'Gas CE'!V32</f>
        <v>6.2589508452263694</v>
      </c>
      <c r="P28" s="433"/>
      <c r="S28" s="433"/>
    </row>
    <row r="29" spans="1:19" s="433" customFormat="1">
      <c r="A29"/>
      <c r="B29" s="427" t="s">
        <v>498</v>
      </c>
      <c r="C29" s="428">
        <f>'Electric CE'!H32</f>
        <v>5521586</v>
      </c>
      <c r="D29" s="429">
        <f>'Electric CE'!N32</f>
        <v>1998091.55</v>
      </c>
      <c r="E29" s="429">
        <f>'Electric CE'!T32</f>
        <v>0</v>
      </c>
      <c r="F29" s="430">
        <f>'Electric CE'!U32</f>
        <v>2.7382365981597627</v>
      </c>
      <c r="G29" s="431">
        <f>'Electric CE'!V32</f>
        <v>2.704048432466934</v>
      </c>
      <c r="H29" s="432"/>
      <c r="I29"/>
      <c r="J29" s="424" t="str">
        <f>'Gas CE'!C33</f>
        <v>Commercial Midstream</v>
      </c>
      <c r="K29" s="425">
        <f>'Gas CE'!H33</f>
        <v>578333.87999999989</v>
      </c>
      <c r="L29" s="403">
        <f>'Gas CE'!N33</f>
        <v>2118170.92</v>
      </c>
      <c r="M29" s="426">
        <f>'Gas CE'!T33</f>
        <v>0</v>
      </c>
      <c r="N29" s="434">
        <f>'Gas CE'!U33</f>
        <v>2.2480314487959419</v>
      </c>
      <c r="O29" s="435">
        <f>'Gas CE'!V33</f>
        <v>2.8445481296739241</v>
      </c>
      <c r="P29"/>
      <c r="S29"/>
    </row>
    <row r="30" spans="1:19">
      <c r="A30" s="441"/>
      <c r="B30" s="427" t="s">
        <v>499</v>
      </c>
      <c r="C30" s="428">
        <f>'Electric CE'!H34</f>
        <v>14889787.800000012</v>
      </c>
      <c r="D30" s="429">
        <f>'Electric CE'!N34</f>
        <v>2209676.86</v>
      </c>
      <c r="E30" s="429">
        <f>'Electric CE'!T34</f>
        <v>0</v>
      </c>
      <c r="F30" s="430">
        <f>'Electric CE'!U34</f>
        <v>6.2877407176510127</v>
      </c>
      <c r="G30" s="431">
        <f>'Electric CE'!V34</f>
        <v>5.6745741679996113</v>
      </c>
      <c r="H30" s="410"/>
      <c r="J30" s="424" t="str">
        <f>'Gas CE'!C34</f>
        <v>Small Business Direct Install</v>
      </c>
      <c r="K30" s="425">
        <f>'Gas CE'!H34</f>
        <v>1824</v>
      </c>
      <c r="L30" s="403">
        <f>'Gas CE'!N34</f>
        <v>15134.599999999999</v>
      </c>
      <c r="M30" s="426">
        <f>'Gas CE'!T34</f>
        <v>7466.022413300997</v>
      </c>
      <c r="N30" s="434">
        <f>'Gas CE'!U34</f>
        <v>1.2441961482361912</v>
      </c>
      <c r="O30" s="435">
        <f>'Gas CE'!V34</f>
        <v>0.90350961103285454</v>
      </c>
    </row>
    <row r="31" spans="1:19">
      <c r="A31" s="441"/>
      <c r="B31" s="427" t="s">
        <v>469</v>
      </c>
      <c r="C31" s="428">
        <f>'Electric CE'!H35</f>
        <v>505663.58999999997</v>
      </c>
      <c r="D31" s="429">
        <f>'Electric CE'!N35</f>
        <v>215523.56</v>
      </c>
      <c r="E31" s="429">
        <f>'Electric CE'!T35</f>
        <v>794480.04961261526</v>
      </c>
      <c r="F31" s="430">
        <f>'Electric CE'!U35</f>
        <v>2.1865814196037672</v>
      </c>
      <c r="G31" s="431">
        <f>'Electric CE'!V35</f>
        <v>8.1454961589368136</v>
      </c>
      <c r="H31" s="410"/>
      <c r="J31" s="436" t="s">
        <v>500</v>
      </c>
      <c r="K31" s="437">
        <f>SUM(K23:K30)</f>
        <v>1466592.6999999997</v>
      </c>
      <c r="L31" s="438">
        <f>SUM(L23:L30)</f>
        <v>5466052.4399999995</v>
      </c>
      <c r="M31" s="438">
        <f>SUM(M23:M30)</f>
        <v>3042685.2449130323</v>
      </c>
      <c r="N31" s="439">
        <f>'Gas CE'!U35</f>
        <v>2.0471673602985585</v>
      </c>
      <c r="O31" s="440">
        <f>'Gas CE'!V35</f>
        <v>2.5231985582530361</v>
      </c>
    </row>
    <row r="32" spans="1:19">
      <c r="A32" s="433"/>
      <c r="B32" s="427" t="s">
        <v>470</v>
      </c>
      <c r="C32" s="428">
        <f>'Electric CE'!H36</f>
        <v>1099468.3700000001</v>
      </c>
      <c r="D32" s="429">
        <f>'Electric CE'!N36</f>
        <v>249464.86</v>
      </c>
      <c r="E32" s="429">
        <f>'Electric CE'!T36</f>
        <v>0</v>
      </c>
      <c r="F32" s="430">
        <f>'Electric CE'!U36</f>
        <v>4.9708479391988334</v>
      </c>
      <c r="G32" s="431">
        <f>'Electric CE'!V36</f>
        <v>2.1975933199516851</v>
      </c>
      <c r="H32" s="410"/>
      <c r="J32" s="442" t="s">
        <v>414</v>
      </c>
      <c r="K32" s="443">
        <f>'Gas CE'!H39</f>
        <v>0</v>
      </c>
      <c r="L32" s="444">
        <f>'Gas CE'!N39</f>
        <v>0</v>
      </c>
      <c r="M32" s="444">
        <f>'Gas CE'!T39</f>
        <v>0</v>
      </c>
      <c r="N32" s="434">
        <f>'Gas CE'!U39</f>
        <v>0</v>
      </c>
      <c r="O32" s="435">
        <f>'Gas CE'!V39</f>
        <v>0</v>
      </c>
    </row>
    <row r="33" spans="1:19">
      <c r="B33" s="427" t="s">
        <v>409</v>
      </c>
      <c r="C33" s="428">
        <f>'Electric CE'!H37</f>
        <v>379203</v>
      </c>
      <c r="D33" s="429">
        <f>'Electric CE'!N37</f>
        <v>388874.47</v>
      </c>
      <c r="E33" s="429">
        <f>'Electric CE'!T37</f>
        <v>0</v>
      </c>
      <c r="F33" s="430">
        <f>'Electric CE'!U37</f>
        <v>1.4207834943931166</v>
      </c>
      <c r="G33" s="431">
        <f>'Electric CE'!V37</f>
        <v>1.2706347877537909</v>
      </c>
      <c r="H33" s="410"/>
      <c r="J33" s="442" t="s">
        <v>501</v>
      </c>
      <c r="K33" s="443">
        <f>'Gas CE'!H40</f>
        <v>0</v>
      </c>
      <c r="L33" s="444">
        <f>'Gas CE'!N40</f>
        <v>828.63</v>
      </c>
      <c r="M33" s="444">
        <f>'Gas CE'!T40</f>
        <v>0</v>
      </c>
      <c r="N33" s="434">
        <f>'Gas CE'!U40</f>
        <v>0</v>
      </c>
      <c r="O33" s="435">
        <f>'Gas CE'!V40</f>
        <v>0</v>
      </c>
    </row>
    <row r="34" spans="1:19">
      <c r="B34" s="427" t="s">
        <v>410</v>
      </c>
      <c r="C34" s="428">
        <f>'Electric CE'!H38</f>
        <v>15105791.390000002</v>
      </c>
      <c r="D34" s="429">
        <f>'Electric CE'!N38</f>
        <v>7468216.0999999996</v>
      </c>
      <c r="E34" s="429">
        <f>'Electric CE'!T38</f>
        <v>3599.4107833509206</v>
      </c>
      <c r="F34" s="430">
        <f>'Electric CE'!U38</f>
        <v>2.0550559099177717</v>
      </c>
      <c r="G34" s="431">
        <f>'Electric CE'!V38</f>
        <v>2.3743959924264684</v>
      </c>
      <c r="H34" s="410"/>
      <c r="J34" s="436" t="s">
        <v>416</v>
      </c>
      <c r="K34" s="437">
        <f>SUM(K32:K33)</f>
        <v>0</v>
      </c>
      <c r="L34" s="437">
        <f>SUM(L32:L33)</f>
        <v>828.63</v>
      </c>
      <c r="M34" s="437">
        <f>SUM(M32:M33)</f>
        <v>0</v>
      </c>
      <c r="N34" s="439">
        <f>SUM(N32:N33)</f>
        <v>0</v>
      </c>
      <c r="O34" s="440">
        <f>SUM(O32:O33)</f>
        <v>0</v>
      </c>
    </row>
    <row r="35" spans="1:19">
      <c r="B35" s="427" t="s">
        <v>411</v>
      </c>
      <c r="C35" s="428">
        <f>'Electric CE'!H39</f>
        <v>605487</v>
      </c>
      <c r="D35" s="429">
        <f>'Electric CE'!N39</f>
        <v>601376.22</v>
      </c>
      <c r="E35" s="429">
        <f>'Electric CE'!T39</f>
        <v>0</v>
      </c>
      <c r="F35" s="430">
        <f>'Electric CE'!U39</f>
        <v>1.265289591465047</v>
      </c>
      <c r="G35" s="431">
        <f>'Electric CE'!V39</f>
        <v>1.3392131403722962</v>
      </c>
      <c r="H35" s="406"/>
      <c r="I35" s="432"/>
      <c r="J35" s="427" t="s">
        <v>502</v>
      </c>
      <c r="K35" s="428">
        <f>'Gas CE'!H36</f>
        <v>0</v>
      </c>
      <c r="L35" s="429">
        <f>'Gas CE'!N36</f>
        <v>608889</v>
      </c>
      <c r="M35" s="429">
        <f>'Electric CE'!X40</f>
        <v>0</v>
      </c>
      <c r="N35" s="430">
        <f>'Electric CE'!AC40</f>
        <v>0</v>
      </c>
      <c r="O35" s="431">
        <f>'Electric CE'!AD40</f>
        <v>0</v>
      </c>
      <c r="P35" s="432"/>
      <c r="S35" s="432"/>
    </row>
    <row r="36" spans="1:19" s="432" customFormat="1">
      <c r="A36"/>
      <c r="B36" s="445" t="s">
        <v>500</v>
      </c>
      <c r="C36" s="446">
        <f>SUM(C24:C35)</f>
        <v>118895910.65000002</v>
      </c>
      <c r="D36" s="447">
        <f>SUM(D24:D35)</f>
        <v>38930805.799999997</v>
      </c>
      <c r="E36" s="447">
        <f>SUM(E24:E35)</f>
        <v>798079.46039596619</v>
      </c>
      <c r="F36" s="448">
        <f>'Electric CE'!U40</f>
        <v>2.9876121673242828</v>
      </c>
      <c r="G36" s="449">
        <f>'Electric CE'!V40</f>
        <v>2.0297563943982411</v>
      </c>
      <c r="H36" s="410"/>
      <c r="I36" s="441"/>
      <c r="J36" s="427" t="s">
        <v>421</v>
      </c>
      <c r="K36" s="428">
        <f>'Gas CE'!H37</f>
        <v>0</v>
      </c>
      <c r="L36" s="429">
        <f>'Gas CE'!N37</f>
        <v>10978.16</v>
      </c>
      <c r="M36" s="429"/>
      <c r="N36" s="430"/>
      <c r="O36" s="431"/>
      <c r="P36" s="441"/>
      <c r="S36" s="441"/>
    </row>
    <row r="37" spans="1:19" s="441" customFormat="1">
      <c r="A37"/>
      <c r="B37" s="427" t="str">
        <f>'Electric CE'!C41</f>
        <v>Residential Pilots</v>
      </c>
      <c r="C37" s="428">
        <f>'Electric CE'!H41</f>
        <v>0</v>
      </c>
      <c r="D37" s="429">
        <f>'Electric CE'!N41</f>
        <v>338818.27</v>
      </c>
      <c r="E37" s="444">
        <f>'Electric CE'!T41</f>
        <v>0</v>
      </c>
      <c r="F37" s="498">
        <f>IFERROR('Electric CE'!U41,"-")</f>
        <v>0</v>
      </c>
      <c r="G37" s="499">
        <f>IFERROR('Electric CE'!V41,"-")</f>
        <v>0</v>
      </c>
      <c r="H37" s="410"/>
      <c r="J37" s="436" t="s">
        <v>474</v>
      </c>
      <c r="K37" s="438">
        <f>SUM(K35:K36)</f>
        <v>0</v>
      </c>
      <c r="L37" s="438">
        <f>SUM(L35:L36)</f>
        <v>619867.16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">
        <v>501</v>
      </c>
      <c r="C38" s="428">
        <f>'Electric CE'!H42</f>
        <v>607491</v>
      </c>
      <c r="D38" s="429">
        <f>'Electric CE'!N42</f>
        <v>214468.83000000002</v>
      </c>
      <c r="E38" s="444"/>
      <c r="F38" s="450">
        <f>'Electric CE'!U42</f>
        <v>2.7987938887149526</v>
      </c>
      <c r="G38" s="451">
        <f>'Electric CE'!V42</f>
        <v>3.0786732775864483</v>
      </c>
      <c r="H38" s="410"/>
      <c r="J38" s="452" t="s">
        <v>503</v>
      </c>
      <c r="K38" s="453">
        <f>'Gas CE'!H57</f>
        <v>0</v>
      </c>
      <c r="L38" s="411">
        <f>'Gas CE'!N55</f>
        <v>1316437.2700000003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45" t="s">
        <v>504</v>
      </c>
      <c r="C39" s="446">
        <f>SUM(C37:C38)</f>
        <v>607491</v>
      </c>
      <c r="D39" s="447">
        <f>SUM(D37:D38)</f>
        <v>553287.10000000009</v>
      </c>
      <c r="E39" s="447">
        <f>'Electric CE'!T43</f>
        <v>0</v>
      </c>
      <c r="F39" s="448">
        <f>'Electric CE'!U43</f>
        <v>1.0848871241058144</v>
      </c>
      <c r="G39" s="449">
        <f>'Electric CE'!V43</f>
        <v>1.1933758365163958</v>
      </c>
      <c r="H39" s="410"/>
      <c r="I39" s="433"/>
      <c r="J39" s="452" t="s">
        <v>505</v>
      </c>
      <c r="K39" s="453">
        <f>'Gas CE'!H60</f>
        <v>0</v>
      </c>
      <c r="L39" s="411">
        <f>'Gas CE'!I60</f>
        <v>568148.51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27" t="str">
        <f>'Electric CE'!C44</f>
        <v>Northwest Energy Efficiency Alliance</v>
      </c>
      <c r="C40" s="428">
        <f>'Electric CE'!H44</f>
        <v>10249200</v>
      </c>
      <c r="D40" s="429">
        <f>'Electric CE'!N44</f>
        <v>4289485.32</v>
      </c>
      <c r="E40" s="429">
        <f>'Electric CE'!P44</f>
        <v>0</v>
      </c>
      <c r="F40" s="430">
        <f>'Electric CE'!U44</f>
        <v>0.91520285020127368</v>
      </c>
      <c r="G40" s="431">
        <f>'Electric CE'!V44</f>
        <v>2.9101676042693487</v>
      </c>
      <c r="H40" s="410"/>
      <c r="I40"/>
      <c r="J40" s="456" t="s">
        <v>506</v>
      </c>
      <c r="K40" s="457">
        <f>K22+K31+K34</f>
        <v>2355061.94</v>
      </c>
      <c r="L40" s="457">
        <f>L22+L31+L34+L37+L38+L39</f>
        <v>15349863.370000001</v>
      </c>
      <c r="M40" s="457">
        <f>M22+M31</f>
        <v>4390267.3791794963</v>
      </c>
      <c r="N40" s="458">
        <f>'Gas CE'!U62</f>
        <v>1.9761706318244718</v>
      </c>
      <c r="O40" s="459">
        <f>'Gas CE'!V62</f>
        <v>1.5042110058829383</v>
      </c>
      <c r="P40"/>
      <c r="S40"/>
    </row>
    <row r="41" spans="1:19">
      <c r="B41" s="427" t="s">
        <v>421</v>
      </c>
      <c r="C41" s="428">
        <f>'Electric CE'!H46</f>
        <v>0</v>
      </c>
      <c r="D41" s="429">
        <f>'Electric CE'!N46</f>
        <v>25615.18</v>
      </c>
      <c r="E41" s="429"/>
      <c r="F41" s="430"/>
      <c r="G41" s="431"/>
      <c r="H41" s="410"/>
      <c r="J41" s="460" t="s">
        <v>507</v>
      </c>
      <c r="K41" s="461">
        <f>'Gas CE'!H66</f>
        <v>0</v>
      </c>
      <c r="L41" s="462">
        <f>'Gas CE'!N66</f>
        <v>0</v>
      </c>
      <c r="M41" s="462"/>
      <c r="N41" s="463" t="s">
        <v>508</v>
      </c>
      <c r="O41" s="464" t="s">
        <v>508</v>
      </c>
    </row>
    <row r="42" spans="1:19" ht="15.75" thickBot="1">
      <c r="B42" s="427" t="str">
        <f>'Electric CE'!C45</f>
        <v>Transmission &amp; Distribution</v>
      </c>
      <c r="C42" s="428">
        <f>'Electric CE'!H45</f>
        <v>2294877</v>
      </c>
      <c r="D42" s="429">
        <f>'Electric CE'!N45</f>
        <v>0</v>
      </c>
      <c r="E42" s="429">
        <f>'Electric CE'!T45</f>
        <v>0</v>
      </c>
      <c r="F42" s="430">
        <f>'Electric CE'!U45</f>
        <v>0</v>
      </c>
      <c r="G42" s="431">
        <f>'Electric CE'!V45</f>
        <v>16.44686501785873</v>
      </c>
      <c r="H42" s="410"/>
      <c r="J42" s="465" t="s">
        <v>509</v>
      </c>
      <c r="K42" s="466">
        <f>K21+K31+K34</f>
        <v>2364473.0299999998</v>
      </c>
      <c r="L42" s="466">
        <f>L21+L31+L37+L38+L39+L34+L41</f>
        <v>15845867.470000001</v>
      </c>
      <c r="M42" s="466">
        <f>M21+M31+M34</f>
        <v>4391544.1790059339</v>
      </c>
      <c r="N42" s="467"/>
      <c r="O42" s="468"/>
    </row>
    <row r="43" spans="1:19" ht="15.75" thickBot="1">
      <c r="B43" s="469" t="s">
        <v>474</v>
      </c>
      <c r="C43" s="470">
        <f>SUM(C40:C42)</f>
        <v>12544077</v>
      </c>
      <c r="D43" s="471">
        <f>SUM(D40:D42)</f>
        <v>4315100.5</v>
      </c>
      <c r="E43" s="471">
        <f>'Electric CE'!T47</f>
        <v>0</v>
      </c>
      <c r="F43" s="472">
        <f>'Electric CE'!U47</f>
        <v>1.5045864464046896</v>
      </c>
      <c r="G43" s="473">
        <f>'Electric CE'!V47</f>
        <v>4.2293489413090457</v>
      </c>
      <c r="H43" s="410"/>
    </row>
    <row r="44" spans="1:19" ht="15.75" thickTop="1">
      <c r="B44" s="474" t="s">
        <v>503</v>
      </c>
      <c r="C44" s="475">
        <f>'Electric CE'!H61</f>
        <v>0</v>
      </c>
      <c r="D44" s="476">
        <f>'Electric CE'!$N$61</f>
        <v>8636584.0899999999</v>
      </c>
      <c r="E44" s="476"/>
      <c r="F44" s="477"/>
      <c r="G44" s="478"/>
      <c r="H44" s="421"/>
      <c r="L44" s="396"/>
      <c r="N44" s="396"/>
      <c r="O44" s="479"/>
    </row>
    <row r="45" spans="1:19">
      <c r="B45" s="474" t="s">
        <v>505</v>
      </c>
      <c r="C45" s="475">
        <f>'Electric CE'!H67</f>
        <v>0</v>
      </c>
      <c r="D45" s="476">
        <f>'Electric CE'!$N$67</f>
        <v>2596436.7599999998</v>
      </c>
      <c r="E45" s="476"/>
      <c r="F45" s="477"/>
      <c r="G45" s="478"/>
      <c r="H45" s="406"/>
    </row>
    <row r="46" spans="1:19">
      <c r="B46" s="480"/>
      <c r="C46" s="461"/>
      <c r="D46" s="462"/>
      <c r="E46" s="462"/>
      <c r="F46" s="481"/>
      <c r="G46" s="482"/>
      <c r="H46" s="410"/>
      <c r="I46" s="432"/>
      <c r="J46" t="s">
        <v>510</v>
      </c>
      <c r="P46" s="432"/>
      <c r="S46" s="432"/>
    </row>
    <row r="47" spans="1:19" s="432" customFormat="1" ht="15.75" thickBot="1">
      <c r="A47"/>
      <c r="B47" s="456" t="s">
        <v>511</v>
      </c>
      <c r="C47" s="457">
        <f>C23+C36+C39+C43</f>
        <v>168743359.09000003</v>
      </c>
      <c r="D47" s="457">
        <f>D23+D36+D39+D43+D44+D45</f>
        <v>77643819</v>
      </c>
      <c r="E47" s="457">
        <f>E23+E36</f>
        <v>2662140.9155032998</v>
      </c>
      <c r="F47" s="458">
        <f>'Electric CE'!U68</f>
        <v>2.1045939784064238</v>
      </c>
      <c r="G47" s="459">
        <f>'Electric CE'!V68</f>
        <v>1.6376222704952965</v>
      </c>
      <c r="H47" s="421"/>
      <c r="I47"/>
      <c r="J47" t="s">
        <v>512</v>
      </c>
      <c r="K47"/>
      <c r="L47"/>
      <c r="M47"/>
      <c r="N47"/>
      <c r="O47"/>
      <c r="P47"/>
      <c r="S47"/>
    </row>
    <row r="48" spans="1:19">
      <c r="B48" s="480"/>
      <c r="C48" s="461"/>
      <c r="D48" s="462"/>
      <c r="E48" s="462"/>
      <c r="F48" s="481"/>
      <c r="G48" s="482"/>
      <c r="H48" s="410"/>
      <c r="J48" t="s">
        <v>513</v>
      </c>
    </row>
    <row r="49" spans="2:15">
      <c r="B49" s="480" t="s">
        <v>514</v>
      </c>
      <c r="C49" s="461">
        <f>'Electric CE'!H72</f>
        <v>0</v>
      </c>
      <c r="D49" s="462">
        <f>'Electric CE'!N72</f>
        <v>3518013.21</v>
      </c>
      <c r="E49" s="462"/>
      <c r="F49" s="463" t="s">
        <v>508</v>
      </c>
      <c r="G49" s="464" t="s">
        <v>508</v>
      </c>
      <c r="H49" s="410"/>
      <c r="J49" s="483" t="s">
        <v>515</v>
      </c>
      <c r="K49" s="432"/>
      <c r="L49" s="432"/>
      <c r="M49" s="432"/>
      <c r="N49" s="432"/>
      <c r="O49" s="432"/>
    </row>
    <row r="50" spans="2:15" ht="15.75" thickBot="1">
      <c r="B50" s="484" t="s">
        <v>516</v>
      </c>
      <c r="C50" s="485">
        <f>C22+C36+C39+C43+C49</f>
        <v>169810057.78000003</v>
      </c>
      <c r="D50" s="485">
        <f>D22+D36+D39+D43+D44+D45+D49</f>
        <v>82906364.979999989</v>
      </c>
      <c r="E50" s="485">
        <f>E47</f>
        <v>2662140.9155032998</v>
      </c>
      <c r="F50" s="486"/>
      <c r="G50" s="487"/>
      <c r="H50" s="421"/>
      <c r="J50" s="396"/>
      <c r="K50" s="396"/>
      <c r="L50" s="396"/>
      <c r="M50" s="396"/>
      <c r="N50" s="396"/>
      <c r="O50" s="396"/>
    </row>
    <row r="51" spans="2:15">
      <c r="H51" s="406"/>
      <c r="J51" s="396" t="s">
        <v>517</v>
      </c>
      <c r="K51" s="396"/>
      <c r="L51" s="396"/>
      <c r="M51" s="396"/>
      <c r="N51" s="396"/>
      <c r="O51" s="396"/>
    </row>
    <row r="52" spans="2:15">
      <c r="B52" s="432"/>
      <c r="D52" s="488"/>
      <c r="E52" s="489"/>
      <c r="H52" s="406"/>
      <c r="J52" s="396" t="s">
        <v>518</v>
      </c>
      <c r="K52" s="396"/>
      <c r="L52" s="396"/>
      <c r="M52" s="396"/>
      <c r="N52" s="396"/>
      <c r="O52" s="396"/>
    </row>
    <row r="53" spans="2:15">
      <c r="D53" s="490"/>
      <c r="E53" s="489"/>
      <c r="H53" s="406"/>
      <c r="J53" s="396" t="s">
        <v>519</v>
      </c>
      <c r="K53" s="396"/>
      <c r="L53" s="396"/>
      <c r="M53" s="396"/>
      <c r="N53" s="396"/>
      <c r="O53" s="396"/>
    </row>
    <row r="54" spans="2:15">
      <c r="E54" s="421"/>
      <c r="H54" s="491"/>
      <c r="J54" s="396" t="s">
        <v>520</v>
      </c>
      <c r="K54" s="396"/>
      <c r="L54" s="396"/>
      <c r="M54" s="396"/>
      <c r="N54" s="396"/>
      <c r="O54" s="396"/>
    </row>
    <row r="55" spans="2:15">
      <c r="H55" s="406"/>
    </row>
    <row r="56" spans="2:15">
      <c r="F56" s="493"/>
      <c r="G56" s="479" t="s">
        <v>521</v>
      </c>
      <c r="H56" s="492"/>
    </row>
    <row r="57" spans="2:15">
      <c r="H57" s="49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22" sqref="F22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18230023</v>
      </c>
      <c r="D2" s="20" t="s">
        <v>311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18230023</v>
      </c>
      <c r="D5" s="61" t="s">
        <v>311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1.8276253613451212</v>
      </c>
      <c r="V5" s="48">
        <f t="shared" ref="V5:V24" si="2">N5-M5</f>
        <v>70.28</v>
      </c>
      <c r="W5" s="49">
        <f t="shared" ref="W5:W24" si="3">(O5/A$10)</f>
        <v>0.15230211344542677</v>
      </c>
      <c r="X5" s="44">
        <f t="shared" ref="X5:X24" si="4">W5*A$8</f>
        <v>23800.251268116841</v>
      </c>
      <c r="Y5" s="44">
        <f t="shared" ref="Y5:Y24" si="5">Q5-P5</f>
        <v>28814.799999999697</v>
      </c>
      <c r="Z5" s="44">
        <f t="shared" ref="Z5:Z24" si="6">X5+(A$6*W5)</f>
        <v>103808.23564912376</v>
      </c>
      <c r="AA5" s="50">
        <f t="shared" ref="AA5:AA24" si="7">Q5+X5</f>
        <v>83365.051268116542</v>
      </c>
      <c r="AB5" s="51">
        <f t="shared" ref="AB5:AC20" si="8">Z5/(1+ElecDiscountRate)^1</f>
        <v>97044.251331330044</v>
      </c>
      <c r="AC5" s="44">
        <f t="shared" si="8"/>
        <v>77933.113272989183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4.4031549742538747</v>
      </c>
      <c r="AP5" s="47">
        <f>AN5/AC5</f>
        <v>6.0312099187294494</v>
      </c>
    </row>
    <row r="6" spans="1:42" ht="13.5" customHeight="1">
      <c r="A6" s="53">
        <f>SUMIF('Program Costs'!D:D,C2,'Program Costs'!L:L)</f>
        <v>525324.18999999994</v>
      </c>
      <c r="B6" s="97" t="s">
        <v>15</v>
      </c>
      <c r="C6" s="61">
        <v>18230023</v>
      </c>
      <c r="D6" s="61" t="s">
        <v>311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2.5098713950194286E-2</v>
      </c>
      <c r="V6" s="48">
        <f t="shared" si="2"/>
        <v>76.830000000000013</v>
      </c>
      <c r="W6" s="49">
        <f t="shared" si="3"/>
        <v>2.2817012681994805E-3</v>
      </c>
      <c r="X6" s="44">
        <f t="shared" si="4"/>
        <v>356.56145718153283</v>
      </c>
      <c r="Y6" s="44">
        <f t="shared" si="5"/>
        <v>845.13000000000011</v>
      </c>
      <c r="Z6" s="44">
        <f t="shared" si="6"/>
        <v>1555.1943277203977</v>
      </c>
      <c r="AA6" s="50">
        <f t="shared" si="7"/>
        <v>2026.691457181533</v>
      </c>
      <c r="AB6" s="51">
        <f t="shared" si="8"/>
        <v>1453.8602671032977</v>
      </c>
      <c r="AC6" s="44">
        <f t="shared" si="8"/>
        <v>1894.6353717692184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4.0585498129020205</v>
      </c>
      <c r="AP6" s="47">
        <f t="shared" ref="AP6:AP24" si="16">AN6/AC6</f>
        <v>3.4257888579798754</v>
      </c>
    </row>
    <row r="7" spans="1:42" ht="13.5" customHeight="1">
      <c r="A7" s="36" t="s">
        <v>249</v>
      </c>
      <c r="B7" s="97" t="s">
        <v>15</v>
      </c>
      <c r="C7" s="61">
        <v>18230023</v>
      </c>
      <c r="D7" s="61" t="s">
        <v>311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156270</v>
      </c>
      <c r="B8" s="97" t="s">
        <v>15</v>
      </c>
      <c r="C8" s="61">
        <v>18230023</v>
      </c>
      <c r="D8" s="61" t="s">
        <v>311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61">
        <v>18230023</v>
      </c>
      <c r="D9" s="61" t="s">
        <v>311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2420124</v>
      </c>
      <c r="B10" s="97" t="s">
        <v>15</v>
      </c>
      <c r="C10" s="61">
        <v>18230023</v>
      </c>
      <c r="D10" s="61" t="s">
        <v>311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15</v>
      </c>
      <c r="C11" s="61">
        <v>18230023</v>
      </c>
      <c r="D11" s="61" t="s">
        <v>311</v>
      </c>
      <c r="E11" s="38" t="s">
        <v>673</v>
      </c>
      <c r="F11" s="39" t="s">
        <v>674</v>
      </c>
      <c r="G11" s="39">
        <v>11</v>
      </c>
      <c r="H11" s="39"/>
      <c r="I11" s="40" t="s">
        <v>283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0.82795757572752471</v>
      </c>
      <c r="V11" s="48">
        <f t="shared" si="2"/>
        <v>97.38</v>
      </c>
      <c r="W11" s="49">
        <f t="shared" si="3"/>
        <v>7.5268870520684067E-2</v>
      </c>
      <c r="X11" s="44">
        <f t="shared" si="4"/>
        <v>11762.2663962673</v>
      </c>
      <c r="Y11" s="44">
        <f t="shared" si="5"/>
        <v>35065.299999999603</v>
      </c>
      <c r="Z11" s="44">
        <f t="shared" si="6"/>
        <v>51302.824834760526</v>
      </c>
      <c r="AA11" s="50">
        <f t="shared" si="7"/>
        <v>73819.066396266906</v>
      </c>
      <c r="AB11" s="51">
        <f t="shared" si="8"/>
        <v>47960.011998467344</v>
      </c>
      <c r="AC11" s="44">
        <f t="shared" si="8"/>
        <v>69009.130032968969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4.0585498129020205</v>
      </c>
      <c r="AP11" s="47">
        <f t="shared" si="16"/>
        <v>3.1026750720257184</v>
      </c>
    </row>
    <row r="12" spans="1:42" ht="13.5" customHeight="1">
      <c r="A12" s="55">
        <f>SUM(P5:P1000)</f>
        <v>499545.88</v>
      </c>
      <c r="B12" s="97" t="s">
        <v>15</v>
      </c>
      <c r="C12" s="61">
        <v>18230023</v>
      </c>
      <c r="D12" s="61" t="s">
        <v>311</v>
      </c>
      <c r="E12" s="38" t="s">
        <v>675</v>
      </c>
      <c r="F12" s="39" t="s">
        <v>674</v>
      </c>
      <c r="G12" s="39">
        <v>11</v>
      </c>
      <c r="H12" s="39"/>
      <c r="I12" s="40" t="s">
        <v>283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7.6750249160786801</v>
      </c>
      <c r="V12" s="48">
        <f t="shared" si="2"/>
        <v>114</v>
      </c>
      <c r="W12" s="49">
        <f t="shared" si="3"/>
        <v>0.69772953782533453</v>
      </c>
      <c r="X12" s="44">
        <f t="shared" si="4"/>
        <v>109034.19487596503</v>
      </c>
      <c r="Y12" s="44">
        <f t="shared" si="5"/>
        <v>379181.62</v>
      </c>
      <c r="Z12" s="44">
        <f t="shared" si="6"/>
        <v>475568.39917313319</v>
      </c>
      <c r="AA12" s="50">
        <f t="shared" si="7"/>
        <v>737270.19487596501</v>
      </c>
      <c r="AB12" s="51">
        <f t="shared" si="8"/>
        <v>444581.09673098358</v>
      </c>
      <c r="AC12" s="44">
        <f t="shared" si="8"/>
        <v>689230.80758714117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4.0585498129020205</v>
      </c>
      <c r="AP12" s="47">
        <f t="shared" si="16"/>
        <v>2.8797174441481963</v>
      </c>
    </row>
    <row r="13" spans="1:42" ht="13.5" customHeight="1">
      <c r="A13" s="56" t="s">
        <v>255</v>
      </c>
      <c r="B13" s="97" t="s">
        <v>15</v>
      </c>
      <c r="C13" s="61">
        <v>18230023</v>
      </c>
      <c r="D13" s="61" t="s">
        <v>311</v>
      </c>
      <c r="E13" s="38" t="s">
        <v>676</v>
      </c>
      <c r="F13" s="39" t="s">
        <v>677</v>
      </c>
      <c r="G13" s="39">
        <v>11</v>
      </c>
      <c r="H13" s="39"/>
      <c r="I13" s="40" t="s">
        <v>283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510776.08999999927</v>
      </c>
      <c r="B14" s="97" t="s">
        <v>15</v>
      </c>
      <c r="C14" s="61">
        <v>18230023</v>
      </c>
      <c r="D14" s="61" t="s">
        <v>311</v>
      </c>
      <c r="E14" s="38" t="s">
        <v>678</v>
      </c>
      <c r="F14" s="39" t="s">
        <v>677</v>
      </c>
      <c r="G14" s="39">
        <v>11</v>
      </c>
      <c r="H14" s="39"/>
      <c r="I14" s="40" t="s">
        <v>283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97" t="s">
        <v>15</v>
      </c>
      <c r="C15" s="61">
        <v>18230023</v>
      </c>
      <c r="D15" s="61" t="s">
        <v>311</v>
      </c>
      <c r="E15" s="38" t="s">
        <v>679</v>
      </c>
      <c r="F15" s="39" t="s">
        <v>680</v>
      </c>
      <c r="G15" s="39">
        <v>15</v>
      </c>
      <c r="H15" s="39"/>
      <c r="I15" s="40" t="s">
        <v>283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1.0862666541053267</v>
      </c>
      <c r="V15" s="48">
        <f t="shared" si="2"/>
        <v>25</v>
      </c>
      <c r="W15" s="49">
        <f t="shared" si="3"/>
        <v>7.2417776940355116E-2</v>
      </c>
      <c r="X15" s="44">
        <f t="shared" si="4"/>
        <v>11316.726002469293</v>
      </c>
      <c r="Y15" s="44">
        <f t="shared" si="5"/>
        <v>63425</v>
      </c>
      <c r="Z15" s="44">
        <f t="shared" si="6"/>
        <v>49359.53601526202</v>
      </c>
      <c r="AA15" s="50">
        <f t="shared" si="7"/>
        <v>265316.72600246931</v>
      </c>
      <c r="AB15" s="51">
        <f t="shared" si="8"/>
        <v>46143.344877313277</v>
      </c>
      <c r="AC15" s="44">
        <f t="shared" si="8"/>
        <v>248029.09788021809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5.2769315268080028</v>
      </c>
      <c r="AP15" s="47">
        <f t="shared" si="16"/>
        <v>1.0798926446862598</v>
      </c>
    </row>
    <row r="16" spans="1:42" ht="13.5" customHeight="1">
      <c r="A16" s="54">
        <f>SUM(U5:U999)</f>
        <v>11.441973221206847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681594.19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1166591.9699999993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4.1992664024659616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2.6988143424314006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24 R5:S24">
    <cfRule type="expression" dxfId="287" priority="2">
      <formula>ISTEXT(M5)</formula>
    </cfRule>
  </conditionalFormatting>
  <conditionalFormatting sqref="M5:N24 R5:S24">
    <cfRule type="notContainsBlanks" dxfId="286" priority="3">
      <formula>LEN(TRIM(M5))&gt;0</formula>
    </cfRule>
  </conditionalFormatting>
  <conditionalFormatting sqref="R5:S24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14" sqref="D14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1.0361445449344581E-2</v>
      </c>
      <c r="V5" s="48">
        <f t="shared" ref="V5:V24" si="2">N5-M5</f>
        <v>-3.29</v>
      </c>
      <c r="W5" s="49">
        <f t="shared" ref="W5:W24" si="3">(O5/A$10)</f>
        <v>1.0361445449344581E-3</v>
      </c>
      <c r="X5" s="44">
        <f t="shared" ref="X5:X24" si="4">W5*A$8</f>
        <v>62.281332692438205</v>
      </c>
      <c r="Y5" s="44">
        <f t="shared" ref="Y5:Y24" si="5">Q5-P5</f>
        <v>-3.29</v>
      </c>
      <c r="Z5" s="44">
        <f t="shared" ref="Z5:Z24" si="6">X5+(A$6*W5)</f>
        <v>83.849406696430407</v>
      </c>
      <c r="AA5" s="50">
        <f t="shared" ref="AA5:AA24" si="7">Q5+X5</f>
        <v>65.991332692438206</v>
      </c>
      <c r="AB5" s="51">
        <f t="shared" ref="AB5:AC20" si="8">Z5/(1+ElecDiscountRate)^1</f>
        <v>78.38590884961242</v>
      </c>
      <c r="AC5" s="44">
        <f t="shared" si="8"/>
        <v>61.691439368456763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0.51453190852122688</v>
      </c>
      <c r="AP5" s="47">
        <f>AN5/AC5</f>
        <v>1.7315407815079069</v>
      </c>
    </row>
    <row r="6" spans="1:42" ht="13.5" customHeight="1">
      <c r="A6" s="53">
        <f>SUMIF('Program Costs'!D:D,C2,'Program Costs'!L:L)</f>
        <v>20815.7</v>
      </c>
      <c r="B6" s="97" t="s">
        <v>15</v>
      </c>
      <c r="C6" s="61">
        <v>18230435</v>
      </c>
      <c r="D6" s="61" t="s">
        <v>52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4.3362095117515134</v>
      </c>
      <c r="V6" s="48">
        <f t="shared" si="2"/>
        <v>-3.29</v>
      </c>
      <c r="W6" s="49">
        <f t="shared" si="3"/>
        <v>0.43362095117515131</v>
      </c>
      <c r="X6" s="44">
        <f t="shared" si="4"/>
        <v>26064.40467653035</v>
      </c>
      <c r="Y6" s="44">
        <f t="shared" si="5"/>
        <v>-1832.5300000000002</v>
      </c>
      <c r="Z6" s="44">
        <f t="shared" si="6"/>
        <v>35090.528309906949</v>
      </c>
      <c r="AA6" s="50">
        <f t="shared" si="7"/>
        <v>28130.874676530351</v>
      </c>
      <c r="AB6" s="51">
        <f t="shared" si="8"/>
        <v>32804.083677579642</v>
      </c>
      <c r="AC6" s="44">
        <f t="shared" si="8"/>
        <v>26297.910326755493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0.42180449123493985</v>
      </c>
      <c r="AP6" s="47">
        <f t="shared" ref="AP6:AP24" si="16">AN6/AC6</f>
        <v>1.3742689785489755</v>
      </c>
    </row>
    <row r="7" spans="1:42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0.37112813700379677</v>
      </c>
      <c r="V7" s="48">
        <f t="shared" si="2"/>
        <v>0.20999999999999996</v>
      </c>
      <c r="W7" s="49">
        <f t="shared" si="3"/>
        <v>3.7112813700379679E-2</v>
      </c>
      <c r="X7" s="44">
        <f t="shared" si="4"/>
        <v>2230.804098256423</v>
      </c>
      <c r="Y7" s="44">
        <f t="shared" si="5"/>
        <v>14.280000000000001</v>
      </c>
      <c r="Z7" s="44">
        <f t="shared" si="6"/>
        <v>3003.3332943994164</v>
      </c>
      <c r="AA7" s="50">
        <f t="shared" si="7"/>
        <v>2483.0840982564232</v>
      </c>
      <c r="AB7" s="51">
        <f t="shared" si="8"/>
        <v>2807.6407351588446</v>
      </c>
      <c r="AC7" s="44">
        <f t="shared" si="8"/>
        <v>2321.2901731854004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0.3072442155293022</v>
      </c>
      <c r="AP7" s="47">
        <f t="shared" si="16"/>
        <v>0.92592628690597445</v>
      </c>
    </row>
    <row r="8" spans="1:42" ht="13.5" customHeight="1">
      <c r="A8" s="53">
        <f>SUMIF('Program Costs'!D:D,C2,'Program Costs'!O:O)</f>
        <v>60108.729999999996</v>
      </c>
      <c r="B8" s="97" t="s">
        <v>15</v>
      </c>
      <c r="C8" s="61">
        <v>18230435</v>
      </c>
      <c r="D8" s="61" t="s">
        <v>52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6.0534113119833984E-2</v>
      </c>
      <c r="V8" s="48">
        <f t="shared" si="2"/>
        <v>-4.71</v>
      </c>
      <c r="W8" s="49">
        <f t="shared" si="3"/>
        <v>6.0534113119833982E-3</v>
      </c>
      <c r="X8" s="44">
        <f t="shared" si="4"/>
        <v>363.86286613095581</v>
      </c>
      <c r="Y8" s="44">
        <f t="shared" si="5"/>
        <v>-23.55</v>
      </c>
      <c r="Z8" s="44">
        <f t="shared" si="6"/>
        <v>489.86885997780865</v>
      </c>
      <c r="AA8" s="50">
        <f t="shared" si="7"/>
        <v>390.3128661309558</v>
      </c>
      <c r="AB8" s="51">
        <f t="shared" si="8"/>
        <v>457.94976159466074</v>
      </c>
      <c r="AC8" s="44">
        <f t="shared" si="8"/>
        <v>364.88068255675029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0.51269215443780147</v>
      </c>
      <c r="AP8" s="47">
        <f t="shared" si="16"/>
        <v>1.5636506282586402</v>
      </c>
    </row>
    <row r="9" spans="1:42" ht="13.5" customHeight="1">
      <c r="A9" s="36" t="s">
        <v>251</v>
      </c>
      <c r="B9" s="97" t="s">
        <v>15</v>
      </c>
      <c r="C9" s="61">
        <v>18230435</v>
      </c>
      <c r="D9" s="61" t="s">
        <v>52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1.5926566718427717</v>
      </c>
      <c r="V9" s="48">
        <f t="shared" si="2"/>
        <v>-4.71</v>
      </c>
      <c r="W9" s="49">
        <f t="shared" si="3"/>
        <v>0.15926566718427718</v>
      </c>
      <c r="X9" s="44">
        <f t="shared" si="4"/>
        <v>9573.2569870495772</v>
      </c>
      <c r="Y9" s="44">
        <f t="shared" si="5"/>
        <v>-824.25</v>
      </c>
      <c r="Z9" s="44">
        <f t="shared" si="6"/>
        <v>12888.483335457335</v>
      </c>
      <c r="AA9" s="50">
        <f t="shared" si="7"/>
        <v>10499.006987049577</v>
      </c>
      <c r="AB9" s="51">
        <f t="shared" si="8"/>
        <v>12048.689665754262</v>
      </c>
      <c r="AC9" s="44">
        <f t="shared" si="8"/>
        <v>9814.9079060012864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0.41979272297469505</v>
      </c>
      <c r="AP9" s="47">
        <f t="shared" si="16"/>
        <v>1.2365267394014863</v>
      </c>
    </row>
    <row r="10" spans="1:42" ht="13.5" customHeight="1">
      <c r="A10" s="54">
        <f>SUM(O5:O999)</f>
        <v>72190.700000000012</v>
      </c>
      <c r="B10" s="97" t="s">
        <v>15</v>
      </c>
      <c r="C10" s="61">
        <v>18230435</v>
      </c>
      <c r="D10" s="61" t="s">
        <v>52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0.20434765142878511</v>
      </c>
      <c r="V10" s="48">
        <f t="shared" si="2"/>
        <v>0.29000000000000004</v>
      </c>
      <c r="W10" s="49">
        <f t="shared" si="3"/>
        <v>2.0434765142878512E-2</v>
      </c>
      <c r="X10" s="44">
        <f t="shared" si="4"/>
        <v>1228.3077805866958</v>
      </c>
      <c r="Y10" s="44">
        <f t="shared" si="5"/>
        <v>9.2800000000000011</v>
      </c>
      <c r="Z10" s="44">
        <f t="shared" si="6"/>
        <v>1653.6717213713121</v>
      </c>
      <c r="AA10" s="50">
        <f t="shared" si="7"/>
        <v>1397.5877805866958</v>
      </c>
      <c r="AB10" s="51">
        <f t="shared" si="8"/>
        <v>1545.921025868292</v>
      </c>
      <c r="AC10" s="44">
        <f t="shared" si="8"/>
        <v>1306.5231191798593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0.29501027677580183</v>
      </c>
      <c r="AP10" s="47">
        <f t="shared" si="16"/>
        <v>0.81635452622650517</v>
      </c>
    </row>
    <row r="11" spans="1:42" ht="13.5" customHeight="1">
      <c r="A11" s="36" t="s">
        <v>252</v>
      </c>
      <c r="B11" s="97" t="s">
        <v>15</v>
      </c>
      <c r="C11" s="61">
        <v>18230435</v>
      </c>
      <c r="D11" s="61" t="s">
        <v>52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4.9203013684588175E-2</v>
      </c>
      <c r="V11" s="48">
        <f t="shared" si="2"/>
        <v>8.5</v>
      </c>
      <c r="W11" s="49">
        <f t="shared" si="3"/>
        <v>4.9203013684588175E-3</v>
      </c>
      <c r="X11" s="44">
        <f t="shared" si="4"/>
        <v>295.75306647532153</v>
      </c>
      <c r="Y11" s="44">
        <f t="shared" si="5"/>
        <v>272</v>
      </c>
      <c r="Z11" s="44">
        <f t="shared" si="6"/>
        <v>398.17258367074976</v>
      </c>
      <c r="AA11" s="50">
        <f t="shared" si="7"/>
        <v>679.75306647532148</v>
      </c>
      <c r="AB11" s="51">
        <f t="shared" si="8"/>
        <v>372.22827303987071</v>
      </c>
      <c r="AC11" s="44">
        <f t="shared" si="8"/>
        <v>635.46140644603292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0.71079770971467615</v>
      </c>
      <c r="AP11" s="47">
        <f t="shared" si="16"/>
        <v>1.5771963642736109</v>
      </c>
    </row>
    <row r="12" spans="1:42" ht="13.5" customHeight="1">
      <c r="A12" s="55">
        <f>SUM(P5:P1000)</f>
        <v>16998.5</v>
      </c>
      <c r="B12" s="97" t="s">
        <v>15</v>
      </c>
      <c r="C12" s="61">
        <v>18230435</v>
      </c>
      <c r="D12" s="61" t="s">
        <v>52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1.6331743562536447E-2</v>
      </c>
      <c r="V12" s="48">
        <f t="shared" si="2"/>
        <v>12.14</v>
      </c>
      <c r="W12" s="49">
        <f t="shared" si="3"/>
        <v>1.6331743562536447E-3</v>
      </c>
      <c r="X12" s="44">
        <f t="shared" si="4"/>
        <v>98.16803642297414</v>
      </c>
      <c r="Y12" s="44">
        <f t="shared" si="5"/>
        <v>109.25999999999999</v>
      </c>
      <c r="Z12" s="44">
        <f t="shared" si="6"/>
        <v>132.16370387044313</v>
      </c>
      <c r="AA12" s="50">
        <f t="shared" si="7"/>
        <v>252.42803642297412</v>
      </c>
      <c r="AB12" s="51">
        <f t="shared" si="8"/>
        <v>123.55212103434899</v>
      </c>
      <c r="AC12" s="44">
        <f t="shared" si="8"/>
        <v>235.98021540896895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0.71079770971467604</v>
      </c>
      <c r="AP12" s="47">
        <f t="shared" si="16"/>
        <v>1.2570146107512072</v>
      </c>
    </row>
    <row r="13" spans="1:42" ht="13.5" customHeight="1">
      <c r="A13" s="56" t="s">
        <v>255</v>
      </c>
      <c r="B13" s="97" t="s">
        <v>15</v>
      </c>
      <c r="C13" s="61">
        <v>18230435</v>
      </c>
      <c r="D13" s="61" t="s">
        <v>52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1107.0000000000095</v>
      </c>
      <c r="B14" s="97" t="s">
        <v>15</v>
      </c>
      <c r="C14" s="61">
        <v>18230435</v>
      </c>
      <c r="D14" s="61" t="s">
        <v>52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1.5114689288232412</v>
      </c>
      <c r="V14" s="48">
        <f t="shared" si="2"/>
        <v>-6.9700000000000006</v>
      </c>
      <c r="W14" s="49">
        <f t="shared" si="3"/>
        <v>0.15114689288232414</v>
      </c>
      <c r="X14" s="44">
        <f t="shared" si="4"/>
        <v>9085.2477746025434</v>
      </c>
      <c r="Y14" s="44">
        <f t="shared" si="5"/>
        <v>-1507.6599999999999</v>
      </c>
      <c r="Z14" s="44">
        <f t="shared" si="6"/>
        <v>12231.476152773139</v>
      </c>
      <c r="AA14" s="50">
        <f t="shared" si="7"/>
        <v>11582.587774602544</v>
      </c>
      <c r="AB14" s="51">
        <f t="shared" si="8"/>
        <v>11434.492056439318</v>
      </c>
      <c r="AC14" s="44">
        <f t="shared" si="8"/>
        <v>10827.88424287421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0.71079770971467593</v>
      </c>
      <c r="AP14" s="47">
        <f t="shared" si="16"/>
        <v>3.053701102323068</v>
      </c>
    </row>
    <row r="15" spans="1:42" ht="13.5" customHeight="1">
      <c r="A15" s="57" t="s">
        <v>258</v>
      </c>
      <c r="B15" s="97" t="s">
        <v>15</v>
      </c>
      <c r="C15" s="61">
        <v>18230435</v>
      </c>
      <c r="D15" s="61" t="s">
        <v>52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0.59007600702029472</v>
      </c>
      <c r="V15" s="48">
        <f t="shared" si="2"/>
        <v>-9.9600000000000009</v>
      </c>
      <c r="W15" s="49">
        <f t="shared" si="3"/>
        <v>5.9007600702029477E-2</v>
      </c>
      <c r="X15" s="44">
        <f t="shared" si="4"/>
        <v>3546.8719385461</v>
      </c>
      <c r="Y15" s="44">
        <f t="shared" si="5"/>
        <v>-587.6400000000001</v>
      </c>
      <c r="Z15" s="44">
        <f t="shared" si="6"/>
        <v>4775.1564524793348</v>
      </c>
      <c r="AA15" s="50">
        <f t="shared" si="7"/>
        <v>4729.2319385460996</v>
      </c>
      <c r="AB15" s="51">
        <f t="shared" si="8"/>
        <v>4464.0146325879541</v>
      </c>
      <c r="AC15" s="44">
        <f t="shared" si="8"/>
        <v>4421.0824890587073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0.71079770971467615</v>
      </c>
      <c r="AP15" s="47">
        <f t="shared" si="16"/>
        <v>2.5981687766175847</v>
      </c>
    </row>
    <row r="16" spans="1:42" ht="13.5" customHeight="1">
      <c r="A16" s="54">
        <f>SUM(U5:U999)</f>
        <v>10</v>
      </c>
      <c r="B16" s="97" t="s">
        <v>15</v>
      </c>
      <c r="C16" s="61">
        <v>18230435</v>
      </c>
      <c r="D16" s="61" t="s">
        <v>52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0.90564297063195243</v>
      </c>
      <c r="V16" s="48">
        <f t="shared" si="2"/>
        <v>8.5</v>
      </c>
      <c r="W16" s="49">
        <f t="shared" si="3"/>
        <v>9.0564297063195243E-2</v>
      </c>
      <c r="X16" s="44">
        <f t="shared" si="4"/>
        <v>5443.7048798113956</v>
      </c>
      <c r="Y16" s="44">
        <f t="shared" si="5"/>
        <v>3795.5</v>
      </c>
      <c r="Z16" s="44">
        <f t="shared" si="6"/>
        <v>7328.8641181897492</v>
      </c>
      <c r="AA16" s="50">
        <f t="shared" si="7"/>
        <v>12511.704879811396</v>
      </c>
      <c r="AB16" s="51">
        <f t="shared" si="8"/>
        <v>6851.3266506401314</v>
      </c>
      <c r="AC16" s="44">
        <f t="shared" si="8"/>
        <v>11696.461512397302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0.71079770971467493</v>
      </c>
      <c r="AP16" s="47">
        <f t="shared" si="16"/>
        <v>1.7755361930484868</v>
      </c>
    </row>
    <row r="17" spans="1:42" ht="13.5" customHeight="1">
      <c r="A17" s="58" t="s">
        <v>261</v>
      </c>
      <c r="B17" s="97" t="s">
        <v>15</v>
      </c>
      <c r="C17" s="61">
        <v>18230435</v>
      </c>
      <c r="D17" s="61" t="s">
        <v>52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0.35203980568134119</v>
      </c>
      <c r="V17" s="48">
        <f t="shared" si="2"/>
        <v>12.399999999999999</v>
      </c>
      <c r="W17" s="49">
        <f t="shared" si="3"/>
        <v>3.5203980568134119E-2</v>
      </c>
      <c r="X17" s="44">
        <f t="shared" si="4"/>
        <v>2116.0665628952202</v>
      </c>
      <c r="Y17" s="44">
        <f t="shared" si="5"/>
        <v>1685.6000000000099</v>
      </c>
      <c r="Z17" s="44">
        <f t="shared" si="6"/>
        <v>2848.8620612073296</v>
      </c>
      <c r="AA17" s="50">
        <f t="shared" si="7"/>
        <v>5491.6665628952305</v>
      </c>
      <c r="AB17" s="51">
        <f t="shared" si="8"/>
        <v>2663.234608962634</v>
      </c>
      <c r="AC17" s="44">
        <f t="shared" si="8"/>
        <v>5133.8380507574366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0.71079770971467593</v>
      </c>
      <c r="AP17" s="47">
        <f t="shared" si="16"/>
        <v>1.394305394333587</v>
      </c>
    </row>
    <row r="18" spans="1:42" ht="13.5" customHeight="1">
      <c r="A18" s="59">
        <f>A6+A8</f>
        <v>80924.429999999993</v>
      </c>
      <c r="B18" s="97" t="s">
        <v>15</v>
      </c>
      <c r="C18" s="61">
        <v>18230435</v>
      </c>
      <c r="D18" s="61" t="s">
        <v>52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78214.23000000001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0.51426099372938083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1.8511023957537036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1804</v>
      </c>
      <c r="F5" s="39" t="s">
        <v>1805</v>
      </c>
      <c r="G5" s="39">
        <v>45</v>
      </c>
      <c r="H5" s="39"/>
      <c r="I5" s="40" t="s">
        <v>283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1.9684291750224352</v>
      </c>
      <c r="V5" s="48">
        <f t="shared" ref="V5:V24" si="2">N5-M5</f>
        <v>-29.5</v>
      </c>
      <c r="W5" s="49">
        <f t="shared" ref="W5:W24" si="3">(O5/A$10)</f>
        <v>4.3742870556054116E-2</v>
      </c>
      <c r="X5" s="44">
        <f t="shared" ref="X5:X24" si="4">W5*A$8</f>
        <v>6476.2680261512405</v>
      </c>
      <c r="Y5" s="44">
        <f t="shared" ref="Y5:Y24" si="5">Q5-P5</f>
        <v>67447.759999999995</v>
      </c>
      <c r="Z5" s="44">
        <f t="shared" ref="Z5:Z24" si="6">X5+(A$6*W5)</f>
        <v>43568.014117579463</v>
      </c>
      <c r="AA5" s="50">
        <f t="shared" ref="AA5:AA24" si="7">Q5+X5</f>
        <v>81874.028026151238</v>
      </c>
      <c r="AB5" s="51">
        <f t="shared" ref="AB5:AC20" si="8">Z5/(1+ElecDiscountRate)^1</f>
        <v>40729.189602299208</v>
      </c>
      <c r="AC5" s="44">
        <f t="shared" si="8"/>
        <v>76539.242802796332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4.8904794715101874</v>
      </c>
      <c r="AP5" s="47">
        <f>AN5/AC5</f>
        <v>3.0332410353226296</v>
      </c>
    </row>
    <row r="6" spans="1:42" ht="13.5" customHeight="1">
      <c r="A6" s="53">
        <f>SUMIF('Program Costs'!D:D,C2,'Program Costs'!L:L)</f>
        <v>847949.52</v>
      </c>
      <c r="B6" s="97" t="s">
        <v>15</v>
      </c>
      <c r="C6" s="61">
        <v>18230627</v>
      </c>
      <c r="D6" s="61" t="s">
        <v>80</v>
      </c>
      <c r="E6" s="38" t="s">
        <v>1806</v>
      </c>
      <c r="F6" s="39" t="s">
        <v>1805</v>
      </c>
      <c r="G6" s="39">
        <v>45</v>
      </c>
      <c r="H6" s="39"/>
      <c r="I6" s="40" t="s">
        <v>283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1.8713173611708549</v>
      </c>
      <c r="V6" s="48">
        <f t="shared" si="2"/>
        <v>-27.4</v>
      </c>
      <c r="W6" s="49">
        <f t="shared" si="3"/>
        <v>4.1584830248241222E-2</v>
      </c>
      <c r="X6" s="44">
        <f t="shared" si="4"/>
        <v>6156.7634470741841</v>
      </c>
      <c r="Y6" s="44">
        <f t="shared" si="5"/>
        <v>235649.59000000003</v>
      </c>
      <c r="Z6" s="44">
        <f t="shared" si="6"/>
        <v>41418.600295351811</v>
      </c>
      <c r="AA6" s="50">
        <f t="shared" si="7"/>
        <v>273656.35344707419</v>
      </c>
      <c r="AB6" s="51">
        <f t="shared" si="8"/>
        <v>38719.828265262979</v>
      </c>
      <c r="AC6" s="44">
        <f t="shared" si="8"/>
        <v>255825.32807990481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4.8932052917504025</v>
      </c>
      <c r="AP6" s="47">
        <f t="shared" ref="AP6:AP24" si="16">AN6/AC6</f>
        <v>0.81465927155766837</v>
      </c>
    </row>
    <row r="7" spans="1:42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1807</v>
      </c>
      <c r="F7" s="39" t="s">
        <v>1808</v>
      </c>
      <c r="G7" s="39">
        <v>45</v>
      </c>
      <c r="H7" s="39"/>
      <c r="I7" s="40" t="s">
        <v>283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0.71103220697380842</v>
      </c>
      <c r="V7" s="48">
        <f t="shared" si="2"/>
        <v>-29.5</v>
      </c>
      <c r="W7" s="49">
        <f t="shared" si="3"/>
        <v>1.5800715710529076E-2</v>
      </c>
      <c r="X7" s="44">
        <f t="shared" si="4"/>
        <v>2339.3451011696893</v>
      </c>
      <c r="Y7" s="44">
        <f t="shared" si="5"/>
        <v>53711.29</v>
      </c>
      <c r="Z7" s="44">
        <f t="shared" si="6"/>
        <v>15737.554403569278</v>
      </c>
      <c r="AA7" s="50">
        <f t="shared" si="7"/>
        <v>63900.63510116969</v>
      </c>
      <c r="AB7" s="51">
        <f t="shared" si="8"/>
        <v>14712.119663054385</v>
      </c>
      <c r="AC7" s="44">
        <f t="shared" si="8"/>
        <v>59736.968403449267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4.8904778382549043</v>
      </c>
      <c r="AP7" s="47">
        <f t="shared" si="16"/>
        <v>1.4003891157109138</v>
      </c>
    </row>
    <row r="8" spans="1:42" ht="13.5" customHeight="1">
      <c r="A8" s="53">
        <f>SUMIF('Program Costs'!D:D,C2,'Program Costs'!O:O)</f>
        <v>148053.10999999999</v>
      </c>
      <c r="B8" s="97" t="s">
        <v>15</v>
      </c>
      <c r="C8" s="61">
        <v>18230627</v>
      </c>
      <c r="D8" s="61" t="s">
        <v>80</v>
      </c>
      <c r="E8" s="38" t="s">
        <v>1809</v>
      </c>
      <c r="F8" s="39" t="s">
        <v>1808</v>
      </c>
      <c r="G8" s="39">
        <v>45</v>
      </c>
      <c r="H8" s="39"/>
      <c r="I8" s="40" t="s">
        <v>283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1.1268873970351179</v>
      </c>
      <c r="V8" s="48">
        <f t="shared" si="2"/>
        <v>-27.4</v>
      </c>
      <c r="W8" s="49">
        <f t="shared" si="3"/>
        <v>2.5041942156335952E-2</v>
      </c>
      <c r="X8" s="44">
        <f t="shared" si="4"/>
        <v>3707.5374166856436</v>
      </c>
      <c r="Y8" s="44">
        <f t="shared" si="5"/>
        <v>228011.95</v>
      </c>
      <c r="Z8" s="44">
        <f t="shared" si="6"/>
        <v>24941.840248018481</v>
      </c>
      <c r="AA8" s="50">
        <f t="shared" si="7"/>
        <v>263019.48741668568</v>
      </c>
      <c r="AB8" s="51">
        <f t="shared" si="8"/>
        <v>23316.668456593885</v>
      </c>
      <c r="AC8" s="44">
        <f t="shared" si="8"/>
        <v>245881.54381292479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4.8914888858243524</v>
      </c>
      <c r="AP8" s="47">
        <f t="shared" si="16"/>
        <v>0.5102397891495325</v>
      </c>
    </row>
    <row r="9" spans="1:42" ht="13.5" customHeight="1">
      <c r="A9" s="36" t="s">
        <v>251</v>
      </c>
      <c r="B9" s="97" t="s">
        <v>15</v>
      </c>
      <c r="C9" s="61">
        <v>18230627</v>
      </c>
      <c r="D9" s="61" t="s">
        <v>80</v>
      </c>
      <c r="E9" s="38" t="s">
        <v>1810</v>
      </c>
      <c r="F9" s="39" t="s">
        <v>1811</v>
      </c>
      <c r="G9" s="39">
        <v>45</v>
      </c>
      <c r="H9" s="39"/>
      <c r="I9" s="40" t="s">
        <v>283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1.4509759861136773</v>
      </c>
      <c r="V9" s="48">
        <f t="shared" si="2"/>
        <v>-29.5</v>
      </c>
      <c r="W9" s="49">
        <f t="shared" si="3"/>
        <v>3.2243910802526164E-2</v>
      </c>
      <c r="X9" s="44">
        <f t="shared" si="4"/>
        <v>4773.8112728765936</v>
      </c>
      <c r="Y9" s="44">
        <f t="shared" si="5"/>
        <v>84444.5</v>
      </c>
      <c r="Z9" s="44">
        <f t="shared" si="6"/>
        <v>32115.019960801466</v>
      </c>
      <c r="AA9" s="50">
        <f t="shared" si="7"/>
        <v>103218.3112728766</v>
      </c>
      <c r="AB9" s="51">
        <f t="shared" si="8"/>
        <v>30022.454857251065</v>
      </c>
      <c r="AC9" s="44">
        <f t="shared" si="8"/>
        <v>96492.765516384577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4.8904820171416388</v>
      </c>
      <c r="AP9" s="47">
        <f t="shared" si="16"/>
        <v>1.7757086795990455</v>
      </c>
    </row>
    <row r="10" spans="1:42" ht="13.5" customHeight="1">
      <c r="A10" s="54">
        <f>SUM(O5:O999)</f>
        <v>1328478.43</v>
      </c>
      <c r="B10" s="97" t="s">
        <v>15</v>
      </c>
      <c r="C10" s="61">
        <v>18230627</v>
      </c>
      <c r="D10" s="61" t="s">
        <v>80</v>
      </c>
      <c r="E10" s="38" t="s">
        <v>1812</v>
      </c>
      <c r="F10" s="39" t="s">
        <v>1811</v>
      </c>
      <c r="G10" s="39">
        <v>45</v>
      </c>
      <c r="H10" s="39"/>
      <c r="I10" s="40" t="s">
        <v>283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1.8974049130778887</v>
      </c>
      <c r="V10" s="48">
        <f t="shared" si="2"/>
        <v>-27.4</v>
      </c>
      <c r="W10" s="49">
        <f t="shared" si="3"/>
        <v>4.2164553623953084E-2</v>
      </c>
      <c r="X10" s="44">
        <f t="shared" si="4"/>
        <v>6242.5932957880241</v>
      </c>
      <c r="Y10" s="44">
        <f t="shared" si="5"/>
        <v>249262.13</v>
      </c>
      <c r="Z10" s="44">
        <f t="shared" si="6"/>
        <v>41996.006302233298</v>
      </c>
      <c r="AA10" s="50">
        <f t="shared" si="7"/>
        <v>291754.72329578805</v>
      </c>
      <c r="AB10" s="51">
        <f t="shared" si="8"/>
        <v>39259.611388457786</v>
      </c>
      <c r="AC10" s="44">
        <f t="shared" si="8"/>
        <v>272744.43609964289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4.8861785596360923</v>
      </c>
      <c r="AP10" s="47">
        <f t="shared" si="16"/>
        <v>0.77366351294304703</v>
      </c>
    </row>
    <row r="11" spans="1:42" ht="13.5" customHeight="1">
      <c r="A11" s="36" t="s">
        <v>252</v>
      </c>
      <c r="B11" s="97" t="s">
        <v>15</v>
      </c>
      <c r="C11" s="61">
        <v>18230627</v>
      </c>
      <c r="D11" s="61" t="s">
        <v>80</v>
      </c>
      <c r="E11" s="38" t="s">
        <v>1714</v>
      </c>
      <c r="F11" s="39" t="s">
        <v>1715</v>
      </c>
      <c r="G11" s="39">
        <v>30</v>
      </c>
      <c r="H11" s="39"/>
      <c r="I11" s="40" t="s">
        <v>283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842327</v>
      </c>
      <c r="B12" s="97" t="s">
        <v>15</v>
      </c>
      <c r="C12" s="61">
        <v>18230627</v>
      </c>
      <c r="D12" s="61" t="s">
        <v>80</v>
      </c>
      <c r="E12" s="38" t="s">
        <v>1716</v>
      </c>
      <c r="F12" s="39" t="s">
        <v>1715</v>
      </c>
      <c r="G12" s="39">
        <v>45</v>
      </c>
      <c r="H12" s="39"/>
      <c r="I12" s="40" t="s">
        <v>283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15</v>
      </c>
      <c r="C13" s="61">
        <v>18230627</v>
      </c>
      <c r="D13" s="61" t="s">
        <v>80</v>
      </c>
      <c r="E13" s="38" t="s">
        <v>1717</v>
      </c>
      <c r="F13" s="39" t="s">
        <v>1715</v>
      </c>
      <c r="G13" s="39">
        <v>45</v>
      </c>
      <c r="H13" s="39"/>
      <c r="I13" s="40" t="s">
        <v>283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1.343282141208721</v>
      </c>
      <c r="V13" s="48">
        <f t="shared" si="2"/>
        <v>0</v>
      </c>
      <c r="W13" s="49">
        <f t="shared" si="3"/>
        <v>2.9850714249082689E-2</v>
      </c>
      <c r="X13" s="44">
        <f t="shared" si="4"/>
        <v>4419.4910802980066</v>
      </c>
      <c r="Y13" s="44">
        <f t="shared" si="5"/>
        <v>0</v>
      </c>
      <c r="Z13" s="44">
        <f t="shared" si="6"/>
        <v>29731.389899464833</v>
      </c>
      <c r="AA13" s="50">
        <f t="shared" si="7"/>
        <v>4419.4910802980066</v>
      </c>
      <c r="AB13" s="51">
        <f t="shared" si="8"/>
        <v>27794.13844953242</v>
      </c>
      <c r="AC13" s="44">
        <f t="shared" si="8"/>
        <v>4131.5238667832164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4.9166097621089273</v>
      </c>
      <c r="AP13" s="47">
        <f t="shared" si="16"/>
        <v>36.383240305580763</v>
      </c>
    </row>
    <row r="14" spans="1:42" ht="13.5" customHeight="1">
      <c r="A14" s="55">
        <f>SUM(Y5:Y1000)</f>
        <v>1873746.02</v>
      </c>
      <c r="B14" s="97" t="s">
        <v>15</v>
      </c>
      <c r="C14" s="61">
        <v>18230627</v>
      </c>
      <c r="D14" s="61" t="s">
        <v>80</v>
      </c>
      <c r="E14" s="38" t="s">
        <v>1813</v>
      </c>
      <c r="F14" s="39" t="s">
        <v>1814</v>
      </c>
      <c r="G14" s="39">
        <v>25</v>
      </c>
      <c r="H14" s="39"/>
      <c r="I14" s="40" t="s">
        <v>283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0.55567763339597476</v>
      </c>
      <c r="V14" s="48">
        <f t="shared" si="2"/>
        <v>-182.19</v>
      </c>
      <c r="W14" s="49">
        <f t="shared" si="3"/>
        <v>2.2227105335838989E-2</v>
      </c>
      <c r="X14" s="44">
        <f t="shared" si="4"/>
        <v>3290.7920712685564</v>
      </c>
      <c r="Y14" s="44">
        <f t="shared" si="5"/>
        <v>11328.43</v>
      </c>
      <c r="Z14" s="44">
        <f t="shared" si="6"/>
        <v>22138.255371782667</v>
      </c>
      <c r="AA14" s="50">
        <f t="shared" si="7"/>
        <v>55985.942071268561</v>
      </c>
      <c r="AB14" s="51">
        <f t="shared" si="8"/>
        <v>20695.760841154217</v>
      </c>
      <c r="AC14" s="44">
        <f t="shared" si="8"/>
        <v>52337.984548255168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2.9260626796751241</v>
      </c>
      <c r="AP14" s="47">
        <f t="shared" si="16"/>
        <v>1.3255892053087828</v>
      </c>
    </row>
    <row r="15" spans="1:42" ht="13.5" customHeight="1">
      <c r="A15" s="57" t="s">
        <v>258</v>
      </c>
      <c r="B15" s="97" t="s">
        <v>15</v>
      </c>
      <c r="C15" s="61">
        <v>18230627</v>
      </c>
      <c r="D15" s="61" t="s">
        <v>80</v>
      </c>
      <c r="E15" s="38" t="s">
        <v>1815</v>
      </c>
      <c r="F15" s="39" t="s">
        <v>1814</v>
      </c>
      <c r="G15" s="39">
        <v>25</v>
      </c>
      <c r="H15" s="39"/>
      <c r="I15" s="40" t="s">
        <v>283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1.8313436221918937</v>
      </c>
      <c r="V15" s="48">
        <f t="shared" si="2"/>
        <v>-181.47</v>
      </c>
      <c r="W15" s="49">
        <f t="shared" si="3"/>
        <v>7.3253744887675748E-2</v>
      </c>
      <c r="X15" s="44">
        <f t="shared" si="4"/>
        <v>10845.444749766993</v>
      </c>
      <c r="Y15" s="44">
        <f t="shared" si="5"/>
        <v>30195.430000000008</v>
      </c>
      <c r="Z15" s="44">
        <f t="shared" si="6"/>
        <v>72960.922565474102</v>
      </c>
      <c r="AA15" s="50">
        <f t="shared" si="7"/>
        <v>119900.96474976699</v>
      </c>
      <c r="AB15" s="51">
        <f t="shared" si="8"/>
        <v>68206.901528909133</v>
      </c>
      <c r="AC15" s="44">
        <f t="shared" si="8"/>
        <v>112088.40305671401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2.9268950968846581</v>
      </c>
      <c r="AP15" s="47">
        <f t="shared" si="16"/>
        <v>1.9591490665935667</v>
      </c>
    </row>
    <row r="16" spans="1:42" ht="13.5" customHeight="1">
      <c r="A16" s="54">
        <f>SUM(U5:U999)</f>
        <v>36.331299748690682</v>
      </c>
      <c r="B16" s="97" t="s">
        <v>15</v>
      </c>
      <c r="C16" s="61">
        <v>18230627</v>
      </c>
      <c r="D16" s="61" t="s">
        <v>80</v>
      </c>
      <c r="E16" s="38" t="s">
        <v>1718</v>
      </c>
      <c r="F16" s="39" t="s">
        <v>1719</v>
      </c>
      <c r="G16" s="39">
        <v>25</v>
      </c>
      <c r="H16" s="39"/>
      <c r="I16" s="40" t="s">
        <v>283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18230627</v>
      </c>
      <c r="D17" s="61" t="s">
        <v>80</v>
      </c>
      <c r="E17" s="38" t="s">
        <v>1720</v>
      </c>
      <c r="F17" s="39" t="s">
        <v>1719</v>
      </c>
      <c r="G17" s="39">
        <v>25</v>
      </c>
      <c r="H17" s="39"/>
      <c r="I17" s="40" t="s">
        <v>283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1.3758785680848429E-2</v>
      </c>
      <c r="V17" s="48">
        <f t="shared" si="2"/>
        <v>0</v>
      </c>
      <c r="W17" s="49">
        <f t="shared" si="3"/>
        <v>5.5035142723393717E-4</v>
      </c>
      <c r="X17" s="44">
        <f t="shared" si="4"/>
        <v>81.481240394923091</v>
      </c>
      <c r="Y17" s="44">
        <f t="shared" si="5"/>
        <v>0</v>
      </c>
      <c r="Z17" s="44">
        <f t="shared" si="6"/>
        <v>548.1514689492551</v>
      </c>
      <c r="AA17" s="50">
        <f t="shared" si="7"/>
        <v>81.481240394923091</v>
      </c>
      <c r="AB17" s="51">
        <f t="shared" si="8"/>
        <v>512.43476577475462</v>
      </c>
      <c r="AC17" s="44">
        <f t="shared" si="8"/>
        <v>76.17204860701419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2.9187360911576627</v>
      </c>
      <c r="AP17" s="47">
        <f t="shared" si="16"/>
        <v>21.598841830312434</v>
      </c>
    </row>
    <row r="18" spans="1:42" ht="13.5" customHeight="1">
      <c r="A18" s="59">
        <f>A6+A8</f>
        <v>996002.63</v>
      </c>
      <c r="B18" s="97" t="s">
        <v>15</v>
      </c>
      <c r="C18" s="61">
        <v>18230627</v>
      </c>
      <c r="D18" s="61" t="s">
        <v>80</v>
      </c>
      <c r="E18" s="38" t="s">
        <v>1816</v>
      </c>
      <c r="F18" s="39" t="s">
        <v>1817</v>
      </c>
      <c r="G18" s="39">
        <v>45</v>
      </c>
      <c r="H18" s="39"/>
      <c r="I18" s="40" t="s">
        <v>283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1.0542534740289311</v>
      </c>
      <c r="V18" s="48">
        <f t="shared" si="2"/>
        <v>0.74</v>
      </c>
      <c r="W18" s="49">
        <f t="shared" si="3"/>
        <v>2.342785497842069E-2</v>
      </c>
      <c r="X18" s="44">
        <f t="shared" si="4"/>
        <v>3468.5667901841657</v>
      </c>
      <c r="Y18" s="44">
        <f t="shared" si="5"/>
        <v>9988.25</v>
      </c>
      <c r="Z18" s="44">
        <f t="shared" si="6"/>
        <v>23334.2051737656</v>
      </c>
      <c r="AA18" s="50">
        <f t="shared" si="7"/>
        <v>19891.126790184167</v>
      </c>
      <c r="AB18" s="51">
        <f t="shared" si="8"/>
        <v>21813.784401014862</v>
      </c>
      <c r="AC18" s="44">
        <f t="shared" si="8"/>
        <v>18595.051687561154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4.8904801447653625</v>
      </c>
      <c r="AP18" s="47">
        <f t="shared" si="16"/>
        <v>6.6997370114296695</v>
      </c>
    </row>
    <row r="19" spans="1:42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1818</v>
      </c>
      <c r="F19" s="39" t="s">
        <v>1817</v>
      </c>
      <c r="G19" s="39">
        <v>45</v>
      </c>
      <c r="H19" s="39"/>
      <c r="I19" s="40" t="s">
        <v>283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1.0034529503049592</v>
      </c>
      <c r="V19" s="48">
        <f t="shared" si="2"/>
        <v>0.99</v>
      </c>
      <c r="W19" s="49">
        <f t="shared" si="3"/>
        <v>2.2298954451221313E-2</v>
      </c>
      <c r="X19" s="44">
        <f t="shared" si="4"/>
        <v>3301.4295562516586</v>
      </c>
      <c r="Y19" s="44">
        <f t="shared" si="5"/>
        <v>15930.79</v>
      </c>
      <c r="Z19" s="44">
        <f t="shared" si="6"/>
        <v>22209.817279666637</v>
      </c>
      <c r="AA19" s="50">
        <f t="shared" si="7"/>
        <v>27029.67955625166</v>
      </c>
      <c r="AB19" s="51">
        <f t="shared" si="8"/>
        <v>20762.659885637688</v>
      </c>
      <c r="AC19" s="44">
        <f t="shared" si="8"/>
        <v>25268.467379874412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4.8899551685686049</v>
      </c>
      <c r="AP19" s="47">
        <f t="shared" si="16"/>
        <v>4.4197901655110883</v>
      </c>
    </row>
    <row r="20" spans="1:42" ht="13.5" customHeight="1">
      <c r="A20" s="59">
        <f>A8+SUM(Q5:Q906)</f>
        <v>2864126.1300000013</v>
      </c>
      <c r="B20" s="97" t="s">
        <v>15</v>
      </c>
      <c r="C20" s="61">
        <v>18230627</v>
      </c>
      <c r="D20" s="61" t="s">
        <v>80</v>
      </c>
      <c r="E20" s="38" t="s">
        <v>1721</v>
      </c>
      <c r="F20" s="39" t="s">
        <v>1722</v>
      </c>
      <c r="G20" s="39">
        <v>45</v>
      </c>
      <c r="H20" s="39"/>
      <c r="I20" s="40" t="s">
        <v>283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1723</v>
      </c>
      <c r="F21" s="39" t="s">
        <v>1722</v>
      </c>
      <c r="G21" s="39">
        <v>45</v>
      </c>
      <c r="H21" s="39"/>
      <c r="I21" s="40" t="s">
        <v>283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0.77544473191032548</v>
      </c>
      <c r="V21" s="48">
        <f t="shared" si="2"/>
        <v>0</v>
      </c>
      <c r="W21" s="49">
        <f t="shared" si="3"/>
        <v>1.7232105153562789E-2</v>
      </c>
      <c r="X21" s="44">
        <f t="shared" si="4"/>
        <v>2551.2667598319981</v>
      </c>
      <c r="Y21" s="44">
        <f t="shared" si="5"/>
        <v>0</v>
      </c>
      <c r="Z21" s="44">
        <f t="shared" si="6"/>
        <v>17163.222053385092</v>
      </c>
      <c r="AA21" s="50">
        <f t="shared" si="7"/>
        <v>2551.2667598319981</v>
      </c>
      <c r="AB21" s="51">
        <f t="shared" ref="AB21:AC24" si="18">Z21/(1+ElecDiscountRate)^1</f>
        <v>16044.893010549771</v>
      </c>
      <c r="AC21" s="44">
        <f t="shared" si="18"/>
        <v>2385.0301578311655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4.9211742498688666</v>
      </c>
      <c r="AP21" s="47">
        <f t="shared" si="16"/>
        <v>36.417017819574589</v>
      </c>
    </row>
    <row r="22" spans="1:42" ht="13.5" customHeight="1">
      <c r="A22" s="60">
        <f>(SUM(AM5:AM1000)/(SUM(AB5:AB1000)))</f>
        <v>4.0311019765650906</v>
      </c>
      <c r="B22" s="97" t="s">
        <v>15</v>
      </c>
      <c r="C22" s="61">
        <v>18230627</v>
      </c>
      <c r="D22" s="61" t="s">
        <v>80</v>
      </c>
      <c r="E22" s="38" t="s">
        <v>1819</v>
      </c>
      <c r="F22" s="39" t="s">
        <v>710</v>
      </c>
      <c r="G22" s="39">
        <v>45</v>
      </c>
      <c r="H22" s="39"/>
      <c r="I22" s="40" t="s">
        <v>283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0.18561234750345176</v>
      </c>
      <c r="V22" s="48">
        <f t="shared" si="2"/>
        <v>0.74</v>
      </c>
      <c r="W22" s="49">
        <f t="shared" si="3"/>
        <v>4.1247188334100392E-3</v>
      </c>
      <c r="X22" s="44">
        <f t="shared" si="4"/>
        <v>610.67745116192816</v>
      </c>
      <c r="Y22" s="44">
        <f t="shared" si="5"/>
        <v>2708.8</v>
      </c>
      <c r="Z22" s="44">
        <f t="shared" si="6"/>
        <v>4108.2308060869309</v>
      </c>
      <c r="AA22" s="50">
        <f t="shared" si="7"/>
        <v>5719.477451161928</v>
      </c>
      <c r="AB22" s="51">
        <f t="shared" si="18"/>
        <v>3840.5448313423676</v>
      </c>
      <c r="AC22" s="44">
        <f t="shared" si="18"/>
        <v>5346.805133366297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4.8904801447653625</v>
      </c>
      <c r="AP22" s="47">
        <f t="shared" si="16"/>
        <v>4.0744938492896372</v>
      </c>
    </row>
    <row r="23" spans="1:42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709</v>
      </c>
      <c r="F23" s="39" t="s">
        <v>710</v>
      </c>
      <c r="G23" s="39">
        <v>45</v>
      </c>
      <c r="H23" s="39"/>
      <c r="I23" s="40" t="s">
        <v>283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0.5954208078485701</v>
      </c>
      <c r="V23" s="48">
        <f t="shared" si="2"/>
        <v>0.99</v>
      </c>
      <c r="W23" s="49">
        <f t="shared" si="3"/>
        <v>1.3231573507746001E-2</v>
      </c>
      <c r="X23" s="44">
        <f t="shared" si="4"/>
        <v>1958.9756080154043</v>
      </c>
      <c r="Y23" s="44">
        <f t="shared" si="5"/>
        <v>13585.400000000001</v>
      </c>
      <c r="Z23" s="44">
        <f t="shared" si="6"/>
        <v>13178.682012753343</v>
      </c>
      <c r="AA23" s="50">
        <f t="shared" si="7"/>
        <v>22088.875608015405</v>
      </c>
      <c r="AB23" s="51">
        <f t="shared" si="18"/>
        <v>12319.979445408379</v>
      </c>
      <c r="AC23" s="44">
        <f t="shared" si="18"/>
        <v>20649.598586533986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4.8863458226720464</v>
      </c>
      <c r="AP23" s="47">
        <f t="shared" si="16"/>
        <v>3.2068249574356149</v>
      </c>
    </row>
    <row r="24" spans="1:42" ht="13.5" customHeight="1">
      <c r="A24" s="60">
        <f>(SUM(AN5:AN1000)/SUM(AC5:AC1000))</f>
        <v>1.5661545879998047</v>
      </c>
      <c r="B24" s="97" t="s">
        <v>15</v>
      </c>
      <c r="C24" s="61">
        <v>18230627</v>
      </c>
      <c r="D24" s="61" t="s">
        <v>80</v>
      </c>
      <c r="E24" s="38" t="s">
        <v>711</v>
      </c>
      <c r="F24" s="39" t="s">
        <v>712</v>
      </c>
      <c r="G24" s="39">
        <v>45</v>
      </c>
      <c r="H24" s="39"/>
      <c r="I24" s="40" t="s">
        <v>283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0.41712171420050831</v>
      </c>
      <c r="V24" s="48">
        <f t="shared" si="2"/>
        <v>0.74</v>
      </c>
      <c r="W24" s="49">
        <f t="shared" si="3"/>
        <v>9.2693714266779623E-3</v>
      </c>
      <c r="X24" s="44">
        <f t="shared" si="4"/>
        <v>1372.3592674648091</v>
      </c>
      <c r="Y24" s="44">
        <f t="shared" si="5"/>
        <v>3792.37</v>
      </c>
      <c r="Z24" s="44">
        <f t="shared" si="6"/>
        <v>9232.318319418102</v>
      </c>
      <c r="AA24" s="50">
        <f t="shared" si="7"/>
        <v>8441.5992674648096</v>
      </c>
      <c r="AB24" s="51">
        <f t="shared" si="18"/>
        <v>8630.7547157316076</v>
      </c>
      <c r="AC24" s="44">
        <f t="shared" si="18"/>
        <v>7891.5576960501157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4.8904801447653643</v>
      </c>
      <c r="AP24" s="47">
        <f t="shared" si="16"/>
        <v>6.2780212753431686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713</v>
      </c>
      <c r="F25" s="39" t="s">
        <v>712</v>
      </c>
      <c r="G25" s="39">
        <v>45</v>
      </c>
      <c r="H25" s="39"/>
      <c r="I25" s="40" t="s">
        <v>283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0.87849589699397679</v>
      </c>
      <c r="V25" s="48">
        <f t="shared" ref="V25:V67" si="21">N25-M25</f>
        <v>0.99</v>
      </c>
      <c r="W25" s="49">
        <f t="shared" ref="W25:W67" si="22">(O25/A$10)</f>
        <v>1.9522131044310595E-2</v>
      </c>
      <c r="X25" s="44">
        <f t="shared" ref="X25:X67" si="23">W25*A$8</f>
        <v>2890.3122149377309</v>
      </c>
      <c r="Y25" s="44">
        <f t="shared" ref="Y25:Y67" si="24">Q25-P25</f>
        <v>19574.120000000003</v>
      </c>
      <c r="Z25" s="44">
        <f t="shared" ref="Z25:Z67" si="25">X25+(A$6*W25)</f>
        <v>19444.093863337999</v>
      </c>
      <c r="AA25" s="50">
        <f t="shared" ref="AA25:AA67" si="26">Q25+X25</f>
        <v>35004.282214937732</v>
      </c>
      <c r="AB25" s="51">
        <f t="shared" ref="AB25:AB67" si="27">Z25/(1+ElecDiscountRate)^1</f>
        <v>18177.146735849303</v>
      </c>
      <c r="AC25" s="44">
        <f t="shared" ref="AC25:AC67" si="28">AA25/(1+ElecDiscountRate)^1</f>
        <v>32723.457244963756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4.8770672481322688</v>
      </c>
      <c r="AP25" s="47">
        <f t="shared" ref="AP25:AP67" si="37">AN25/AC25</f>
        <v>2.9800116467187641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714</v>
      </c>
      <c r="F26" s="39" t="s">
        <v>715</v>
      </c>
      <c r="G26" s="39">
        <v>45</v>
      </c>
      <c r="H26" s="39"/>
      <c r="I26" s="40" t="s">
        <v>283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0.20094206572853429</v>
      </c>
      <c r="V26" s="48">
        <f t="shared" si="21"/>
        <v>0.59000000000000008</v>
      </c>
      <c r="W26" s="49">
        <f t="shared" si="22"/>
        <v>4.4653792384118729E-3</v>
      </c>
      <c r="X26" s="44">
        <f t="shared" si="23"/>
        <v>661.11328357630919</v>
      </c>
      <c r="Y26" s="44">
        <f t="shared" si="24"/>
        <v>5629.1200000000008</v>
      </c>
      <c r="Z26" s="44">
        <f t="shared" si="25"/>
        <v>4447.5294654056224</v>
      </c>
      <c r="AA26" s="50">
        <f t="shared" si="26"/>
        <v>11090.23328357631</v>
      </c>
      <c r="AB26" s="51">
        <f t="shared" si="27"/>
        <v>4157.7353140185305</v>
      </c>
      <c r="AC26" s="44">
        <f t="shared" si="28"/>
        <v>10367.610810111535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4.8904801447653625</v>
      </c>
      <c r="AP26" s="47">
        <f t="shared" si="37"/>
        <v>2.2833808102266486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716</v>
      </c>
      <c r="F27" s="39" t="s">
        <v>715</v>
      </c>
      <c r="G27" s="39">
        <v>45</v>
      </c>
      <c r="H27" s="39"/>
      <c r="I27" s="40" t="s">
        <v>283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0.6409384456471755</v>
      </c>
      <c r="V27" s="48">
        <f t="shared" si="21"/>
        <v>0.74</v>
      </c>
      <c r="W27" s="49">
        <f t="shared" si="22"/>
        <v>1.4243076569937233E-2</v>
      </c>
      <c r="X27" s="44">
        <f t="shared" si="23"/>
        <v>2108.7317821473398</v>
      </c>
      <c r="Y27" s="44">
        <f t="shared" si="24"/>
        <v>32047.199999999997</v>
      </c>
      <c r="Z27" s="44">
        <f t="shared" si="25"/>
        <v>14186.141722948862</v>
      </c>
      <c r="AA27" s="50">
        <f t="shared" si="26"/>
        <v>55155.931782147338</v>
      </c>
      <c r="AB27" s="51">
        <f t="shared" si="27"/>
        <v>13261.794636766252</v>
      </c>
      <c r="AC27" s="44">
        <f t="shared" si="28"/>
        <v>51562.056447739866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4.8650425207221879</v>
      </c>
      <c r="AP27" s="47">
        <f t="shared" si="37"/>
        <v>1.3764213295445378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717</v>
      </c>
      <c r="F28" s="39" t="s">
        <v>718</v>
      </c>
      <c r="G28" s="39">
        <v>45</v>
      </c>
      <c r="H28" s="39"/>
      <c r="I28" s="40" t="s">
        <v>283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15</v>
      </c>
      <c r="C29" s="61">
        <v>18230627</v>
      </c>
      <c r="D29" s="61" t="s">
        <v>80</v>
      </c>
      <c r="E29" s="38" t="s">
        <v>719</v>
      </c>
      <c r="F29" s="39" t="s">
        <v>718</v>
      </c>
      <c r="G29" s="39">
        <v>45</v>
      </c>
      <c r="H29" s="39"/>
      <c r="I29" s="40" t="s">
        <v>283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0.40769849006882258</v>
      </c>
      <c r="V29" s="48">
        <f t="shared" si="21"/>
        <v>0</v>
      </c>
      <c r="W29" s="49">
        <f t="shared" si="22"/>
        <v>9.0599664459738351E-3</v>
      </c>
      <c r="X29" s="44">
        <f t="shared" si="23"/>
        <v>1341.3562088220731</v>
      </c>
      <c r="Y29" s="44">
        <f t="shared" si="24"/>
        <v>0</v>
      </c>
      <c r="Z29" s="44">
        <f t="shared" si="25"/>
        <v>9023.7504079016926</v>
      </c>
      <c r="AA29" s="50">
        <f t="shared" si="26"/>
        <v>1341.3562088220731</v>
      </c>
      <c r="AB29" s="51">
        <f t="shared" si="27"/>
        <v>8435.7767672260379</v>
      </c>
      <c r="AC29" s="44">
        <f t="shared" si="28"/>
        <v>1253.9555097897289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5.1119541109273952</v>
      </c>
      <c r="AP29" s="47">
        <f t="shared" si="37"/>
        <v>37.828801521395256</v>
      </c>
    </row>
    <row r="30" spans="1:42">
      <c r="B30" s="97" t="s">
        <v>15</v>
      </c>
      <c r="C30" s="61">
        <v>18230627</v>
      </c>
      <c r="D30" s="61" t="s">
        <v>80</v>
      </c>
      <c r="E30" s="38" t="s">
        <v>720</v>
      </c>
      <c r="F30" s="39" t="s">
        <v>721</v>
      </c>
      <c r="G30" s="39">
        <v>45</v>
      </c>
      <c r="H30" s="39"/>
      <c r="I30" s="40" t="s">
        <v>283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9.9299692807206519E-2</v>
      </c>
      <c r="V30" s="48">
        <f t="shared" si="21"/>
        <v>0.59000000000000008</v>
      </c>
      <c r="W30" s="49">
        <f t="shared" si="22"/>
        <v>2.2066598401601447E-3</v>
      </c>
      <c r="X30" s="44">
        <f t="shared" si="23"/>
        <v>326.70285204781231</v>
      </c>
      <c r="Y30" s="44">
        <f t="shared" si="24"/>
        <v>6889.75</v>
      </c>
      <c r="Z30" s="44">
        <f t="shared" si="25"/>
        <v>2197.8390043148838</v>
      </c>
      <c r="AA30" s="50">
        <f t="shared" si="26"/>
        <v>12616.452852047812</v>
      </c>
      <c r="AB30" s="51">
        <f t="shared" si="27"/>
        <v>2054.6312090444831</v>
      </c>
      <c r="AC30" s="44">
        <f t="shared" si="28"/>
        <v>11794.384268531188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4.8904801447653625</v>
      </c>
      <c r="AP30" s="47">
        <f t="shared" si="37"/>
        <v>1.1982177680667789</v>
      </c>
    </row>
    <row r="31" spans="1:42">
      <c r="B31" s="97" t="s">
        <v>15</v>
      </c>
      <c r="C31" s="61">
        <v>18230627</v>
      </c>
      <c r="D31" s="61" t="s">
        <v>80</v>
      </c>
      <c r="E31" s="38" t="s">
        <v>722</v>
      </c>
      <c r="F31" s="39" t="s">
        <v>721</v>
      </c>
      <c r="G31" s="39">
        <v>45</v>
      </c>
      <c r="H31" s="39"/>
      <c r="I31" s="40" t="s">
        <v>283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0.28473793134902459</v>
      </c>
      <c r="V31" s="48">
        <f t="shared" si="21"/>
        <v>0.74</v>
      </c>
      <c r="W31" s="49">
        <f t="shared" si="22"/>
        <v>6.3275095855338803E-3</v>
      </c>
      <c r="X31" s="44">
        <f t="shared" si="23"/>
        <v>936.80747269310189</v>
      </c>
      <c r="Y31" s="44">
        <f t="shared" si="24"/>
        <v>18392.689999999999</v>
      </c>
      <c r="Z31" s="44">
        <f t="shared" si="25"/>
        <v>6302.2161885419546</v>
      </c>
      <c r="AA31" s="50">
        <f t="shared" si="26"/>
        <v>32417.9274726931</v>
      </c>
      <c r="AB31" s="51">
        <f t="shared" si="27"/>
        <v>5891.5735145760063</v>
      </c>
      <c r="AC31" s="44">
        <f t="shared" si="28"/>
        <v>30305.625383465547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4.8742366454337152</v>
      </c>
      <c r="AP31" s="47">
        <f t="shared" si="37"/>
        <v>1.0423350607920081</v>
      </c>
    </row>
    <row r="32" spans="1:42">
      <c r="B32" s="97" t="s">
        <v>15</v>
      </c>
      <c r="C32" s="61">
        <v>18230627</v>
      </c>
      <c r="D32" s="61" t="s">
        <v>80</v>
      </c>
      <c r="E32" s="38" t="s">
        <v>723</v>
      </c>
      <c r="F32" s="39" t="s">
        <v>724</v>
      </c>
      <c r="G32" s="39">
        <v>45</v>
      </c>
      <c r="H32" s="39"/>
      <c r="I32" s="40" t="s">
        <v>283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0.20943478924230632</v>
      </c>
      <c r="V32" s="48">
        <f t="shared" si="21"/>
        <v>0.59000000000000008</v>
      </c>
      <c r="W32" s="49">
        <f t="shared" si="22"/>
        <v>4.6541064276068075E-3</v>
      </c>
      <c r="X32" s="44">
        <f t="shared" si="23"/>
        <v>689.05493087817763</v>
      </c>
      <c r="Y32" s="44">
        <f t="shared" si="24"/>
        <v>8716.68</v>
      </c>
      <c r="Z32" s="44">
        <f t="shared" si="25"/>
        <v>4635.5022421962849</v>
      </c>
      <c r="AA32" s="50">
        <f t="shared" si="26"/>
        <v>16005.734930878178</v>
      </c>
      <c r="AB32" s="51">
        <f t="shared" si="27"/>
        <v>4333.4600749708188</v>
      </c>
      <c r="AC32" s="44">
        <f t="shared" si="28"/>
        <v>14962.825961370643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4.8904801447653616</v>
      </c>
      <c r="AP32" s="47">
        <f t="shared" si="37"/>
        <v>1.68623416461394</v>
      </c>
    </row>
    <row r="33" spans="2:42">
      <c r="B33" s="97" t="s">
        <v>15</v>
      </c>
      <c r="C33" s="61">
        <v>18230627</v>
      </c>
      <c r="D33" s="61" t="s">
        <v>80</v>
      </c>
      <c r="E33" s="38" t="s">
        <v>725</v>
      </c>
      <c r="F33" s="39" t="s">
        <v>724</v>
      </c>
      <c r="G33" s="39">
        <v>45</v>
      </c>
      <c r="H33" s="39"/>
      <c r="I33" s="40" t="s">
        <v>283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0.44805789582898992</v>
      </c>
      <c r="V33" s="48">
        <f t="shared" si="21"/>
        <v>0.74</v>
      </c>
      <c r="W33" s="49">
        <f t="shared" si="22"/>
        <v>9.9568421295331087E-3</v>
      </c>
      <c r="X33" s="44">
        <f t="shared" si="23"/>
        <v>1474.1414430563993</v>
      </c>
      <c r="Y33" s="44">
        <f t="shared" si="24"/>
        <v>19836.560000000001</v>
      </c>
      <c r="Z33" s="44">
        <f t="shared" si="25"/>
        <v>9917.0409475097767</v>
      </c>
      <c r="AA33" s="50">
        <f t="shared" si="26"/>
        <v>39275.541443056398</v>
      </c>
      <c r="AB33" s="51">
        <f t="shared" si="27"/>
        <v>9270.8618748338558</v>
      </c>
      <c r="AC33" s="44">
        <f t="shared" si="28"/>
        <v>36716.407818132553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4.8465201910923108</v>
      </c>
      <c r="AP33" s="47">
        <f t="shared" si="37"/>
        <v>1.3461164675080957</v>
      </c>
    </row>
    <row r="34" spans="2:42">
      <c r="B34" s="97" t="s">
        <v>15</v>
      </c>
      <c r="C34" s="61">
        <v>18230627</v>
      </c>
      <c r="D34" s="61" t="s">
        <v>80</v>
      </c>
      <c r="E34" s="38" t="s">
        <v>726</v>
      </c>
      <c r="F34" s="39" t="s">
        <v>727</v>
      </c>
      <c r="G34" s="39">
        <v>5</v>
      </c>
      <c r="H34" s="39"/>
      <c r="I34" s="40" t="s">
        <v>283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15</v>
      </c>
      <c r="C35" s="61">
        <v>18230627</v>
      </c>
      <c r="D35" s="61" t="s">
        <v>80</v>
      </c>
      <c r="E35" s="38" t="s">
        <v>728</v>
      </c>
      <c r="F35" s="39" t="s">
        <v>727</v>
      </c>
      <c r="G35" s="39">
        <v>5</v>
      </c>
      <c r="H35" s="39"/>
      <c r="I35" s="40" t="s">
        <v>283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15</v>
      </c>
      <c r="C36" s="61">
        <v>18230627</v>
      </c>
      <c r="D36" s="61" t="s">
        <v>80</v>
      </c>
      <c r="E36" s="38" t="s">
        <v>729</v>
      </c>
      <c r="F36" s="39" t="s">
        <v>730</v>
      </c>
      <c r="G36" s="39">
        <v>25</v>
      </c>
      <c r="H36" s="39"/>
      <c r="I36" s="40" t="s">
        <v>283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5.5249673869375515E-2</v>
      </c>
      <c r="V36" s="48">
        <f t="shared" si="21"/>
        <v>0.92999999999999994</v>
      </c>
      <c r="W36" s="49">
        <f t="shared" si="22"/>
        <v>2.2099869547750205E-3</v>
      </c>
      <c r="X36" s="44">
        <f t="shared" si="23"/>
        <v>327.19544171387111</v>
      </c>
      <c r="Y36" s="44">
        <f t="shared" si="24"/>
        <v>12105.919999999998</v>
      </c>
      <c r="Z36" s="44">
        <f t="shared" si="25"/>
        <v>2201.1528192216115</v>
      </c>
      <c r="AA36" s="50">
        <f t="shared" si="26"/>
        <v>22033.115441713868</v>
      </c>
      <c r="AB36" s="51">
        <f t="shared" si="27"/>
        <v>2057.7291008896059</v>
      </c>
      <c r="AC36" s="44">
        <f t="shared" si="28"/>
        <v>20597.471666554982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2.8906225418876641</v>
      </c>
      <c r="AP36" s="47">
        <f t="shared" si="37"/>
        <v>0.31765694559331498</v>
      </c>
    </row>
    <row r="37" spans="2:42">
      <c r="B37" s="97" t="s">
        <v>15</v>
      </c>
      <c r="C37" s="61">
        <v>18230627</v>
      </c>
      <c r="D37" s="61" t="s">
        <v>80</v>
      </c>
      <c r="E37" s="38" t="s">
        <v>731</v>
      </c>
      <c r="F37" s="39" t="s">
        <v>732</v>
      </c>
      <c r="G37" s="39">
        <v>25</v>
      </c>
      <c r="H37" s="39"/>
      <c r="I37" s="40" t="s">
        <v>283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0.15970413610704995</v>
      </c>
      <c r="V37" s="48">
        <f t="shared" si="21"/>
        <v>0</v>
      </c>
      <c r="W37" s="49">
        <f t="shared" si="22"/>
        <v>6.3881654442819978E-3</v>
      </c>
      <c r="X37" s="44">
        <f t="shared" si="23"/>
        <v>945.78776122048146</v>
      </c>
      <c r="Y37" s="44">
        <f t="shared" si="24"/>
        <v>10273.650000000001</v>
      </c>
      <c r="Z37" s="44">
        <f t="shared" si="25"/>
        <v>6362.6295833799877</v>
      </c>
      <c r="AA37" s="50">
        <f t="shared" si="26"/>
        <v>26589.897761220484</v>
      </c>
      <c r="AB37" s="51">
        <f t="shared" si="27"/>
        <v>5948.0504659063172</v>
      </c>
      <c r="AC37" s="44">
        <f t="shared" si="28"/>
        <v>24857.34108742683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2.9260631553251426</v>
      </c>
      <c r="AP37" s="47">
        <f t="shared" si="37"/>
        <v>0.77018730114368583</v>
      </c>
    </row>
    <row r="38" spans="2:42">
      <c r="B38" s="97" t="s">
        <v>15</v>
      </c>
      <c r="C38" s="61">
        <v>18230627</v>
      </c>
      <c r="D38" s="61" t="s">
        <v>80</v>
      </c>
      <c r="E38" s="38" t="s">
        <v>733</v>
      </c>
      <c r="F38" s="39" t="s">
        <v>732</v>
      </c>
      <c r="G38" s="39">
        <v>25</v>
      </c>
      <c r="H38" s="39"/>
      <c r="I38" s="40" t="s">
        <v>283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0.63174266216727371</v>
      </c>
      <c r="V38" s="48">
        <f t="shared" si="21"/>
        <v>0.92999999999999994</v>
      </c>
      <c r="W38" s="49">
        <f t="shared" si="22"/>
        <v>2.5269706486690947E-2</v>
      </c>
      <c r="X38" s="44">
        <f t="shared" si="23"/>
        <v>3741.2586341417682</v>
      </c>
      <c r="Y38" s="44">
        <f t="shared" si="24"/>
        <v>59893.890000000007</v>
      </c>
      <c r="Z38" s="44">
        <f t="shared" si="25"/>
        <v>25168.694120072243</v>
      </c>
      <c r="AA38" s="50">
        <f t="shared" si="26"/>
        <v>100670.85863414177</v>
      </c>
      <c r="AB38" s="51">
        <f t="shared" si="27"/>
        <v>23528.740880688267</v>
      </c>
      <c r="AC38" s="44">
        <f t="shared" si="28"/>
        <v>94111.300957410262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2.9133147882556636</v>
      </c>
      <c r="AP38" s="47">
        <f t="shared" si="37"/>
        <v>0.80119274588013378</v>
      </c>
    </row>
    <row r="39" spans="2:42">
      <c r="B39" s="97" t="s">
        <v>15</v>
      </c>
      <c r="C39" s="61">
        <v>18230627</v>
      </c>
      <c r="D39" s="61" t="s">
        <v>80</v>
      </c>
      <c r="E39" s="38" t="s">
        <v>734</v>
      </c>
      <c r="F39" s="39" t="s">
        <v>735</v>
      </c>
      <c r="G39" s="39">
        <v>25</v>
      </c>
      <c r="H39" s="39"/>
      <c r="I39" s="40" t="s">
        <v>283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15</v>
      </c>
      <c r="C40" s="61">
        <v>18230627</v>
      </c>
      <c r="D40" s="61" t="s">
        <v>80</v>
      </c>
      <c r="E40" s="38" t="s">
        <v>736</v>
      </c>
      <c r="F40" s="39" t="s">
        <v>737</v>
      </c>
      <c r="G40" s="39">
        <v>45</v>
      </c>
      <c r="H40" s="39"/>
      <c r="I40" s="40" t="s">
        <v>283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0.87620165575439568</v>
      </c>
      <c r="V40" s="48">
        <f t="shared" si="21"/>
        <v>1.21</v>
      </c>
      <c r="W40" s="49">
        <f t="shared" si="22"/>
        <v>1.9471147905653238E-2</v>
      </c>
      <c r="X40" s="44">
        <f t="shared" si="23"/>
        <v>2882.7640027019484</v>
      </c>
      <c r="Y40" s="44">
        <f t="shared" si="24"/>
        <v>33365.82</v>
      </c>
      <c r="Z40" s="44">
        <f t="shared" si="25"/>
        <v>19393.314523149616</v>
      </c>
      <c r="AA40" s="50">
        <f t="shared" si="26"/>
        <v>40648.584002701951</v>
      </c>
      <c r="AB40" s="51">
        <f t="shared" si="27"/>
        <v>18129.676099046101</v>
      </c>
      <c r="AC40" s="44">
        <f t="shared" si="28"/>
        <v>37999.985045061185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4.8904801447653616</v>
      </c>
      <c r="AP40" s="47">
        <f t="shared" si="37"/>
        <v>2.7524640177006248</v>
      </c>
    </row>
    <row r="41" spans="2:42">
      <c r="B41" s="97" t="s">
        <v>15</v>
      </c>
      <c r="C41" s="61">
        <v>18230627</v>
      </c>
      <c r="D41" s="61" t="s">
        <v>80</v>
      </c>
      <c r="E41" s="38" t="s">
        <v>738</v>
      </c>
      <c r="F41" s="39" t="s">
        <v>737</v>
      </c>
      <c r="G41" s="39">
        <v>45</v>
      </c>
      <c r="H41" s="39"/>
      <c r="I41" s="40" t="s">
        <v>283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1.0857207896104117</v>
      </c>
      <c r="V41" s="48">
        <f t="shared" si="21"/>
        <v>1.1599999999999999</v>
      </c>
      <c r="W41" s="49">
        <f t="shared" si="22"/>
        <v>2.4127128658009148E-2</v>
      </c>
      <c r="X41" s="44">
        <f t="shared" si="23"/>
        <v>3572.0964331883806</v>
      </c>
      <c r="Y41" s="44">
        <f t="shared" si="24"/>
        <v>118051.93000000001</v>
      </c>
      <c r="Z41" s="44">
        <f t="shared" si="25"/>
        <v>24030.683597725481</v>
      </c>
      <c r="AA41" s="50">
        <f t="shared" si="26"/>
        <v>136456.1364331884</v>
      </c>
      <c r="AB41" s="51">
        <f t="shared" si="27"/>
        <v>22464.881366481706</v>
      </c>
      <c r="AC41" s="44">
        <f t="shared" si="28"/>
        <v>127564.86532035934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4.8890443876540397</v>
      </c>
      <c r="AP41" s="47">
        <f t="shared" si="37"/>
        <v>0.94708666118303242</v>
      </c>
    </row>
    <row r="42" spans="2:42">
      <c r="B42" s="97" t="s">
        <v>15</v>
      </c>
      <c r="C42" s="61">
        <v>18230627</v>
      </c>
      <c r="D42" s="61" t="s">
        <v>80</v>
      </c>
      <c r="E42" s="38" t="s">
        <v>739</v>
      </c>
      <c r="F42" s="39" t="s">
        <v>740</v>
      </c>
      <c r="G42" s="39">
        <v>45</v>
      </c>
      <c r="H42" s="39"/>
      <c r="I42" s="40" t="s">
        <v>283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15</v>
      </c>
      <c r="C43" s="61">
        <v>18230627</v>
      </c>
      <c r="D43" s="61" t="s">
        <v>80</v>
      </c>
      <c r="E43" s="38" t="s">
        <v>741</v>
      </c>
      <c r="F43" s="39" t="s">
        <v>740</v>
      </c>
      <c r="G43" s="39">
        <v>45</v>
      </c>
      <c r="H43" s="39"/>
      <c r="I43" s="40" t="s">
        <v>283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0.96974254222554446</v>
      </c>
      <c r="V43" s="48">
        <f t="shared" si="21"/>
        <v>0</v>
      </c>
      <c r="W43" s="49">
        <f t="shared" si="22"/>
        <v>2.1549834271678767E-2</v>
      </c>
      <c r="X43" s="44">
        <f t="shared" si="23"/>
        <v>3190.5199839066258</v>
      </c>
      <c r="Y43" s="44">
        <f t="shared" si="24"/>
        <v>0</v>
      </c>
      <c r="Z43" s="44">
        <f t="shared" si="25"/>
        <v>21463.691610656188</v>
      </c>
      <c r="AA43" s="50">
        <f t="shared" si="26"/>
        <v>3190.5199839066258</v>
      </c>
      <c r="AB43" s="51">
        <f t="shared" si="27"/>
        <v>20065.150612934642</v>
      </c>
      <c r="AC43" s="44">
        <f t="shared" si="28"/>
        <v>2982.6306290610692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4.366503240721813</v>
      </c>
      <c r="AP43" s="47">
        <f t="shared" si="37"/>
        <v>32.312415340877983</v>
      </c>
    </row>
    <row r="44" spans="2:42">
      <c r="B44" s="97" t="s">
        <v>15</v>
      </c>
      <c r="C44" s="61">
        <v>18230627</v>
      </c>
      <c r="D44" s="61" t="s">
        <v>80</v>
      </c>
      <c r="E44" s="38" t="s">
        <v>742</v>
      </c>
      <c r="F44" s="39" t="s">
        <v>743</v>
      </c>
      <c r="G44" s="39">
        <v>45</v>
      </c>
      <c r="H44" s="39"/>
      <c r="I44" s="40" t="s">
        <v>283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9.0012978231042873E-2</v>
      </c>
      <c r="V44" s="48">
        <f t="shared" si="21"/>
        <v>1.21</v>
      </c>
      <c r="W44" s="49">
        <f t="shared" si="22"/>
        <v>2.0002884051342862E-3</v>
      </c>
      <c r="X44" s="44">
        <f t="shared" si="23"/>
        <v>296.148919277071</v>
      </c>
      <c r="Y44" s="44">
        <f t="shared" si="24"/>
        <v>18953.98</v>
      </c>
      <c r="Z44" s="44">
        <f t="shared" si="25"/>
        <v>1992.2925122722545</v>
      </c>
      <c r="AA44" s="50">
        <f t="shared" si="26"/>
        <v>21850.128919277071</v>
      </c>
      <c r="AB44" s="51">
        <f t="shared" si="27"/>
        <v>1862.4778089859346</v>
      </c>
      <c r="AC44" s="44">
        <f t="shared" si="28"/>
        <v>20426.408263323425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4.8904801447653616</v>
      </c>
      <c r="AP44" s="47">
        <f t="shared" si="37"/>
        <v>0.49050482543193979</v>
      </c>
    </row>
    <row r="45" spans="2:42">
      <c r="B45" s="97" t="s">
        <v>15</v>
      </c>
      <c r="C45" s="61">
        <v>18230627</v>
      </c>
      <c r="D45" s="61" t="s">
        <v>80</v>
      </c>
      <c r="E45" s="38" t="s">
        <v>744</v>
      </c>
      <c r="F45" s="39" t="s">
        <v>743</v>
      </c>
      <c r="G45" s="39">
        <v>45</v>
      </c>
      <c r="H45" s="39"/>
      <c r="I45" s="40" t="s">
        <v>283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0.55234645398043836</v>
      </c>
      <c r="V45" s="48">
        <f t="shared" si="21"/>
        <v>1.1599999999999999</v>
      </c>
      <c r="W45" s="49">
        <f t="shared" si="22"/>
        <v>1.2274365644009742E-2</v>
      </c>
      <c r="X45" s="44">
        <f t="shared" si="23"/>
        <v>1817.258006872795</v>
      </c>
      <c r="Y45" s="44">
        <f t="shared" si="24"/>
        <v>112627.74</v>
      </c>
      <c r="Z45" s="44">
        <f t="shared" si="25"/>
        <v>12225.300463015346</v>
      </c>
      <c r="AA45" s="50">
        <f t="shared" si="26"/>
        <v>127044.9980068728</v>
      </c>
      <c r="AB45" s="51">
        <f t="shared" si="27"/>
        <v>11428.718765088664</v>
      </c>
      <c r="AC45" s="44">
        <f t="shared" si="28"/>
        <v>118766.94213973338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4.7945943755174776</v>
      </c>
      <c r="AP45" s="47">
        <f t="shared" si="37"/>
        <v>0.50751224789971683</v>
      </c>
    </row>
    <row r="46" spans="2:42">
      <c r="B46" s="97" t="s">
        <v>15</v>
      </c>
      <c r="C46" s="61">
        <v>18230627</v>
      </c>
      <c r="D46" s="61" t="s">
        <v>80</v>
      </c>
      <c r="E46" s="38" t="s">
        <v>745</v>
      </c>
      <c r="F46" s="39" t="s">
        <v>746</v>
      </c>
      <c r="G46" s="39">
        <v>45</v>
      </c>
      <c r="H46" s="39"/>
      <c r="I46" s="40" t="s">
        <v>283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0.60924113009497649</v>
      </c>
      <c r="V46" s="48">
        <f t="shared" si="21"/>
        <v>1.21</v>
      </c>
      <c r="W46" s="49">
        <f t="shared" si="22"/>
        <v>1.3538691779888366E-2</v>
      </c>
      <c r="X46" s="44">
        <f t="shared" si="23"/>
        <v>2004.4454233439078</v>
      </c>
      <c r="Y46" s="44">
        <f t="shared" si="24"/>
        <v>21894.52</v>
      </c>
      <c r="Z46" s="44">
        <f t="shared" si="25"/>
        <v>13484.572619528193</v>
      </c>
      <c r="AA46" s="50">
        <f t="shared" si="26"/>
        <v>27498.965423343907</v>
      </c>
      <c r="AB46" s="51">
        <f t="shared" si="27"/>
        <v>12605.938692650456</v>
      </c>
      <c r="AC46" s="44">
        <f t="shared" si="28"/>
        <v>25707.175304612418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4.8904801447653616</v>
      </c>
      <c r="AP46" s="47">
        <f t="shared" si="37"/>
        <v>2.8234535984263029</v>
      </c>
    </row>
    <row r="47" spans="2:42">
      <c r="B47" s="97" t="s">
        <v>15</v>
      </c>
      <c r="C47" s="61">
        <v>18230627</v>
      </c>
      <c r="D47" s="61" t="s">
        <v>80</v>
      </c>
      <c r="E47" s="38" t="s">
        <v>747</v>
      </c>
      <c r="F47" s="39" t="s">
        <v>746</v>
      </c>
      <c r="G47" s="39">
        <v>45</v>
      </c>
      <c r="H47" s="39"/>
      <c r="I47" s="40" t="s">
        <v>283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1.5495751782736888</v>
      </c>
      <c r="V47" s="48">
        <f t="shared" si="21"/>
        <v>1.1599999999999999</v>
      </c>
      <c r="W47" s="49">
        <f t="shared" si="22"/>
        <v>3.4435003961637532E-2</v>
      </c>
      <c r="X47" s="44">
        <f t="shared" si="23"/>
        <v>5098.2094293827568</v>
      </c>
      <c r="Y47" s="44">
        <f t="shared" si="24"/>
        <v>89117.97</v>
      </c>
      <c r="Z47" s="44">
        <f t="shared" si="25"/>
        <v>34297.354509851401</v>
      </c>
      <c r="AA47" s="50">
        <f t="shared" si="26"/>
        <v>108616.17942938276</v>
      </c>
      <c r="AB47" s="51">
        <f t="shared" si="27"/>
        <v>32062.591857391228</v>
      </c>
      <c r="AC47" s="44">
        <f t="shared" si="28"/>
        <v>101538.91692005492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4.866146493797685</v>
      </c>
      <c r="AP47" s="47">
        <f t="shared" si="37"/>
        <v>1.6902228332701892</v>
      </c>
    </row>
    <row r="48" spans="2:42">
      <c r="B48" s="97" t="s">
        <v>15</v>
      </c>
      <c r="C48" s="61">
        <v>18230627</v>
      </c>
      <c r="D48" s="61" t="s">
        <v>80</v>
      </c>
      <c r="E48" s="38" t="s">
        <v>748</v>
      </c>
      <c r="F48" s="39" t="s">
        <v>749</v>
      </c>
      <c r="G48" s="39">
        <v>20</v>
      </c>
      <c r="H48" s="39"/>
      <c r="I48" s="40" t="s">
        <v>283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0.49045583675754523</v>
      </c>
      <c r="V48" s="48">
        <f t="shared" si="21"/>
        <v>600</v>
      </c>
      <c r="W48" s="49">
        <f t="shared" si="22"/>
        <v>2.4522791837877263E-2</v>
      </c>
      <c r="X48" s="44">
        <f t="shared" si="23"/>
        <v>3630.6755974803441</v>
      </c>
      <c r="Y48" s="44">
        <f t="shared" si="24"/>
        <v>16715.260000000002</v>
      </c>
      <c r="Z48" s="44">
        <f t="shared" si="25"/>
        <v>24424.765165468289</v>
      </c>
      <c r="AA48" s="50">
        <f t="shared" si="26"/>
        <v>29630.675597480345</v>
      </c>
      <c r="AB48" s="51">
        <f t="shared" si="27"/>
        <v>22833.285187873502</v>
      </c>
      <c r="AC48" s="44">
        <f t="shared" si="28"/>
        <v>27699.98653592628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2.4653923201677834</v>
      </c>
      <c r="AP48" s="47">
        <f t="shared" si="37"/>
        <v>2.2354634165872485</v>
      </c>
    </row>
    <row r="49" spans="2:42">
      <c r="B49" s="97" t="s">
        <v>15</v>
      </c>
      <c r="C49" s="61">
        <v>18230627</v>
      </c>
      <c r="D49" s="61" t="s">
        <v>80</v>
      </c>
      <c r="E49" s="38" t="s">
        <v>750</v>
      </c>
      <c r="F49" s="39" t="s">
        <v>749</v>
      </c>
      <c r="G49" s="39">
        <v>20</v>
      </c>
      <c r="H49" s="39"/>
      <c r="I49" s="40" t="s">
        <v>283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2.5822624760268029</v>
      </c>
      <c r="V49" s="48">
        <f t="shared" si="21"/>
        <v>600</v>
      </c>
      <c r="W49" s="49">
        <f t="shared" si="22"/>
        <v>0.12911312380134016</v>
      </c>
      <c r="X49" s="44">
        <f t="shared" si="23"/>
        <v>19115.599520603431</v>
      </c>
      <c r="Y49" s="44">
        <f t="shared" si="24"/>
        <v>83786.38</v>
      </c>
      <c r="Z49" s="44">
        <f t="shared" si="25"/>
        <v>128597.01087365039</v>
      </c>
      <c r="AA49" s="50">
        <f t="shared" si="26"/>
        <v>156115.59952060343</v>
      </c>
      <c r="AB49" s="51">
        <f t="shared" si="27"/>
        <v>120217.82824497558</v>
      </c>
      <c r="AC49" s="44">
        <f t="shared" si="28"/>
        <v>145943.34815425205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2.4653923201677834</v>
      </c>
      <c r="AP49" s="47">
        <f t="shared" si="37"/>
        <v>2.2338977807201625</v>
      </c>
    </row>
    <row r="50" spans="2:42">
      <c r="B50" s="97" t="s">
        <v>15</v>
      </c>
      <c r="C50" s="61">
        <v>18230627</v>
      </c>
      <c r="D50" s="61" t="s">
        <v>80</v>
      </c>
      <c r="E50" s="38" t="s">
        <v>751</v>
      </c>
      <c r="F50" s="39" t="s">
        <v>752</v>
      </c>
      <c r="G50" s="39">
        <v>20</v>
      </c>
      <c r="H50" s="39"/>
      <c r="I50" s="40" t="s">
        <v>283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15</v>
      </c>
      <c r="C51" s="61">
        <v>18230627</v>
      </c>
      <c r="D51" s="61" t="s">
        <v>80</v>
      </c>
      <c r="E51" s="38" t="s">
        <v>753</v>
      </c>
      <c r="F51" s="39" t="s">
        <v>752</v>
      </c>
      <c r="G51" s="39">
        <v>20</v>
      </c>
      <c r="H51" s="39"/>
      <c r="I51" s="40" t="s">
        <v>283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15</v>
      </c>
      <c r="C52" s="61">
        <v>18230627</v>
      </c>
      <c r="D52" s="61" t="s">
        <v>80</v>
      </c>
      <c r="E52" s="38" t="s">
        <v>754</v>
      </c>
      <c r="F52" s="39" t="s">
        <v>755</v>
      </c>
      <c r="G52" s="39">
        <v>20</v>
      </c>
      <c r="H52" s="39"/>
      <c r="I52" s="40" t="s">
        <v>283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0.20766614931038063</v>
      </c>
      <c r="V52" s="48">
        <f t="shared" si="21"/>
        <v>331.58000000000004</v>
      </c>
      <c r="W52" s="49">
        <f t="shared" si="22"/>
        <v>1.0383307465519031E-2</v>
      </c>
      <c r="X52" s="44">
        <f t="shared" si="23"/>
        <v>1537.2809623563101</v>
      </c>
      <c r="Y52" s="44">
        <f t="shared" si="24"/>
        <v>3771.27</v>
      </c>
      <c r="Z52" s="44">
        <f t="shared" si="25"/>
        <v>10341.80154375559</v>
      </c>
      <c r="AA52" s="50">
        <f t="shared" si="26"/>
        <v>8484.6609623563108</v>
      </c>
      <c r="AB52" s="51">
        <f t="shared" si="27"/>
        <v>9667.9457266108147</v>
      </c>
      <c r="AC52" s="44">
        <f t="shared" si="28"/>
        <v>7931.8135574051694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2.4653923201677834</v>
      </c>
      <c r="AP52" s="47">
        <f t="shared" si="37"/>
        <v>3.3055248804134836</v>
      </c>
    </row>
    <row r="53" spans="2:42">
      <c r="B53" s="97" t="s">
        <v>15</v>
      </c>
      <c r="C53" s="61">
        <v>18230627</v>
      </c>
      <c r="D53" s="61" t="s">
        <v>80</v>
      </c>
      <c r="E53" s="38" t="s">
        <v>756</v>
      </c>
      <c r="F53" s="39" t="s">
        <v>757</v>
      </c>
      <c r="G53" s="39">
        <v>20</v>
      </c>
      <c r="H53" s="39"/>
      <c r="I53" s="40" t="s">
        <v>283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15</v>
      </c>
      <c r="C54" s="61">
        <v>18230627</v>
      </c>
      <c r="D54" s="61" t="s">
        <v>80</v>
      </c>
      <c r="E54" s="38" t="s">
        <v>758</v>
      </c>
      <c r="F54" s="39" t="s">
        <v>759</v>
      </c>
      <c r="G54" s="39">
        <v>20</v>
      </c>
      <c r="H54" s="39"/>
      <c r="I54" s="40" t="s">
        <v>283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0.11489836534267252</v>
      </c>
      <c r="V54" s="48">
        <f t="shared" si="21"/>
        <v>331.58000000000004</v>
      </c>
      <c r="W54" s="49">
        <f t="shared" si="22"/>
        <v>5.7449182671336259E-3</v>
      </c>
      <c r="X54" s="44">
        <f t="shared" si="23"/>
        <v>850.55301614494397</v>
      </c>
      <c r="Y54" s="44">
        <f t="shared" si="24"/>
        <v>3271.0600000000004</v>
      </c>
      <c r="Z54" s="44">
        <f t="shared" si="25"/>
        <v>5721.9537032001344</v>
      </c>
      <c r="AA54" s="50">
        <f t="shared" si="26"/>
        <v>6534.7730161449444</v>
      </c>
      <c r="AB54" s="51">
        <f t="shared" si="27"/>
        <v>5349.1200366459134</v>
      </c>
      <c r="AC54" s="44">
        <f t="shared" si="28"/>
        <v>6108.9772984434367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2.4653923201677839</v>
      </c>
      <c r="AP54" s="47">
        <f t="shared" si="37"/>
        <v>2.3746114439644304</v>
      </c>
    </row>
    <row r="55" spans="2:42">
      <c r="B55" s="97" t="s">
        <v>15</v>
      </c>
      <c r="C55" s="61">
        <v>18230627</v>
      </c>
      <c r="D55" s="61" t="s">
        <v>80</v>
      </c>
      <c r="E55" s="38" t="s">
        <v>760</v>
      </c>
      <c r="F55" s="39" t="s">
        <v>761</v>
      </c>
      <c r="G55" s="39">
        <v>45</v>
      </c>
      <c r="H55" s="39"/>
      <c r="I55" s="40" t="s">
        <v>283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4.8344029191350897E-2</v>
      </c>
      <c r="V55" s="48">
        <f t="shared" si="21"/>
        <v>0.79</v>
      </c>
      <c r="W55" s="49">
        <f t="shared" si="22"/>
        <v>1.0743117598077977E-3</v>
      </c>
      <c r="X55" s="44">
        <f t="shared" si="23"/>
        <v>159.05519714911745</v>
      </c>
      <c r="Y55" s="44">
        <f t="shared" si="24"/>
        <v>319.59000000000003</v>
      </c>
      <c r="Z55" s="44">
        <f t="shared" si="25"/>
        <v>1070.0173382084947</v>
      </c>
      <c r="AA55" s="50">
        <f t="shared" si="26"/>
        <v>1144.6551971491174</v>
      </c>
      <c r="AB55" s="51">
        <f t="shared" si="27"/>
        <v>1000.2966609409129</v>
      </c>
      <c r="AC55" s="44">
        <f t="shared" si="28"/>
        <v>1070.0712322605566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4.8904801447653616</v>
      </c>
      <c r="AP55" s="47">
        <f t="shared" si="37"/>
        <v>5.355440188889701</v>
      </c>
    </row>
    <row r="56" spans="2:42">
      <c r="B56" s="97" t="s">
        <v>15</v>
      </c>
      <c r="C56" s="61">
        <v>18230627</v>
      </c>
      <c r="D56" s="61" t="s">
        <v>80</v>
      </c>
      <c r="E56" s="38" t="s">
        <v>762</v>
      </c>
      <c r="F56" s="39" t="s">
        <v>761</v>
      </c>
      <c r="G56" s="39">
        <v>45</v>
      </c>
      <c r="H56" s="39"/>
      <c r="I56" s="40" t="s">
        <v>283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0.16391511904337058</v>
      </c>
      <c r="V56" s="48">
        <f t="shared" si="21"/>
        <v>0.81</v>
      </c>
      <c r="W56" s="49">
        <f t="shared" si="22"/>
        <v>3.6425582009637905E-3</v>
      </c>
      <c r="X56" s="44">
        <f t="shared" si="23"/>
        <v>539.29207000869417</v>
      </c>
      <c r="Y56" s="44">
        <f t="shared" si="24"/>
        <v>5164.1099999999997</v>
      </c>
      <c r="Z56" s="44">
        <f t="shared" si="25"/>
        <v>3627.9975480880039</v>
      </c>
      <c r="AA56" s="50">
        <f t="shared" si="26"/>
        <v>7777.6920700086939</v>
      </c>
      <c r="AB56" s="51">
        <f t="shared" si="27"/>
        <v>3391.6028307824658</v>
      </c>
      <c r="AC56" s="44">
        <f t="shared" si="28"/>
        <v>7270.9096662696957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4.8768771179898014</v>
      </c>
      <c r="AP56" s="47">
        <f t="shared" si="37"/>
        <v>2.5023654670107152</v>
      </c>
    </row>
    <row r="57" spans="2:42">
      <c r="B57" s="97" t="s">
        <v>15</v>
      </c>
      <c r="C57" s="61">
        <v>18230627</v>
      </c>
      <c r="D57" s="61" t="s">
        <v>80</v>
      </c>
      <c r="E57" s="38" t="s">
        <v>763</v>
      </c>
      <c r="F57" s="39" t="s">
        <v>764</v>
      </c>
      <c r="G57" s="39">
        <v>45</v>
      </c>
      <c r="H57" s="39"/>
      <c r="I57" s="40" t="s">
        <v>283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15</v>
      </c>
      <c r="C58" s="61">
        <v>18230627</v>
      </c>
      <c r="D58" s="61" t="s">
        <v>80</v>
      </c>
      <c r="E58" s="38" t="s">
        <v>765</v>
      </c>
      <c r="F58" s="39" t="s">
        <v>764</v>
      </c>
      <c r="G58" s="39">
        <v>45</v>
      </c>
      <c r="H58" s="39"/>
      <c r="I58" s="40" t="s">
        <v>283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0.23570932197973288</v>
      </c>
      <c r="V58" s="48">
        <f t="shared" si="21"/>
        <v>0</v>
      </c>
      <c r="W58" s="49">
        <f t="shared" si="22"/>
        <v>5.2379849328829525E-3</v>
      </c>
      <c r="X58" s="44">
        <f t="shared" si="23"/>
        <v>775.4999594464623</v>
      </c>
      <c r="Y58" s="44">
        <f t="shared" si="24"/>
        <v>0</v>
      </c>
      <c r="Z58" s="44">
        <f t="shared" si="25"/>
        <v>5217.0467690517944</v>
      </c>
      <c r="AA58" s="50">
        <f t="shared" si="26"/>
        <v>775.4999594464623</v>
      </c>
      <c r="AB58" s="51">
        <f t="shared" si="27"/>
        <v>4877.1120585694998</v>
      </c>
      <c r="AC58" s="44">
        <f t="shared" si="28"/>
        <v>724.96957973867643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4.6798575301998655</v>
      </c>
      <c r="AP58" s="47">
        <f t="shared" si="37"/>
        <v>34.631257991911212</v>
      </c>
    </row>
    <row r="59" spans="2:42">
      <c r="B59" s="97" t="s">
        <v>15</v>
      </c>
      <c r="C59" s="61">
        <v>18230627</v>
      </c>
      <c r="D59" s="61" t="s">
        <v>80</v>
      </c>
      <c r="E59" s="38" t="s">
        <v>766</v>
      </c>
      <c r="F59" s="39" t="s">
        <v>767</v>
      </c>
      <c r="G59" s="39">
        <v>45</v>
      </c>
      <c r="H59" s="39"/>
      <c r="I59" s="40" t="s">
        <v>283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7.7881580659160565E-2</v>
      </c>
      <c r="V59" s="48">
        <f t="shared" si="21"/>
        <v>0.79</v>
      </c>
      <c r="W59" s="49">
        <f t="shared" si="22"/>
        <v>1.7307017924257904E-3</v>
      </c>
      <c r="X59" s="44">
        <f t="shared" si="23"/>
        <v>256.23578285121272</v>
      </c>
      <c r="Y59" s="44">
        <f t="shared" si="24"/>
        <v>2888.3</v>
      </c>
      <c r="Z59" s="44">
        <f t="shared" si="25"/>
        <v>1723.7835370018013</v>
      </c>
      <c r="AA59" s="50">
        <f t="shared" si="26"/>
        <v>3944.5357828512128</v>
      </c>
      <c r="AB59" s="51">
        <f t="shared" si="27"/>
        <v>1611.4644638700581</v>
      </c>
      <c r="AC59" s="44">
        <f t="shared" si="28"/>
        <v>3687.5159230169324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4.8904801447653616</v>
      </c>
      <c r="AP59" s="47">
        <f t="shared" si="37"/>
        <v>2.5282636511173298</v>
      </c>
    </row>
    <row r="60" spans="2:42">
      <c r="B60" s="97" t="s">
        <v>15</v>
      </c>
      <c r="C60" s="61">
        <v>18230627</v>
      </c>
      <c r="D60" s="61" t="s">
        <v>80</v>
      </c>
      <c r="E60" s="38" t="s">
        <v>768</v>
      </c>
      <c r="F60" s="39" t="s">
        <v>767</v>
      </c>
      <c r="G60" s="39">
        <v>45</v>
      </c>
      <c r="H60" s="39"/>
      <c r="I60" s="40" t="s">
        <v>283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0.20072663129351678</v>
      </c>
      <c r="V60" s="48">
        <f t="shared" si="21"/>
        <v>0.81</v>
      </c>
      <c r="W60" s="49">
        <f t="shared" si="22"/>
        <v>4.4605918065225951E-3</v>
      </c>
      <c r="X60" s="44">
        <f t="shared" si="23"/>
        <v>660.40448939618841</v>
      </c>
      <c r="Y60" s="44">
        <f t="shared" si="24"/>
        <v>12339.16</v>
      </c>
      <c r="Z60" s="44">
        <f t="shared" si="25"/>
        <v>4442.761170652956</v>
      </c>
      <c r="AA60" s="50">
        <f t="shared" si="26"/>
        <v>16199.564489396189</v>
      </c>
      <c r="AB60" s="51">
        <f t="shared" si="27"/>
        <v>4153.2777139879927</v>
      </c>
      <c r="AC60" s="44">
        <f t="shared" si="28"/>
        <v>15144.025885197894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4.8501979320909552</v>
      </c>
      <c r="AP60" s="47">
        <f t="shared" si="37"/>
        <v>1.4631935421756481</v>
      </c>
    </row>
    <row r="61" spans="2:42">
      <c r="B61" s="97" t="s">
        <v>15</v>
      </c>
      <c r="C61" s="61">
        <v>18230627</v>
      </c>
      <c r="D61" s="61" t="s">
        <v>80</v>
      </c>
      <c r="E61" s="38" t="s">
        <v>769</v>
      </c>
      <c r="F61" s="39" t="s">
        <v>770</v>
      </c>
      <c r="G61" s="39">
        <v>45</v>
      </c>
      <c r="H61" s="39"/>
      <c r="I61" s="40" t="s">
        <v>283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15</v>
      </c>
      <c r="C62" s="61">
        <v>18230627</v>
      </c>
      <c r="D62" s="61" t="s">
        <v>80</v>
      </c>
      <c r="E62" s="38" t="s">
        <v>771</v>
      </c>
      <c r="F62" s="39" t="s">
        <v>770</v>
      </c>
      <c r="G62" s="39">
        <v>45</v>
      </c>
      <c r="H62" s="39"/>
      <c r="I62" s="40" t="s">
        <v>283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0.15663675472698491</v>
      </c>
      <c r="V62" s="48">
        <f t="shared" si="21"/>
        <v>0.81</v>
      </c>
      <c r="W62" s="49">
        <f t="shared" si="22"/>
        <v>3.4808167717107759E-3</v>
      </c>
      <c r="X62" s="44">
        <f t="shared" si="23"/>
        <v>515.34574839194033</v>
      </c>
      <c r="Y62" s="44">
        <f t="shared" si="24"/>
        <v>5247.9000000000005</v>
      </c>
      <c r="Z62" s="44">
        <f t="shared" si="25"/>
        <v>3466.9026591720421</v>
      </c>
      <c r="AA62" s="50">
        <f t="shared" si="26"/>
        <v>9076.6257483919417</v>
      </c>
      <c r="AB62" s="51">
        <f t="shared" si="27"/>
        <v>3241.0046360400502</v>
      </c>
      <c r="AC62" s="44">
        <f t="shared" si="28"/>
        <v>8485.206832188409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4.8753883877947795</v>
      </c>
      <c r="AP62" s="47">
        <f t="shared" si="37"/>
        <v>2.0484205450522648</v>
      </c>
    </row>
    <row r="63" spans="2:42">
      <c r="B63" s="97" t="s">
        <v>15</v>
      </c>
      <c r="C63" s="61">
        <v>18230627</v>
      </c>
      <c r="D63" s="61" t="s">
        <v>80</v>
      </c>
      <c r="E63" s="38" t="s">
        <v>772</v>
      </c>
      <c r="F63" s="39" t="s">
        <v>773</v>
      </c>
      <c r="G63" s="39">
        <v>25</v>
      </c>
      <c r="H63" s="39"/>
      <c r="I63" s="40" t="s">
        <v>283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4.1944979114188555E-2</v>
      </c>
      <c r="V63" s="48">
        <f t="shared" si="21"/>
        <v>2.39</v>
      </c>
      <c r="W63" s="49">
        <f t="shared" si="22"/>
        <v>1.6777991645675423E-3</v>
      </c>
      <c r="X63" s="44">
        <f t="shared" si="23"/>
        <v>248.40338426962643</v>
      </c>
      <c r="Y63" s="44">
        <f t="shared" si="24"/>
        <v>8201.5</v>
      </c>
      <c r="Z63" s="44">
        <f t="shared" si="25"/>
        <v>1671.092380521075</v>
      </c>
      <c r="AA63" s="50">
        <f t="shared" si="26"/>
        <v>10849.903384269626</v>
      </c>
      <c r="AB63" s="51">
        <f t="shared" si="27"/>
        <v>1562.2065817715948</v>
      </c>
      <c r="AC63" s="44">
        <f t="shared" si="28"/>
        <v>10142.940435888217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2.9119377315543034</v>
      </c>
      <c r="AP63" s="47">
        <f t="shared" si="37"/>
        <v>0.49334343926858548</v>
      </c>
    </row>
    <row r="64" spans="2:42">
      <c r="B64" s="97" t="s">
        <v>15</v>
      </c>
      <c r="C64" s="61">
        <v>18230627</v>
      </c>
      <c r="D64" s="61" t="s">
        <v>80</v>
      </c>
      <c r="E64" s="38" t="s">
        <v>774</v>
      </c>
      <c r="F64" s="39" t="s">
        <v>775</v>
      </c>
      <c r="G64" s="39">
        <v>25</v>
      </c>
      <c r="H64" s="39"/>
      <c r="I64" s="40" t="s">
        <v>283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0.11212526800303411</v>
      </c>
      <c r="V64" s="48">
        <f t="shared" si="21"/>
        <v>-182.19</v>
      </c>
      <c r="W64" s="49">
        <f t="shared" si="22"/>
        <v>4.4850107201213647E-3</v>
      </c>
      <c r="X64" s="44">
        <f t="shared" si="23"/>
        <v>664.01978549730757</v>
      </c>
      <c r="Y64" s="44">
        <f t="shared" si="24"/>
        <v>7988.9500000000007</v>
      </c>
      <c r="Z64" s="44">
        <f t="shared" si="25"/>
        <v>4467.0824728190728</v>
      </c>
      <c r="AA64" s="50">
        <f t="shared" si="26"/>
        <v>27528.969785497309</v>
      </c>
      <c r="AB64" s="51">
        <f t="shared" si="27"/>
        <v>4176.0142776657685</v>
      </c>
      <c r="AC64" s="44">
        <f t="shared" si="28"/>
        <v>25735.224628865388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2.9260724861342329</v>
      </c>
      <c r="AP64" s="47">
        <f t="shared" si="37"/>
        <v>0.54283714020537588</v>
      </c>
    </row>
    <row r="65" spans="2:42">
      <c r="B65" s="97" t="s">
        <v>15</v>
      </c>
      <c r="C65" s="61">
        <v>18230627</v>
      </c>
      <c r="D65" s="61" t="s">
        <v>80</v>
      </c>
      <c r="E65" s="38" t="s">
        <v>776</v>
      </c>
      <c r="F65" s="39" t="s">
        <v>775</v>
      </c>
      <c r="G65" s="39">
        <v>25</v>
      </c>
      <c r="H65" s="39"/>
      <c r="I65" s="40" t="s">
        <v>283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0.76401372207450902</v>
      </c>
      <c r="V65" s="48">
        <f t="shared" si="21"/>
        <v>-181.47</v>
      </c>
      <c r="W65" s="49">
        <f t="shared" si="22"/>
        <v>3.0560548882980359E-2</v>
      </c>
      <c r="X65" s="44">
        <f t="shared" si="23"/>
        <v>4524.5843054322677</v>
      </c>
      <c r="Y65" s="44">
        <f t="shared" si="24"/>
        <v>50300.92</v>
      </c>
      <c r="Z65" s="44">
        <f t="shared" si="25"/>
        <v>30438.387061691999</v>
      </c>
      <c r="AA65" s="50">
        <f t="shared" si="26"/>
        <v>116560.67430543226</v>
      </c>
      <c r="AB65" s="51">
        <f t="shared" si="27"/>
        <v>28455.068768525751</v>
      </c>
      <c r="AC65" s="44">
        <f t="shared" si="28"/>
        <v>108965.76077912709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2.9239710422556242</v>
      </c>
      <c r="AP65" s="47">
        <f t="shared" si="37"/>
        <v>0.83991499842351725</v>
      </c>
    </row>
    <row r="66" spans="2:42">
      <c r="B66" s="97" t="s">
        <v>15</v>
      </c>
      <c r="C66" s="61">
        <v>18230627</v>
      </c>
      <c r="D66" s="61" t="s">
        <v>80</v>
      </c>
      <c r="E66" s="38" t="s">
        <v>777</v>
      </c>
      <c r="F66" s="39" t="s">
        <v>778</v>
      </c>
      <c r="G66" s="39">
        <v>25</v>
      </c>
      <c r="H66" s="39"/>
      <c r="I66" s="40" t="s">
        <v>283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9.41208356691196E-3</v>
      </c>
      <c r="V66" s="48">
        <f t="shared" si="21"/>
        <v>-182.19</v>
      </c>
      <c r="W66" s="49">
        <f t="shared" si="22"/>
        <v>3.7648334267647839E-4</v>
      </c>
      <c r="X66" s="44">
        <f t="shared" si="23"/>
        <v>55.739529746448341</v>
      </c>
      <c r="Y66" s="44">
        <f t="shared" si="24"/>
        <v>455.09999999999991</v>
      </c>
      <c r="Z66" s="44">
        <f t="shared" si="25"/>
        <v>374.9783994569637</v>
      </c>
      <c r="AA66" s="50">
        <f t="shared" si="26"/>
        <v>2310.8395297464481</v>
      </c>
      <c r="AB66" s="51">
        <f t="shared" si="27"/>
        <v>350.54538604932566</v>
      </c>
      <c r="AC66" s="44">
        <f t="shared" si="28"/>
        <v>2160.2687947522181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2.9260573049539436</v>
      </c>
      <c r="AP66" s="47">
        <f t="shared" si="37"/>
        <v>0.54283738794043879</v>
      </c>
    </row>
    <row r="67" spans="2:42">
      <c r="B67" s="97" t="s">
        <v>15</v>
      </c>
      <c r="C67" s="61">
        <v>18230627</v>
      </c>
      <c r="D67" s="61" t="s">
        <v>80</v>
      </c>
      <c r="E67" s="38" t="s">
        <v>779</v>
      </c>
      <c r="F67" s="39" t="s">
        <v>778</v>
      </c>
      <c r="G67" s="39">
        <v>25</v>
      </c>
      <c r="H67" s="39"/>
      <c r="I67" s="40" t="s">
        <v>283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0.15229039134643685</v>
      </c>
      <c r="V67" s="48">
        <f t="shared" si="21"/>
        <v>-181.47</v>
      </c>
      <c r="W67" s="49">
        <f t="shared" si="22"/>
        <v>6.0916156538574741E-3</v>
      </c>
      <c r="X67" s="44">
        <f t="shared" si="23"/>
        <v>901.88264247828249</v>
      </c>
      <c r="Y67" s="44">
        <f t="shared" si="24"/>
        <v>11037.43</v>
      </c>
      <c r="Z67" s="44">
        <f t="shared" si="25"/>
        <v>6067.2652121912142</v>
      </c>
      <c r="AA67" s="50">
        <f t="shared" si="26"/>
        <v>29939.312642478282</v>
      </c>
      <c r="AB67" s="51">
        <f t="shared" si="27"/>
        <v>5671.9315809958061</v>
      </c>
      <c r="AC67" s="44">
        <f t="shared" si="28"/>
        <v>27988.513267718314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2.9236760465228251</v>
      </c>
      <c r="AP67" s="47">
        <f t="shared" si="37"/>
        <v>0.65173806755932118</v>
      </c>
    </row>
    <row r="68" spans="2:42">
      <c r="B68" s="97" t="s">
        <v>15</v>
      </c>
      <c r="C68" s="61">
        <v>18230627</v>
      </c>
      <c r="D68" s="61" t="s">
        <v>80</v>
      </c>
      <c r="E68" s="38" t="s">
        <v>780</v>
      </c>
      <c r="F68" s="39" t="s">
        <v>781</v>
      </c>
      <c r="G68" s="39">
        <v>25</v>
      </c>
      <c r="H68" s="39"/>
      <c r="I68" s="40" t="s">
        <v>283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</row>
    <row r="69" spans="2:42">
      <c r="B69" s="97" t="s">
        <v>15</v>
      </c>
      <c r="C69" s="61">
        <v>18230627</v>
      </c>
      <c r="D69" s="61" t="s">
        <v>80</v>
      </c>
      <c r="E69" s="38" t="s">
        <v>782</v>
      </c>
      <c r="F69" s="39" t="s">
        <v>781</v>
      </c>
      <c r="G69" s="39">
        <v>25</v>
      </c>
      <c r="H69" s="39"/>
      <c r="I69" s="40" t="s">
        <v>283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2.9731382240056397E-3</v>
      </c>
      <c r="V69" s="48">
        <f t="shared" si="40"/>
        <v>0</v>
      </c>
      <c r="W69" s="49">
        <f t="shared" si="41"/>
        <v>1.1892552896022559E-4</v>
      </c>
      <c r="X69" s="44">
        <f t="shared" si="42"/>
        <v>17.607294420956464</v>
      </c>
      <c r="Y69" s="44">
        <f t="shared" si="43"/>
        <v>0</v>
      </c>
      <c r="Z69" s="44">
        <f t="shared" si="44"/>
        <v>118.45013961852585</v>
      </c>
      <c r="AA69" s="50">
        <f t="shared" si="45"/>
        <v>17.607294420956464</v>
      </c>
      <c r="AB69" s="51">
        <f t="shared" si="46"/>
        <v>110.73211145043082</v>
      </c>
      <c r="AC69" s="44">
        <f t="shared" si="47"/>
        <v>16.460030308457007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2.9615207660022103</v>
      </c>
      <c r="AP69" s="47">
        <f t="shared" si="56"/>
        <v>21.915451279014661</v>
      </c>
    </row>
    <row r="70" spans="2:42">
      <c r="B70" s="97" t="s">
        <v>15</v>
      </c>
      <c r="C70" s="61">
        <v>18230627</v>
      </c>
      <c r="D70" s="61" t="s">
        <v>80</v>
      </c>
      <c r="E70" s="38" t="s">
        <v>783</v>
      </c>
      <c r="F70" s="39" t="s">
        <v>784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 t="s">
        <v>15</v>
      </c>
      <c r="C71" s="61">
        <v>18230627</v>
      </c>
      <c r="D71" s="61" t="s">
        <v>80</v>
      </c>
      <c r="E71" s="38" t="s">
        <v>785</v>
      </c>
      <c r="F71" s="39" t="s">
        <v>784</v>
      </c>
      <c r="G71" s="39"/>
      <c r="H71" s="39"/>
      <c r="I71" s="40" t="s">
        <v>283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 t="s">
        <v>15</v>
      </c>
      <c r="C72" s="61">
        <v>18230627</v>
      </c>
      <c r="D72" s="61" t="s">
        <v>80</v>
      </c>
      <c r="E72" s="38" t="s">
        <v>786</v>
      </c>
      <c r="F72" s="39" t="s">
        <v>787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 t="s">
        <v>15</v>
      </c>
      <c r="C73" s="61">
        <v>18230627</v>
      </c>
      <c r="D73" s="61" t="s">
        <v>80</v>
      </c>
      <c r="E73" s="38" t="s">
        <v>788</v>
      </c>
      <c r="F73" s="39" t="s">
        <v>787</v>
      </c>
      <c r="G73" s="39"/>
      <c r="H73" s="39"/>
      <c r="I73" s="40" t="s">
        <v>283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 t="s">
        <v>15</v>
      </c>
      <c r="C74" s="61">
        <v>18230627</v>
      </c>
      <c r="D74" s="61" t="s">
        <v>80</v>
      </c>
      <c r="E74" s="38" t="s">
        <v>789</v>
      </c>
      <c r="F74" s="39" t="s">
        <v>790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 t="s">
        <v>15</v>
      </c>
      <c r="C75" s="61">
        <v>18230627</v>
      </c>
      <c r="D75" s="61" t="s">
        <v>80</v>
      </c>
      <c r="E75" s="38" t="s">
        <v>791</v>
      </c>
      <c r="F75" s="39" t="s">
        <v>790</v>
      </c>
      <c r="G75" s="39"/>
      <c r="H75" s="39"/>
      <c r="I75" s="40" t="s">
        <v>283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 t="s">
        <v>15</v>
      </c>
      <c r="C76" s="61">
        <v>18230627</v>
      </c>
      <c r="D76" s="61" t="s">
        <v>80</v>
      </c>
      <c r="E76" s="38" t="s">
        <v>792</v>
      </c>
      <c r="F76" s="39" t="s">
        <v>793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 t="s">
        <v>15</v>
      </c>
      <c r="C77" s="61">
        <v>18230627</v>
      </c>
      <c r="D77" s="61" t="s">
        <v>80</v>
      </c>
      <c r="E77" s="38" t="s">
        <v>794</v>
      </c>
      <c r="F77" s="39" t="s">
        <v>793</v>
      </c>
      <c r="G77" s="39"/>
      <c r="H77" s="39"/>
      <c r="I77" s="40" t="s">
        <v>283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 t="s">
        <v>15</v>
      </c>
      <c r="C78" s="61">
        <v>18230627</v>
      </c>
      <c r="D78" s="61" t="s">
        <v>80</v>
      </c>
      <c r="E78" s="38" t="s">
        <v>795</v>
      </c>
      <c r="F78" s="39" t="s">
        <v>796</v>
      </c>
      <c r="G78" s="39">
        <v>10</v>
      </c>
      <c r="H78" s="39"/>
      <c r="I78" s="40" t="s">
        <v>277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4.9304526532658877E-3</v>
      </c>
      <c r="V78" s="48">
        <f t="shared" si="40"/>
        <v>0</v>
      </c>
      <c r="W78" s="49">
        <f t="shared" si="41"/>
        <v>4.9304526532658872E-4</v>
      </c>
      <c r="X78" s="44">
        <f t="shared" si="42"/>
        <v>72.996884902376621</v>
      </c>
      <c r="Y78" s="44">
        <f t="shared" si="43"/>
        <v>0</v>
      </c>
      <c r="Z78" s="44">
        <f t="shared" si="44"/>
        <v>491.07438097433015</v>
      </c>
      <c r="AA78" s="50">
        <f t="shared" si="45"/>
        <v>322.99688490237662</v>
      </c>
      <c r="AB78" s="51">
        <f t="shared" si="46"/>
        <v>459.07673270480518</v>
      </c>
      <c r="AC78" s="44">
        <f t="shared" si="47"/>
        <v>301.95090670503561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1.0488593872884744</v>
      </c>
      <c r="AP78" s="47">
        <f t="shared" si="56"/>
        <v>1.7541183777893898</v>
      </c>
    </row>
    <row r="79" spans="2:42">
      <c r="B79" s="97" t="s">
        <v>15</v>
      </c>
      <c r="C79" s="61">
        <v>18230627</v>
      </c>
      <c r="D79" s="61" t="s">
        <v>80</v>
      </c>
      <c r="E79" s="38" t="s">
        <v>797</v>
      </c>
      <c r="F79" s="39" t="s">
        <v>798</v>
      </c>
      <c r="G79" s="39">
        <v>45</v>
      </c>
      <c r="H79" s="39"/>
      <c r="I79" s="40" t="s">
        <v>283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 t="s">
        <v>15</v>
      </c>
      <c r="C80" s="61">
        <v>18230627</v>
      </c>
      <c r="D80" s="61" t="s">
        <v>80</v>
      </c>
      <c r="E80" s="38" t="s">
        <v>799</v>
      </c>
      <c r="F80" s="39" t="s">
        <v>798</v>
      </c>
      <c r="G80" s="39">
        <v>45</v>
      </c>
      <c r="H80" s="39"/>
      <c r="I80" s="40" t="s">
        <v>283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1.3200778879036822E-2</v>
      </c>
      <c r="V80" s="48">
        <f t="shared" si="40"/>
        <v>0</v>
      </c>
      <c r="W80" s="49">
        <f t="shared" si="41"/>
        <v>2.9335064175637385E-4</v>
      </c>
      <c r="X80" s="44">
        <f t="shared" si="42"/>
        <v>43.431474832527009</v>
      </c>
      <c r="Y80" s="44">
        <f t="shared" si="43"/>
        <v>0</v>
      </c>
      <c r="Z80" s="44">
        <f t="shared" si="44"/>
        <v>292.17801070153615</v>
      </c>
      <c r="AA80" s="50">
        <f t="shared" si="45"/>
        <v>43.431474832527009</v>
      </c>
      <c r="AB80" s="51">
        <f t="shared" si="46"/>
        <v>273.14014275173986</v>
      </c>
      <c r="AC80" s="44">
        <f t="shared" si="47"/>
        <v>40.601547006195197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4.9212252535762095</v>
      </c>
      <c r="AP80" s="47">
        <f t="shared" si="56"/>
        <v>36.417395250412198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800</v>
      </c>
      <c r="F81" s="39" t="s">
        <v>801</v>
      </c>
      <c r="G81" s="39">
        <v>45</v>
      </c>
      <c r="H81" s="39"/>
      <c r="I81" s="40" t="s">
        <v>283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2.4057522710398845E-2</v>
      </c>
      <c r="V81" s="48">
        <f t="shared" si="40"/>
        <v>0.24</v>
      </c>
      <c r="W81" s="49">
        <f t="shared" si="41"/>
        <v>5.3461161578664102E-4</v>
      </c>
      <c r="X81" s="44">
        <f t="shared" si="42"/>
        <v>79.150912359337298</v>
      </c>
      <c r="Y81" s="44">
        <f t="shared" si="43"/>
        <v>-537.84</v>
      </c>
      <c r="Z81" s="44">
        <f t="shared" si="44"/>
        <v>532.47457535204398</v>
      </c>
      <c r="AA81" s="50">
        <f t="shared" si="45"/>
        <v>741.31091235933729</v>
      </c>
      <c r="AB81" s="51">
        <f t="shared" si="46"/>
        <v>497.77935435359814</v>
      </c>
      <c r="AC81" s="44">
        <f t="shared" si="47"/>
        <v>693.00823815961223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4.8904801447653616</v>
      </c>
      <c r="AP81" s="47">
        <f t="shared" si="56"/>
        <v>4.0744938492896363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802</v>
      </c>
      <c r="F82" s="39" t="s">
        <v>803</v>
      </c>
      <c r="G82" s="39">
        <v>45</v>
      </c>
      <c r="H82" s="39"/>
      <c r="I82" s="40" t="s">
        <v>283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2.3731661190765443E-2</v>
      </c>
      <c r="V82" s="48">
        <f t="shared" si="40"/>
        <v>9.000000000000008E-2</v>
      </c>
      <c r="W82" s="49">
        <f t="shared" si="41"/>
        <v>5.273702486836765E-4</v>
      </c>
      <c r="X82" s="44">
        <f t="shared" si="42"/>
        <v>78.07880543909171</v>
      </c>
      <c r="Y82" s="44">
        <f t="shared" si="43"/>
        <v>31.700000000000045</v>
      </c>
      <c r="Z82" s="44">
        <f t="shared" si="44"/>
        <v>525.26215467269583</v>
      </c>
      <c r="AA82" s="50">
        <f t="shared" si="45"/>
        <v>1309.7788054390917</v>
      </c>
      <c r="AB82" s="51">
        <f t="shared" si="46"/>
        <v>491.0368838671551</v>
      </c>
      <c r="AC82" s="44">
        <f t="shared" si="47"/>
        <v>1224.4356412443597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4.8904801447653616</v>
      </c>
      <c r="AP82" s="47">
        <f t="shared" si="56"/>
        <v>2.2833808102266486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804</v>
      </c>
      <c r="F83" s="39" t="s">
        <v>805</v>
      </c>
      <c r="G83" s="39">
        <v>45</v>
      </c>
      <c r="H83" s="39"/>
      <c r="I83" s="40" t="s">
        <v>283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806</v>
      </c>
      <c r="F84" s="39" t="s">
        <v>805</v>
      </c>
      <c r="G84" s="39">
        <v>45</v>
      </c>
      <c r="H84" s="39"/>
      <c r="I84" s="40" t="s">
        <v>283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7.582885632550317E-3</v>
      </c>
      <c r="V84" s="48">
        <f t="shared" si="40"/>
        <v>0</v>
      </c>
      <c r="W84" s="49">
        <f t="shared" si="41"/>
        <v>1.6850856961222926E-4</v>
      </c>
      <c r="X84" s="44">
        <f t="shared" si="42"/>
        <v>24.948217792742032</v>
      </c>
      <c r="Y84" s="44">
        <f t="shared" si="43"/>
        <v>0</v>
      </c>
      <c r="Z84" s="44">
        <f t="shared" si="44"/>
        <v>167.83497851131844</v>
      </c>
      <c r="AA84" s="50">
        <f t="shared" si="45"/>
        <v>24.948217792742032</v>
      </c>
      <c r="AB84" s="51">
        <f t="shared" si="46"/>
        <v>156.89911050885146</v>
      </c>
      <c r="AC84" s="44">
        <f t="shared" si="47"/>
        <v>23.322630450352463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5.1120001513226772</v>
      </c>
      <c r="AP84" s="47">
        <f t="shared" si="56"/>
        <v>37.829142223392431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807</v>
      </c>
      <c r="F85" s="39" t="s">
        <v>808</v>
      </c>
      <c r="G85" s="39">
        <v>45</v>
      </c>
      <c r="H85" s="39"/>
      <c r="I85" s="40" t="s">
        <v>283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1.0779851352196964E-2</v>
      </c>
      <c r="V85" s="48">
        <f t="shared" si="40"/>
        <v>9.000000000000008E-2</v>
      </c>
      <c r="W85" s="49">
        <f t="shared" si="41"/>
        <v>2.3955225227104365E-4</v>
      </c>
      <c r="X85" s="44">
        <f t="shared" si="42"/>
        <v>35.466455956232572</v>
      </c>
      <c r="Y85" s="44">
        <f t="shared" si="43"/>
        <v>-1065.8399999999999</v>
      </c>
      <c r="Z85" s="44">
        <f t="shared" si="44"/>
        <v>238.59467328438296</v>
      </c>
      <c r="AA85" s="50">
        <f t="shared" si="45"/>
        <v>1369.6264559562326</v>
      </c>
      <c r="AB85" s="51">
        <f t="shared" si="46"/>
        <v>223.04821284882019</v>
      </c>
      <c r="AC85" s="44">
        <f t="shared" si="47"/>
        <v>1280.3837112800154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4.8904801447653616</v>
      </c>
      <c r="AP85" s="47">
        <f t="shared" si="56"/>
        <v>1.1982177680667789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809</v>
      </c>
      <c r="F86" s="39" t="s">
        <v>808</v>
      </c>
      <c r="G86" s="39">
        <v>45</v>
      </c>
      <c r="H86" s="39"/>
      <c r="I86" s="40" t="s">
        <v>283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1.4086566689682722E-2</v>
      </c>
      <c r="V86" s="48">
        <f t="shared" si="40"/>
        <v>0.24</v>
      </c>
      <c r="W86" s="49">
        <f t="shared" si="41"/>
        <v>3.1303481532628274E-4</v>
      </c>
      <c r="X86" s="44">
        <f t="shared" si="42"/>
        <v>46.345777947331818</v>
      </c>
      <c r="Y86" s="44">
        <f t="shared" si="43"/>
        <v>357.44000000000005</v>
      </c>
      <c r="Z86" s="44">
        <f t="shared" si="44"/>
        <v>311.78349934654193</v>
      </c>
      <c r="AA86" s="50">
        <f t="shared" si="45"/>
        <v>1603.7857779473318</v>
      </c>
      <c r="AB86" s="51">
        <f t="shared" si="46"/>
        <v>291.46816803453481</v>
      </c>
      <c r="AC86" s="44">
        <f t="shared" si="47"/>
        <v>1499.2855734760508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4.8742514557840311</v>
      </c>
      <c r="AP86" s="47">
        <f t="shared" si="56"/>
        <v>1.042335152314932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810</v>
      </c>
      <c r="F87" s="39" t="s">
        <v>811</v>
      </c>
      <c r="G87" s="39">
        <v>45</v>
      </c>
      <c r="H87" s="39"/>
      <c r="I87" s="40" t="s">
        <v>283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7.5104983074508788E-2</v>
      </c>
      <c r="V87" s="48">
        <f t="shared" si="40"/>
        <v>0.24</v>
      </c>
      <c r="W87" s="49">
        <f t="shared" si="41"/>
        <v>1.6689996238779729E-3</v>
      </c>
      <c r="X87" s="44">
        <f t="shared" si="42"/>
        <v>247.10058490396412</v>
      </c>
      <c r="Y87" s="44">
        <f t="shared" si="43"/>
        <v>1536.3999999999996</v>
      </c>
      <c r="Z87" s="44">
        <f t="shared" si="44"/>
        <v>1662.3280148514718</v>
      </c>
      <c r="AA87" s="50">
        <f t="shared" si="45"/>
        <v>6583.5005849039635</v>
      </c>
      <c r="AB87" s="51">
        <f t="shared" si="46"/>
        <v>1554.0132886337026</v>
      </c>
      <c r="AC87" s="44">
        <f t="shared" si="47"/>
        <v>6154.52985407494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4.8465211196370834</v>
      </c>
      <c r="AP87" s="47">
        <f t="shared" si="56"/>
        <v>1.3461164771880287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812</v>
      </c>
      <c r="F88" s="39" t="s">
        <v>813</v>
      </c>
      <c r="G88" s="39">
        <v>45</v>
      </c>
      <c r="H88" s="39"/>
      <c r="I88" s="40" t="s">
        <v>283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5.5552275696339311E-2</v>
      </c>
      <c r="V88" s="48">
        <f t="shared" si="40"/>
        <v>0.96</v>
      </c>
      <c r="W88" s="49">
        <f t="shared" si="41"/>
        <v>1.2344950154742069E-3</v>
      </c>
      <c r="X88" s="44">
        <f t="shared" si="42"/>
        <v>182.77082632045443</v>
      </c>
      <c r="Y88" s="44">
        <f t="shared" si="43"/>
        <v>1994.4</v>
      </c>
      <c r="Z88" s="44">
        <f t="shared" si="44"/>
        <v>1229.5602821342009</v>
      </c>
      <c r="AA88" s="50">
        <f t="shared" si="45"/>
        <v>2577.1708263204546</v>
      </c>
      <c r="AB88" s="51">
        <f t="shared" si="46"/>
        <v>1149.4440330318787</v>
      </c>
      <c r="AC88" s="44">
        <f t="shared" si="47"/>
        <v>2409.2463553523926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4.8904801447653616</v>
      </c>
      <c r="AP88" s="47">
        <f t="shared" si="56"/>
        <v>2.7524640177006252</v>
      </c>
    </row>
    <row r="89" spans="2:42">
      <c r="B89" s="97" t="s">
        <v>15</v>
      </c>
      <c r="C89" s="61">
        <v>18230627</v>
      </c>
      <c r="D89" s="61" t="s">
        <v>80</v>
      </c>
      <c r="E89" s="38" t="s">
        <v>814</v>
      </c>
      <c r="F89" s="39" t="s">
        <v>815</v>
      </c>
      <c r="G89" s="39">
        <v>45</v>
      </c>
      <c r="H89" s="39"/>
      <c r="I89" s="40" t="s">
        <v>283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97" t="s">
        <v>15</v>
      </c>
      <c r="C90" s="61">
        <v>18230627</v>
      </c>
      <c r="D90" s="61" t="s">
        <v>80</v>
      </c>
      <c r="E90" s="38" t="s">
        <v>816</v>
      </c>
      <c r="F90" s="39" t="s">
        <v>815</v>
      </c>
      <c r="G90" s="39">
        <v>45</v>
      </c>
      <c r="H90" s="39"/>
      <c r="I90" s="40" t="s">
        <v>283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1.3798643309549257E-2</v>
      </c>
      <c r="V90" s="48">
        <f t="shared" si="40"/>
        <v>0</v>
      </c>
      <c r="W90" s="49">
        <f t="shared" si="41"/>
        <v>3.0663651798998348E-4</v>
      </c>
      <c r="X90" s="44">
        <f t="shared" si="42"/>
        <v>45.398490127987998</v>
      </c>
      <c r="Y90" s="44">
        <f t="shared" si="43"/>
        <v>0</v>
      </c>
      <c r="Z90" s="44">
        <f t="shared" si="44"/>
        <v>305.41077837206586</v>
      </c>
      <c r="AA90" s="50">
        <f t="shared" si="45"/>
        <v>45.398490127987998</v>
      </c>
      <c r="AB90" s="51">
        <f t="shared" si="46"/>
        <v>285.51068371699154</v>
      </c>
      <c r="AC90" s="44">
        <f t="shared" si="47"/>
        <v>42.440394622780211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4.3665687309850192</v>
      </c>
      <c r="AP90" s="47">
        <f t="shared" si="56"/>
        <v>32.312899973195613</v>
      </c>
    </row>
    <row r="91" spans="2:42">
      <c r="B91" s="97" t="s">
        <v>15</v>
      </c>
      <c r="C91" s="61">
        <v>18230627</v>
      </c>
      <c r="D91" s="61" t="s">
        <v>80</v>
      </c>
      <c r="E91" s="38" t="s">
        <v>817</v>
      </c>
      <c r="F91" s="39" t="s">
        <v>818</v>
      </c>
      <c r="G91" s="39">
        <v>45</v>
      </c>
      <c r="H91" s="39"/>
      <c r="I91" s="40" t="s">
        <v>283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1.8730601444541334E-2</v>
      </c>
      <c r="V91" s="48">
        <f t="shared" si="40"/>
        <v>0.96</v>
      </c>
      <c r="W91" s="49">
        <f t="shared" si="41"/>
        <v>4.1623558765647409E-4</v>
      </c>
      <c r="X91" s="44">
        <f t="shared" si="42"/>
        <v>61.624973245218598</v>
      </c>
      <c r="Y91" s="44">
        <f t="shared" si="43"/>
        <v>3285.12</v>
      </c>
      <c r="Z91" s="44">
        <f t="shared" si="44"/>
        <v>414.57174000544376</v>
      </c>
      <c r="AA91" s="50">
        <f t="shared" si="45"/>
        <v>4546.7449732452187</v>
      </c>
      <c r="AB91" s="51">
        <f t="shared" si="46"/>
        <v>387.55888567396812</v>
      </c>
      <c r="AC91" s="44">
        <f t="shared" si="47"/>
        <v>4250.4860925915846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4.8904801447653616</v>
      </c>
      <c r="AP91" s="47">
        <f t="shared" si="56"/>
        <v>0.49050482543193979</v>
      </c>
    </row>
    <row r="92" spans="2:42">
      <c r="B92" s="97" t="s">
        <v>15</v>
      </c>
      <c r="C92" s="61">
        <v>18230627</v>
      </c>
      <c r="D92" s="61" t="s">
        <v>80</v>
      </c>
      <c r="E92" s="38" t="s">
        <v>819</v>
      </c>
      <c r="F92" s="39" t="s">
        <v>818</v>
      </c>
      <c r="G92" s="39">
        <v>45</v>
      </c>
      <c r="H92" s="39"/>
      <c r="I92" s="40" t="s">
        <v>283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7.462974013059437E-3</v>
      </c>
      <c r="V92" s="48">
        <f t="shared" si="40"/>
        <v>0.90999999999999992</v>
      </c>
      <c r="W92" s="49">
        <f t="shared" si="41"/>
        <v>1.6584386695687637E-4</v>
      </c>
      <c r="X92" s="44">
        <f t="shared" si="42"/>
        <v>24.55370027739178</v>
      </c>
      <c r="Y92" s="44">
        <f t="shared" si="43"/>
        <v>1292</v>
      </c>
      <c r="Z92" s="44">
        <f t="shared" si="44"/>
        <v>165.18092765841897</v>
      </c>
      <c r="AA92" s="50">
        <f t="shared" si="45"/>
        <v>1716.5537002773917</v>
      </c>
      <c r="AB92" s="51">
        <f t="shared" si="46"/>
        <v>154.41799351072166</v>
      </c>
      <c r="AC92" s="44">
        <f t="shared" si="47"/>
        <v>1604.7057121411533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4.7945883772209434</v>
      </c>
      <c r="AP92" s="47">
        <f t="shared" si="56"/>
        <v>0.50751223881770335</v>
      </c>
    </row>
    <row r="93" spans="2:42">
      <c r="B93" s="97" t="s">
        <v>15</v>
      </c>
      <c r="C93" s="61">
        <v>18230627</v>
      </c>
      <c r="D93" s="61" t="s">
        <v>80</v>
      </c>
      <c r="E93" s="38" t="s">
        <v>820</v>
      </c>
      <c r="F93" s="39" t="s">
        <v>821</v>
      </c>
      <c r="G93" s="39">
        <v>45</v>
      </c>
      <c r="H93" s="39"/>
      <c r="I93" s="40" t="s">
        <v>283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2.4694680213964787E-2</v>
      </c>
      <c r="V93" s="48">
        <f t="shared" si="40"/>
        <v>0.90999999999999992</v>
      </c>
      <c r="W93" s="49">
        <f t="shared" si="41"/>
        <v>5.4877067142143968E-4</v>
      </c>
      <c r="X93" s="44">
        <f t="shared" si="42"/>
        <v>81.247204580732259</v>
      </c>
      <c r="Y93" s="44">
        <f t="shared" si="43"/>
        <v>1249.7</v>
      </c>
      <c r="Z93" s="44">
        <f t="shared" si="44"/>
        <v>546.57703200261972</v>
      </c>
      <c r="AA93" s="50">
        <f t="shared" si="45"/>
        <v>1730.9472045807322</v>
      </c>
      <c r="AB93" s="51">
        <f t="shared" si="46"/>
        <v>510.96291670806738</v>
      </c>
      <c r="AC93" s="44">
        <f t="shared" si="47"/>
        <v>1618.1613579328148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4.8661293732943696</v>
      </c>
      <c r="AP93" s="47">
        <f t="shared" si="56"/>
        <v>1.6902225541444296</v>
      </c>
    </row>
    <row r="94" spans="2:42">
      <c r="B94" s="97" t="s">
        <v>15</v>
      </c>
      <c r="C94" s="61">
        <v>18230627</v>
      </c>
      <c r="D94" s="61" t="s">
        <v>80</v>
      </c>
      <c r="E94" s="38" t="s">
        <v>822</v>
      </c>
      <c r="F94" s="39" t="s">
        <v>823</v>
      </c>
      <c r="G94" s="39">
        <v>45</v>
      </c>
      <c r="H94" s="39"/>
      <c r="I94" s="40" t="s">
        <v>283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15</v>
      </c>
      <c r="C95" s="61">
        <v>18230627</v>
      </c>
      <c r="D95" s="61" t="s">
        <v>80</v>
      </c>
      <c r="E95" s="38" t="s">
        <v>824</v>
      </c>
      <c r="F95" s="39" t="s">
        <v>823</v>
      </c>
      <c r="G95" s="39">
        <v>45</v>
      </c>
      <c r="H95" s="39"/>
      <c r="I95" s="40" t="s">
        <v>283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4.2307800210199878E-3</v>
      </c>
      <c r="V95" s="48">
        <f t="shared" si="40"/>
        <v>0</v>
      </c>
      <c r="W95" s="49">
        <f t="shared" si="41"/>
        <v>9.4017333800444172E-5</v>
      </c>
      <c r="X95" s="44">
        <f t="shared" si="42"/>
        <v>13.919558663063878</v>
      </c>
      <c r="Y95" s="44">
        <f t="shared" si="43"/>
        <v>0</v>
      </c>
      <c r="Z95" s="44">
        <f t="shared" si="44"/>
        <v>93.641511730830288</v>
      </c>
      <c r="AA95" s="50">
        <f t="shared" si="45"/>
        <v>13.919558663063878</v>
      </c>
      <c r="AB95" s="51">
        <f t="shared" si="46"/>
        <v>87.53997544248881</v>
      </c>
      <c r="AC95" s="44">
        <f t="shared" si="47"/>
        <v>13.012581717363631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4.679825355503251</v>
      </c>
      <c r="AP95" s="47">
        <f t="shared" si="56"/>
        <v>34.631019897009367</v>
      </c>
    </row>
    <row r="96" spans="2:42">
      <c r="B96" s="97" t="s">
        <v>15</v>
      </c>
      <c r="C96" s="61">
        <v>18230627</v>
      </c>
      <c r="D96" s="61" t="s">
        <v>80</v>
      </c>
      <c r="E96" s="38" t="s">
        <v>825</v>
      </c>
      <c r="F96" s="39" t="s">
        <v>826</v>
      </c>
      <c r="G96" s="39">
        <v>45</v>
      </c>
      <c r="H96" s="39"/>
      <c r="I96" s="40" t="s">
        <v>283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1.3007362114264813E-2</v>
      </c>
      <c r="V96" s="48">
        <f t="shared" si="40"/>
        <v>0</v>
      </c>
      <c r="W96" s="49">
        <f t="shared" si="41"/>
        <v>2.8905249142810696E-4</v>
      </c>
      <c r="X96" s="44">
        <f t="shared" si="42"/>
        <v>42.795120309179573</v>
      </c>
      <c r="Y96" s="44">
        <f t="shared" si="43"/>
        <v>-184</v>
      </c>
      <c r="Z96" s="44">
        <f t="shared" si="44"/>
        <v>287.89704167044698</v>
      </c>
      <c r="AA96" s="50">
        <f t="shared" si="45"/>
        <v>658.79512030917954</v>
      </c>
      <c r="AB96" s="51">
        <f t="shared" si="46"/>
        <v>269.1381150513667</v>
      </c>
      <c r="AC96" s="44">
        <f t="shared" si="47"/>
        <v>615.86904768550016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4.8904801447653625</v>
      </c>
      <c r="AP96" s="47">
        <f t="shared" si="56"/>
        <v>2.5282636511173298</v>
      </c>
    </row>
    <row r="97" spans="2:42">
      <c r="B97" s="97" t="s">
        <v>15</v>
      </c>
      <c r="C97" s="61">
        <v>18230627</v>
      </c>
      <c r="D97" s="61" t="s">
        <v>80</v>
      </c>
      <c r="E97" s="38" t="s">
        <v>827</v>
      </c>
      <c r="F97" s="39" t="s">
        <v>828</v>
      </c>
      <c r="G97" s="39">
        <v>45</v>
      </c>
      <c r="H97" s="39"/>
      <c r="I97" s="40" t="s">
        <v>283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5.3828122749422433E-2</v>
      </c>
      <c r="V97" s="48">
        <f t="shared" si="40"/>
        <v>-177.4</v>
      </c>
      <c r="W97" s="49">
        <f t="shared" si="41"/>
        <v>1.1961805055427208E-3</v>
      </c>
      <c r="X97" s="44">
        <f t="shared" si="42"/>
        <v>177.09824396697203</v>
      </c>
      <c r="Y97" s="44">
        <f t="shared" si="43"/>
        <v>3494.62</v>
      </c>
      <c r="Z97" s="44">
        <f t="shared" si="44"/>
        <v>1191.3989294752794</v>
      </c>
      <c r="AA97" s="50">
        <f t="shared" si="45"/>
        <v>7871.7182439669723</v>
      </c>
      <c r="AB97" s="51">
        <f t="shared" si="46"/>
        <v>1113.7692151774136</v>
      </c>
      <c r="AC97" s="44">
        <f t="shared" si="47"/>
        <v>7358.8092399429479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4.8932342135348241</v>
      </c>
      <c r="AP97" s="47">
        <f t="shared" si="56"/>
        <v>0.81465992624415728</v>
      </c>
    </row>
    <row r="98" spans="2:42">
      <c r="B98" s="97" t="s">
        <v>15</v>
      </c>
      <c r="C98" s="61">
        <v>18230627</v>
      </c>
      <c r="D98" s="61" t="s">
        <v>80</v>
      </c>
      <c r="E98" s="38" t="s">
        <v>829</v>
      </c>
      <c r="F98" s="39" t="s">
        <v>830</v>
      </c>
      <c r="G98" s="39">
        <v>45</v>
      </c>
      <c r="H98" s="39"/>
      <c r="I98" s="40" t="s">
        <v>283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15</v>
      </c>
      <c r="C99" s="61">
        <v>18230627</v>
      </c>
      <c r="D99" s="61" t="s">
        <v>80</v>
      </c>
      <c r="E99" s="38" t="s">
        <v>831</v>
      </c>
      <c r="F99" s="39" t="s">
        <v>830</v>
      </c>
      <c r="G99" s="39">
        <v>45</v>
      </c>
      <c r="H99" s="39"/>
      <c r="I99" s="40" t="s">
        <v>283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3.0541895964392888E-2</v>
      </c>
      <c r="V99" s="48">
        <f t="shared" si="40"/>
        <v>0</v>
      </c>
      <c r="W99" s="49">
        <f t="shared" si="41"/>
        <v>6.7870879920873086E-4</v>
      </c>
      <c r="X99" s="44">
        <f t="shared" si="42"/>
        <v>100.48494850721814</v>
      </c>
      <c r="Y99" s="44">
        <f t="shared" si="43"/>
        <v>0</v>
      </c>
      <c r="Z99" s="44">
        <f t="shared" si="44"/>
        <v>675.99574901603785</v>
      </c>
      <c r="AA99" s="50">
        <f t="shared" si="45"/>
        <v>100.48494850721814</v>
      </c>
      <c r="AB99" s="51">
        <f t="shared" si="46"/>
        <v>631.94890998975211</v>
      </c>
      <c r="AC99" s="44">
        <f t="shared" si="47"/>
        <v>93.937504447245146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4.9165561968298812</v>
      </c>
      <c r="AP99" s="47">
        <f t="shared" si="56"/>
        <v>36.382843918941632</v>
      </c>
    </row>
    <row r="100" spans="2:42">
      <c r="B100" s="97" t="s">
        <v>15</v>
      </c>
      <c r="C100" s="61">
        <v>18230627</v>
      </c>
      <c r="D100" s="61" t="s">
        <v>80</v>
      </c>
      <c r="E100" s="38" t="s">
        <v>832</v>
      </c>
      <c r="F100" s="39" t="s">
        <v>833</v>
      </c>
      <c r="G100" s="39">
        <v>25</v>
      </c>
      <c r="H100" s="39"/>
      <c r="I100" s="40" t="s">
        <v>283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0.18332213342748818</v>
      </c>
      <c r="V100" s="48">
        <f t="shared" si="40"/>
        <v>-182.19</v>
      </c>
      <c r="W100" s="49">
        <f t="shared" si="41"/>
        <v>7.332885337099527E-3</v>
      </c>
      <c r="X100" s="44">
        <f t="shared" si="42"/>
        <v>1085.6564794309832</v>
      </c>
      <c r="Y100" s="44">
        <f t="shared" si="43"/>
        <v>5984.52</v>
      </c>
      <c r="Z100" s="44">
        <f t="shared" si="44"/>
        <v>7303.5730812395659</v>
      </c>
      <c r="AA100" s="50">
        <f t="shared" si="45"/>
        <v>18470.176479430982</v>
      </c>
      <c r="AB100" s="51">
        <f t="shared" si="46"/>
        <v>6827.6835385992008</v>
      </c>
      <c r="AC100" s="44">
        <f t="shared" si="47"/>
        <v>17266.688304600339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2.9260624945145821</v>
      </c>
      <c r="AP100" s="47">
        <f t="shared" si="56"/>
        <v>1.3255889132205443</v>
      </c>
    </row>
    <row r="101" spans="2:42">
      <c r="B101" s="97" t="s">
        <v>15</v>
      </c>
      <c r="C101" s="61">
        <v>18230627</v>
      </c>
      <c r="D101" s="61" t="s">
        <v>80</v>
      </c>
      <c r="E101" s="38" t="s">
        <v>834</v>
      </c>
      <c r="F101" s="39" t="s">
        <v>833</v>
      </c>
      <c r="G101" s="39">
        <v>25</v>
      </c>
      <c r="H101" s="39"/>
      <c r="I101" s="40" t="s">
        <v>283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0.55697686412567504</v>
      </c>
      <c r="V101" s="48">
        <f t="shared" si="40"/>
        <v>-181.47</v>
      </c>
      <c r="W101" s="49">
        <f t="shared" si="41"/>
        <v>2.2279074565027E-2</v>
      </c>
      <c r="X101" s="44">
        <f t="shared" si="42"/>
        <v>3298.4862772741444</v>
      </c>
      <c r="Y101" s="44">
        <f t="shared" si="43"/>
        <v>21781.760000000002</v>
      </c>
      <c r="Z101" s="44">
        <f t="shared" si="44"/>
        <v>22190.016860732998</v>
      </c>
      <c r="AA101" s="50">
        <f t="shared" si="45"/>
        <v>58009.246277274149</v>
      </c>
      <c r="AB101" s="51">
        <f t="shared" si="46"/>
        <v>20744.149631422824</v>
      </c>
      <c r="AC101" s="44">
        <f t="shared" si="47"/>
        <v>54229.453376903941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2.9248057218769703</v>
      </c>
      <c r="AP101" s="47">
        <f t="shared" si="56"/>
        <v>1.2306940995209712</v>
      </c>
    </row>
    <row r="102" spans="2:42">
      <c r="B102" s="97" t="s">
        <v>15</v>
      </c>
      <c r="C102" s="61">
        <v>18230627</v>
      </c>
      <c r="D102" s="61" t="s">
        <v>80</v>
      </c>
      <c r="E102" s="38" t="s">
        <v>835</v>
      </c>
      <c r="F102" s="39" t="s">
        <v>836</v>
      </c>
      <c r="G102" s="39">
        <v>45</v>
      </c>
      <c r="H102" s="39"/>
      <c r="I102" s="40" t="s">
        <v>283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5.2270287896206184E-2</v>
      </c>
      <c r="V102" s="48">
        <f t="shared" si="40"/>
        <v>-179.5</v>
      </c>
      <c r="W102" s="49">
        <f t="shared" si="41"/>
        <v>1.1615619532490263E-3</v>
      </c>
      <c r="X102" s="44">
        <f t="shared" si="42"/>
        <v>171.97285963619294</v>
      </c>
      <c r="Y102" s="44">
        <f t="shared" si="43"/>
        <v>2725.58</v>
      </c>
      <c r="Z102" s="44">
        <f t="shared" si="44"/>
        <v>1156.9187603439673</v>
      </c>
      <c r="AA102" s="50">
        <f t="shared" si="45"/>
        <v>4697.5528596361928</v>
      </c>
      <c r="AB102" s="51">
        <f t="shared" si="46"/>
        <v>1081.5357206169647</v>
      </c>
      <c r="AC102" s="44">
        <f t="shared" si="47"/>
        <v>4391.4675700067237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4.8904877509323548</v>
      </c>
      <c r="AP102" s="47">
        <f t="shared" si="56"/>
        <v>1.4003891100500077</v>
      </c>
    </row>
    <row r="103" spans="2:42">
      <c r="B103" s="97" t="s">
        <v>15</v>
      </c>
      <c r="C103" s="61">
        <v>18230627</v>
      </c>
      <c r="D103" s="61" t="s">
        <v>80</v>
      </c>
      <c r="E103" s="38" t="s">
        <v>837</v>
      </c>
      <c r="F103" s="39" t="s">
        <v>836</v>
      </c>
      <c r="G103" s="39">
        <v>45</v>
      </c>
      <c r="H103" s="39"/>
      <c r="I103" s="40" t="s">
        <v>283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1.5859497244528089E-2</v>
      </c>
      <c r="V103" s="48">
        <f t="shared" si="40"/>
        <v>-177.4</v>
      </c>
      <c r="W103" s="49">
        <f t="shared" si="41"/>
        <v>3.5243327210062418E-4</v>
      </c>
      <c r="X103" s="44">
        <f t="shared" si="42"/>
        <v>52.178842001973635</v>
      </c>
      <c r="Y103" s="44">
        <f t="shared" si="43"/>
        <v>849.44999999999982</v>
      </c>
      <c r="Z103" s="44">
        <f t="shared" si="44"/>
        <v>351.0244659117273</v>
      </c>
      <c r="AA103" s="50">
        <f t="shared" si="45"/>
        <v>3701.6288420019737</v>
      </c>
      <c r="AB103" s="51">
        <f t="shared" si="46"/>
        <v>328.15225382044241</v>
      </c>
      <c r="AC103" s="44">
        <f t="shared" si="47"/>
        <v>3460.4364232980961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4.8914411105349442</v>
      </c>
      <c r="AP103" s="47">
        <f t="shared" si="56"/>
        <v>0.51023944709678903</v>
      </c>
    </row>
    <row r="104" spans="2:42">
      <c r="B104" s="37"/>
      <c r="C104" s="61"/>
      <c r="D104" s="61"/>
      <c r="E104" s="38" t="s">
        <v>838</v>
      </c>
      <c r="F104" s="39" t="s">
        <v>839</v>
      </c>
      <c r="G104" s="39">
        <v>45</v>
      </c>
      <c r="H104" s="39"/>
      <c r="I104" s="40" t="s">
        <v>283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0.11095889603566993</v>
      </c>
      <c r="V104" s="48">
        <f t="shared" si="40"/>
        <v>-179.5</v>
      </c>
      <c r="W104" s="49">
        <f t="shared" si="41"/>
        <v>2.4657532452371095E-3</v>
      </c>
      <c r="X104" s="44">
        <f t="shared" si="42"/>
        <v>365.06243644994669</v>
      </c>
      <c r="Y104" s="44">
        <f t="shared" si="43"/>
        <v>4128.21</v>
      </c>
      <c r="Z104" s="44">
        <f t="shared" si="44"/>
        <v>2455.8967171871959</v>
      </c>
      <c r="AA104" s="50">
        <f t="shared" si="45"/>
        <v>7893.2724364499463</v>
      </c>
      <c r="AB104" s="51">
        <f t="shared" si="46"/>
        <v>2295.8742798795884</v>
      </c>
      <c r="AC104" s="44">
        <f t="shared" si="47"/>
        <v>7378.9589945311263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4.8904676039242547</v>
      </c>
      <c r="AP104" s="47">
        <f t="shared" si="56"/>
        <v>1.7757098204325856</v>
      </c>
    </row>
    <row r="105" spans="2:42">
      <c r="B105" s="37"/>
      <c r="C105" s="61"/>
      <c r="D105" s="61"/>
      <c r="E105" s="38" t="s">
        <v>840</v>
      </c>
      <c r="F105" s="39" t="s">
        <v>839</v>
      </c>
      <c r="G105" s="39">
        <v>45</v>
      </c>
      <c r="H105" s="39"/>
      <c r="I105" s="40" t="s">
        <v>283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6.0163453312523874E-2</v>
      </c>
      <c r="V105" s="48">
        <f t="shared" si="40"/>
        <v>-177.4</v>
      </c>
      <c r="W105" s="49">
        <f t="shared" si="41"/>
        <v>1.3369656291671971E-3</v>
      </c>
      <c r="X105" s="44">
        <f t="shared" si="42"/>
        <v>197.94191936131023</v>
      </c>
      <c r="Y105" s="44">
        <f t="shared" si="43"/>
        <v>5253.1100000000006</v>
      </c>
      <c r="Z105" s="44">
        <f t="shared" si="44"/>
        <v>1331.6212828701332</v>
      </c>
      <c r="AA105" s="50">
        <f t="shared" si="45"/>
        <v>9251.0519193613109</v>
      </c>
      <c r="AB105" s="51">
        <f t="shared" si="46"/>
        <v>1244.8548965786044</v>
      </c>
      <c r="AC105" s="44">
        <f t="shared" si="47"/>
        <v>8648.2676632339062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4.8861831150919013</v>
      </c>
      <c r="AP105" s="47">
        <f t="shared" si="56"/>
        <v>0.77366336642037781</v>
      </c>
    </row>
    <row r="106" spans="2:42">
      <c r="B106" s="37"/>
      <c r="C106" s="61"/>
      <c r="D106" s="61"/>
      <c r="E106" s="38" t="s">
        <v>841</v>
      </c>
      <c r="F106" s="39" t="s">
        <v>842</v>
      </c>
      <c r="G106" s="39">
        <v>20</v>
      </c>
      <c r="H106" s="39"/>
      <c r="I106" s="40" t="s">
        <v>283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3.7727372058272715E-2</v>
      </c>
      <c r="V106" s="48">
        <f t="shared" si="40"/>
        <v>200</v>
      </c>
      <c r="W106" s="49">
        <f t="shared" si="41"/>
        <v>1.8863686029136357E-3</v>
      </c>
      <c r="X106" s="44">
        <f t="shared" si="42"/>
        <v>279.2827382677188</v>
      </c>
      <c r="Y106" s="44">
        <f t="shared" si="43"/>
        <v>1087.29</v>
      </c>
      <c r="Z106" s="44">
        <f t="shared" si="44"/>
        <v>1878.8280896514068</v>
      </c>
      <c r="AA106" s="50">
        <f t="shared" si="45"/>
        <v>2279.2827382677187</v>
      </c>
      <c r="AB106" s="51">
        <f t="shared" si="46"/>
        <v>1756.4065529133463</v>
      </c>
      <c r="AC106" s="44">
        <f t="shared" si="47"/>
        <v>2130.7681950712522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2.4653923201677834</v>
      </c>
      <c r="AP106" s="47">
        <f t="shared" si="56"/>
        <v>2.2354634165872489</v>
      </c>
    </row>
    <row r="107" spans="2:42">
      <c r="B107" s="37"/>
      <c r="C107" s="61"/>
      <c r="D107" s="61"/>
      <c r="E107" s="38" t="s">
        <v>843</v>
      </c>
      <c r="F107" s="39" t="s">
        <v>844</v>
      </c>
      <c r="G107" s="39">
        <v>20</v>
      </c>
      <c r="H107" s="39"/>
      <c r="I107" s="40" t="s">
        <v>283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 t="s">
        <v>845</v>
      </c>
      <c r="F108" s="39" t="s">
        <v>844</v>
      </c>
      <c r="G108" s="39">
        <v>20</v>
      </c>
      <c r="H108" s="39"/>
      <c r="I108" s="40" t="s">
        <v>283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 t="s">
        <v>846</v>
      </c>
      <c r="F109" s="39" t="s">
        <v>847</v>
      </c>
      <c r="G109" s="39">
        <v>45</v>
      </c>
      <c r="H109" s="39"/>
      <c r="I109" s="40" t="s">
        <v>283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1.0217435370779788</v>
      </c>
      <c r="V109" s="48">
        <f t="shared" si="40"/>
        <v>0.12000000000000001</v>
      </c>
      <c r="W109" s="49">
        <f t="shared" si="41"/>
        <v>2.2705411935066196E-2</v>
      </c>
      <c r="X109" s="44">
        <f t="shared" si="42"/>
        <v>3361.6068508176681</v>
      </c>
      <c r="Y109" s="44">
        <f t="shared" si="43"/>
        <v>23130.499999999996</v>
      </c>
      <c r="Z109" s="44">
        <f t="shared" si="44"/>
        <v>22614.650002559323</v>
      </c>
      <c r="AA109" s="50">
        <f t="shared" si="45"/>
        <v>43579.806850817666</v>
      </c>
      <c r="AB109" s="51">
        <f t="shared" si="46"/>
        <v>21141.114333513437</v>
      </c>
      <c r="AC109" s="44">
        <f t="shared" si="47"/>
        <v>40740.213939251807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4.8904801447653607</v>
      </c>
      <c r="AP109" s="47">
        <f t="shared" si="56"/>
        <v>2.7915714935731795</v>
      </c>
    </row>
    <row r="110" spans="2:42">
      <c r="B110" s="37"/>
      <c r="C110" s="61"/>
      <c r="D110" s="61"/>
      <c r="E110" s="38" t="s">
        <v>848</v>
      </c>
      <c r="F110" s="39" t="s">
        <v>849</v>
      </c>
      <c r="G110" s="39">
        <v>45</v>
      </c>
      <c r="H110" s="39"/>
      <c r="I110" s="40" t="s">
        <v>283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2.9144620737274599E-2</v>
      </c>
      <c r="V110" s="48">
        <f t="shared" si="40"/>
        <v>0</v>
      </c>
      <c r="W110" s="49">
        <f t="shared" si="41"/>
        <v>6.4765823860610217E-4</v>
      </c>
      <c r="X110" s="44">
        <f t="shared" si="42"/>
        <v>95.887816442755479</v>
      </c>
      <c r="Y110" s="44">
        <f t="shared" si="43"/>
        <v>215.36</v>
      </c>
      <c r="Z110" s="44">
        <f t="shared" si="44"/>
        <v>645.06930899284532</v>
      </c>
      <c r="AA110" s="50">
        <f t="shared" si="45"/>
        <v>1243.0878164427554</v>
      </c>
      <c r="AB110" s="51">
        <f t="shared" si="46"/>
        <v>603.0375890369686</v>
      </c>
      <c r="AC110" s="44">
        <f t="shared" si="47"/>
        <v>1162.0901340962469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4.8904801447653607</v>
      </c>
      <c r="AP110" s="47">
        <f t="shared" si="56"/>
        <v>2.791571493573179</v>
      </c>
    </row>
    <row r="111" spans="2:42">
      <c r="B111" s="37"/>
      <c r="C111" s="61"/>
      <c r="D111" s="61"/>
      <c r="E111" s="38" t="s">
        <v>850</v>
      </c>
      <c r="F111" s="39" t="s">
        <v>851</v>
      </c>
      <c r="G111" s="39">
        <v>45</v>
      </c>
      <c r="H111" s="39"/>
      <c r="I111" s="40" t="s">
        <v>283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 t="s">
        <v>852</v>
      </c>
      <c r="F112" s="39" t="s">
        <v>853</v>
      </c>
      <c r="G112" s="39">
        <v>45</v>
      </c>
      <c r="H112" s="39"/>
      <c r="I112" s="40" t="s">
        <v>283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 t="s">
        <v>854</v>
      </c>
      <c r="F113" s="39" t="s">
        <v>855</v>
      </c>
      <c r="G113" s="39">
        <v>45</v>
      </c>
      <c r="H113" s="39"/>
      <c r="I113" s="40" t="s">
        <v>283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1.7196037575107637</v>
      </c>
      <c r="V113" s="48">
        <f t="shared" si="40"/>
        <v>0.12000000000000001</v>
      </c>
      <c r="W113" s="49">
        <f t="shared" si="41"/>
        <v>3.8213416833572524E-2</v>
      </c>
      <c r="X113" s="44">
        <f t="shared" si="42"/>
        <v>5657.6152059367641</v>
      </c>
      <c r="Y113" s="44">
        <f t="shared" si="43"/>
        <v>40562.410000000003</v>
      </c>
      <c r="Z113" s="44">
        <f t="shared" si="44"/>
        <v>38060.66366752451</v>
      </c>
      <c r="AA113" s="50">
        <f t="shared" si="45"/>
        <v>73345.215205936765</v>
      </c>
      <c r="AB113" s="51">
        <f t="shared" si="46"/>
        <v>35580.689602247832</v>
      </c>
      <c r="AC113" s="44">
        <f t="shared" si="47"/>
        <v>68566.154254404755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4.8904801447653616</v>
      </c>
      <c r="AP113" s="47">
        <f t="shared" si="56"/>
        <v>2.7915714935731781</v>
      </c>
    </row>
    <row r="114" spans="2:42">
      <c r="B114" s="37"/>
      <c r="C114" s="61"/>
      <c r="D114" s="61"/>
      <c r="E114" s="38" t="s">
        <v>856</v>
      </c>
      <c r="F114" s="39" t="s">
        <v>857</v>
      </c>
      <c r="G114" s="39">
        <v>45</v>
      </c>
      <c r="H114" s="39"/>
      <c r="I114" s="40" t="s">
        <v>283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3.5373927749809228E-2</v>
      </c>
      <c r="V114" s="48">
        <f t="shared" si="40"/>
        <v>0</v>
      </c>
      <c r="W114" s="49">
        <f t="shared" si="41"/>
        <v>7.86087283329094E-4</v>
      </c>
      <c r="X114" s="44">
        <f t="shared" si="42"/>
        <v>116.38266702832351</v>
      </c>
      <c r="Y114" s="44">
        <f t="shared" si="43"/>
        <v>481.20000000000005</v>
      </c>
      <c r="Z114" s="44">
        <f t="shared" si="44"/>
        <v>782.94500160533289</v>
      </c>
      <c r="AA114" s="50">
        <f t="shared" si="45"/>
        <v>1508.7826670283237</v>
      </c>
      <c r="AB114" s="51">
        <f t="shared" si="46"/>
        <v>731.92951444828725</v>
      </c>
      <c r="AC114" s="44">
        <f t="shared" si="47"/>
        <v>1410.4727185456891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4.8904801447653607</v>
      </c>
      <c r="AP114" s="47">
        <f t="shared" si="56"/>
        <v>2.7915714935731786</v>
      </c>
    </row>
    <row r="115" spans="2:42">
      <c r="B115" s="37"/>
      <c r="C115" s="61"/>
      <c r="D115" s="61"/>
      <c r="E115" s="38" t="s">
        <v>858</v>
      </c>
      <c r="F115" s="39" t="s">
        <v>859</v>
      </c>
      <c r="G115" s="39">
        <v>45</v>
      </c>
      <c r="H115" s="39"/>
      <c r="I115" s="40" t="s">
        <v>283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 t="s">
        <v>860</v>
      </c>
      <c r="F116" s="39" t="s">
        <v>861</v>
      </c>
      <c r="G116" s="39">
        <v>45</v>
      </c>
      <c r="H116" s="39"/>
      <c r="I116" s="40" t="s">
        <v>283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 t="s">
        <v>862</v>
      </c>
      <c r="F117" s="39" t="s">
        <v>863</v>
      </c>
      <c r="G117" s="39">
        <v>15</v>
      </c>
      <c r="H117" s="39"/>
      <c r="I117" s="40" t="s">
        <v>283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1.5327685824752157E-3</v>
      </c>
      <c r="V117" s="48">
        <f t="shared" si="40"/>
        <v>0.37</v>
      </c>
      <c r="W117" s="49">
        <f t="shared" si="41"/>
        <v>1.0218457216501438E-4</v>
      </c>
      <c r="X117" s="44">
        <f t="shared" si="42"/>
        <v>15.12874370304981</v>
      </c>
      <c r="Y117" s="44">
        <f t="shared" si="43"/>
        <v>610</v>
      </c>
      <c r="Z117" s="44">
        <f t="shared" si="44"/>
        <v>101.77610262177912</v>
      </c>
      <c r="AA117" s="50">
        <f t="shared" si="45"/>
        <v>975.12874370304985</v>
      </c>
      <c r="AB117" s="51">
        <f t="shared" si="46"/>
        <v>95.144528953705816</v>
      </c>
      <c r="AC117" s="44">
        <f t="shared" si="47"/>
        <v>911.59086071146089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1.971322471118621</v>
      </c>
      <c r="AP117" s="47">
        <f t="shared" si="56"/>
        <v>0.22632587887339961</v>
      </c>
    </row>
    <row r="118" spans="2:42">
      <c r="B118" s="37"/>
      <c r="C118" s="61"/>
      <c r="D118" s="61"/>
      <c r="E118" s="38" t="s">
        <v>864</v>
      </c>
      <c r="F118" s="39" t="s">
        <v>865</v>
      </c>
      <c r="G118" s="39">
        <v>15</v>
      </c>
      <c r="H118" s="39"/>
      <c r="I118" s="40" t="s">
        <v>283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4.1054486673148318E-4</v>
      </c>
      <c r="V118" s="48">
        <f t="shared" si="40"/>
        <v>0.37</v>
      </c>
      <c r="W118" s="49">
        <f t="shared" si="41"/>
        <v>2.7369657782098879E-5</v>
      </c>
      <c r="X118" s="44">
        <f t="shared" si="42"/>
        <v>4.0521629542754409</v>
      </c>
      <c r="Y118" s="44">
        <f t="shared" si="43"/>
        <v>353.1</v>
      </c>
      <c r="Z118" s="44">
        <f t="shared" si="44"/>
        <v>27.260251133170453</v>
      </c>
      <c r="AA118" s="50">
        <f t="shared" si="45"/>
        <v>707.15216295427547</v>
      </c>
      <c r="AB118" s="51">
        <f t="shared" si="46"/>
        <v>25.484015268926289</v>
      </c>
      <c r="AC118" s="44">
        <f t="shared" si="47"/>
        <v>661.0752201124385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1.7968040469634026</v>
      </c>
      <c r="AP118" s="47">
        <f t="shared" si="56"/>
        <v>7.6192176642660051E-2</v>
      </c>
    </row>
    <row r="119" spans="2:42">
      <c r="B119" s="37"/>
      <c r="C119" s="61"/>
      <c r="D119" s="61"/>
      <c r="E119" s="38" t="s">
        <v>866</v>
      </c>
      <c r="F119" s="39" t="s">
        <v>867</v>
      </c>
      <c r="G119" s="39">
        <v>15</v>
      </c>
      <c r="H119" s="39"/>
      <c r="I119" s="40" t="s">
        <v>283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2.5027880957013359E-3</v>
      </c>
      <c r="V119" s="48">
        <f t="shared" si="40"/>
        <v>0.37</v>
      </c>
      <c r="W119" s="49">
        <f t="shared" si="41"/>
        <v>1.6685253971342239E-4</v>
      </c>
      <c r="X119" s="44">
        <f t="shared" si="42"/>
        <v>24.703037415970691</v>
      </c>
      <c r="Y119" s="44">
        <f t="shared" si="43"/>
        <v>261.20000000000005</v>
      </c>
      <c r="Z119" s="44">
        <f t="shared" si="44"/>
        <v>166.18556837674814</v>
      </c>
      <c r="AA119" s="50">
        <f t="shared" si="45"/>
        <v>635.90303741597074</v>
      </c>
      <c r="AB119" s="51">
        <f t="shared" si="46"/>
        <v>155.35717339136966</v>
      </c>
      <c r="AC119" s="44">
        <f t="shared" si="47"/>
        <v>594.46857756003612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1.9642991147953857</v>
      </c>
      <c r="AP119" s="47">
        <f t="shared" si="56"/>
        <v>0.56468039970179507</v>
      </c>
    </row>
    <row r="120" spans="2:42">
      <c r="B120" s="37"/>
      <c r="C120" s="61"/>
      <c r="D120" s="61"/>
      <c r="E120" s="38" t="s">
        <v>868</v>
      </c>
      <c r="F120" s="39" t="s">
        <v>869</v>
      </c>
      <c r="G120" s="39">
        <v>18</v>
      </c>
      <c r="H120" s="39"/>
      <c r="I120" s="40" t="s">
        <v>283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0.19657375995182699</v>
      </c>
      <c r="V120" s="48">
        <f t="shared" si="40"/>
        <v>99</v>
      </c>
      <c r="W120" s="49">
        <f t="shared" si="41"/>
        <v>1.0920764441768167E-2</v>
      </c>
      <c r="X120" s="44">
        <f t="shared" si="42"/>
        <v>1616.8531391811907</v>
      </c>
      <c r="Y120" s="44">
        <f t="shared" si="43"/>
        <v>3403.4699999999993</v>
      </c>
      <c r="Z120" s="44">
        <f t="shared" si="44"/>
        <v>10877.110105611575</v>
      </c>
      <c r="AA120" s="50">
        <f t="shared" si="45"/>
        <v>18635.853139181192</v>
      </c>
      <c r="AB120" s="51">
        <f t="shared" si="46"/>
        <v>10168.374409284448</v>
      </c>
      <c r="AC120" s="44">
        <f t="shared" si="47"/>
        <v>17421.569729065337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2.2771818996062199</v>
      </c>
      <c r="AP120" s="47">
        <f t="shared" si="56"/>
        <v>1.4620245112627002</v>
      </c>
    </row>
    <row r="121" spans="2:42">
      <c r="B121" s="37"/>
      <c r="C121" s="61"/>
      <c r="D121" s="61"/>
      <c r="E121" s="38" t="s">
        <v>870</v>
      </c>
      <c r="F121" s="39" t="s">
        <v>871</v>
      </c>
      <c r="G121" s="39">
        <v>18</v>
      </c>
      <c r="H121" s="39"/>
      <c r="I121" s="40" t="s">
        <v>283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7">G132+H132</f>
        <v>0</v>
      </c>
      <c r="U132" s="47">
        <f t="shared" ref="U132:U195" si="58">(O132/$A$10)*T132</f>
        <v>0</v>
      </c>
      <c r="V132" s="48">
        <f t="shared" ref="V132:V195" si="59">N132-M132</f>
        <v>0</v>
      </c>
      <c r="W132" s="49">
        <f t="shared" ref="W132:W195" si="60">(O132/A$10)</f>
        <v>0</v>
      </c>
      <c r="X132" s="44">
        <f t="shared" ref="X132:X195" si="61">W132*A$8</f>
        <v>0</v>
      </c>
      <c r="Y132" s="44">
        <f t="shared" ref="Y132:Y195" si="62">Q132-P132</f>
        <v>0</v>
      </c>
      <c r="Z132" s="44">
        <f t="shared" ref="Z132:Z195" si="63">X132+(A$6*W132)</f>
        <v>0</v>
      </c>
      <c r="AA132" s="50">
        <f t="shared" ref="AA132:AA195" si="64">Q132+X132</f>
        <v>0</v>
      </c>
      <c r="AB132" s="51">
        <f t="shared" ref="AB132:AB195" si="65">Z132/(1+ElecDiscountRate)^1</f>
        <v>0</v>
      </c>
      <c r="AC132" s="44">
        <f t="shared" ref="AC132:AC195" si="66">AA132/(1+ElecDiscountRate)^1</f>
        <v>0</v>
      </c>
      <c r="AD132" s="44">
        <f t="shared" ref="AD132:AD195" si="67">-PV(ElecDiscountRate,T132,R132)*J132</f>
        <v>0</v>
      </c>
      <c r="AE132" s="44">
        <f t="shared" ref="AE132:AE195" si="68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69">AF132*J132*K132</f>
        <v>#N/A</v>
      </c>
      <c r="AH132" s="52" t="e">
        <f>HLOOKUP(I132,ElecAvoidedCostsWOCC!$A$5:$Q$50,T132+1,FALSE)</f>
        <v>#N/A</v>
      </c>
      <c r="AI132" s="44" t="e">
        <f t="shared" ref="AI132:AI195" si="70">AH132*J132*L132</f>
        <v>#N/A</v>
      </c>
      <c r="AJ132" s="44" t="e">
        <f t="shared" ref="AJ132:AJ195" si="71">AG132+AI132</f>
        <v>#N/A</v>
      </c>
      <c r="AK132" s="44" t="e">
        <f>HLOOKUP(I132,ElecAvoidedCostsWOCC!$A$5:$Q$50,G132+1,FALSE)*J132*L132</f>
        <v>#N/A</v>
      </c>
      <c r="AL132" s="44" t="e">
        <f t="shared" ref="AL132:AL195" si="72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3">AM132*1.1+AD132+AE132</f>
        <v>0</v>
      </c>
      <c r="AO132" s="47">
        <f t="shared" ref="AO132:AO195" si="74">IFERROR(AM132/AB132,0)</f>
        <v>0</v>
      </c>
      <c r="AP132" s="47" t="e">
        <f t="shared" ref="AP132:AP195" si="75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7"/>
        <v>0</v>
      </c>
      <c r="U133" s="47">
        <f t="shared" si="58"/>
        <v>0</v>
      </c>
      <c r="V133" s="48">
        <f t="shared" si="59"/>
        <v>0</v>
      </c>
      <c r="W133" s="49">
        <f t="shared" si="60"/>
        <v>0</v>
      </c>
      <c r="X133" s="44">
        <f t="shared" si="61"/>
        <v>0</v>
      </c>
      <c r="Y133" s="44">
        <f t="shared" si="62"/>
        <v>0</v>
      </c>
      <c r="Z133" s="44">
        <f t="shared" si="63"/>
        <v>0</v>
      </c>
      <c r="AA133" s="50">
        <f t="shared" si="64"/>
        <v>0</v>
      </c>
      <c r="AB133" s="51">
        <f t="shared" si="65"/>
        <v>0</v>
      </c>
      <c r="AC133" s="44">
        <f t="shared" si="66"/>
        <v>0</v>
      </c>
      <c r="AD133" s="44">
        <f t="shared" si="67"/>
        <v>0</v>
      </c>
      <c r="AE133" s="44">
        <f t="shared" si="68"/>
        <v>0</v>
      </c>
      <c r="AF133" s="52" t="e">
        <f>HLOOKUP(I133,ElecAvoidedCostsWOCC!$A$5:$Q$50,G133+1,FALSE)</f>
        <v>#N/A</v>
      </c>
      <c r="AG133" s="44" t="e">
        <f t="shared" si="69"/>
        <v>#N/A</v>
      </c>
      <c r="AH133" s="52" t="e">
        <f>HLOOKUP(I133,ElecAvoidedCostsWOCC!$A$5:$Q$50,T133+1,FALSE)</f>
        <v>#N/A</v>
      </c>
      <c r="AI133" s="44" t="e">
        <f t="shared" si="70"/>
        <v>#N/A</v>
      </c>
      <c r="AJ133" s="44" t="e">
        <f t="shared" si="71"/>
        <v>#N/A</v>
      </c>
      <c r="AK133" s="44" t="e">
        <f>HLOOKUP(I133,ElecAvoidedCostsWOCC!$A$5:$Q$50,G133+1,FALSE)*J133*L133</f>
        <v>#N/A</v>
      </c>
      <c r="AL133" s="44" t="e">
        <f t="shared" si="72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3"/>
        <v>0</v>
      </c>
      <c r="AO133" s="47">
        <f t="shared" si="74"/>
        <v>0</v>
      </c>
      <c r="AP133" s="47" t="e">
        <f t="shared" si="75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7"/>
        <v>0</v>
      </c>
      <c r="U134" s="47">
        <f t="shared" si="58"/>
        <v>0</v>
      </c>
      <c r="V134" s="48">
        <f t="shared" si="59"/>
        <v>0</v>
      </c>
      <c r="W134" s="49">
        <f t="shared" si="60"/>
        <v>0</v>
      </c>
      <c r="X134" s="44">
        <f t="shared" si="61"/>
        <v>0</v>
      </c>
      <c r="Y134" s="44">
        <f t="shared" si="62"/>
        <v>0</v>
      </c>
      <c r="Z134" s="44">
        <f t="shared" si="63"/>
        <v>0</v>
      </c>
      <c r="AA134" s="50">
        <f t="shared" si="64"/>
        <v>0</v>
      </c>
      <c r="AB134" s="51">
        <f t="shared" si="65"/>
        <v>0</v>
      </c>
      <c r="AC134" s="44">
        <f t="shared" si="66"/>
        <v>0</v>
      </c>
      <c r="AD134" s="44">
        <f t="shared" si="67"/>
        <v>0</v>
      </c>
      <c r="AE134" s="44">
        <f t="shared" si="68"/>
        <v>0</v>
      </c>
      <c r="AF134" s="52" t="e">
        <f>HLOOKUP(I134,ElecAvoidedCostsWOCC!$A$5:$Q$50,G134+1,FALSE)</f>
        <v>#N/A</v>
      </c>
      <c r="AG134" s="44" t="e">
        <f t="shared" si="69"/>
        <v>#N/A</v>
      </c>
      <c r="AH134" s="52" t="e">
        <f>HLOOKUP(I134,ElecAvoidedCostsWOCC!$A$5:$Q$50,T134+1,FALSE)</f>
        <v>#N/A</v>
      </c>
      <c r="AI134" s="44" t="e">
        <f t="shared" si="70"/>
        <v>#N/A</v>
      </c>
      <c r="AJ134" s="44" t="e">
        <f t="shared" si="71"/>
        <v>#N/A</v>
      </c>
      <c r="AK134" s="44" t="e">
        <f>HLOOKUP(I134,ElecAvoidedCostsWOCC!$A$5:$Q$50,G134+1,FALSE)*J134*L134</f>
        <v>#N/A</v>
      </c>
      <c r="AL134" s="44" t="e">
        <f t="shared" si="72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3"/>
        <v>0</v>
      </c>
      <c r="AO134" s="47">
        <f t="shared" si="74"/>
        <v>0</v>
      </c>
      <c r="AP134" s="47" t="e">
        <f t="shared" si="75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7"/>
        <v>0</v>
      </c>
      <c r="U135" s="47">
        <f t="shared" si="58"/>
        <v>0</v>
      </c>
      <c r="V135" s="48">
        <f t="shared" si="59"/>
        <v>0</v>
      </c>
      <c r="W135" s="49">
        <f t="shared" si="60"/>
        <v>0</v>
      </c>
      <c r="X135" s="44">
        <f t="shared" si="61"/>
        <v>0</v>
      </c>
      <c r="Y135" s="44">
        <f t="shared" si="62"/>
        <v>0</v>
      </c>
      <c r="Z135" s="44">
        <f t="shared" si="63"/>
        <v>0</v>
      </c>
      <c r="AA135" s="50">
        <f t="shared" si="64"/>
        <v>0</v>
      </c>
      <c r="AB135" s="51">
        <f t="shared" si="65"/>
        <v>0</v>
      </c>
      <c r="AC135" s="44">
        <f t="shared" si="66"/>
        <v>0</v>
      </c>
      <c r="AD135" s="44">
        <f t="shared" si="67"/>
        <v>0</v>
      </c>
      <c r="AE135" s="44">
        <f t="shared" si="68"/>
        <v>0</v>
      </c>
      <c r="AF135" s="52" t="e">
        <f>HLOOKUP(I135,ElecAvoidedCostsWOCC!$A$5:$Q$50,G135+1,FALSE)</f>
        <v>#N/A</v>
      </c>
      <c r="AG135" s="44" t="e">
        <f t="shared" si="69"/>
        <v>#N/A</v>
      </c>
      <c r="AH135" s="52" t="e">
        <f>HLOOKUP(I135,ElecAvoidedCostsWOCC!$A$5:$Q$50,T135+1,FALSE)</f>
        <v>#N/A</v>
      </c>
      <c r="AI135" s="44" t="e">
        <f t="shared" si="70"/>
        <v>#N/A</v>
      </c>
      <c r="AJ135" s="44" t="e">
        <f t="shared" si="71"/>
        <v>#N/A</v>
      </c>
      <c r="AK135" s="44" t="e">
        <f>HLOOKUP(I135,ElecAvoidedCostsWOCC!$A$5:$Q$50,G135+1,FALSE)*J135*L135</f>
        <v>#N/A</v>
      </c>
      <c r="AL135" s="44" t="e">
        <f t="shared" si="72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3"/>
        <v>0</v>
      </c>
      <c r="AO135" s="47">
        <f t="shared" si="74"/>
        <v>0</v>
      </c>
      <c r="AP135" s="47" t="e">
        <f t="shared" si="75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7"/>
        <v>0</v>
      </c>
      <c r="U136" s="47">
        <f t="shared" si="58"/>
        <v>0</v>
      </c>
      <c r="V136" s="48">
        <f t="shared" si="59"/>
        <v>0</v>
      </c>
      <c r="W136" s="49">
        <f t="shared" si="60"/>
        <v>0</v>
      </c>
      <c r="X136" s="44">
        <f t="shared" si="61"/>
        <v>0</v>
      </c>
      <c r="Y136" s="44">
        <f t="shared" si="62"/>
        <v>0</v>
      </c>
      <c r="Z136" s="44">
        <f t="shared" si="63"/>
        <v>0</v>
      </c>
      <c r="AA136" s="50">
        <f t="shared" si="64"/>
        <v>0</v>
      </c>
      <c r="AB136" s="51">
        <f t="shared" si="65"/>
        <v>0</v>
      </c>
      <c r="AC136" s="44">
        <f t="shared" si="66"/>
        <v>0</v>
      </c>
      <c r="AD136" s="44">
        <f t="shared" si="67"/>
        <v>0</v>
      </c>
      <c r="AE136" s="44">
        <f t="shared" si="68"/>
        <v>0</v>
      </c>
      <c r="AF136" s="52" t="e">
        <f>HLOOKUP(I136,ElecAvoidedCostsWOCC!$A$5:$Q$50,G136+1,FALSE)</f>
        <v>#N/A</v>
      </c>
      <c r="AG136" s="44" t="e">
        <f t="shared" si="69"/>
        <v>#N/A</v>
      </c>
      <c r="AH136" s="52" t="e">
        <f>HLOOKUP(I136,ElecAvoidedCostsWOCC!$A$5:$Q$50,T136+1,FALSE)</f>
        <v>#N/A</v>
      </c>
      <c r="AI136" s="44" t="e">
        <f t="shared" si="70"/>
        <v>#N/A</v>
      </c>
      <c r="AJ136" s="44" t="e">
        <f t="shared" si="71"/>
        <v>#N/A</v>
      </c>
      <c r="AK136" s="44" t="e">
        <f>HLOOKUP(I136,ElecAvoidedCostsWOCC!$A$5:$Q$50,G136+1,FALSE)*J136*L136</f>
        <v>#N/A</v>
      </c>
      <c r="AL136" s="44" t="e">
        <f t="shared" si="72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3"/>
        <v>0</v>
      </c>
      <c r="AO136" s="47">
        <f t="shared" si="74"/>
        <v>0</v>
      </c>
      <c r="AP136" s="47" t="e">
        <f t="shared" si="75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7"/>
        <v>0</v>
      </c>
      <c r="U137" s="47">
        <f t="shared" si="58"/>
        <v>0</v>
      </c>
      <c r="V137" s="48">
        <f t="shared" si="59"/>
        <v>0</v>
      </c>
      <c r="W137" s="49">
        <f t="shared" si="60"/>
        <v>0</v>
      </c>
      <c r="X137" s="44">
        <f t="shared" si="61"/>
        <v>0</v>
      </c>
      <c r="Y137" s="44">
        <f t="shared" si="62"/>
        <v>0</v>
      </c>
      <c r="Z137" s="44">
        <f t="shared" si="63"/>
        <v>0</v>
      </c>
      <c r="AA137" s="50">
        <f t="shared" si="64"/>
        <v>0</v>
      </c>
      <c r="AB137" s="51">
        <f t="shared" si="65"/>
        <v>0</v>
      </c>
      <c r="AC137" s="44">
        <f t="shared" si="66"/>
        <v>0</v>
      </c>
      <c r="AD137" s="44">
        <f t="shared" si="67"/>
        <v>0</v>
      </c>
      <c r="AE137" s="44">
        <f t="shared" si="68"/>
        <v>0</v>
      </c>
      <c r="AF137" s="52" t="e">
        <f>HLOOKUP(I137,ElecAvoidedCostsWOCC!$A$5:$Q$50,G137+1,FALSE)</f>
        <v>#N/A</v>
      </c>
      <c r="AG137" s="44" t="e">
        <f t="shared" si="69"/>
        <v>#N/A</v>
      </c>
      <c r="AH137" s="52" t="e">
        <f>HLOOKUP(I137,ElecAvoidedCostsWOCC!$A$5:$Q$50,T137+1,FALSE)</f>
        <v>#N/A</v>
      </c>
      <c r="AI137" s="44" t="e">
        <f t="shared" si="70"/>
        <v>#N/A</v>
      </c>
      <c r="AJ137" s="44" t="e">
        <f t="shared" si="71"/>
        <v>#N/A</v>
      </c>
      <c r="AK137" s="44" t="e">
        <f>HLOOKUP(I137,ElecAvoidedCostsWOCC!$A$5:$Q$50,G137+1,FALSE)*J137*L137</f>
        <v>#N/A</v>
      </c>
      <c r="AL137" s="44" t="e">
        <f t="shared" si="72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3"/>
        <v>0</v>
      </c>
      <c r="AO137" s="47">
        <f t="shared" si="74"/>
        <v>0</v>
      </c>
      <c r="AP137" s="47" t="e">
        <f t="shared" si="75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7"/>
        <v>0</v>
      </c>
      <c r="U138" s="47">
        <f t="shared" si="58"/>
        <v>0</v>
      </c>
      <c r="V138" s="48">
        <f t="shared" si="59"/>
        <v>0</v>
      </c>
      <c r="W138" s="49">
        <f t="shared" si="60"/>
        <v>0</v>
      </c>
      <c r="X138" s="44">
        <f t="shared" si="61"/>
        <v>0</v>
      </c>
      <c r="Y138" s="44">
        <f t="shared" si="62"/>
        <v>0</v>
      </c>
      <c r="Z138" s="44">
        <f t="shared" si="63"/>
        <v>0</v>
      </c>
      <c r="AA138" s="50">
        <f t="shared" si="64"/>
        <v>0</v>
      </c>
      <c r="AB138" s="51">
        <f t="shared" si="65"/>
        <v>0</v>
      </c>
      <c r="AC138" s="44">
        <f t="shared" si="66"/>
        <v>0</v>
      </c>
      <c r="AD138" s="44">
        <f t="shared" si="67"/>
        <v>0</v>
      </c>
      <c r="AE138" s="44">
        <f t="shared" si="68"/>
        <v>0</v>
      </c>
      <c r="AF138" s="52" t="e">
        <f>HLOOKUP(I138,ElecAvoidedCostsWOCC!$A$5:$Q$50,G138+1,FALSE)</f>
        <v>#N/A</v>
      </c>
      <c r="AG138" s="44" t="e">
        <f t="shared" si="69"/>
        <v>#N/A</v>
      </c>
      <c r="AH138" s="52" t="e">
        <f>HLOOKUP(I138,ElecAvoidedCostsWOCC!$A$5:$Q$50,T138+1,FALSE)</f>
        <v>#N/A</v>
      </c>
      <c r="AI138" s="44" t="e">
        <f t="shared" si="70"/>
        <v>#N/A</v>
      </c>
      <c r="AJ138" s="44" t="e">
        <f t="shared" si="71"/>
        <v>#N/A</v>
      </c>
      <c r="AK138" s="44" t="e">
        <f>HLOOKUP(I138,ElecAvoidedCostsWOCC!$A$5:$Q$50,G138+1,FALSE)*J138*L138</f>
        <v>#N/A</v>
      </c>
      <c r="AL138" s="44" t="e">
        <f t="shared" si="7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3"/>
        <v>0</v>
      </c>
      <c r="AO138" s="47">
        <f t="shared" si="74"/>
        <v>0</v>
      </c>
      <c r="AP138" s="47" t="e">
        <f t="shared" si="75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7"/>
        <v>0</v>
      </c>
      <c r="U139" s="47">
        <f t="shared" si="58"/>
        <v>0</v>
      </c>
      <c r="V139" s="48">
        <f t="shared" si="59"/>
        <v>0</v>
      </c>
      <c r="W139" s="49">
        <f t="shared" si="60"/>
        <v>0</v>
      </c>
      <c r="X139" s="44">
        <f t="shared" si="61"/>
        <v>0</v>
      </c>
      <c r="Y139" s="44">
        <f t="shared" si="62"/>
        <v>0</v>
      </c>
      <c r="Z139" s="44">
        <f t="shared" si="63"/>
        <v>0</v>
      </c>
      <c r="AA139" s="50">
        <f t="shared" si="64"/>
        <v>0</v>
      </c>
      <c r="AB139" s="51">
        <f t="shared" si="65"/>
        <v>0</v>
      </c>
      <c r="AC139" s="44">
        <f t="shared" si="66"/>
        <v>0</v>
      </c>
      <c r="AD139" s="44">
        <f t="shared" si="67"/>
        <v>0</v>
      </c>
      <c r="AE139" s="44">
        <f t="shared" si="68"/>
        <v>0</v>
      </c>
      <c r="AF139" s="52" t="e">
        <f>HLOOKUP(I139,ElecAvoidedCostsWOCC!$A$5:$Q$50,G139+1,FALSE)</f>
        <v>#N/A</v>
      </c>
      <c r="AG139" s="44" t="e">
        <f t="shared" si="69"/>
        <v>#N/A</v>
      </c>
      <c r="AH139" s="52" t="e">
        <f>HLOOKUP(I139,ElecAvoidedCostsWOCC!$A$5:$Q$50,T139+1,FALSE)</f>
        <v>#N/A</v>
      </c>
      <c r="AI139" s="44" t="e">
        <f t="shared" si="70"/>
        <v>#N/A</v>
      </c>
      <c r="AJ139" s="44" t="e">
        <f t="shared" si="71"/>
        <v>#N/A</v>
      </c>
      <c r="AK139" s="44" t="e">
        <f>HLOOKUP(I139,ElecAvoidedCostsWOCC!$A$5:$Q$50,G139+1,FALSE)*J139*L139</f>
        <v>#N/A</v>
      </c>
      <c r="AL139" s="44" t="e">
        <f t="shared" si="7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3"/>
        <v>0</v>
      </c>
      <c r="AO139" s="47">
        <f t="shared" si="74"/>
        <v>0</v>
      </c>
      <c r="AP139" s="47" t="e">
        <f t="shared" si="75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7"/>
        <v>0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0</v>
      </c>
      <c r="Z140" s="44">
        <f t="shared" si="63"/>
        <v>0</v>
      </c>
      <c r="AA140" s="50">
        <f t="shared" si="64"/>
        <v>0</v>
      </c>
      <c r="AB140" s="51">
        <f t="shared" si="65"/>
        <v>0</v>
      </c>
      <c r="AC140" s="44">
        <f t="shared" si="66"/>
        <v>0</v>
      </c>
      <c r="AD140" s="44">
        <f t="shared" si="67"/>
        <v>0</v>
      </c>
      <c r="AE140" s="44">
        <f t="shared" si="68"/>
        <v>0</v>
      </c>
      <c r="AF140" s="52" t="e">
        <f>HLOOKUP(I140,ElecAvoidedCostsWOCC!$A$5:$Q$50,G140+1,FALSE)</f>
        <v>#N/A</v>
      </c>
      <c r="AG140" s="44" t="e">
        <f t="shared" si="69"/>
        <v>#N/A</v>
      </c>
      <c r="AH140" s="52" t="e">
        <f>HLOOKUP(I140,ElecAvoidedCostsWOCC!$A$5:$Q$50,T140+1,FALSE)</f>
        <v>#N/A</v>
      </c>
      <c r="AI140" s="44" t="e">
        <f t="shared" si="70"/>
        <v>#N/A</v>
      </c>
      <c r="AJ140" s="44" t="e">
        <f t="shared" si="71"/>
        <v>#N/A</v>
      </c>
      <c r="AK140" s="44" t="e">
        <f>HLOOKUP(I140,ElecAvoidedCostsWOCC!$A$5:$Q$50,G140+1,FALSE)*J140*L140</f>
        <v>#N/A</v>
      </c>
      <c r="AL140" s="44" t="e">
        <f t="shared" si="7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 t="e">
        <f t="shared" si="75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7"/>
        <v>0</v>
      </c>
      <c r="U141" s="47">
        <f t="shared" si="58"/>
        <v>0</v>
      </c>
      <c r="V141" s="48">
        <f t="shared" si="59"/>
        <v>0</v>
      </c>
      <c r="W141" s="49">
        <f t="shared" si="60"/>
        <v>0</v>
      </c>
      <c r="X141" s="44">
        <f t="shared" si="61"/>
        <v>0</v>
      </c>
      <c r="Y141" s="44">
        <f t="shared" si="62"/>
        <v>0</v>
      </c>
      <c r="Z141" s="44">
        <f t="shared" si="63"/>
        <v>0</v>
      </c>
      <c r="AA141" s="50">
        <f t="shared" si="64"/>
        <v>0</v>
      </c>
      <c r="AB141" s="51">
        <f t="shared" si="65"/>
        <v>0</v>
      </c>
      <c r="AC141" s="44">
        <f t="shared" si="66"/>
        <v>0</v>
      </c>
      <c r="AD141" s="44">
        <f t="shared" si="67"/>
        <v>0</v>
      </c>
      <c r="AE141" s="44">
        <f t="shared" si="68"/>
        <v>0</v>
      </c>
      <c r="AF141" s="52" t="e">
        <f>HLOOKUP(I141,ElecAvoidedCostsWOCC!$A$5:$Q$50,G141+1,FALSE)</f>
        <v>#N/A</v>
      </c>
      <c r="AG141" s="44" t="e">
        <f t="shared" si="69"/>
        <v>#N/A</v>
      </c>
      <c r="AH141" s="52" t="e">
        <f>HLOOKUP(I141,ElecAvoidedCostsWOCC!$A$5:$Q$50,T141+1,FALSE)</f>
        <v>#N/A</v>
      </c>
      <c r="AI141" s="44" t="e">
        <f t="shared" si="70"/>
        <v>#N/A</v>
      </c>
      <c r="AJ141" s="44" t="e">
        <f t="shared" si="71"/>
        <v>#N/A</v>
      </c>
      <c r="AK141" s="44" t="e">
        <f>HLOOKUP(I141,ElecAvoidedCostsWOCC!$A$5:$Q$50,G141+1,FALSE)*J141*L141</f>
        <v>#N/A</v>
      </c>
      <c r="AL141" s="44" t="e">
        <f t="shared" si="7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3"/>
        <v>0</v>
      </c>
      <c r="AO141" s="47">
        <f t="shared" si="74"/>
        <v>0</v>
      </c>
      <c r="AP141" s="47" t="e">
        <f t="shared" si="75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7"/>
        <v>0</v>
      </c>
      <c r="U142" s="47">
        <f t="shared" si="58"/>
        <v>0</v>
      </c>
      <c r="V142" s="48">
        <f t="shared" si="59"/>
        <v>0</v>
      </c>
      <c r="W142" s="49">
        <f t="shared" si="60"/>
        <v>0</v>
      </c>
      <c r="X142" s="44">
        <f t="shared" si="61"/>
        <v>0</v>
      </c>
      <c r="Y142" s="44">
        <f t="shared" si="62"/>
        <v>0</v>
      </c>
      <c r="Z142" s="44">
        <f t="shared" si="63"/>
        <v>0</v>
      </c>
      <c r="AA142" s="50">
        <f t="shared" si="64"/>
        <v>0</v>
      </c>
      <c r="AB142" s="51">
        <f t="shared" si="65"/>
        <v>0</v>
      </c>
      <c r="AC142" s="44">
        <f t="shared" si="66"/>
        <v>0</v>
      </c>
      <c r="AD142" s="44">
        <f t="shared" si="67"/>
        <v>0</v>
      </c>
      <c r="AE142" s="44">
        <f t="shared" si="68"/>
        <v>0</v>
      </c>
      <c r="AF142" s="52" t="e">
        <f>HLOOKUP(I142,ElecAvoidedCostsWOCC!$A$5:$Q$50,G142+1,FALSE)</f>
        <v>#N/A</v>
      </c>
      <c r="AG142" s="44" t="e">
        <f t="shared" si="69"/>
        <v>#N/A</v>
      </c>
      <c r="AH142" s="52" t="e">
        <f>HLOOKUP(I142,ElecAvoidedCostsWOCC!$A$5:$Q$50,T142+1,FALSE)</f>
        <v>#N/A</v>
      </c>
      <c r="AI142" s="44" t="e">
        <f t="shared" si="70"/>
        <v>#N/A</v>
      </c>
      <c r="AJ142" s="44" t="e">
        <f t="shared" si="71"/>
        <v>#N/A</v>
      </c>
      <c r="AK142" s="44" t="e">
        <f>HLOOKUP(I142,ElecAvoidedCostsWOCC!$A$5:$Q$50,G142+1,FALSE)*J142*L142</f>
        <v>#N/A</v>
      </c>
      <c r="AL142" s="44" t="e">
        <f t="shared" si="7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3"/>
        <v>0</v>
      </c>
      <c r="AO142" s="47">
        <f t="shared" si="74"/>
        <v>0</v>
      </c>
      <c r="AP142" s="47" t="e">
        <f t="shared" si="75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7"/>
        <v>0</v>
      </c>
      <c r="U143" s="47">
        <f t="shared" si="58"/>
        <v>0</v>
      </c>
      <c r="V143" s="48">
        <f t="shared" si="59"/>
        <v>0</v>
      </c>
      <c r="W143" s="49">
        <f t="shared" si="60"/>
        <v>0</v>
      </c>
      <c r="X143" s="44">
        <f t="shared" si="61"/>
        <v>0</v>
      </c>
      <c r="Y143" s="44">
        <f t="shared" si="62"/>
        <v>0</v>
      </c>
      <c r="Z143" s="44">
        <f t="shared" si="63"/>
        <v>0</v>
      </c>
      <c r="AA143" s="50">
        <f t="shared" si="64"/>
        <v>0</v>
      </c>
      <c r="AB143" s="51">
        <f t="shared" si="65"/>
        <v>0</v>
      </c>
      <c r="AC143" s="44">
        <f t="shared" si="66"/>
        <v>0</v>
      </c>
      <c r="AD143" s="44">
        <f t="shared" si="67"/>
        <v>0</v>
      </c>
      <c r="AE143" s="44">
        <f t="shared" si="68"/>
        <v>0</v>
      </c>
      <c r="AF143" s="52" t="e">
        <f>HLOOKUP(I143,ElecAvoidedCostsWOCC!$A$5:$Q$50,G143+1,FALSE)</f>
        <v>#N/A</v>
      </c>
      <c r="AG143" s="44" t="e">
        <f t="shared" si="69"/>
        <v>#N/A</v>
      </c>
      <c r="AH143" s="52" t="e">
        <f>HLOOKUP(I143,ElecAvoidedCostsWOCC!$A$5:$Q$50,T143+1,FALSE)</f>
        <v>#N/A</v>
      </c>
      <c r="AI143" s="44" t="e">
        <f t="shared" si="70"/>
        <v>#N/A</v>
      </c>
      <c r="AJ143" s="44" t="e">
        <f t="shared" si="71"/>
        <v>#N/A</v>
      </c>
      <c r="AK143" s="44" t="e">
        <f>HLOOKUP(I143,ElecAvoidedCostsWOCC!$A$5:$Q$50,G143+1,FALSE)*J143*L143</f>
        <v>#N/A</v>
      </c>
      <c r="AL143" s="44" t="e">
        <f t="shared" si="7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3"/>
        <v>0</v>
      </c>
      <c r="AO143" s="47">
        <f t="shared" si="74"/>
        <v>0</v>
      </c>
      <c r="AP143" s="47" t="e">
        <f t="shared" si="75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7"/>
        <v>0</v>
      </c>
      <c r="U144" s="47">
        <f t="shared" si="58"/>
        <v>0</v>
      </c>
      <c r="V144" s="48">
        <f t="shared" si="59"/>
        <v>0</v>
      </c>
      <c r="W144" s="49">
        <f t="shared" si="60"/>
        <v>0</v>
      </c>
      <c r="X144" s="44">
        <f t="shared" si="61"/>
        <v>0</v>
      </c>
      <c r="Y144" s="44">
        <f t="shared" si="62"/>
        <v>0</v>
      </c>
      <c r="Z144" s="44">
        <f t="shared" si="63"/>
        <v>0</v>
      </c>
      <c r="AA144" s="50">
        <f t="shared" si="64"/>
        <v>0</v>
      </c>
      <c r="AB144" s="51">
        <f t="shared" si="65"/>
        <v>0</v>
      </c>
      <c r="AC144" s="44">
        <f t="shared" si="66"/>
        <v>0</v>
      </c>
      <c r="AD144" s="44">
        <f t="shared" si="67"/>
        <v>0</v>
      </c>
      <c r="AE144" s="44">
        <f t="shared" si="68"/>
        <v>0</v>
      </c>
      <c r="AF144" s="52" t="e">
        <f>HLOOKUP(I144,ElecAvoidedCostsWOCC!$A$5:$Q$50,G144+1,FALSE)</f>
        <v>#N/A</v>
      </c>
      <c r="AG144" s="44" t="e">
        <f t="shared" si="69"/>
        <v>#N/A</v>
      </c>
      <c r="AH144" s="52" t="e">
        <f>HLOOKUP(I144,ElecAvoidedCostsWOCC!$A$5:$Q$50,T144+1,FALSE)</f>
        <v>#N/A</v>
      </c>
      <c r="AI144" s="44" t="e">
        <f t="shared" si="70"/>
        <v>#N/A</v>
      </c>
      <c r="AJ144" s="44" t="e">
        <f t="shared" si="71"/>
        <v>#N/A</v>
      </c>
      <c r="AK144" s="44" t="e">
        <f>HLOOKUP(I144,ElecAvoidedCostsWOCC!$A$5:$Q$50,G144+1,FALSE)*J144*L144</f>
        <v>#N/A</v>
      </c>
      <c r="AL144" s="44" t="e">
        <f t="shared" si="7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3"/>
        <v>0</v>
      </c>
      <c r="AO144" s="47">
        <f t="shared" si="74"/>
        <v>0</v>
      </c>
      <c r="AP144" s="47" t="e">
        <f t="shared" si="75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7"/>
        <v>0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0</v>
      </c>
      <c r="AB145" s="51">
        <f t="shared" si="65"/>
        <v>0</v>
      </c>
      <c r="AC145" s="44">
        <f t="shared" si="66"/>
        <v>0</v>
      </c>
      <c r="AD145" s="44">
        <f t="shared" si="67"/>
        <v>0</v>
      </c>
      <c r="AE145" s="44">
        <f t="shared" si="68"/>
        <v>0</v>
      </c>
      <c r="AF145" s="52" t="e">
        <f>HLOOKUP(I145,ElecAvoidedCostsWOCC!$A$5:$Q$50,G145+1,FALSE)</f>
        <v>#N/A</v>
      </c>
      <c r="AG145" s="44" t="e">
        <f t="shared" si="69"/>
        <v>#N/A</v>
      </c>
      <c r="AH145" s="52" t="e">
        <f>HLOOKUP(I145,ElecAvoidedCostsWOCC!$A$5:$Q$50,T145+1,FALSE)</f>
        <v>#N/A</v>
      </c>
      <c r="AI145" s="44" t="e">
        <f t="shared" si="70"/>
        <v>#N/A</v>
      </c>
      <c r="AJ145" s="44" t="e">
        <f t="shared" si="71"/>
        <v>#N/A</v>
      </c>
      <c r="AK145" s="44" t="e">
        <f>HLOOKUP(I145,ElecAvoidedCostsWOCC!$A$5:$Q$50,G145+1,FALSE)*J145*L145</f>
        <v>#N/A</v>
      </c>
      <c r="AL145" s="44" t="e">
        <f t="shared" si="7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 t="e">
        <f t="shared" si="75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7"/>
        <v>0</v>
      </c>
      <c r="U146" s="47">
        <f t="shared" si="58"/>
        <v>0</v>
      </c>
      <c r="V146" s="48">
        <f t="shared" si="59"/>
        <v>0</v>
      </c>
      <c r="W146" s="49">
        <f t="shared" si="60"/>
        <v>0</v>
      </c>
      <c r="X146" s="44">
        <f t="shared" si="61"/>
        <v>0</v>
      </c>
      <c r="Y146" s="44">
        <f t="shared" si="62"/>
        <v>0</v>
      </c>
      <c r="Z146" s="44">
        <f t="shared" si="63"/>
        <v>0</v>
      </c>
      <c r="AA146" s="50">
        <f t="shared" si="64"/>
        <v>0</v>
      </c>
      <c r="AB146" s="51">
        <f t="shared" si="65"/>
        <v>0</v>
      </c>
      <c r="AC146" s="44">
        <f t="shared" si="66"/>
        <v>0</v>
      </c>
      <c r="AD146" s="44">
        <f t="shared" si="67"/>
        <v>0</v>
      </c>
      <c r="AE146" s="44">
        <f t="shared" si="68"/>
        <v>0</v>
      </c>
      <c r="AF146" s="52" t="e">
        <f>HLOOKUP(I146,ElecAvoidedCostsWOCC!$A$5:$Q$50,G146+1,FALSE)</f>
        <v>#N/A</v>
      </c>
      <c r="AG146" s="44" t="e">
        <f t="shared" si="69"/>
        <v>#N/A</v>
      </c>
      <c r="AH146" s="52" t="e">
        <f>HLOOKUP(I146,ElecAvoidedCostsWOCC!$A$5:$Q$50,T146+1,FALSE)</f>
        <v>#N/A</v>
      </c>
      <c r="AI146" s="44" t="e">
        <f t="shared" si="70"/>
        <v>#N/A</v>
      </c>
      <c r="AJ146" s="44" t="e">
        <f t="shared" si="71"/>
        <v>#N/A</v>
      </c>
      <c r="AK146" s="44" t="e">
        <f>HLOOKUP(I146,ElecAvoidedCostsWOCC!$A$5:$Q$50,G146+1,FALSE)*J146*L146</f>
        <v>#N/A</v>
      </c>
      <c r="AL146" s="44" t="e">
        <f t="shared" si="7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3"/>
        <v>0</v>
      </c>
      <c r="AO146" s="47">
        <f t="shared" si="74"/>
        <v>0</v>
      </c>
      <c r="AP146" s="47" t="e">
        <f t="shared" si="75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7"/>
        <v>0</v>
      </c>
      <c r="U147" s="47">
        <f t="shared" si="58"/>
        <v>0</v>
      </c>
      <c r="V147" s="48">
        <f t="shared" si="59"/>
        <v>0</v>
      </c>
      <c r="W147" s="49">
        <f t="shared" si="60"/>
        <v>0</v>
      </c>
      <c r="X147" s="44">
        <f t="shared" si="61"/>
        <v>0</v>
      </c>
      <c r="Y147" s="44">
        <f t="shared" si="62"/>
        <v>0</v>
      </c>
      <c r="Z147" s="44">
        <f t="shared" si="63"/>
        <v>0</v>
      </c>
      <c r="AA147" s="50">
        <f t="shared" si="64"/>
        <v>0</v>
      </c>
      <c r="AB147" s="51">
        <f t="shared" si="65"/>
        <v>0</v>
      </c>
      <c r="AC147" s="44">
        <f t="shared" si="66"/>
        <v>0</v>
      </c>
      <c r="AD147" s="44">
        <f t="shared" si="67"/>
        <v>0</v>
      </c>
      <c r="AE147" s="44">
        <f t="shared" si="68"/>
        <v>0</v>
      </c>
      <c r="AF147" s="52" t="e">
        <f>HLOOKUP(I147,ElecAvoidedCostsWOCC!$A$5:$Q$50,G147+1,FALSE)</f>
        <v>#N/A</v>
      </c>
      <c r="AG147" s="44" t="e">
        <f t="shared" si="69"/>
        <v>#N/A</v>
      </c>
      <c r="AH147" s="52" t="e">
        <f>HLOOKUP(I147,ElecAvoidedCostsWOCC!$A$5:$Q$50,T147+1,FALSE)</f>
        <v>#N/A</v>
      </c>
      <c r="AI147" s="44" t="e">
        <f t="shared" si="70"/>
        <v>#N/A</v>
      </c>
      <c r="AJ147" s="44" t="e">
        <f t="shared" si="71"/>
        <v>#N/A</v>
      </c>
      <c r="AK147" s="44" t="e">
        <f>HLOOKUP(I147,ElecAvoidedCostsWOCC!$A$5:$Q$50,G147+1,FALSE)*J147*L147</f>
        <v>#N/A</v>
      </c>
      <c r="AL147" s="44" t="e">
        <f t="shared" si="7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3"/>
        <v>0</v>
      </c>
      <c r="AO147" s="47">
        <f t="shared" si="74"/>
        <v>0</v>
      </c>
      <c r="AP147" s="47" t="e">
        <f t="shared" si="75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HLOOKUP(I148,ElecAvoidedCostsWOCC!$A$5:$Q$50,G148+1,FALSE)</f>
        <v>#N/A</v>
      </c>
      <c r="AG148" s="44" t="e">
        <f t="shared" si="69"/>
        <v>#N/A</v>
      </c>
      <c r="AH148" s="52" t="e">
        <f>HLOOKUP(I148,ElecAvoidedCostsWOCC!$A$5:$Q$50,T148+1,FALSE)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HLOOKUP(I148,ElecAvoidedCostsWOCC!$A$5:$Q$50,G148+1,FALSE)*J148*L148</f>
        <v>#N/A</v>
      </c>
      <c r="AL148" s="44" t="e">
        <f t="shared" si="7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HLOOKUP(I149,ElecAvoidedCostsWOCC!$A$5:$Q$50,G149+1,FALSE)</f>
        <v>#N/A</v>
      </c>
      <c r="AG149" s="44" t="e">
        <f t="shared" si="69"/>
        <v>#N/A</v>
      </c>
      <c r="AH149" s="52" t="e">
        <f>HLOOKUP(I149,ElecAvoidedCostsWOCC!$A$5:$Q$50,T149+1,FALSE)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HLOOKUP(I149,ElecAvoidedCostsWOCC!$A$5:$Q$50,G149+1,FALSE)*J149*L149</f>
        <v>#N/A</v>
      </c>
      <c r="AL149" s="44" t="e">
        <f t="shared" si="7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HLOOKUP(I150,ElecAvoidedCostsWOCC!$A$5:$Q$50,G150+1,FALSE)</f>
        <v>#N/A</v>
      </c>
      <c r="AG150" s="44" t="e">
        <f t="shared" si="69"/>
        <v>#N/A</v>
      </c>
      <c r="AH150" s="52" t="e">
        <f>HLOOKUP(I150,ElecAvoidedCostsWOCC!$A$5:$Q$50,T150+1,FALSE)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HLOOKUP(I150,ElecAvoidedCostsWOCC!$A$5:$Q$50,G150+1,FALSE)*J150*L150</f>
        <v>#N/A</v>
      </c>
      <c r="AL150" s="44" t="e">
        <f t="shared" si="7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HLOOKUP(I151,ElecAvoidedCostsWOCC!$A$5:$Q$50,G151+1,FALSE)</f>
        <v>#N/A</v>
      </c>
      <c r="AG151" s="44" t="e">
        <f t="shared" si="69"/>
        <v>#N/A</v>
      </c>
      <c r="AH151" s="52" t="e">
        <f>HLOOKUP(I151,ElecAvoidedCostsWOCC!$A$5:$Q$50,T151+1,FALSE)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HLOOKUP(I151,ElecAvoidedCostsWOCC!$A$5:$Q$50,G151+1,FALSE)*J151*L151</f>
        <v>#N/A</v>
      </c>
      <c r="AL151" s="44" t="e">
        <f t="shared" si="72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515 R5:S515">
    <cfRule type="expression" dxfId="277" priority="2">
      <formula>ISTEXT(M5)</formula>
    </cfRule>
  </conditionalFormatting>
  <conditionalFormatting sqref="M5:N515 R5:S515">
    <cfRule type="notContainsBlanks" dxfId="276" priority="3">
      <formula>LEN(TRIM(M5))&gt;0</formula>
    </cfRule>
  </conditionalFormatting>
  <conditionalFormatting sqref="R5:S515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96">
        <f>O5/J5</f>
        <v>8.0399696814568777</v>
      </c>
      <c r="L5" s="41"/>
      <c r="M5" s="42">
        <v>2.34</v>
      </c>
      <c r="N5" s="42">
        <v>2.34</v>
      </c>
      <c r="O5" s="43">
        <v>2026000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777574.10000000009</v>
      </c>
      <c r="Y5" s="44">
        <f t="shared" ref="Y5:Y24" si="5">Q5-P5</f>
        <v>0</v>
      </c>
      <c r="Z5" s="44">
        <f t="shared" ref="Z5:Z24" si="6">X5+(A$6*W5)</f>
        <v>1432214.62</v>
      </c>
      <c r="AA5" s="50">
        <f t="shared" ref="AA5:AA24" si="7">Q5+X5</f>
        <v>1367233.04</v>
      </c>
      <c r="AB5" s="51">
        <f t="shared" ref="AB5:AC20" si="8">Z5/(1+ElecDiscountRate)^1</f>
        <v>1338893.7272132374</v>
      </c>
      <c r="AC5" s="44">
        <f t="shared" si="8"/>
        <v>1278146.2466111993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337573.17256282136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337573.17256282136</v>
      </c>
      <c r="AK5" s="44">
        <f>HLOOKUP(I5,ElecAvoidedCostsWOCC!$A$5:$Q$50,G5+1,FALSE)*J5*L5</f>
        <v>0</v>
      </c>
      <c r="AL5" s="44">
        <f>AG5+AI5-AK5</f>
        <v>337573.17256282136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337573.17256282136</v>
      </c>
      <c r="AN5" s="48">
        <f>AM5*1.1+AD5+AE5</f>
        <v>371330.4898191035</v>
      </c>
      <c r="AO5" s="47">
        <f>IFERROR(AM5/AB5,0)</f>
        <v>0.25212842939031721</v>
      </c>
      <c r="AP5" s="47">
        <f>AN5/AC5</f>
        <v>0.29052269316099544</v>
      </c>
    </row>
    <row r="6" spans="1:42" ht="13.5" customHeight="1">
      <c r="A6" s="53">
        <f>SUMIF('Program Costs'!D:D,C2,'Program Costs'!L:L)</f>
        <v>654640.52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777574.10000000009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2026000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589658.93999999994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1432214.62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1367233.04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0.25212842939031721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0.29052269316099544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25" sqref="D2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18230751</v>
      </c>
      <c r="D2" s="20" t="s">
        <v>1838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18230751</v>
      </c>
      <c r="D5" s="61" t="s">
        <v>1838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57175.369999999995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57175.369999999995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57175.369999999995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14" sqref="A14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874</v>
      </c>
      <c r="F5" s="39" t="s">
        <v>875</v>
      </c>
      <c r="G5" s="39">
        <v>36</v>
      </c>
      <c r="H5" s="39"/>
      <c r="I5" s="40" t="s">
        <v>282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2.0837306663857555</v>
      </c>
      <c r="V5" s="48">
        <f t="shared" ref="V5:V24" si="2">N5-M5</f>
        <v>3854.04</v>
      </c>
      <c r="W5" s="49">
        <f t="shared" ref="W5:W24" si="3">(O5/A$10)</f>
        <v>5.7881407399604325E-2</v>
      </c>
      <c r="X5" s="44">
        <f t="shared" ref="X5:X24" si="4">W5*A$8</f>
        <v>1744.1549195241271</v>
      </c>
      <c r="Y5" s="44">
        <f t="shared" ref="Y5:Y24" si="5">Q5-P5</f>
        <v>11562.12</v>
      </c>
      <c r="Z5" s="44">
        <f t="shared" ref="Z5:Z24" si="6">X5+(A$6*W5)</f>
        <v>3625.3006600112676</v>
      </c>
      <c r="AA5" s="50">
        <f t="shared" ref="AA5:AA24" si="7">Q5+X5</f>
        <v>17806.274919524127</v>
      </c>
      <c r="AB5" s="51">
        <f t="shared" ref="AB5:AC20" si="8">Z5/(1+ElecDiscountRate)^1</f>
        <v>3389.0816677678481</v>
      </c>
      <c r="AC5" s="44">
        <f t="shared" si="8"/>
        <v>16646.045545035173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3.4314193347178534</v>
      </c>
      <c r="AP5" s="47">
        <f>AN5/AC5</f>
        <v>0.77918965809126917</v>
      </c>
    </row>
    <row r="6" spans="1:42" ht="13.5" customHeight="1">
      <c r="A6" s="53">
        <f>SUMIF('Program Costs'!D:D,C2,'Program Costs'!L:L)</f>
        <v>32500</v>
      </c>
      <c r="B6" s="97" t="s">
        <v>17</v>
      </c>
      <c r="C6" s="61">
        <v>18230405</v>
      </c>
      <c r="D6" s="61" t="s">
        <v>38</v>
      </c>
      <c r="E6" s="38" t="s">
        <v>876</v>
      </c>
      <c r="F6" s="39" t="s">
        <v>877</v>
      </c>
      <c r="G6" s="39">
        <v>33</v>
      </c>
      <c r="H6" s="39"/>
      <c r="I6" s="40" t="s">
        <v>282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3.9560749173746048</v>
      </c>
      <c r="V6" s="48">
        <f t="shared" si="2"/>
        <v>3999.9300000000003</v>
      </c>
      <c r="W6" s="49">
        <f t="shared" si="3"/>
        <v>0.11988105810226075</v>
      </c>
      <c r="X6" s="44">
        <f t="shared" si="4"/>
        <v>3612.4058940599489</v>
      </c>
      <c r="Y6" s="44">
        <f t="shared" si="5"/>
        <v>7999.8600000000006</v>
      </c>
      <c r="Z6" s="44">
        <f t="shared" si="6"/>
        <v>7508.5402823834229</v>
      </c>
      <c r="AA6" s="50">
        <f t="shared" si="7"/>
        <v>15612.26589405995</v>
      </c>
      <c r="AB6" s="51">
        <f t="shared" si="8"/>
        <v>7019.2953934593088</v>
      </c>
      <c r="AC6" s="44">
        <f t="shared" si="8"/>
        <v>14594.994759334346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3.1864139728376348</v>
      </c>
      <c r="AP6" s="47">
        <f t="shared" ref="AP6:AP24" si="16">AN6/AC6</f>
        <v>1.7288287599766257</v>
      </c>
    </row>
    <row r="7" spans="1:42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878</v>
      </c>
      <c r="F7" s="39" t="s">
        <v>877</v>
      </c>
      <c r="G7" s="39">
        <v>36</v>
      </c>
      <c r="H7" s="39"/>
      <c r="I7" s="40" t="s">
        <v>282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21.833795484773109</v>
      </c>
      <c r="V7" s="48">
        <f t="shared" si="2"/>
        <v>3477</v>
      </c>
      <c r="W7" s="49">
        <f t="shared" si="3"/>
        <v>0.60649431902147521</v>
      </c>
      <c r="X7" s="44">
        <f t="shared" si="4"/>
        <v>18275.64493865387</v>
      </c>
      <c r="Y7" s="44">
        <f t="shared" si="5"/>
        <v>27816</v>
      </c>
      <c r="Z7" s="44">
        <f t="shared" si="6"/>
        <v>37986.710306851819</v>
      </c>
      <c r="AA7" s="50">
        <f t="shared" si="7"/>
        <v>62091.644938653873</v>
      </c>
      <c r="AB7" s="51">
        <f t="shared" si="8"/>
        <v>35511.554928346093</v>
      </c>
      <c r="AC7" s="44">
        <f t="shared" si="8"/>
        <v>58045.849246194135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3.431419334717853</v>
      </c>
      <c r="AP7" s="47">
        <f t="shared" si="16"/>
        <v>2.3258014895947232</v>
      </c>
    </row>
    <row r="8" spans="1:42" ht="13.5" customHeight="1">
      <c r="A8" s="53">
        <f>SUMIF('Program Costs'!D:D,C2,'Program Costs'!O:O)</f>
        <v>30133.25</v>
      </c>
      <c r="B8" s="97" t="s">
        <v>17</v>
      </c>
      <c r="C8" s="61">
        <v>18230405</v>
      </c>
      <c r="D8" s="61" t="s">
        <v>38</v>
      </c>
      <c r="E8" s="38" t="s">
        <v>879</v>
      </c>
      <c r="F8" s="39" t="s">
        <v>880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3.2530606520560266</v>
      </c>
      <c r="V8" s="48">
        <f t="shared" si="2"/>
        <v>1465</v>
      </c>
      <c r="W8" s="49">
        <f t="shared" si="3"/>
        <v>0.12048372785392691</v>
      </c>
      <c r="X8" s="44">
        <f t="shared" si="4"/>
        <v>3630.5662923543432</v>
      </c>
      <c r="Y8" s="44">
        <f t="shared" si="5"/>
        <v>10717.02</v>
      </c>
      <c r="Z8" s="44">
        <f t="shared" si="6"/>
        <v>7546.2874476069683</v>
      </c>
      <c r="AA8" s="50">
        <f t="shared" si="7"/>
        <v>19597.586292354343</v>
      </c>
      <c r="AB8" s="51">
        <f t="shared" si="8"/>
        <v>7054.5830116920333</v>
      </c>
      <c r="AC8" s="44">
        <f t="shared" si="8"/>
        <v>18320.637835238234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2.269258931671815</v>
      </c>
      <c r="AP8" s="47">
        <f t="shared" si="16"/>
        <v>1.0008230606359292</v>
      </c>
    </row>
    <row r="9" spans="1:42" ht="13.5" customHeight="1">
      <c r="A9" s="36" t="s">
        <v>251</v>
      </c>
      <c r="B9" s="97" t="s">
        <v>17</v>
      </c>
      <c r="C9" s="61">
        <v>18230405</v>
      </c>
      <c r="D9" s="61" t="s">
        <v>38</v>
      </c>
      <c r="E9" s="38" t="s">
        <v>881</v>
      </c>
      <c r="F9" s="39" t="s">
        <v>882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1.8404404210100218</v>
      </c>
      <c r="V9" s="48">
        <f t="shared" si="2"/>
        <v>2773</v>
      </c>
      <c r="W9" s="49">
        <f t="shared" si="3"/>
        <v>6.8164460037408212E-2</v>
      </c>
      <c r="X9" s="44">
        <f t="shared" si="4"/>
        <v>2054.0167154222308</v>
      </c>
      <c r="Y9" s="44">
        <f t="shared" si="5"/>
        <v>2773</v>
      </c>
      <c r="Z9" s="44">
        <f t="shared" si="6"/>
        <v>4269.3616666379976</v>
      </c>
      <c r="AA9" s="50">
        <f t="shared" si="7"/>
        <v>5827.0167154222308</v>
      </c>
      <c r="AB9" s="51">
        <f t="shared" si="8"/>
        <v>3991.1766538636975</v>
      </c>
      <c r="AC9" s="44">
        <f t="shared" si="8"/>
        <v>5447.3373052465458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2.2692589316718155</v>
      </c>
      <c r="AP9" s="47">
        <f t="shared" si="16"/>
        <v>1.8619271239707407</v>
      </c>
    </row>
    <row r="10" spans="1:42" ht="13.5" customHeight="1">
      <c r="A10" s="54">
        <f>SUM(O5:O999)</f>
        <v>79645.61</v>
      </c>
      <c r="B10" s="97" t="s">
        <v>17</v>
      </c>
      <c r="C10" s="61">
        <v>18230405</v>
      </c>
      <c r="D10" s="61" t="s">
        <v>38</v>
      </c>
      <c r="E10" s="38" t="s">
        <v>883</v>
      </c>
      <c r="F10" s="39" t="s">
        <v>884</v>
      </c>
      <c r="G10" s="39">
        <v>36</v>
      </c>
      <c r="H10" s="39"/>
      <c r="I10" s="40" t="s">
        <v>282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0.9754209930716834</v>
      </c>
      <c r="V10" s="48">
        <f t="shared" si="2"/>
        <v>3164</v>
      </c>
      <c r="W10" s="49">
        <f t="shared" si="3"/>
        <v>2.709502758532454E-2</v>
      </c>
      <c r="X10" s="44">
        <f t="shared" si="4"/>
        <v>816.46123998548069</v>
      </c>
      <c r="Y10" s="44">
        <f t="shared" si="5"/>
        <v>3164</v>
      </c>
      <c r="Z10" s="44">
        <f t="shared" si="6"/>
        <v>1697.0496365085282</v>
      </c>
      <c r="AA10" s="50">
        <f t="shared" si="7"/>
        <v>4980.4612399854805</v>
      </c>
      <c r="AB10" s="51">
        <f t="shared" si="8"/>
        <v>1586.4725030462075</v>
      </c>
      <c r="AC10" s="44">
        <f t="shared" si="8"/>
        <v>4655.9420772043377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3.4314193347178534</v>
      </c>
      <c r="AP10" s="47">
        <f t="shared" si="16"/>
        <v>1.2955596904644606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31750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64032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33.942523134671205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62633.25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125915.25000000001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3.1828083786212273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1.7646307451487901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885</v>
      </c>
      <c r="F5" s="39" t="s">
        <v>886</v>
      </c>
      <c r="G5" s="39">
        <v>45</v>
      </c>
      <c r="H5" s="39"/>
      <c r="I5" s="40" t="s">
        <v>283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1.6142143860196598</v>
      </c>
      <c r="V5" s="48">
        <f t="shared" ref="V5:V24" si="2">N5-M5</f>
        <v>1441.6999999999998</v>
      </c>
      <c r="W5" s="49">
        <f t="shared" ref="W5:W24" si="3">(O5/A$10)</f>
        <v>3.5871430800436886E-2</v>
      </c>
      <c r="X5" s="44">
        <f t="shared" ref="X5:X24" si="4">W5*A$8</f>
        <v>2096.4792282727417</v>
      </c>
      <c r="Y5" s="44">
        <f t="shared" ref="Y5:Y24" si="5">Q5-P5</f>
        <v>2883.3999999999996</v>
      </c>
      <c r="Z5" s="44">
        <f t="shared" ref="Z5:Z24" si="6">X5+(A$6*W5)</f>
        <v>5428.8207197690754</v>
      </c>
      <c r="AA5" s="50">
        <f t="shared" ref="AA5:AA24" si="7">Q5+X5</f>
        <v>6979.8792282727409</v>
      </c>
      <c r="AB5" s="51">
        <f t="shared" ref="AB5:AC20" si="8">Z5/(1+ElecDiscountRate)^1</f>
        <v>5075.0871457128869</v>
      </c>
      <c r="AC5" s="44">
        <f t="shared" si="8"/>
        <v>6525.081077192428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3.1054242852820915</v>
      </c>
      <c r="AP5" s="47">
        <f>AN5/AC5</f>
        <v>2.7220440532316528</v>
      </c>
    </row>
    <row r="6" spans="1:42" ht="13.5" customHeight="1">
      <c r="A6" s="53">
        <f>SUMIF('Program Costs'!D:D,C2,'Program Costs'!L:L)</f>
        <v>92896.81</v>
      </c>
      <c r="B6" s="97" t="s">
        <v>17</v>
      </c>
      <c r="C6" s="61">
        <v>18230071</v>
      </c>
      <c r="D6" s="61" t="s">
        <v>18</v>
      </c>
      <c r="E6" s="38" t="s">
        <v>887</v>
      </c>
      <c r="F6" s="39" t="s">
        <v>886</v>
      </c>
      <c r="G6" s="39">
        <v>44</v>
      </c>
      <c r="H6" s="39"/>
      <c r="I6" s="40" t="s">
        <v>283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20.545233265720078</v>
      </c>
      <c r="V6" s="48">
        <f t="shared" si="2"/>
        <v>1400.94</v>
      </c>
      <c r="W6" s="49">
        <f t="shared" si="3"/>
        <v>0.46693711967545637</v>
      </c>
      <c r="X6" s="44">
        <f t="shared" si="4"/>
        <v>27289.794425963493</v>
      </c>
      <c r="Y6" s="44">
        <f t="shared" si="5"/>
        <v>36424.44</v>
      </c>
      <c r="Z6" s="44">
        <f t="shared" si="6"/>
        <v>70666.763314401629</v>
      </c>
      <c r="AA6" s="50">
        <f t="shared" si="7"/>
        <v>89714.234425963499</v>
      </c>
      <c r="AB6" s="51">
        <f t="shared" si="8"/>
        <v>66062.226151632814</v>
      </c>
      <c r="AC6" s="44">
        <f t="shared" si="8"/>
        <v>83868.593461684111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3.0296822295435044</v>
      </c>
      <c r="AP6" s="47">
        <f t="shared" ref="AP6:AP24" si="16">AN6/AC6</f>
        <v>2.6969670963039767</v>
      </c>
    </row>
    <row r="7" spans="1:42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888</v>
      </c>
      <c r="F7" s="39" t="s">
        <v>886</v>
      </c>
      <c r="G7" s="39">
        <v>45</v>
      </c>
      <c r="H7" s="39"/>
      <c r="I7" s="40" t="s">
        <v>283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17.407395849586518</v>
      </c>
      <c r="V7" s="48">
        <f t="shared" si="2"/>
        <v>1514.08</v>
      </c>
      <c r="W7" s="49">
        <f t="shared" si="3"/>
        <v>0.38683101887970039</v>
      </c>
      <c r="X7" s="44">
        <f t="shared" si="4"/>
        <v>22608.052643470121</v>
      </c>
      <c r="Y7" s="44">
        <f t="shared" si="5"/>
        <v>36337.919999999998</v>
      </c>
      <c r="Z7" s="44">
        <f t="shared" si="6"/>
        <v>58543.420306444066</v>
      </c>
      <c r="AA7" s="50">
        <f t="shared" si="7"/>
        <v>82945.972643470115</v>
      </c>
      <c r="AB7" s="51">
        <f t="shared" si="8"/>
        <v>54728.821451289201</v>
      </c>
      <c r="AC7" s="44">
        <f t="shared" si="8"/>
        <v>77541.3411643172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3.1054242852820924</v>
      </c>
      <c r="AP7" s="47">
        <f t="shared" si="16"/>
        <v>2.4109955999794108</v>
      </c>
    </row>
    <row r="8" spans="1:42" ht="13.5" customHeight="1">
      <c r="A8" s="53">
        <f>SUMIF('Program Costs'!D:D,C2,'Program Costs'!O:O)</f>
        <v>58444.260000000009</v>
      </c>
      <c r="B8" s="97" t="s">
        <v>17</v>
      </c>
      <c r="C8" s="61">
        <v>18230071</v>
      </c>
      <c r="D8" s="61" t="s">
        <v>18</v>
      </c>
      <c r="E8" s="38" t="s">
        <v>889</v>
      </c>
      <c r="F8" s="39" t="s">
        <v>890</v>
      </c>
      <c r="G8" s="39">
        <v>41</v>
      </c>
      <c r="H8" s="39"/>
      <c r="I8" s="40" t="s">
        <v>283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1.9051022000312061</v>
      </c>
      <c r="V8" s="48">
        <f t="shared" si="2"/>
        <v>2490.85</v>
      </c>
      <c r="W8" s="49">
        <f t="shared" si="3"/>
        <v>4.6465907317834294E-2</v>
      </c>
      <c r="X8" s="44">
        <f t="shared" si="4"/>
        <v>2715.6655684194106</v>
      </c>
      <c r="Y8" s="44">
        <f t="shared" si="5"/>
        <v>4981.7</v>
      </c>
      <c r="Z8" s="44">
        <f t="shared" si="6"/>
        <v>7032.2001320018735</v>
      </c>
      <c r="AA8" s="50">
        <f t="shared" si="7"/>
        <v>10697.365568419411</v>
      </c>
      <c r="AB8" s="51">
        <f t="shared" si="8"/>
        <v>6573.9928316367887</v>
      </c>
      <c r="AC8" s="44">
        <f t="shared" si="8"/>
        <v>10000.34174854577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2.8133611336281281</v>
      </c>
      <c r="AP8" s="47">
        <f t="shared" si="16"/>
        <v>2.0879041193931753</v>
      </c>
    </row>
    <row r="9" spans="1:42" ht="13.5" customHeight="1">
      <c r="A9" s="36" t="s">
        <v>251</v>
      </c>
      <c r="B9" s="97" t="s">
        <v>17</v>
      </c>
      <c r="C9" s="61">
        <v>18230071</v>
      </c>
      <c r="D9" s="61" t="s">
        <v>18</v>
      </c>
      <c r="E9" s="38" t="s">
        <v>891</v>
      </c>
      <c r="F9" s="39" t="s">
        <v>890</v>
      </c>
      <c r="G9" s="39">
        <v>41</v>
      </c>
      <c r="H9" s="39"/>
      <c r="I9" s="40" t="s">
        <v>283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0.95255110001560306</v>
      </c>
      <c r="V9" s="48">
        <f t="shared" si="2"/>
        <v>1990.85</v>
      </c>
      <c r="W9" s="49">
        <f t="shared" si="3"/>
        <v>2.3232953658917147E-2</v>
      </c>
      <c r="X9" s="44">
        <f t="shared" si="4"/>
        <v>1357.8327842097053</v>
      </c>
      <c r="Y9" s="44">
        <f t="shared" si="5"/>
        <v>1990.85</v>
      </c>
      <c r="Z9" s="44">
        <f t="shared" si="6"/>
        <v>3516.1000660009367</v>
      </c>
      <c r="AA9" s="50">
        <f t="shared" si="7"/>
        <v>5348.6827842097055</v>
      </c>
      <c r="AB9" s="51">
        <f t="shared" si="8"/>
        <v>3286.9964158183943</v>
      </c>
      <c r="AC9" s="44">
        <f t="shared" si="8"/>
        <v>5000.1708742728852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2.8133611336281281</v>
      </c>
      <c r="AP9" s="47">
        <f t="shared" si="16"/>
        <v>2.0879041193931753</v>
      </c>
    </row>
    <row r="10" spans="1:42" ht="13.5" customHeight="1">
      <c r="A10" s="54">
        <f>SUM(O5:O999)</f>
        <v>128180</v>
      </c>
      <c r="B10" s="97" t="s">
        <v>17</v>
      </c>
      <c r="C10" s="61">
        <v>18230071</v>
      </c>
      <c r="D10" s="61" t="s">
        <v>18</v>
      </c>
      <c r="E10" s="38" t="s">
        <v>892</v>
      </c>
      <c r="F10" s="39" t="s">
        <v>890</v>
      </c>
      <c r="G10" s="39">
        <v>43</v>
      </c>
      <c r="H10" s="39"/>
      <c r="I10" s="40" t="s">
        <v>283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1.7484474957091591</v>
      </c>
      <c r="V10" s="48">
        <f t="shared" si="2"/>
        <v>2110.8000000000002</v>
      </c>
      <c r="W10" s="49">
        <f t="shared" si="3"/>
        <v>4.0661569667654864E-2</v>
      </c>
      <c r="X10" s="44">
        <f t="shared" si="4"/>
        <v>2376.4353496645349</v>
      </c>
      <c r="Y10" s="44">
        <f t="shared" si="5"/>
        <v>4221.6000000000004</v>
      </c>
      <c r="Z10" s="44">
        <f t="shared" si="6"/>
        <v>6153.7654613824325</v>
      </c>
      <c r="AA10" s="50">
        <f t="shared" si="7"/>
        <v>10598.035349664535</v>
      </c>
      <c r="AB10" s="51">
        <f t="shared" si="8"/>
        <v>5752.7956075370967</v>
      </c>
      <c r="AC10" s="44">
        <f t="shared" si="8"/>
        <v>9907.4837334435197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2.9557875410180521</v>
      </c>
      <c r="AP10" s="47">
        <f t="shared" si="16"/>
        <v>1.8879108201733703</v>
      </c>
    </row>
    <row r="11" spans="1:42" ht="13.5" customHeight="1">
      <c r="A11" s="36" t="s">
        <v>252</v>
      </c>
      <c r="B11" s="97" t="s">
        <v>17</v>
      </c>
      <c r="C11" s="61">
        <v>18230071</v>
      </c>
      <c r="D11" s="61" t="s">
        <v>18</v>
      </c>
      <c r="E11" s="38" t="s">
        <v>893</v>
      </c>
      <c r="F11" s="39" t="s">
        <v>894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SUM(P5:P1000)</f>
        <v>65900</v>
      </c>
      <c r="B12" s="97" t="s">
        <v>17</v>
      </c>
      <c r="C12" s="61">
        <v>18230071</v>
      </c>
      <c r="D12" s="61" t="s">
        <v>18</v>
      </c>
      <c r="E12" s="38" t="s">
        <v>895</v>
      </c>
      <c r="F12" s="39" t="s">
        <v>896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17</v>
      </c>
      <c r="C13" s="61">
        <v>18230071</v>
      </c>
      <c r="D13" s="61" t="s">
        <v>18</v>
      </c>
      <c r="E13" s="38" t="s">
        <v>897</v>
      </c>
      <c r="F13" s="39" t="s">
        <v>898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85639.910000000018</v>
      </c>
      <c r="B14" s="97" t="s">
        <v>17</v>
      </c>
      <c r="C14" s="61">
        <v>18230071</v>
      </c>
      <c r="D14" s="61" t="s">
        <v>18</v>
      </c>
      <c r="E14" s="38" t="s">
        <v>899</v>
      </c>
      <c r="F14" s="39" t="s">
        <v>900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44.172944297082232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151341.07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209984.17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3.0436165740319239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2.4499418608868804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24 R5:S24">
    <cfRule type="expression" dxfId="257" priority="2">
      <formula>ISTEXT(M5)</formula>
    </cfRule>
  </conditionalFormatting>
  <conditionalFormatting sqref="M5:N24 R5:S24">
    <cfRule type="notContainsBlanks" dxfId="256" priority="3">
      <formula>LEN(TRIM(M5))&gt;0</formula>
    </cfRule>
  </conditionalFormatting>
  <conditionalFormatting sqref="R5:S24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0"/>
  <sheetViews>
    <sheetView topLeftCell="A4" zoomScale="85" zoomScaleNormal="85" workbookViewId="0">
      <selection activeCell="F35" sqref="F3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901</v>
      </c>
      <c r="F5" s="39" t="s">
        <v>902</v>
      </c>
      <c r="G5" s="39">
        <v>45</v>
      </c>
      <c r="H5" s="39"/>
      <c r="I5" s="40" t="s">
        <v>281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7.2469063799154281E-3</v>
      </c>
      <c r="V5" s="48">
        <f t="shared" ref="V5:V24" si="2">N5-M5</f>
        <v>0.22999999999999998</v>
      </c>
      <c r="W5" s="49">
        <f t="shared" ref="W5:W24" si="3">(O5/A$10)</f>
        <v>1.6104236399812062E-4</v>
      </c>
      <c r="X5" s="44">
        <f t="shared" ref="X5:X24" si="4">W5*A$8</f>
        <v>210.19576748160713</v>
      </c>
      <c r="Y5" s="44">
        <f t="shared" ref="Y5:Y24" si="5">Q5-P5</f>
        <v>276</v>
      </c>
      <c r="Z5" s="44">
        <f t="shared" ref="Z5:Z24" si="6">X5+(A$6*W5)</f>
        <v>941.06462184218469</v>
      </c>
      <c r="AA5" s="50">
        <f t="shared" ref="AA5:AA24" si="7">Q5+X5</f>
        <v>1386.1957674816072</v>
      </c>
      <c r="AB5" s="51">
        <f t="shared" ref="AB5:AC20" si="8">Z5/(1+ElecDiscountRate)^1</f>
        <v>879.74630442384273</v>
      </c>
      <c r="AC5" s="44">
        <f t="shared" si="8"/>
        <v>1295.8733920553493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3.8481367643411484</v>
      </c>
      <c r="AP5" s="47">
        <f>AN5/AC5</f>
        <v>2.8736777295619156</v>
      </c>
    </row>
    <row r="6" spans="1:42" ht="13.5" customHeight="1">
      <c r="A6" s="53">
        <f>SUMIF('Program Costs'!D:D,C2,'Program Costs'!L:L)</f>
        <v>4538363.92</v>
      </c>
      <c r="B6" s="97" t="s">
        <v>39</v>
      </c>
      <c r="C6" s="61">
        <v>18230407</v>
      </c>
      <c r="D6" s="61" t="s">
        <v>40</v>
      </c>
      <c r="E6" s="38" t="s">
        <v>903</v>
      </c>
      <c r="F6" s="39" t="s">
        <v>904</v>
      </c>
      <c r="G6" s="39">
        <v>45</v>
      </c>
      <c r="H6" s="39"/>
      <c r="I6" s="40" t="s">
        <v>281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0.62390227448331903</v>
      </c>
      <c r="V6" s="48">
        <f t="shared" si="2"/>
        <v>-5.0000000000000044E-2</v>
      </c>
      <c r="W6" s="49">
        <f t="shared" si="3"/>
        <v>1.3864494988518201E-2</v>
      </c>
      <c r="X6" s="44">
        <f t="shared" si="4"/>
        <v>18096.220724197075</v>
      </c>
      <c r="Y6" s="44">
        <f t="shared" si="5"/>
        <v>-7748.3000000000029</v>
      </c>
      <c r="Z6" s="44">
        <f t="shared" si="6"/>
        <v>81018.344549108893</v>
      </c>
      <c r="AA6" s="50">
        <f t="shared" si="7"/>
        <v>126572.42072419707</v>
      </c>
      <c r="AB6" s="51">
        <f t="shared" si="8"/>
        <v>75739.314339636243</v>
      </c>
      <c r="AC6" s="44">
        <f t="shared" si="8"/>
        <v>118325.15726296818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3.8481367643411466</v>
      </c>
      <c r="AP6" s="47">
        <f t="shared" ref="AP6:AP24" si="16">AN6/AC6</f>
        <v>2.7094894393883613</v>
      </c>
    </row>
    <row r="7" spans="1:42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905</v>
      </c>
      <c r="F7" s="39" t="s">
        <v>906</v>
      </c>
      <c r="G7" s="39">
        <v>45</v>
      </c>
      <c r="H7" s="39"/>
      <c r="I7" s="40" t="s">
        <v>281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0.63883895374414479</v>
      </c>
      <c r="V7" s="48">
        <f t="shared" si="2"/>
        <v>0.53</v>
      </c>
      <c r="W7" s="49">
        <f t="shared" si="3"/>
        <v>1.4196421194314328E-2</v>
      </c>
      <c r="X7" s="44">
        <f t="shared" si="4"/>
        <v>18529.457556061941</v>
      </c>
      <c r="Y7" s="44">
        <f t="shared" si="5"/>
        <v>36042.119999999995</v>
      </c>
      <c r="Z7" s="44">
        <f t="shared" si="6"/>
        <v>82957.983297461396</v>
      </c>
      <c r="AA7" s="50">
        <f t="shared" si="7"/>
        <v>105574.57755606194</v>
      </c>
      <c r="AB7" s="51">
        <f t="shared" si="8"/>
        <v>77552.569222643157</v>
      </c>
      <c r="AC7" s="44">
        <f t="shared" si="8"/>
        <v>98695.501127476789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3.8481367643411466</v>
      </c>
      <c r="AP7" s="47">
        <f t="shared" si="16"/>
        <v>3.3261514286272709</v>
      </c>
    </row>
    <row r="8" spans="1:42" ht="13.5" customHeight="1">
      <c r="A8" s="53">
        <f>SUMIF('Program Costs'!D:D,C2,'Program Costs'!O:O)</f>
        <v>1305220.33</v>
      </c>
      <c r="B8" s="97" t="s">
        <v>39</v>
      </c>
      <c r="C8" s="61">
        <v>18230407</v>
      </c>
      <c r="D8" s="61" t="s">
        <v>40</v>
      </c>
      <c r="E8" s="38" t="s">
        <v>907</v>
      </c>
      <c r="F8" s="39" t="s">
        <v>908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0.24009269240599812</v>
      </c>
      <c r="V8" s="48">
        <f t="shared" si="2"/>
        <v>0</v>
      </c>
      <c r="W8" s="49">
        <f t="shared" si="3"/>
        <v>2.000772436716651E-2</v>
      </c>
      <c r="X8" s="44">
        <f t="shared" si="4"/>
        <v>26114.488601062116</v>
      </c>
      <c r="Y8" s="44">
        <f t="shared" si="5"/>
        <v>7127.4599999999991</v>
      </c>
      <c r="Z8" s="44">
        <f t="shared" si="6"/>
        <v>116916.82299031543</v>
      </c>
      <c r="AA8" s="50">
        <f t="shared" si="7"/>
        <v>54821.518601062111</v>
      </c>
      <c r="AB8" s="51">
        <f t="shared" si="8"/>
        <v>109298.70336572443</v>
      </c>
      <c r="AC8" s="44">
        <f t="shared" si="8"/>
        <v>51249.433113080398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0.23916164859913536</v>
      </c>
      <c r="AP8" s="47">
        <f t="shared" si="16"/>
        <v>0.91733506917840624</v>
      </c>
    </row>
    <row r="9" spans="1:42" ht="13.5" customHeight="1">
      <c r="A9" s="36" t="s">
        <v>251</v>
      </c>
      <c r="B9" s="97" t="s">
        <v>39</v>
      </c>
      <c r="C9" s="61">
        <v>18230407</v>
      </c>
      <c r="D9" s="61" t="s">
        <v>40</v>
      </c>
      <c r="E9" s="38" t="s">
        <v>909</v>
      </c>
      <c r="F9" s="39" t="s">
        <v>910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2.1848080715745032E-2</v>
      </c>
      <c r="V9" s="48">
        <f t="shared" si="2"/>
        <v>0</v>
      </c>
      <c r="W9" s="49">
        <f t="shared" si="3"/>
        <v>1.8206733929787527E-3</v>
      </c>
      <c r="X9" s="44">
        <f t="shared" si="4"/>
        <v>2376.3799268059474</v>
      </c>
      <c r="Y9" s="44">
        <f t="shared" si="5"/>
        <v>651.51000000000022</v>
      </c>
      <c r="Z9" s="44">
        <f t="shared" si="6"/>
        <v>10639.258363604698</v>
      </c>
      <c r="AA9" s="50">
        <f t="shared" si="7"/>
        <v>5422.279926805948</v>
      </c>
      <c r="AB9" s="51">
        <f t="shared" si="8"/>
        <v>9946.0207194584436</v>
      </c>
      <c r="AC9" s="44">
        <f t="shared" si="8"/>
        <v>5068.9725407179094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0.24276279244476792</v>
      </c>
      <c r="AP9" s="47">
        <f t="shared" si="16"/>
        <v>0.87096847405851541</v>
      </c>
    </row>
    <row r="10" spans="1:42" ht="13.5" customHeight="1">
      <c r="A10" s="54">
        <f>SUM(O5:O999)</f>
        <v>6706309.9000000004</v>
      </c>
      <c r="B10" s="97" t="s">
        <v>39</v>
      </c>
      <c r="C10" s="61">
        <v>18230407</v>
      </c>
      <c r="D10" s="61" t="s">
        <v>40</v>
      </c>
      <c r="E10" s="38" t="s">
        <v>911</v>
      </c>
      <c r="F10" s="39" t="s">
        <v>912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1.7464149695796192E-3</v>
      </c>
      <c r="V10" s="48">
        <f t="shared" si="2"/>
        <v>0</v>
      </c>
      <c r="W10" s="49">
        <f t="shared" si="3"/>
        <v>1.455345807983016E-4</v>
      </c>
      <c r="X10" s="44">
        <f t="shared" si="4"/>
        <v>189.95469357597088</v>
      </c>
      <c r="Y10" s="44">
        <f t="shared" si="5"/>
        <v>23.340000000000032</v>
      </c>
      <c r="Z10" s="44">
        <f t="shared" si="6"/>
        <v>850.44358418330762</v>
      </c>
      <c r="AA10" s="50">
        <f t="shared" si="7"/>
        <v>829.84469357597084</v>
      </c>
      <c r="AB10" s="51">
        <f t="shared" si="8"/>
        <v>795.02999362747266</v>
      </c>
      <c r="AC10" s="44">
        <f t="shared" si="8"/>
        <v>775.77329492004367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0.2957896355717069</v>
      </c>
      <c r="AP10" s="47">
        <f t="shared" si="16"/>
        <v>0.90268910236521283</v>
      </c>
    </row>
    <row r="11" spans="1:42" ht="13.5" customHeight="1">
      <c r="A11" s="36" t="s">
        <v>252</v>
      </c>
      <c r="B11" s="97" t="s">
        <v>39</v>
      </c>
      <c r="C11" s="61">
        <v>18230407</v>
      </c>
      <c r="D11" s="61" t="s">
        <v>40</v>
      </c>
      <c r="E11" s="38" t="s">
        <v>913</v>
      </c>
      <c r="F11" s="39" t="s">
        <v>914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2.3118526031730206E-2</v>
      </c>
      <c r="V11" s="48">
        <f t="shared" si="2"/>
        <v>0</v>
      </c>
      <c r="W11" s="49">
        <f t="shared" si="3"/>
        <v>1.9265438359775172E-3</v>
      </c>
      <c r="X11" s="44">
        <f t="shared" si="4"/>
        <v>2514.564181354041</v>
      </c>
      <c r="Y11" s="44">
        <f t="shared" si="5"/>
        <v>107.80000000000018</v>
      </c>
      <c r="Z11" s="44">
        <f t="shared" si="6"/>
        <v>11257.921216852803</v>
      </c>
      <c r="AA11" s="50">
        <f t="shared" si="7"/>
        <v>5421.5641813540406</v>
      </c>
      <c r="AB11" s="51">
        <f t="shared" si="8"/>
        <v>10524.372456625972</v>
      </c>
      <c r="AC11" s="44">
        <f t="shared" si="8"/>
        <v>5068.3034321342811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0.23249953248471519</v>
      </c>
      <c r="AP11" s="47">
        <f t="shared" si="16"/>
        <v>0.9113106137443967</v>
      </c>
    </row>
    <row r="12" spans="1:42" ht="13.5" customHeight="1">
      <c r="A12" s="55">
        <f>SUM(P5:P1000)</f>
        <v>4463558.8600000013</v>
      </c>
      <c r="B12" s="97" t="s">
        <v>39</v>
      </c>
      <c r="C12" s="61">
        <v>18230407</v>
      </c>
      <c r="D12" s="61" t="s">
        <v>40</v>
      </c>
      <c r="E12" s="38" t="s">
        <v>915</v>
      </c>
      <c r="F12" s="39" t="s">
        <v>916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4.5897073739464375E-2</v>
      </c>
      <c r="V12" s="48">
        <f t="shared" si="2"/>
        <v>0</v>
      </c>
      <c r="W12" s="49">
        <f t="shared" si="3"/>
        <v>3.8247561449553649E-3</v>
      </c>
      <c r="X12" s="44">
        <f t="shared" si="4"/>
        <v>4992.1494776881691</v>
      </c>
      <c r="Y12" s="44">
        <f t="shared" si="5"/>
        <v>240.09999999999991</v>
      </c>
      <c r="Z12" s="44">
        <f t="shared" si="6"/>
        <v>22350.284768751888</v>
      </c>
      <c r="AA12" s="50">
        <f t="shared" si="7"/>
        <v>8104.3494776881689</v>
      </c>
      <c r="AB12" s="51">
        <f t="shared" si="8"/>
        <v>20893.974730066268</v>
      </c>
      <c r="AC12" s="44">
        <f t="shared" si="8"/>
        <v>7576.282581740832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0.20043254692063942</v>
      </c>
      <c r="AP12" s="47">
        <f t="shared" si="16"/>
        <v>0.92764237308851394</v>
      </c>
    </row>
    <row r="13" spans="1:42" ht="13.5" customHeight="1">
      <c r="A13" s="56" t="s">
        <v>255</v>
      </c>
      <c r="B13" s="97" t="s">
        <v>39</v>
      </c>
      <c r="C13" s="61">
        <v>18230407</v>
      </c>
      <c r="D13" s="61" t="s">
        <v>40</v>
      </c>
      <c r="E13" s="38" t="s">
        <v>917</v>
      </c>
      <c r="F13" s="39" t="s">
        <v>918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3.7576551599561481E-3</v>
      </c>
      <c r="V13" s="48">
        <f t="shared" si="2"/>
        <v>0</v>
      </c>
      <c r="W13" s="49">
        <f t="shared" si="3"/>
        <v>3.1313792999634567E-4</v>
      </c>
      <c r="X13" s="44">
        <f t="shared" si="4"/>
        <v>408.71399232534725</v>
      </c>
      <c r="Y13" s="44">
        <f t="shared" si="5"/>
        <v>27</v>
      </c>
      <c r="Z13" s="44">
        <f t="shared" si="6"/>
        <v>1829.8478758042484</v>
      </c>
      <c r="AA13" s="50">
        <f t="shared" si="7"/>
        <v>597.71399232534725</v>
      </c>
      <c r="AB13" s="51">
        <f t="shared" si="8"/>
        <v>1710.6178141574724</v>
      </c>
      <c r="AC13" s="44">
        <f t="shared" si="8"/>
        <v>558.76787166995155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0.20043254692063933</v>
      </c>
      <c r="AP13" s="47">
        <f t="shared" si="16"/>
        <v>1.0297629005196323</v>
      </c>
    </row>
    <row r="14" spans="1:42" ht="13.5" customHeight="1">
      <c r="A14" s="55">
        <f>SUM(Y5:Y1000)</f>
        <v>4083356.7800000007</v>
      </c>
      <c r="B14" s="97" t="s">
        <v>39</v>
      </c>
      <c r="C14" s="61">
        <v>18230407</v>
      </c>
      <c r="D14" s="61" t="s">
        <v>40</v>
      </c>
      <c r="E14" s="38" t="s">
        <v>919</v>
      </c>
      <c r="F14" s="39" t="s">
        <v>920</v>
      </c>
      <c r="G14" s="39">
        <v>45</v>
      </c>
      <c r="H14" s="39"/>
      <c r="I14" s="40" t="s">
        <v>281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1.9727689589769778E-2</v>
      </c>
      <c r="V14" s="48">
        <f t="shared" si="2"/>
        <v>0.42999999999999994</v>
      </c>
      <c r="W14" s="49">
        <f t="shared" si="3"/>
        <v>4.3839310199488392E-4</v>
      </c>
      <c r="X14" s="44">
        <f t="shared" si="4"/>
        <v>572.1995892554861</v>
      </c>
      <c r="Y14" s="44">
        <f t="shared" si="5"/>
        <v>602</v>
      </c>
      <c r="Z14" s="44">
        <f t="shared" si="6"/>
        <v>2561.7870261259472</v>
      </c>
      <c r="AA14" s="50">
        <f t="shared" si="7"/>
        <v>2224.199589255486</v>
      </c>
      <c r="AB14" s="51">
        <f t="shared" si="8"/>
        <v>2394.8649398204607</v>
      </c>
      <c r="AC14" s="44">
        <f t="shared" si="8"/>
        <v>2079.2741789805418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3.8481367643411488</v>
      </c>
      <c r="AP14" s="47">
        <f t="shared" si="16"/>
        <v>4.8754246578392735</v>
      </c>
    </row>
    <row r="15" spans="1:42" ht="13.5" customHeight="1">
      <c r="A15" s="57" t="s">
        <v>258</v>
      </c>
      <c r="B15" s="97" t="s">
        <v>39</v>
      </c>
      <c r="C15" s="61">
        <v>18230407</v>
      </c>
      <c r="D15" s="61" t="s">
        <v>40</v>
      </c>
      <c r="E15" s="38" t="s">
        <v>921</v>
      </c>
      <c r="F15" s="39" t="s">
        <v>922</v>
      </c>
      <c r="G15" s="39">
        <v>45</v>
      </c>
      <c r="H15" s="39"/>
      <c r="I15" s="40" t="s">
        <v>281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2.5870986069403084</v>
      </c>
      <c r="V15" s="48">
        <f t="shared" si="2"/>
        <v>0.16000000000000014</v>
      </c>
      <c r="W15" s="49">
        <f t="shared" si="3"/>
        <v>5.7491080154229074E-2</v>
      </c>
      <c r="X15" s="44">
        <f t="shared" si="4"/>
        <v>75038.526610959321</v>
      </c>
      <c r="Y15" s="44">
        <f t="shared" si="5"/>
        <v>94947.359999999986</v>
      </c>
      <c r="Z15" s="44">
        <f t="shared" si="6"/>
        <v>335953.9705047406</v>
      </c>
      <c r="AA15" s="50">
        <f t="shared" si="7"/>
        <v>567185.38661095931</v>
      </c>
      <c r="AB15" s="51">
        <f t="shared" si="8"/>
        <v>314063.72861993138</v>
      </c>
      <c r="AC15" s="44">
        <f t="shared" si="8"/>
        <v>530228.46275680966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3.8481367643411475</v>
      </c>
      <c r="AP15" s="47">
        <f t="shared" si="16"/>
        <v>2.5072516695562612</v>
      </c>
    </row>
    <row r="16" spans="1:42" ht="13.5" customHeight="1">
      <c r="A16" s="54">
        <f>SUM(U5:U999)</f>
        <v>32.601542839527887</v>
      </c>
      <c r="B16" s="97" t="s">
        <v>39</v>
      </c>
      <c r="C16" s="61">
        <v>18230407</v>
      </c>
      <c r="D16" s="61" t="s">
        <v>40</v>
      </c>
      <c r="E16" s="38" t="s">
        <v>923</v>
      </c>
      <c r="F16" s="39" t="s">
        <v>924</v>
      </c>
      <c r="G16" s="39">
        <v>15</v>
      </c>
      <c r="H16" s="39"/>
      <c r="I16" s="40" t="s">
        <v>269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39</v>
      </c>
      <c r="C17" s="61">
        <v>18230407</v>
      </c>
      <c r="D17" s="61" t="s">
        <v>40</v>
      </c>
      <c r="E17" s="38" t="s">
        <v>925</v>
      </c>
      <c r="F17" s="39" t="s">
        <v>926</v>
      </c>
      <c r="G17" s="39">
        <v>24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5843584.25</v>
      </c>
      <c r="B18" s="97" t="s">
        <v>39</v>
      </c>
      <c r="C18" s="61">
        <v>18230407</v>
      </c>
      <c r="D18" s="61" t="s">
        <v>40</v>
      </c>
      <c r="E18" s="38" t="s">
        <v>927</v>
      </c>
      <c r="F18" s="39" t="s">
        <v>928</v>
      </c>
      <c r="G18" s="39">
        <v>15</v>
      </c>
      <c r="H18" s="39"/>
      <c r="I18" s="40" t="s">
        <v>271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0.15916353641814257</v>
      </c>
      <c r="V18" s="48">
        <f t="shared" si="2"/>
        <v>152555</v>
      </c>
      <c r="W18" s="49">
        <f t="shared" si="3"/>
        <v>1.061090242787617E-2</v>
      </c>
      <c r="X18" s="44">
        <f t="shared" si="4"/>
        <v>13849.565568510337</v>
      </c>
      <c r="Y18" s="44">
        <f t="shared" si="5"/>
        <v>52210.570000000007</v>
      </c>
      <c r="Z18" s="44">
        <f t="shared" si="6"/>
        <v>62005.702305823957</v>
      </c>
      <c r="AA18" s="50">
        <f t="shared" si="7"/>
        <v>84107.135568510348</v>
      </c>
      <c r="AB18" s="51">
        <f t="shared" si="8"/>
        <v>57965.506502593205</v>
      </c>
      <c r="AC18" s="44">
        <f t="shared" si="8"/>
        <v>78626.844506413327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1.2946433860137319</v>
      </c>
      <c r="AP18" s="47">
        <f t="shared" si="16"/>
        <v>1.0498847574232339</v>
      </c>
    </row>
    <row r="19" spans="1:42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929</v>
      </c>
      <c r="F19" s="39" t="s">
        <v>928</v>
      </c>
      <c r="G19" s="39">
        <v>15</v>
      </c>
      <c r="H19" s="39"/>
      <c r="I19" s="40" t="s">
        <v>271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2.7054781646759269</v>
      </c>
      <c r="V19" s="48">
        <f t="shared" si="2"/>
        <v>0.35</v>
      </c>
      <c r="W19" s="49">
        <f t="shared" si="3"/>
        <v>0.18036521097839514</v>
      </c>
      <c r="X19" s="44">
        <f t="shared" si="4"/>
        <v>235416.34019374053</v>
      </c>
      <c r="Y19" s="44">
        <f t="shared" si="5"/>
        <v>611406.31000000006</v>
      </c>
      <c r="Z19" s="44">
        <f t="shared" si="6"/>
        <v>1053979.3061212769</v>
      </c>
      <c r="AA19" s="50">
        <f t="shared" si="7"/>
        <v>1137628.6501937406</v>
      </c>
      <c r="AB19" s="51">
        <f t="shared" si="8"/>
        <v>985303.64225603139</v>
      </c>
      <c r="AC19" s="44">
        <f t="shared" si="8"/>
        <v>1063502.5242532864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1.2946433860137321</v>
      </c>
      <c r="AP19" s="47">
        <f t="shared" si="16"/>
        <v>1.3193936977379739</v>
      </c>
    </row>
    <row r="20" spans="1:42" ht="13.5" customHeight="1">
      <c r="A20" s="59">
        <f>A8+SUM(Q5:Q906)</f>
        <v>9852135.9700000007</v>
      </c>
      <c r="B20" s="97" t="s">
        <v>39</v>
      </c>
      <c r="C20" s="61">
        <v>18230407</v>
      </c>
      <c r="D20" s="61" t="s">
        <v>40</v>
      </c>
      <c r="E20" s="38" t="s">
        <v>930</v>
      </c>
      <c r="F20" s="39" t="s">
        <v>931</v>
      </c>
      <c r="G20" s="39">
        <v>15</v>
      </c>
      <c r="H20" s="39"/>
      <c r="I20" s="40" t="s">
        <v>281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1.8695519871516824</v>
      </c>
      <c r="V20" s="48">
        <f t="shared" si="2"/>
        <v>22.990000000000002</v>
      </c>
      <c r="W20" s="49">
        <f t="shared" si="3"/>
        <v>0.12463679914344548</v>
      </c>
      <c r="X20" s="44">
        <f t="shared" si="4"/>
        <v>162678.48410815164</v>
      </c>
      <c r="Y20" s="44">
        <f t="shared" si="5"/>
        <v>-21850.669999998994</v>
      </c>
      <c r="Z20" s="44">
        <f t="shared" si="6"/>
        <v>728325.63644505152</v>
      </c>
      <c r="AA20" s="50">
        <f t="shared" si="7"/>
        <v>984222.81410815264</v>
      </c>
      <c r="AB20" s="51">
        <f t="shared" si="8"/>
        <v>680869.06276998355</v>
      </c>
      <c r="AC20" s="44">
        <f t="shared" si="8"/>
        <v>920092.37553346972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1.7055875948534722</v>
      </c>
      <c r="AP20" s="47">
        <f t="shared" si="16"/>
        <v>1.3883497395110473</v>
      </c>
    </row>
    <row r="21" spans="1:42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932</v>
      </c>
      <c r="F21" s="39" t="s">
        <v>933</v>
      </c>
      <c r="G21" s="39">
        <v>10</v>
      </c>
      <c r="H21" s="39"/>
      <c r="I21" s="40" t="s">
        <v>279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0.13967442810837</v>
      </c>
      <c r="V21" s="48">
        <f t="shared" si="2"/>
        <v>0</v>
      </c>
      <c r="W21" s="49">
        <f t="shared" si="3"/>
        <v>1.3967442810837E-2</v>
      </c>
      <c r="X21" s="44">
        <f t="shared" si="4"/>
        <v>18230.590314816796</v>
      </c>
      <c r="Y21" s="44">
        <f t="shared" si="5"/>
        <v>0</v>
      </c>
      <c r="Z21" s="44">
        <f t="shared" si="6"/>
        <v>81619.928822182817</v>
      </c>
      <c r="AA21" s="50">
        <f t="shared" si="7"/>
        <v>70575.5903148168</v>
      </c>
      <c r="AB21" s="51">
        <f t="shared" ref="AB21:AC24" si="18">Z21/(1+ElecDiscountRate)^1</f>
        <v>76301.70031053829</v>
      </c>
      <c r="AC21" s="44">
        <f t="shared" si="18"/>
        <v>65976.993843897159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0.91442633369940995</v>
      </c>
      <c r="AP21" s="47">
        <f t="shared" si="16"/>
        <v>2.0619704225650004</v>
      </c>
    </row>
    <row r="22" spans="1:42" ht="13.5" customHeight="1">
      <c r="A22" s="60">
        <f>(SUM(AM5:AM1000)/(SUM(AB5:AB1000)))</f>
        <v>2.8248560109737708</v>
      </c>
      <c r="B22" s="97" t="s">
        <v>39</v>
      </c>
      <c r="C22" s="61">
        <v>18230407</v>
      </c>
      <c r="D22" s="61" t="s">
        <v>40</v>
      </c>
      <c r="E22" s="38" t="s">
        <v>632</v>
      </c>
      <c r="F22" s="39" t="s">
        <v>633</v>
      </c>
      <c r="G22" s="39">
        <v>14</v>
      </c>
      <c r="H22" s="39"/>
      <c r="I22" s="40" t="s">
        <v>279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2.9643724039654055E-4</v>
      </c>
      <c r="V22" s="48">
        <f t="shared" si="2"/>
        <v>15.560000000000002</v>
      </c>
      <c r="W22" s="49">
        <f t="shared" si="3"/>
        <v>2.1174088599752898E-5</v>
      </c>
      <c r="X22" s="44">
        <f t="shared" si="4"/>
        <v>27.636850909618715</v>
      </c>
      <c r="Y22" s="44">
        <f t="shared" si="5"/>
        <v>15.560000000000002</v>
      </c>
      <c r="Z22" s="44">
        <f t="shared" si="6"/>
        <v>123.73257064962058</v>
      </c>
      <c r="AA22" s="50">
        <f t="shared" si="7"/>
        <v>93.196850909618718</v>
      </c>
      <c r="AB22" s="51">
        <f t="shared" si="18"/>
        <v>115.67034743350526</v>
      </c>
      <c r="AC22" s="44">
        <f t="shared" si="18"/>
        <v>87.124288033671789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1.2484959033343619</v>
      </c>
      <c r="AP22" s="47">
        <f t="shared" si="16"/>
        <v>3.538873381192833</v>
      </c>
    </row>
    <row r="23" spans="1:42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934</v>
      </c>
      <c r="F23" s="39" t="s">
        <v>935</v>
      </c>
      <c r="G23" s="39">
        <v>15</v>
      </c>
      <c r="H23" s="39"/>
      <c r="I23" s="40" t="s">
        <v>281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2.6169384149694601E-2</v>
      </c>
      <c r="V23" s="48">
        <f t="shared" si="2"/>
        <v>2958.92</v>
      </c>
      <c r="W23" s="49">
        <f t="shared" si="3"/>
        <v>1.74462560997964E-3</v>
      </c>
      <c r="X23" s="44">
        <f t="shared" si="4"/>
        <v>2277.1208143840772</v>
      </c>
      <c r="Y23" s="44">
        <f t="shared" si="5"/>
        <v>26630.28</v>
      </c>
      <c r="Z23" s="44">
        <f t="shared" si="6"/>
        <v>10194.866736623668</v>
      </c>
      <c r="AA23" s="50">
        <f t="shared" si="7"/>
        <v>36107.400814384077</v>
      </c>
      <c r="AB23" s="51">
        <f t="shared" si="18"/>
        <v>9530.5849645916296</v>
      </c>
      <c r="AC23" s="44">
        <f t="shared" si="18"/>
        <v>33754.698340080467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1.705587594853472</v>
      </c>
      <c r="AP23" s="47">
        <f t="shared" si="16"/>
        <v>0.52972691552106843</v>
      </c>
    </row>
    <row r="24" spans="1:42" ht="13.5" customHeight="1">
      <c r="A24" s="60">
        <f>(SUM(AN5:AN1000)/SUM(AC5:AC1000))</f>
        <v>1.8579963140700082</v>
      </c>
      <c r="B24" s="97" t="s">
        <v>39</v>
      </c>
      <c r="C24" s="61">
        <v>18230407</v>
      </c>
      <c r="D24" s="61" t="s">
        <v>40</v>
      </c>
      <c r="E24" s="38" t="s">
        <v>936</v>
      </c>
      <c r="F24" s="39" t="s">
        <v>937</v>
      </c>
      <c r="G24" s="39">
        <v>15</v>
      </c>
      <c r="H24" s="39"/>
      <c r="I24" s="40" t="s">
        <v>280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8.3003918444031332E-3</v>
      </c>
      <c r="V24" s="48">
        <f t="shared" si="2"/>
        <v>1690.37</v>
      </c>
      <c r="W24" s="49">
        <f t="shared" si="3"/>
        <v>5.5335945629354224E-4</v>
      </c>
      <c r="X24" s="44">
        <f t="shared" si="4"/>
        <v>722.2560121520778</v>
      </c>
      <c r="Y24" s="44">
        <f t="shared" si="5"/>
        <v>1690.37</v>
      </c>
      <c r="Z24" s="44">
        <f t="shared" si="6"/>
        <v>3233.6026033855069</v>
      </c>
      <c r="AA24" s="50">
        <f t="shared" si="7"/>
        <v>3912.6260121520777</v>
      </c>
      <c r="AB24" s="51">
        <f t="shared" si="18"/>
        <v>3022.906051589704</v>
      </c>
      <c r="AC24" s="44">
        <f t="shared" si="18"/>
        <v>3657.6853436964357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1.7139517828607118</v>
      </c>
      <c r="AP24" s="47">
        <f t="shared" si="16"/>
        <v>1.558151181051912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 t="s">
        <v>642</v>
      </c>
      <c r="F25" s="39" t="s">
        <v>643</v>
      </c>
      <c r="G25" s="39">
        <v>12</v>
      </c>
      <c r="H25" s="39"/>
      <c r="I25" s="40" t="s">
        <v>277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1.2167645279858002E-4</v>
      </c>
      <c r="V25" s="48">
        <f t="shared" ref="V25:V80" si="21">N25-M25</f>
        <v>-4.5599999999999987</v>
      </c>
      <c r="W25" s="49">
        <f t="shared" ref="W25:W80" si="22">(O25/A$10)</f>
        <v>1.0139704399881669E-5</v>
      </c>
      <c r="X25" s="44">
        <f t="shared" ref="X25:X80" si="23">W25*A$8</f>
        <v>13.234548322916005</v>
      </c>
      <c r="Y25" s="44">
        <f t="shared" ref="Y25:Y80" si="24">Q25-P25</f>
        <v>-4.5599999999999987</v>
      </c>
      <c r="Z25" s="44">
        <f t="shared" ref="Z25:Z80" si="25">X25+(A$6*W25)</f>
        <v>59.252216930804224</v>
      </c>
      <c r="AA25" s="50">
        <f t="shared" ref="AA25:AA80" si="26">Q25+X25</f>
        <v>33.67454832291601</v>
      </c>
      <c r="AB25" s="51">
        <f t="shared" ref="AB25:AB80" si="27">Z25/(1+ElecDiscountRate)^1</f>
        <v>55.391433982241956</v>
      </c>
      <c r="AC25" s="44">
        <f t="shared" ref="AC25:AC80" si="28">AA25/(1+ElecDiscountRate)^1</f>
        <v>31.480366759760688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1.0745543514974298</v>
      </c>
      <c r="AP25" s="47">
        <f t="shared" ref="AP25:AP80" si="37">AN25/AC25</f>
        <v>2.0595943333905917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 t="s">
        <v>644</v>
      </c>
      <c r="F26" s="39" t="s">
        <v>643</v>
      </c>
      <c r="G26" s="39">
        <v>12</v>
      </c>
      <c r="H26" s="39"/>
      <c r="I26" s="40" t="s">
        <v>277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6.0838226399290022E-4</v>
      </c>
      <c r="V26" s="48">
        <f t="shared" si="21"/>
        <v>50</v>
      </c>
      <c r="W26" s="49">
        <f t="shared" si="22"/>
        <v>5.0698521999408347E-5</v>
      </c>
      <c r="X26" s="44">
        <f t="shared" si="23"/>
        <v>66.172741614580019</v>
      </c>
      <c r="Y26" s="44">
        <f t="shared" si="24"/>
        <v>250</v>
      </c>
      <c r="Z26" s="44">
        <f t="shared" si="25"/>
        <v>296.26108465402115</v>
      </c>
      <c r="AA26" s="50">
        <f t="shared" si="26"/>
        <v>566.17274161457999</v>
      </c>
      <c r="AB26" s="51">
        <f t="shared" si="27"/>
        <v>276.9571699112098</v>
      </c>
      <c r="AC26" s="44">
        <f t="shared" si="28"/>
        <v>529.28180014450777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1.0745543514974298</v>
      </c>
      <c r="AP26" s="47">
        <f t="shared" si="37"/>
        <v>0.61249777503929403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795</v>
      </c>
      <c r="F27" s="39" t="s">
        <v>796</v>
      </c>
      <c r="G27" s="39">
        <v>10</v>
      </c>
      <c r="H27" s="39"/>
      <c r="I27" s="40" t="s">
        <v>277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0.12325854491156156</v>
      </c>
      <c r="V27" s="48">
        <f t="shared" si="21"/>
        <v>0</v>
      </c>
      <c r="W27" s="49">
        <f t="shared" si="22"/>
        <v>1.2325854491156156E-2</v>
      </c>
      <c r="X27" s="44">
        <f t="shared" si="23"/>
        <v>16087.955866478822</v>
      </c>
      <c r="Y27" s="44">
        <f t="shared" si="24"/>
        <v>-11350</v>
      </c>
      <c r="Z27" s="44">
        <f t="shared" si="25"/>
        <v>72027.169172311886</v>
      </c>
      <c r="AA27" s="50">
        <f t="shared" si="26"/>
        <v>47637.95586647882</v>
      </c>
      <c r="AB27" s="51">
        <f t="shared" si="27"/>
        <v>67333.990064795624</v>
      </c>
      <c r="AC27" s="44">
        <f t="shared" si="28"/>
        <v>44533.940232288318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0.90245915685553424</v>
      </c>
      <c r="AP27" s="47">
        <f t="shared" si="37"/>
        <v>1.500940476928448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 t="s">
        <v>938</v>
      </c>
      <c r="F28" s="39" t="s">
        <v>939</v>
      </c>
      <c r="G28" s="39">
        <v>10</v>
      </c>
      <c r="H28" s="39"/>
      <c r="I28" s="40" t="s">
        <v>277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1.2306320648856384E-2</v>
      </c>
      <c r="V28" s="48">
        <f t="shared" si="21"/>
        <v>50</v>
      </c>
      <c r="W28" s="49">
        <f t="shared" si="22"/>
        <v>1.2306320648856385E-3</v>
      </c>
      <c r="X28" s="44">
        <f t="shared" si="23"/>
        <v>1606.2459898386146</v>
      </c>
      <c r="Y28" s="44">
        <f t="shared" si="24"/>
        <v>3150</v>
      </c>
      <c r="Z28" s="44">
        <f t="shared" si="25"/>
        <v>7191.3021519106951</v>
      </c>
      <c r="AA28" s="50">
        <f t="shared" si="26"/>
        <v>17356.245989838615</v>
      </c>
      <c r="AB28" s="51">
        <f t="shared" si="27"/>
        <v>6722.7280096388658</v>
      </c>
      <c r="AC28" s="44">
        <f t="shared" si="28"/>
        <v>16225.339805402087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0.90245915685553424</v>
      </c>
      <c r="AP28" s="47">
        <f t="shared" si="37"/>
        <v>0.41131256889058221</v>
      </c>
    </row>
    <row r="29" spans="1:42">
      <c r="B29" s="97" t="s">
        <v>39</v>
      </c>
      <c r="C29" s="61">
        <v>18230407</v>
      </c>
      <c r="D29" s="61" t="s">
        <v>40</v>
      </c>
      <c r="E29" s="38" t="s">
        <v>940</v>
      </c>
      <c r="F29" s="39" t="s">
        <v>941</v>
      </c>
      <c r="G29" s="39">
        <v>45</v>
      </c>
      <c r="H29" s="39"/>
      <c r="I29" s="40" t="s">
        <v>281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9.7803040685608619E-2</v>
      </c>
      <c r="V29" s="48">
        <f t="shared" si="21"/>
        <v>12.809999999999999</v>
      </c>
      <c r="W29" s="49">
        <f t="shared" si="22"/>
        <v>2.1734009041246361E-3</v>
      </c>
      <c r="X29" s="44">
        <f t="shared" si="23"/>
        <v>2836.7670453038559</v>
      </c>
      <c r="Y29" s="44">
        <f t="shared" si="24"/>
        <v>15179.849999999999</v>
      </c>
      <c r="Z29" s="44">
        <f t="shared" si="25"/>
        <v>12700.451292278483</v>
      </c>
      <c r="AA29" s="50">
        <f t="shared" si="26"/>
        <v>23941.617045303854</v>
      </c>
      <c r="AB29" s="51">
        <f t="shared" si="27"/>
        <v>11872.909500120111</v>
      </c>
      <c r="AC29" s="44">
        <f t="shared" si="28"/>
        <v>22381.618253065208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3.8481367643411479</v>
      </c>
      <c r="AP29" s="47">
        <f t="shared" si="37"/>
        <v>2.2454782729991107</v>
      </c>
    </row>
    <row r="30" spans="1:42">
      <c r="B30" s="97" t="s">
        <v>39</v>
      </c>
      <c r="C30" s="61">
        <v>18230407</v>
      </c>
      <c r="D30" s="61" t="s">
        <v>40</v>
      </c>
      <c r="E30" s="38" t="s">
        <v>942</v>
      </c>
      <c r="F30" s="39" t="s">
        <v>941</v>
      </c>
      <c r="G30" s="39">
        <v>45</v>
      </c>
      <c r="H30" s="39"/>
      <c r="I30" s="40" t="s">
        <v>281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17.178543299945023</v>
      </c>
      <c r="V30" s="48">
        <f t="shared" si="21"/>
        <v>18.3</v>
      </c>
      <c r="W30" s="49">
        <f t="shared" si="22"/>
        <v>0.38174540666544499</v>
      </c>
      <c r="X30" s="44">
        <f t="shared" si="23"/>
        <v>498261.86566385633</v>
      </c>
      <c r="Y30" s="44">
        <f t="shared" si="24"/>
        <v>2726387.3</v>
      </c>
      <c r="Z30" s="44">
        <f t="shared" si="25"/>
        <v>2230761.4459000393</v>
      </c>
      <c r="AA30" s="50">
        <f t="shared" si="26"/>
        <v>5086754.1656638561</v>
      </c>
      <c r="AB30" s="51">
        <f t="shared" si="27"/>
        <v>2085408.4751799935</v>
      </c>
      <c r="AC30" s="44">
        <f t="shared" si="28"/>
        <v>4755309.1199998651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3.8481367643411479</v>
      </c>
      <c r="AP30" s="47">
        <f t="shared" si="37"/>
        <v>1.8563316288068932</v>
      </c>
    </row>
    <row r="31" spans="1:42">
      <c r="B31" s="97" t="s">
        <v>39</v>
      </c>
      <c r="C31" s="61">
        <v>18230407</v>
      </c>
      <c r="D31" s="61" t="s">
        <v>40</v>
      </c>
      <c r="E31" s="38" t="s">
        <v>943</v>
      </c>
      <c r="F31" s="39" t="s">
        <v>944</v>
      </c>
      <c r="G31" s="39">
        <v>45</v>
      </c>
      <c r="H31" s="39"/>
      <c r="I31" s="40" t="s">
        <v>281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3.2314492355922889E-2</v>
      </c>
      <c r="V31" s="48">
        <f t="shared" si="21"/>
        <v>10.809999999999999</v>
      </c>
      <c r="W31" s="49">
        <f t="shared" si="22"/>
        <v>7.1809983013161973E-4</v>
      </c>
      <c r="X31" s="44">
        <f t="shared" si="23"/>
        <v>937.27849725733665</v>
      </c>
      <c r="Y31" s="44">
        <f t="shared" si="24"/>
        <v>2151.19</v>
      </c>
      <c r="Z31" s="44">
        <f t="shared" si="25"/>
        <v>4196.2768572848081</v>
      </c>
      <c r="AA31" s="50">
        <f t="shared" si="26"/>
        <v>4481.4684972573368</v>
      </c>
      <c r="AB31" s="51">
        <f t="shared" si="27"/>
        <v>3922.8539378188348</v>
      </c>
      <c r="AC31" s="44">
        <f t="shared" si="28"/>
        <v>4189.4629309688107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3.8481367643411479</v>
      </c>
      <c r="AP31" s="47">
        <f t="shared" si="37"/>
        <v>3.9635739899833085</v>
      </c>
    </row>
    <row r="32" spans="1:42">
      <c r="B32" s="97" t="s">
        <v>39</v>
      </c>
      <c r="C32" s="61">
        <v>18230407</v>
      </c>
      <c r="D32" s="61" t="s">
        <v>40</v>
      </c>
      <c r="E32" s="38" t="s">
        <v>945</v>
      </c>
      <c r="F32" s="39" t="s">
        <v>944</v>
      </c>
      <c r="G32" s="39">
        <v>45</v>
      </c>
      <c r="H32" s="39"/>
      <c r="I32" s="40" t="s">
        <v>281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2.624829490805368</v>
      </c>
      <c r="V32" s="48">
        <f t="shared" si="21"/>
        <v>16.3</v>
      </c>
      <c r="W32" s="49">
        <f t="shared" si="22"/>
        <v>5.832954424011929E-2</v>
      </c>
      <c r="X32" s="44">
        <f t="shared" si="23"/>
        <v>76132.906981838096</v>
      </c>
      <c r="Y32" s="44">
        <f t="shared" si="24"/>
        <v>204745.7</v>
      </c>
      <c r="Z32" s="44">
        <f t="shared" si="25"/>
        <v>340853.60603123932</v>
      </c>
      <c r="AA32" s="50">
        <f t="shared" si="26"/>
        <v>455899.60698183812</v>
      </c>
      <c r="AB32" s="51">
        <f t="shared" si="27"/>
        <v>318644.11146231589</v>
      </c>
      <c r="AC32" s="44">
        <f t="shared" si="28"/>
        <v>426193.8926632122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3.848136764341147</v>
      </c>
      <c r="AP32" s="47">
        <f t="shared" si="37"/>
        <v>3.1647678563303745</v>
      </c>
    </row>
    <row r="33" spans="2:42">
      <c r="B33" s="97" t="s">
        <v>39</v>
      </c>
      <c r="C33" s="61">
        <v>18230407</v>
      </c>
      <c r="D33" s="61" t="s">
        <v>40</v>
      </c>
      <c r="E33" s="38" t="s">
        <v>946</v>
      </c>
      <c r="F33" s="39" t="s">
        <v>947</v>
      </c>
      <c r="G33" s="39">
        <v>45</v>
      </c>
      <c r="H33" s="39"/>
      <c r="I33" s="40" t="s">
        <v>283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39</v>
      </c>
      <c r="C34" s="61">
        <v>18230407</v>
      </c>
      <c r="D34" s="61" t="s">
        <v>40</v>
      </c>
      <c r="E34" s="38" t="s">
        <v>948</v>
      </c>
      <c r="F34" s="39" t="s">
        <v>949</v>
      </c>
      <c r="G34" s="39">
        <v>45</v>
      </c>
      <c r="H34" s="39"/>
      <c r="I34" s="40" t="s">
        <v>281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2.3791996251172347</v>
      </c>
      <c r="V34" s="48">
        <f t="shared" si="21"/>
        <v>19.98</v>
      </c>
      <c r="W34" s="49">
        <f t="shared" si="22"/>
        <v>5.2871102780382991E-2</v>
      </c>
      <c r="X34" s="44">
        <f t="shared" si="23"/>
        <v>69008.438218475407</v>
      </c>
      <c r="Y34" s="44">
        <f t="shared" si="24"/>
        <v>306821.24</v>
      </c>
      <c r="Z34" s="44">
        <f t="shared" si="25"/>
        <v>308956.74348757725</v>
      </c>
      <c r="AA34" s="50">
        <f t="shared" si="26"/>
        <v>706761.67821847543</v>
      </c>
      <c r="AB34" s="51">
        <f t="shared" si="27"/>
        <v>288825.59922181658</v>
      </c>
      <c r="AC34" s="44">
        <f t="shared" si="28"/>
        <v>660710.17875897477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3.8481367643411479</v>
      </c>
      <c r="AP34" s="47">
        <f t="shared" si="37"/>
        <v>1.850409584773725</v>
      </c>
    </row>
    <row r="35" spans="2:42">
      <c r="B35" s="97" t="s">
        <v>39</v>
      </c>
      <c r="C35" s="61">
        <v>18230407</v>
      </c>
      <c r="D35" s="61" t="s">
        <v>40</v>
      </c>
      <c r="E35" s="38" t="s">
        <v>950</v>
      </c>
      <c r="F35" s="39" t="s">
        <v>951</v>
      </c>
      <c r="G35" s="39">
        <v>45</v>
      </c>
      <c r="H35" s="39"/>
      <c r="I35" s="40" t="s">
        <v>281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0.64424997717448163</v>
      </c>
      <c r="V35" s="48">
        <f t="shared" si="21"/>
        <v>17.98</v>
      </c>
      <c r="W35" s="49">
        <f t="shared" si="22"/>
        <v>1.4316666159432924E-2</v>
      </c>
      <c r="X35" s="44">
        <f t="shared" si="23"/>
        <v>18686.403729114874</v>
      </c>
      <c r="Y35" s="44">
        <f t="shared" si="24"/>
        <v>31932.880000000005</v>
      </c>
      <c r="Z35" s="44">
        <f t="shared" si="25"/>
        <v>83660.644881770218</v>
      </c>
      <c r="AA35" s="50">
        <f t="shared" si="26"/>
        <v>114627.28372911488</v>
      </c>
      <c r="AB35" s="51">
        <f t="shared" si="27"/>
        <v>78209.446463279615</v>
      </c>
      <c r="AC35" s="44">
        <f t="shared" si="28"/>
        <v>107158.3469469149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3.8481367643411484</v>
      </c>
      <c r="AP35" s="47">
        <f t="shared" si="37"/>
        <v>3.0894159933572958</v>
      </c>
    </row>
    <row r="36" spans="2:42">
      <c r="B36" s="97" t="s">
        <v>39</v>
      </c>
      <c r="C36" s="61">
        <v>18230407</v>
      </c>
      <c r="D36" s="61" t="s">
        <v>40</v>
      </c>
      <c r="E36" s="38" t="s">
        <v>952</v>
      </c>
      <c r="F36" s="39" t="s">
        <v>953</v>
      </c>
      <c r="G36" s="39">
        <v>18</v>
      </c>
      <c r="H36" s="39"/>
      <c r="I36" s="40" t="s">
        <v>283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39</v>
      </c>
      <c r="C37" s="61">
        <v>18230407</v>
      </c>
      <c r="D37" s="61" t="s">
        <v>40</v>
      </c>
      <c r="E37" s="38" t="s">
        <v>954</v>
      </c>
      <c r="F37" s="39" t="s">
        <v>953</v>
      </c>
      <c r="G37" s="39">
        <v>20</v>
      </c>
      <c r="H37" s="39"/>
      <c r="I37" s="40" t="s">
        <v>283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39</v>
      </c>
      <c r="C38" s="61">
        <v>18230407</v>
      </c>
      <c r="D38" s="61" t="s">
        <v>40</v>
      </c>
      <c r="E38" s="38" t="s">
        <v>955</v>
      </c>
      <c r="F38" s="39" t="s">
        <v>956</v>
      </c>
      <c r="G38" s="39">
        <v>20</v>
      </c>
      <c r="H38" s="39"/>
      <c r="I38" s="40" t="s">
        <v>283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39</v>
      </c>
      <c r="C39" s="61">
        <v>18230407</v>
      </c>
      <c r="D39" s="61" t="s">
        <v>40</v>
      </c>
      <c r="E39" s="38" t="s">
        <v>613</v>
      </c>
      <c r="F39" s="39" t="s">
        <v>614</v>
      </c>
      <c r="G39" s="39">
        <v>13</v>
      </c>
      <c r="H39" s="39"/>
      <c r="I39" s="40" t="s">
        <v>279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4.7492586049445763E-3</v>
      </c>
      <c r="V39" s="48">
        <f t="shared" si="21"/>
        <v>129.16999999999996</v>
      </c>
      <c r="W39" s="49">
        <f t="shared" si="22"/>
        <v>3.6532758499573662E-4</v>
      </c>
      <c r="X39" s="44">
        <f t="shared" si="23"/>
        <v>476.83299104623842</v>
      </c>
      <c r="Y39" s="44">
        <f t="shared" si="24"/>
        <v>258.33999999999992</v>
      </c>
      <c r="Z39" s="44">
        <f t="shared" si="25"/>
        <v>2134.8225217716226</v>
      </c>
      <c r="AA39" s="50">
        <f t="shared" si="26"/>
        <v>1735.1729910462384</v>
      </c>
      <c r="AB39" s="51">
        <f t="shared" si="27"/>
        <v>1995.7207831837172</v>
      </c>
      <c r="AC39" s="44">
        <f t="shared" si="28"/>
        <v>1622.1117986783568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1.1699113218998487</v>
      </c>
      <c r="AP39" s="47">
        <f t="shared" si="37"/>
        <v>1.58330515544599</v>
      </c>
    </row>
    <row r="40" spans="2:42">
      <c r="B40" s="97" t="s">
        <v>39</v>
      </c>
      <c r="C40" s="61">
        <v>18230407</v>
      </c>
      <c r="D40" s="61" t="s">
        <v>40</v>
      </c>
      <c r="E40" s="38" t="s">
        <v>957</v>
      </c>
      <c r="F40" s="39" t="s">
        <v>958</v>
      </c>
      <c r="G40" s="39">
        <v>20</v>
      </c>
      <c r="H40" s="39"/>
      <c r="I40" s="40" t="s">
        <v>279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39</v>
      </c>
      <c r="C41" s="61">
        <v>18230407</v>
      </c>
      <c r="D41" s="61" t="s">
        <v>40</v>
      </c>
      <c r="E41" s="38" t="s">
        <v>959</v>
      </c>
      <c r="F41" s="39" t="s">
        <v>960</v>
      </c>
      <c r="G41" s="39">
        <v>10</v>
      </c>
      <c r="H41" s="39"/>
      <c r="I41" s="40" t="s">
        <v>279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5.591748749934744E-2</v>
      </c>
      <c r="V41" s="48">
        <f t="shared" si="21"/>
        <v>0</v>
      </c>
      <c r="W41" s="49">
        <f t="shared" si="22"/>
        <v>5.5917487499347442E-3</v>
      </c>
      <c r="X41" s="44">
        <f t="shared" si="23"/>
        <v>7298.4641486669143</v>
      </c>
      <c r="Y41" s="44">
        <f t="shared" si="24"/>
        <v>0</v>
      </c>
      <c r="Z41" s="44">
        <f t="shared" si="25"/>
        <v>32675.854925075859</v>
      </c>
      <c r="AA41" s="50">
        <f t="shared" si="26"/>
        <v>32048.464148666913</v>
      </c>
      <c r="AB41" s="51">
        <f t="shared" si="27"/>
        <v>30546.746681383429</v>
      </c>
      <c r="AC41" s="44">
        <f t="shared" si="28"/>
        <v>29960.235719049182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0.91442633369941018</v>
      </c>
      <c r="AP41" s="47">
        <f t="shared" si="37"/>
        <v>1.7527155124610638</v>
      </c>
    </row>
    <row r="42" spans="2:42">
      <c r="B42" s="97" t="s">
        <v>39</v>
      </c>
      <c r="C42" s="61">
        <v>18230407</v>
      </c>
      <c r="D42" s="61" t="s">
        <v>40</v>
      </c>
      <c r="E42" s="38" t="s">
        <v>961</v>
      </c>
      <c r="F42" s="39" t="s">
        <v>962</v>
      </c>
      <c r="G42" s="39">
        <v>15</v>
      </c>
      <c r="H42" s="39"/>
      <c r="I42" s="40" t="s">
        <v>281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1.1116396514870271E-3</v>
      </c>
      <c r="V42" s="48">
        <f t="shared" si="21"/>
        <v>25</v>
      </c>
      <c r="W42" s="49">
        <f t="shared" si="22"/>
        <v>7.4109310099135136E-5</v>
      </c>
      <c r="X42" s="44">
        <f t="shared" si="23"/>
        <v>96.728978183665504</v>
      </c>
      <c r="Y42" s="44">
        <f t="shared" si="24"/>
        <v>175</v>
      </c>
      <c r="Z42" s="44">
        <f t="shared" si="25"/>
        <v>433.06399727367204</v>
      </c>
      <c r="AA42" s="50">
        <f t="shared" si="26"/>
        <v>796.7289781836655</v>
      </c>
      <c r="AB42" s="51">
        <f t="shared" si="27"/>
        <v>404.84621601726838</v>
      </c>
      <c r="AC42" s="44">
        <f t="shared" si="28"/>
        <v>744.81534840017332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1.705587594853472</v>
      </c>
      <c r="AP42" s="47">
        <f t="shared" si="37"/>
        <v>1.0197839691141459</v>
      </c>
    </row>
    <row r="43" spans="2:42">
      <c r="B43" s="97" t="s">
        <v>39</v>
      </c>
      <c r="C43" s="61">
        <v>18230407</v>
      </c>
      <c r="D43" s="61" t="s">
        <v>40</v>
      </c>
      <c r="E43" s="38" t="s">
        <v>963</v>
      </c>
      <c r="F43" s="39" t="s">
        <v>964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1.30846920748473E-2</v>
      </c>
      <c r="V43" s="48">
        <f t="shared" si="21"/>
        <v>0</v>
      </c>
      <c r="W43" s="49">
        <f t="shared" si="22"/>
        <v>8.7231280498982001E-4</v>
      </c>
      <c r="X43" s="44">
        <f t="shared" si="23"/>
        <v>1138.5604071920386</v>
      </c>
      <c r="Y43" s="44">
        <f t="shared" si="24"/>
        <v>0</v>
      </c>
      <c r="Z43" s="44">
        <f t="shared" si="25"/>
        <v>5097.4333683118339</v>
      </c>
      <c r="AA43" s="50">
        <f t="shared" si="26"/>
        <v>5688.5604071920388</v>
      </c>
      <c r="AB43" s="51">
        <f t="shared" si="27"/>
        <v>4765.2924822958148</v>
      </c>
      <c r="AC43" s="44">
        <f t="shared" si="28"/>
        <v>5317.902596234494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1.3597807103529802</v>
      </c>
      <c r="AP43" s="47">
        <f t="shared" si="37"/>
        <v>1.5054002794294852</v>
      </c>
    </row>
    <row r="44" spans="2:42">
      <c r="B44" s="97" t="s">
        <v>39</v>
      </c>
      <c r="C44" s="61">
        <v>18230407</v>
      </c>
      <c r="D44" s="61" t="s">
        <v>40</v>
      </c>
      <c r="E44" s="38" t="s">
        <v>965</v>
      </c>
      <c r="F44" s="39" t="s">
        <v>966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0.1072407942257485</v>
      </c>
      <c r="V44" s="48">
        <f t="shared" si="21"/>
        <v>0</v>
      </c>
      <c r="W44" s="49">
        <f t="shared" si="22"/>
        <v>7.1493862817165665E-3</v>
      </c>
      <c r="X44" s="44">
        <f t="shared" si="23"/>
        <v>9331.5243219195709</v>
      </c>
      <c r="Y44" s="44">
        <f t="shared" si="24"/>
        <v>0</v>
      </c>
      <c r="Z44" s="44">
        <f t="shared" si="25"/>
        <v>41778.041073004992</v>
      </c>
      <c r="AA44" s="50">
        <f t="shared" si="26"/>
        <v>64351.524321919569</v>
      </c>
      <c r="AB44" s="51">
        <f t="shared" si="27"/>
        <v>39055.8484369496</v>
      </c>
      <c r="AC44" s="44">
        <f t="shared" si="28"/>
        <v>60158.478378909567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1.35978071035298</v>
      </c>
      <c r="AP44" s="47">
        <f t="shared" si="37"/>
        <v>1.1475238339311631</v>
      </c>
    </row>
    <row r="45" spans="2:42">
      <c r="B45" s="97" t="s">
        <v>39</v>
      </c>
      <c r="C45" s="61">
        <v>18230407</v>
      </c>
      <c r="D45" s="61" t="s">
        <v>40</v>
      </c>
      <c r="E45" s="38" t="s">
        <v>967</v>
      </c>
      <c r="F45" s="39" t="s">
        <v>968</v>
      </c>
      <c r="G45" s="39">
        <v>45</v>
      </c>
      <c r="H45" s="39"/>
      <c r="I45" s="40" t="s">
        <v>283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39</v>
      </c>
      <c r="C46" s="61">
        <v>18230407</v>
      </c>
      <c r="D46" s="61" t="s">
        <v>40</v>
      </c>
      <c r="E46" s="38" t="s">
        <v>648</v>
      </c>
      <c r="F46" s="39" t="s">
        <v>649</v>
      </c>
      <c r="G46" s="39">
        <v>14</v>
      </c>
      <c r="H46" s="39"/>
      <c r="I46" s="40" t="s">
        <v>279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8.4672496271011866E-3</v>
      </c>
      <c r="V46" s="48">
        <f t="shared" si="21"/>
        <v>-24.99</v>
      </c>
      <c r="W46" s="49">
        <f t="shared" si="22"/>
        <v>6.0480354479294188E-4</v>
      </c>
      <c r="X46" s="44">
        <f t="shared" si="23"/>
        <v>789.40188231981347</v>
      </c>
      <c r="Y46" s="44">
        <f t="shared" si="24"/>
        <v>-3898.44</v>
      </c>
      <c r="Z46" s="44">
        <f t="shared" si="25"/>
        <v>3534.2204686962045</v>
      </c>
      <c r="AA46" s="50">
        <f t="shared" si="26"/>
        <v>790.96188231981341</v>
      </c>
      <c r="AB46" s="51">
        <f t="shared" si="27"/>
        <v>3303.9361210584316</v>
      </c>
      <c r="AC46" s="44">
        <f t="shared" si="28"/>
        <v>739.42402759634786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1.2484959033343619</v>
      </c>
      <c r="AP46" s="47">
        <f t="shared" si="37"/>
        <v>19.980970661323049</v>
      </c>
    </row>
    <row r="47" spans="2:42">
      <c r="B47" s="97" t="s">
        <v>39</v>
      </c>
      <c r="C47" s="61">
        <v>18230407</v>
      </c>
      <c r="D47" s="61" t="s">
        <v>40</v>
      </c>
      <c r="E47" s="38" t="s">
        <v>969</v>
      </c>
      <c r="F47" s="39" t="s">
        <v>970</v>
      </c>
      <c r="G47" s="39">
        <v>4</v>
      </c>
      <c r="H47" s="39"/>
      <c r="I47" s="40" t="s">
        <v>277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7.7538915999095112E-5</v>
      </c>
      <c r="V47" s="48">
        <f t="shared" si="21"/>
        <v>0</v>
      </c>
      <c r="W47" s="49">
        <f t="shared" si="22"/>
        <v>1.9384728999773778E-5</v>
      </c>
      <c r="X47" s="44">
        <f t="shared" si="23"/>
        <v>25.301342382045302</v>
      </c>
      <c r="Y47" s="44">
        <f t="shared" si="24"/>
        <v>0</v>
      </c>
      <c r="Z47" s="44">
        <f t="shared" si="25"/>
        <v>113.27629707359631</v>
      </c>
      <c r="AA47" s="50">
        <f t="shared" si="26"/>
        <v>53.301342382045306</v>
      </c>
      <c r="AB47" s="51">
        <f t="shared" si="27"/>
        <v>105.89538849546256</v>
      </c>
      <c r="AC47" s="44">
        <f t="shared" si="28"/>
        <v>49.828309228798076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0.36430612027270504</v>
      </c>
      <c r="AP47" s="47">
        <f t="shared" si="37"/>
        <v>0.85164784051677733</v>
      </c>
    </row>
    <row r="48" spans="2:42">
      <c r="B48" s="97" t="s">
        <v>39</v>
      </c>
      <c r="C48" s="61">
        <v>18230407</v>
      </c>
      <c r="D48" s="61" t="s">
        <v>40</v>
      </c>
      <c r="E48" s="38" t="s">
        <v>971</v>
      </c>
      <c r="F48" s="39" t="s">
        <v>972</v>
      </c>
      <c r="G48" s="39">
        <v>5</v>
      </c>
      <c r="H48" s="39"/>
      <c r="I48" s="40" t="s">
        <v>277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4.0797398879523897E-2</v>
      </c>
      <c r="V48" s="48">
        <f t="shared" si="21"/>
        <v>0</v>
      </c>
      <c r="W48" s="49">
        <f t="shared" si="22"/>
        <v>8.1594797759047787E-3</v>
      </c>
      <c r="X48" s="44">
        <f t="shared" si="23"/>
        <v>10649.918885734762</v>
      </c>
      <c r="Y48" s="44">
        <f t="shared" si="24"/>
        <v>0</v>
      </c>
      <c r="Z48" s="44">
        <f t="shared" si="25"/>
        <v>47680.607506670691</v>
      </c>
      <c r="AA48" s="50">
        <f t="shared" si="26"/>
        <v>27673.918885734762</v>
      </c>
      <c r="AB48" s="51">
        <f t="shared" si="27"/>
        <v>44573.812757474698</v>
      </c>
      <c r="AC48" s="44">
        <f t="shared" si="28"/>
        <v>25870.729069584704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0.45780827145708641</v>
      </c>
      <c r="AP48" s="47">
        <f t="shared" si="37"/>
        <v>0.86765572502618249</v>
      </c>
    </row>
    <row r="49" spans="2:42">
      <c r="B49" s="97" t="s">
        <v>39</v>
      </c>
      <c r="C49" s="61">
        <v>18230407</v>
      </c>
      <c r="D49" s="61" t="s">
        <v>40</v>
      </c>
      <c r="E49" s="38" t="s">
        <v>973</v>
      </c>
      <c r="F49" s="39" t="s">
        <v>974</v>
      </c>
      <c r="G49" s="39">
        <v>45</v>
      </c>
      <c r="H49" s="39"/>
      <c r="I49" s="40" t="s">
        <v>281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9.070308546284149E-2</v>
      </c>
      <c r="V49" s="48">
        <f t="shared" si="21"/>
        <v>0.22999999999999998</v>
      </c>
      <c r="W49" s="49">
        <f t="shared" si="22"/>
        <v>2.0156241213964777E-3</v>
      </c>
      <c r="X49" s="44">
        <f t="shared" si="23"/>
        <v>2630.8335808850707</v>
      </c>
      <c r="Y49" s="44">
        <f t="shared" si="24"/>
        <v>5181.6699999999983</v>
      </c>
      <c r="Z49" s="44">
        <f t="shared" si="25"/>
        <v>11778.469369712544</v>
      </c>
      <c r="AA49" s="50">
        <f t="shared" si="26"/>
        <v>24709.25358088507</v>
      </c>
      <c r="AB49" s="51">
        <f t="shared" si="27"/>
        <v>11011.002495758197</v>
      </c>
      <c r="AC49" s="44">
        <f t="shared" si="28"/>
        <v>23099.236777493752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3.848136764341147</v>
      </c>
      <c r="AP49" s="47">
        <f t="shared" si="37"/>
        <v>2.0177735012097751</v>
      </c>
    </row>
    <row r="50" spans="2:42">
      <c r="B50" s="97" t="s">
        <v>39</v>
      </c>
      <c r="C50" s="61">
        <v>18230407</v>
      </c>
      <c r="D50" s="61" t="s">
        <v>40</v>
      </c>
      <c r="E50" s="38" t="s">
        <v>658</v>
      </c>
      <c r="F50" s="39" t="s">
        <v>659</v>
      </c>
      <c r="G50" s="39">
        <v>14</v>
      </c>
      <c r="H50" s="39"/>
      <c r="I50" s="40" t="s">
        <v>279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1.4821862019827028E-3</v>
      </c>
      <c r="V50" s="48">
        <f t="shared" si="21"/>
        <v>-34.44</v>
      </c>
      <c r="W50" s="49">
        <f t="shared" si="22"/>
        <v>1.0587044299876449E-4</v>
      </c>
      <c r="X50" s="44">
        <f t="shared" si="23"/>
        <v>138.18425454809358</v>
      </c>
      <c r="Y50" s="44">
        <f t="shared" si="24"/>
        <v>-172.2</v>
      </c>
      <c r="Z50" s="44">
        <f t="shared" si="25"/>
        <v>618.66285324810292</v>
      </c>
      <c r="AA50" s="50">
        <f t="shared" si="26"/>
        <v>465.98425454809359</v>
      </c>
      <c r="AB50" s="51">
        <f t="shared" si="27"/>
        <v>578.35173716752627</v>
      </c>
      <c r="AC50" s="44">
        <f t="shared" si="28"/>
        <v>435.6214401683589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1.2484959033343619</v>
      </c>
      <c r="AP50" s="47">
        <f t="shared" si="37"/>
        <v>3.5388733811928335</v>
      </c>
    </row>
    <row r="51" spans="2:42">
      <c r="B51" s="97" t="s">
        <v>39</v>
      </c>
      <c r="C51" s="61">
        <v>18230407</v>
      </c>
      <c r="D51" s="61" t="s">
        <v>40</v>
      </c>
      <c r="E51" s="38" t="s">
        <v>975</v>
      </c>
      <c r="F51" s="39" t="s">
        <v>976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1.7952197526690499E-3</v>
      </c>
      <c r="V51" s="48">
        <f t="shared" si="21"/>
        <v>0</v>
      </c>
      <c r="W51" s="49">
        <f t="shared" si="22"/>
        <v>1.3809382712838845E-4</v>
      </c>
      <c r="X51" s="44">
        <f t="shared" si="23"/>
        <v>180.24287061547813</v>
      </c>
      <c r="Y51" s="44">
        <f t="shared" si="24"/>
        <v>0</v>
      </c>
      <c r="Z51" s="44">
        <f t="shared" si="25"/>
        <v>806.9629132296734</v>
      </c>
      <c r="AA51" s="50">
        <f t="shared" si="26"/>
        <v>6662.9428706154777</v>
      </c>
      <c r="AB51" s="51">
        <f t="shared" si="27"/>
        <v>754.38245604344525</v>
      </c>
      <c r="AC51" s="44">
        <f t="shared" si="28"/>
        <v>6228.7958031368389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1.2021200538802699</v>
      </c>
      <c r="AP51" s="47">
        <f t="shared" si="37"/>
        <v>0.1601503947317455</v>
      </c>
    </row>
    <row r="52" spans="2:42">
      <c r="B52" s="97" t="s">
        <v>39</v>
      </c>
      <c r="C52" s="61">
        <v>18230407</v>
      </c>
      <c r="D52" s="61" t="s">
        <v>40</v>
      </c>
      <c r="E52" s="38" t="s">
        <v>977</v>
      </c>
      <c r="F52" s="39" t="s">
        <v>978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5.6409561389341699E-5</v>
      </c>
      <c r="V52" s="48">
        <f t="shared" si="21"/>
        <v>0</v>
      </c>
      <c r="W52" s="49">
        <f t="shared" si="22"/>
        <v>4.3391970299493613E-6</v>
      </c>
      <c r="X52" s="44">
        <f t="shared" si="23"/>
        <v>5.663608179365526</v>
      </c>
      <c r="Y52" s="44">
        <f t="shared" si="24"/>
        <v>0</v>
      </c>
      <c r="Z52" s="44">
        <f t="shared" si="25"/>
        <v>25.356463421858866</v>
      </c>
      <c r="AA52" s="50">
        <f t="shared" si="26"/>
        <v>403.36360817936554</v>
      </c>
      <c r="AB52" s="51">
        <f t="shared" si="27"/>
        <v>23.704275424753543</v>
      </c>
      <c r="AC52" s="44">
        <f t="shared" si="28"/>
        <v>377.08105840830655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1.2021200538802699</v>
      </c>
      <c r="AP52" s="47">
        <f t="shared" si="37"/>
        <v>8.3125160060245437E-2</v>
      </c>
    </row>
    <row r="53" spans="2:42">
      <c r="B53" s="97" t="s">
        <v>39</v>
      </c>
      <c r="C53" s="61">
        <v>18230407</v>
      </c>
      <c r="D53" s="61" t="s">
        <v>40</v>
      </c>
      <c r="E53" s="38" t="s">
        <v>979</v>
      </c>
      <c r="F53" s="39" t="s">
        <v>980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9.9637507058837228E-5</v>
      </c>
      <c r="V53" s="48">
        <f t="shared" si="21"/>
        <v>0</v>
      </c>
      <c r="W53" s="49">
        <f t="shared" si="22"/>
        <v>7.6644236199105563E-6</v>
      </c>
      <c r="X53" s="44">
        <f t="shared" si="23"/>
        <v>10.003761526439451</v>
      </c>
      <c r="Y53" s="44">
        <f t="shared" si="24"/>
        <v>0</v>
      </c>
      <c r="Z53" s="44">
        <f t="shared" si="25"/>
        <v>44.787705150637308</v>
      </c>
      <c r="AA53" s="50">
        <f t="shared" si="26"/>
        <v>1063.7037615264394</v>
      </c>
      <c r="AB53" s="51">
        <f t="shared" si="27"/>
        <v>41.869407451282889</v>
      </c>
      <c r="AC53" s="44">
        <f t="shared" si="28"/>
        <v>994.3944671650363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1.7502204176650389</v>
      </c>
      <c r="AP53" s="47">
        <f t="shared" si="37"/>
        <v>8.1063163199469893E-2</v>
      </c>
    </row>
    <row r="54" spans="2:42">
      <c r="B54" s="97" t="s">
        <v>39</v>
      </c>
      <c r="C54" s="61">
        <v>18230407</v>
      </c>
      <c r="D54" s="61" t="s">
        <v>40</v>
      </c>
      <c r="E54" s="38" t="s">
        <v>981</v>
      </c>
      <c r="F54" s="39" t="s">
        <v>982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4.5807605759465428E-4</v>
      </c>
      <c r="V54" s="48">
        <f t="shared" si="21"/>
        <v>0</v>
      </c>
      <c r="W54" s="49">
        <f t="shared" si="22"/>
        <v>3.8173004799554521E-5</v>
      </c>
      <c r="X54" s="44">
        <f t="shared" si="23"/>
        <v>49.824181921566137</v>
      </c>
      <c r="Y54" s="44">
        <f t="shared" si="24"/>
        <v>0</v>
      </c>
      <c r="Z54" s="44">
        <f t="shared" si="25"/>
        <v>223.06716962185118</v>
      </c>
      <c r="AA54" s="50">
        <f t="shared" si="26"/>
        <v>2161.8241819215659</v>
      </c>
      <c r="AB54" s="51">
        <f t="shared" si="27"/>
        <v>208.53245734491088</v>
      </c>
      <c r="AC54" s="44">
        <f t="shared" si="28"/>
        <v>2020.9630568585264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1.1185609757025989</v>
      </c>
      <c r="AP54" s="47">
        <f t="shared" si="37"/>
        <v>0.12696021086479664</v>
      </c>
    </row>
    <row r="55" spans="2:42">
      <c r="B55" s="97" t="s">
        <v>39</v>
      </c>
      <c r="C55" s="61">
        <v>18230407</v>
      </c>
      <c r="D55" s="61" t="s">
        <v>40</v>
      </c>
      <c r="E55" s="38" t="s">
        <v>983</v>
      </c>
      <c r="F55" s="39" t="s">
        <v>984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6.2884060875266132E-4</v>
      </c>
      <c r="V55" s="48">
        <f t="shared" si="21"/>
        <v>0</v>
      </c>
      <c r="W55" s="49">
        <f t="shared" si="22"/>
        <v>4.8372354519435486E-5</v>
      </c>
      <c r="X55" s="44">
        <f t="shared" si="23"/>
        <v>63.136580528734584</v>
      </c>
      <c r="Y55" s="44">
        <f t="shared" si="24"/>
        <v>0</v>
      </c>
      <c r="Z55" s="44">
        <f t="shared" si="25"/>
        <v>282.66792900518954</v>
      </c>
      <c r="AA55" s="50">
        <f t="shared" si="26"/>
        <v>3469.3365805287344</v>
      </c>
      <c r="AB55" s="51">
        <f t="shared" si="27"/>
        <v>264.24972329175426</v>
      </c>
      <c r="AC55" s="44">
        <f t="shared" si="28"/>
        <v>3243.2799668399871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0.92806987198788549</v>
      </c>
      <c r="AP55" s="47">
        <f t="shared" si="37"/>
        <v>8.3177040006778807E-2</v>
      </c>
    </row>
    <row r="56" spans="2:42">
      <c r="B56" s="97" t="s">
        <v>39</v>
      </c>
      <c r="C56" s="61">
        <v>18230407</v>
      </c>
      <c r="D56" s="61" t="s">
        <v>40</v>
      </c>
      <c r="E56" s="38" t="s">
        <v>985</v>
      </c>
      <c r="F56" s="39" t="s">
        <v>986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5.7749791729726052E-2</v>
      </c>
      <c r="V56" s="48">
        <f t="shared" si="21"/>
        <v>0</v>
      </c>
      <c r="W56" s="49">
        <f t="shared" si="22"/>
        <v>4.812482644143838E-3</v>
      </c>
      <c r="X56" s="44">
        <f t="shared" si="23"/>
        <v>6281.3501849086933</v>
      </c>
      <c r="Y56" s="44">
        <f t="shared" si="24"/>
        <v>0</v>
      </c>
      <c r="Z56" s="44">
        <f t="shared" si="25"/>
        <v>28122.147782717286</v>
      </c>
      <c r="AA56" s="50">
        <f t="shared" si="26"/>
        <v>25841.350184908693</v>
      </c>
      <c r="AB56" s="51">
        <f t="shared" si="27"/>
        <v>26289.752063865835</v>
      </c>
      <c r="AC56" s="44">
        <f t="shared" si="28"/>
        <v>24157.567715161906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1.1185609757025989</v>
      </c>
      <c r="AP56" s="47">
        <f t="shared" si="37"/>
        <v>1.6868491446734737</v>
      </c>
    </row>
    <row r="57" spans="2:42">
      <c r="B57" s="97" t="s">
        <v>39</v>
      </c>
      <c r="C57" s="61">
        <v>18230407</v>
      </c>
      <c r="D57" s="61" t="s">
        <v>40</v>
      </c>
      <c r="E57" s="38" t="s">
        <v>987</v>
      </c>
      <c r="F57" s="39" t="s">
        <v>988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1.9794790574768992E-3</v>
      </c>
      <c r="V57" s="48">
        <f t="shared" si="21"/>
        <v>10</v>
      </c>
      <c r="W57" s="49">
        <f t="shared" si="22"/>
        <v>1.3196527049845995E-4</v>
      </c>
      <c r="X57" s="44">
        <f t="shared" si="23"/>
        <v>172.24375390853916</v>
      </c>
      <c r="Y57" s="44">
        <f t="shared" si="24"/>
        <v>150</v>
      </c>
      <c r="Z57" s="44">
        <f t="shared" si="25"/>
        <v>771.15017623179017</v>
      </c>
      <c r="AA57" s="50">
        <f t="shared" si="26"/>
        <v>1372.2437539085392</v>
      </c>
      <c r="AB57" s="51">
        <f t="shared" si="27"/>
        <v>720.90322168064893</v>
      </c>
      <c r="AC57" s="44">
        <f t="shared" si="28"/>
        <v>1282.8304701397954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1.3597807103529804</v>
      </c>
      <c r="AP57" s="47">
        <f t="shared" si="37"/>
        <v>0.99420898960236115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</sheetData>
  <conditionalFormatting sqref="J5:L80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80 R5:S80">
    <cfRule type="expression" dxfId="252" priority="2">
      <formula>ISTEXT(M5)</formula>
    </cfRule>
  </conditionalFormatting>
  <conditionalFormatting sqref="M5:N80 R5:S80">
    <cfRule type="notContainsBlanks" dxfId="251" priority="3">
      <formula>LEN(TRIM(M5))&gt;0</formula>
    </cfRule>
  </conditionalFormatting>
  <conditionalFormatting sqref="R5:S80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232417</v>
      </c>
      <c r="B6" s="97" t="s">
        <v>59</v>
      </c>
      <c r="C6" s="61">
        <v>18230486</v>
      </c>
      <c r="D6" s="61" t="s">
        <v>60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0.8262779600004736</v>
      </c>
      <c r="V6" s="48">
        <f t="shared" si="2"/>
        <v>0</v>
      </c>
      <c r="W6" s="49">
        <f t="shared" si="3"/>
        <v>5.5085197333364908E-2</v>
      </c>
      <c r="X6" s="44">
        <f t="shared" si="4"/>
        <v>22797.168112633361</v>
      </c>
      <c r="Y6" s="44">
        <f t="shared" si="5"/>
        <v>0</v>
      </c>
      <c r="Z6" s="44">
        <f t="shared" si="6"/>
        <v>35599.904421262036</v>
      </c>
      <c r="AA6" s="50">
        <f t="shared" si="7"/>
        <v>43032.168112633357</v>
      </c>
      <c r="AB6" s="51">
        <f t="shared" si="8"/>
        <v>33280.269628178023</v>
      </c>
      <c r="AC6" s="44">
        <f t="shared" si="8"/>
        <v>40228.258495497197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1.4389162204901682</v>
      </c>
      <c r="AP6" s="47">
        <f t="shared" ref="AP6:AP24" si="16">AN6/AC6</f>
        <v>1.3094345551944524</v>
      </c>
    </row>
    <row r="7" spans="1:42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7.122846384293851</v>
      </c>
      <c r="V7" s="48">
        <f t="shared" si="2"/>
        <v>0</v>
      </c>
      <c r="W7" s="49">
        <f t="shared" si="3"/>
        <v>0.47485642561959007</v>
      </c>
      <c r="X7" s="44">
        <f t="shared" si="4"/>
        <v>196520.70407773741</v>
      </c>
      <c r="Y7" s="44">
        <f t="shared" si="5"/>
        <v>0</v>
      </c>
      <c r="Z7" s="44">
        <f t="shared" si="6"/>
        <v>306885.40995096567</v>
      </c>
      <c r="AA7" s="50">
        <f t="shared" si="7"/>
        <v>306837.70407773741</v>
      </c>
      <c r="AB7" s="51">
        <f t="shared" si="8"/>
        <v>286889.23057956964</v>
      </c>
      <c r="AC7" s="44">
        <f t="shared" si="8"/>
        <v>286844.633147366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1.438916220490168</v>
      </c>
      <c r="AP7" s="47">
        <f t="shared" si="16"/>
        <v>1.5830539310389924</v>
      </c>
    </row>
    <row r="8" spans="1:42" ht="13.5" customHeight="1">
      <c r="A8" s="53">
        <f>SUMIF('Program Costs'!D:D,C2,'Program Costs'!O:O)</f>
        <v>413852.89</v>
      </c>
      <c r="B8" s="97" t="s">
        <v>59</v>
      </c>
      <c r="C8" s="61">
        <v>18230486</v>
      </c>
      <c r="D8" s="61" t="s">
        <v>60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4.7115250263466386</v>
      </c>
      <c r="V8" s="48">
        <f t="shared" si="2"/>
        <v>0</v>
      </c>
      <c r="W8" s="49">
        <f t="shared" si="3"/>
        <v>0.31410166842310927</v>
      </c>
      <c r="X8" s="44">
        <f t="shared" si="4"/>
        <v>129991.88323072552</v>
      </c>
      <c r="Y8" s="44">
        <f t="shared" si="5"/>
        <v>0</v>
      </c>
      <c r="Z8" s="44">
        <f t="shared" si="6"/>
        <v>202994.45070061932</v>
      </c>
      <c r="AA8" s="50">
        <f t="shared" si="7"/>
        <v>199061.88323072554</v>
      </c>
      <c r="AB8" s="51">
        <f t="shared" si="8"/>
        <v>189767.64578911779</v>
      </c>
      <c r="AC8" s="44">
        <f t="shared" si="8"/>
        <v>186091.31834226934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1.438916220490168</v>
      </c>
      <c r="AP8" s="47">
        <f t="shared" si="16"/>
        <v>1.6140770063370968</v>
      </c>
    </row>
    <row r="9" spans="1:42" ht="13.5" customHeight="1">
      <c r="A9" s="36" t="s">
        <v>251</v>
      </c>
      <c r="B9" s="97" t="s">
        <v>59</v>
      </c>
      <c r="C9" s="61">
        <v>18230486</v>
      </c>
      <c r="D9" s="61" t="s">
        <v>60</v>
      </c>
      <c r="E9" s="38" t="s">
        <v>989</v>
      </c>
      <c r="F9" s="39" t="s">
        <v>990</v>
      </c>
      <c r="G9" s="39">
        <v>15</v>
      </c>
      <c r="H9" s="39"/>
      <c r="I9" s="40" t="s">
        <v>270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1.9196397911214786</v>
      </c>
      <c r="V9" s="48">
        <f t="shared" si="2"/>
        <v>0</v>
      </c>
      <c r="W9" s="49">
        <f t="shared" si="3"/>
        <v>0.12797598607476524</v>
      </c>
      <c r="X9" s="44">
        <f t="shared" si="4"/>
        <v>52963.231687641353</v>
      </c>
      <c r="Y9" s="44">
        <f t="shared" si="5"/>
        <v>0</v>
      </c>
      <c r="Z9" s="44">
        <f t="shared" si="6"/>
        <v>82707.026443180061</v>
      </c>
      <c r="AA9" s="50">
        <f t="shared" si="7"/>
        <v>80441.231687641353</v>
      </c>
      <c r="AB9" s="51">
        <f t="shared" si="8"/>
        <v>77317.964329419512</v>
      </c>
      <c r="AC9" s="44">
        <f t="shared" si="8"/>
        <v>75199.805260952926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1.4389162204901684</v>
      </c>
      <c r="AP9" s="47">
        <f t="shared" si="16"/>
        <v>1.6273909205628627</v>
      </c>
    </row>
    <row r="10" spans="1:42" ht="13.5" customHeight="1">
      <c r="A10" s="54">
        <f>SUM(O5:O999)</f>
        <v>844510</v>
      </c>
      <c r="B10" s="97" t="s">
        <v>59</v>
      </c>
      <c r="C10" s="61">
        <v>18230486</v>
      </c>
      <c r="D10" s="61" t="s">
        <v>60</v>
      </c>
      <c r="E10" s="38" t="s">
        <v>991</v>
      </c>
      <c r="F10" s="39" t="s">
        <v>992</v>
      </c>
      <c r="G10" s="39">
        <v>15</v>
      </c>
      <c r="H10" s="39"/>
      <c r="I10" s="40" t="s">
        <v>271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0.41971083823755789</v>
      </c>
      <c r="V10" s="48">
        <f t="shared" si="2"/>
        <v>0</v>
      </c>
      <c r="W10" s="49">
        <f t="shared" si="3"/>
        <v>2.7980722549170525E-2</v>
      </c>
      <c r="X10" s="44">
        <f t="shared" si="4"/>
        <v>11579.902891262389</v>
      </c>
      <c r="Y10" s="44">
        <f t="shared" si="5"/>
        <v>0</v>
      </c>
      <c r="Z10" s="44">
        <f t="shared" si="6"/>
        <v>18083.098483972954</v>
      </c>
      <c r="AA10" s="50">
        <f t="shared" si="7"/>
        <v>16896.902891262391</v>
      </c>
      <c r="AB10" s="51">
        <f t="shared" si="8"/>
        <v>16904.831713539264</v>
      </c>
      <c r="AC10" s="44">
        <f t="shared" si="8"/>
        <v>15795.926793738796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1.4741331836121176</v>
      </c>
      <c r="AP10" s="47">
        <f t="shared" si="16"/>
        <v>1.7353822342607326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232417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646269.89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646269.89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1.4399016165643075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1.5838917782207385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24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24" si="10">AF5*J5*K5</f>
        <v>0</v>
      </c>
      <c r="AH5" s="52">
        <f>HLOOKUP(I5,ElecAvoidedCostsWOCC!$A$5:$Q$50,T5+1,FALSE)</f>
        <v>1.9068512770864423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1862866</v>
      </c>
      <c r="B6" s="97" t="s">
        <v>65</v>
      </c>
      <c r="C6" s="98">
        <v>18230711</v>
      </c>
      <c r="D6" s="61" t="s">
        <v>125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0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0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1080774.1499999999</v>
      </c>
      <c r="B8" s="97" t="s">
        <v>65</v>
      </c>
      <c r="C8" s="98">
        <v>18230711</v>
      </c>
      <c r="D8" s="61" t="s">
        <v>125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0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98">
        <v>18230711</v>
      </c>
      <c r="D9" s="61" t="s">
        <v>125</v>
      </c>
      <c r="E9" s="38" t="s">
        <v>997</v>
      </c>
      <c r="F9" s="39" t="s">
        <v>998</v>
      </c>
      <c r="G9" s="39">
        <v>10</v>
      </c>
      <c r="H9" s="39"/>
      <c r="I9" s="40" t="s">
        <v>270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3.436193992977505E-2</v>
      </c>
      <c r="V9" s="48">
        <f t="shared" si="2"/>
        <v>1088.8400000000001</v>
      </c>
      <c r="W9" s="49">
        <f t="shared" si="3"/>
        <v>3.4361939929775051E-3</v>
      </c>
      <c r="X9" s="44">
        <f t="shared" si="4"/>
        <v>3713.7496419953686</v>
      </c>
      <c r="Y9" s="44">
        <f t="shared" si="5"/>
        <v>1088.8400000000001</v>
      </c>
      <c r="Z9" s="44">
        <f t="shared" si="6"/>
        <v>10114.918600917401</v>
      </c>
      <c r="AA9" s="50">
        <f t="shared" si="7"/>
        <v>7344.5896419953688</v>
      </c>
      <c r="AB9" s="51">
        <f t="shared" si="8"/>
        <v>9455.8461259394226</v>
      </c>
      <c r="AC9" s="44">
        <f t="shared" si="8"/>
        <v>6866.027523600419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0.70839718084543712</v>
      </c>
      <c r="AG9" s="44">
        <f t="shared" si="10"/>
        <v>15567.736446259327</v>
      </c>
      <c r="AH9" s="52">
        <f>HLOOKUP(I9,ElecAvoidedCostsWOCC!$A$5:$Q$50,T9+1,FALSE)</f>
        <v>0.70839718084543712</v>
      </c>
      <c r="AI9" s="44">
        <f t="shared" si="11"/>
        <v>0</v>
      </c>
      <c r="AJ9" s="44">
        <f t="shared" si="12"/>
        <v>15567.736446259327</v>
      </c>
      <c r="AK9" s="44">
        <f>HLOOKUP(I9,ElecAvoidedCostsWOCC!$A$5:$Q$50,G9+1,FALSE)*J9*L9</f>
        <v>0</v>
      </c>
      <c r="AL9" s="44">
        <f t="shared" si="13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4"/>
        <v>17124.510090885262</v>
      </c>
      <c r="AO9" s="47">
        <f t="shared" si="15"/>
        <v>1.6463610171863596</v>
      </c>
      <c r="AP9" s="47">
        <f t="shared" si="16"/>
        <v>2.494092840732669</v>
      </c>
    </row>
    <row r="10" spans="1:42" ht="13.5" customHeight="1">
      <c r="A10" s="54">
        <f>SUM(O5:O999)</f>
        <v>6395448</v>
      </c>
      <c r="B10" s="97" t="s">
        <v>65</v>
      </c>
      <c r="C10" s="98">
        <v>18230711</v>
      </c>
      <c r="D10" s="61" t="s">
        <v>125</v>
      </c>
      <c r="E10" s="38" t="s">
        <v>997</v>
      </c>
      <c r="F10" s="39" t="s">
        <v>998</v>
      </c>
      <c r="G10" s="39">
        <v>15</v>
      </c>
      <c r="H10" s="39"/>
      <c r="I10" s="40" t="s">
        <v>270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0.25590623205755092</v>
      </c>
      <c r="V10" s="48">
        <f t="shared" si="2"/>
        <v>156483</v>
      </c>
      <c r="W10" s="49">
        <f t="shared" si="3"/>
        <v>1.7060415470503396E-2</v>
      </c>
      <c r="X10" s="44">
        <f t="shared" si="4"/>
        <v>18438.456028780154</v>
      </c>
      <c r="Y10" s="44">
        <f t="shared" si="5"/>
        <v>156483</v>
      </c>
      <c r="Z10" s="44">
        <f t="shared" si="6"/>
        <v>50219.723954654932</v>
      </c>
      <c r="AA10" s="50">
        <f t="shared" si="7"/>
        <v>251547.45602878014</v>
      </c>
      <c r="AB10" s="51">
        <f t="shared" si="8"/>
        <v>46947.484299013675</v>
      </c>
      <c r="AC10" s="44">
        <f t="shared" si="8"/>
        <v>235157.01227332908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112316.41007731621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112316.41007731621</v>
      </c>
      <c r="AK10" s="44">
        <f>HLOOKUP(I10,ElecAvoidedCostsWOCC!$A$5:$Q$50,G10+1,FALSE)*J10*L10</f>
        <v>0</v>
      </c>
      <c r="AL10" s="44">
        <f t="shared" si="13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4"/>
        <v>123548.05108504783</v>
      </c>
      <c r="AO10" s="47">
        <f t="shared" si="15"/>
        <v>2.3923839957421507</v>
      </c>
      <c r="AP10" s="47">
        <f t="shared" si="16"/>
        <v>0.52538535802387532</v>
      </c>
    </row>
    <row r="11" spans="1:42" ht="13.5" customHeight="1">
      <c r="A11" s="36" t="s">
        <v>252</v>
      </c>
      <c r="B11" s="97" t="s">
        <v>65</v>
      </c>
      <c r="C11" s="98">
        <v>18230711</v>
      </c>
      <c r="D11" s="61" t="s">
        <v>125</v>
      </c>
      <c r="E11" s="38" t="s">
        <v>997</v>
      </c>
      <c r="F11" s="39" t="s">
        <v>998</v>
      </c>
      <c r="G11" s="39">
        <v>15</v>
      </c>
      <c r="H11" s="39"/>
      <c r="I11" s="40" t="s">
        <v>270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7.1751032922165892E-2</v>
      </c>
      <c r="V11" s="48">
        <f t="shared" si="2"/>
        <v>5820</v>
      </c>
      <c r="W11" s="49">
        <f t="shared" si="3"/>
        <v>4.7834021948110596E-3</v>
      </c>
      <c r="X11" s="44">
        <f t="shared" si="4"/>
        <v>5169.7774412050567</v>
      </c>
      <c r="Y11" s="44">
        <f t="shared" si="5"/>
        <v>5820</v>
      </c>
      <c r="Z11" s="44">
        <f t="shared" si="6"/>
        <v>14080.614754243956</v>
      </c>
      <c r="AA11" s="50">
        <f t="shared" si="7"/>
        <v>18371.777441205057</v>
      </c>
      <c r="AB11" s="51">
        <f t="shared" si="8"/>
        <v>13163.143642370716</v>
      </c>
      <c r="AC11" s="44">
        <f t="shared" si="8"/>
        <v>17174.70079574185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31491.294183662736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31491.294183662736</v>
      </c>
      <c r="AK11" s="44">
        <f>HLOOKUP(I11,ElecAvoidedCostsWOCC!$A$5:$Q$50,G11+1,FALSE)*J11*L11</f>
        <v>0</v>
      </c>
      <c r="AL11" s="44">
        <f t="shared" si="13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4"/>
        <v>34640.423602029012</v>
      </c>
      <c r="AO11" s="47">
        <f t="shared" si="15"/>
        <v>2.3923839957421502</v>
      </c>
      <c r="AP11" s="47">
        <f t="shared" si="16"/>
        <v>2.0169448081807322</v>
      </c>
    </row>
    <row r="12" spans="1:42" ht="13.5" customHeight="1">
      <c r="A12" s="55">
        <f>SUM(P5:P1000)</f>
        <v>1862866</v>
      </c>
      <c r="B12" s="97" t="s">
        <v>65</v>
      </c>
      <c r="C12" s="98">
        <v>18230711</v>
      </c>
      <c r="D12" s="61" t="s">
        <v>125</v>
      </c>
      <c r="E12" s="38" t="s">
        <v>999</v>
      </c>
      <c r="F12" s="39" t="s">
        <v>1000</v>
      </c>
      <c r="G12" s="39">
        <v>30</v>
      </c>
      <c r="H12" s="39"/>
      <c r="I12" s="40" t="s">
        <v>275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2.1380389294172497</v>
      </c>
      <c r="AG12" s="44">
        <f t="shared" si="10"/>
        <v>0</v>
      </c>
      <c r="AH12" s="52">
        <f>HLOOKUP(I12,ElecAvoidedCostsWOCC!$A$5:$Q$50,T12+1,FALSE)</f>
        <v>2.1380389294172497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98">
        <v>18230711</v>
      </c>
      <c r="D13" s="61" t="s">
        <v>125</v>
      </c>
      <c r="E13" s="38" t="s">
        <v>1001</v>
      </c>
      <c r="F13" s="39" t="s">
        <v>1002</v>
      </c>
      <c r="G13" s="39">
        <v>15</v>
      </c>
      <c r="H13" s="39"/>
      <c r="I13" s="40" t="s">
        <v>270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0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1399751.4</v>
      </c>
      <c r="B14" s="97" t="s">
        <v>65</v>
      </c>
      <c r="C14" s="98">
        <v>18230711</v>
      </c>
      <c r="D14" s="61" t="s">
        <v>125</v>
      </c>
      <c r="E14" s="38" t="s">
        <v>1003</v>
      </c>
      <c r="F14" s="39" t="s">
        <v>1004</v>
      </c>
      <c r="G14" s="39">
        <v>10</v>
      </c>
      <c r="H14" s="39"/>
      <c r="I14" s="40" t="s">
        <v>270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5.7587834347179429E-2</v>
      </c>
      <c r="V14" s="48">
        <f t="shared" si="2"/>
        <v>0</v>
      </c>
      <c r="W14" s="49">
        <f t="shared" si="3"/>
        <v>5.758783434717943E-3</v>
      </c>
      <c r="X14" s="44">
        <f t="shared" si="4"/>
        <v>6223.9442716913645</v>
      </c>
      <c r="Y14" s="44">
        <f t="shared" si="5"/>
        <v>0</v>
      </c>
      <c r="Z14" s="44">
        <f t="shared" si="6"/>
        <v>16951.786133590642</v>
      </c>
      <c r="AA14" s="50">
        <f t="shared" si="7"/>
        <v>19114.944271691365</v>
      </c>
      <c r="AB14" s="51">
        <f t="shared" si="8"/>
        <v>15847.233928756325</v>
      </c>
      <c r="AC14" s="44">
        <f t="shared" si="8"/>
        <v>17869.44402326948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0.70839718084543712</v>
      </c>
      <c r="AG14" s="44">
        <f t="shared" si="10"/>
        <v>26090.268170537449</v>
      </c>
      <c r="AH14" s="52">
        <f>HLOOKUP(I14,ElecAvoidedCostsWOCC!$A$5:$Q$50,T14+1,FALSE)</f>
        <v>0.70839718084543712</v>
      </c>
      <c r="AI14" s="44">
        <f t="shared" si="11"/>
        <v>0</v>
      </c>
      <c r="AJ14" s="44">
        <f t="shared" si="12"/>
        <v>26090.268170537449</v>
      </c>
      <c r="AK14" s="44">
        <f>HLOOKUP(I14,ElecAvoidedCostsWOCC!$A$5:$Q$50,G14+1,FALSE)*J14*L14</f>
        <v>0</v>
      </c>
      <c r="AL14" s="44">
        <f t="shared" si="13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4"/>
        <v>28699.294987591195</v>
      </c>
      <c r="AO14" s="47">
        <f t="shared" si="15"/>
        <v>1.6463610171863594</v>
      </c>
      <c r="AP14" s="47">
        <f t="shared" si="16"/>
        <v>1.6060541643164248</v>
      </c>
    </row>
    <row r="15" spans="1:42" ht="13.5" customHeight="1">
      <c r="A15" s="57" t="s">
        <v>258</v>
      </c>
      <c r="B15" s="97" t="s">
        <v>65</v>
      </c>
      <c r="C15" s="98">
        <v>18230711</v>
      </c>
      <c r="D15" s="61" t="s">
        <v>125</v>
      </c>
      <c r="E15" s="38" t="s">
        <v>1003</v>
      </c>
      <c r="F15" s="39" t="s">
        <v>1004</v>
      </c>
      <c r="G15" s="39">
        <v>10</v>
      </c>
      <c r="H15" s="39"/>
      <c r="I15" s="40" t="s">
        <v>270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0.35202850527437646</v>
      </c>
      <c r="V15" s="48">
        <f t="shared" si="2"/>
        <v>0</v>
      </c>
      <c r="W15" s="49">
        <f t="shared" si="3"/>
        <v>3.5202850527437643E-2</v>
      </c>
      <c r="X15" s="44">
        <f t="shared" si="4"/>
        <v>38046.33085636847</v>
      </c>
      <c r="Y15" s="44">
        <f t="shared" si="5"/>
        <v>0</v>
      </c>
      <c r="Z15" s="44">
        <f t="shared" si="6"/>
        <v>103624.52420701412</v>
      </c>
      <c r="AA15" s="50">
        <f t="shared" si="7"/>
        <v>113154.33085636847</v>
      </c>
      <c r="AB15" s="51">
        <f t="shared" si="8"/>
        <v>96872.510243072</v>
      </c>
      <c r="AC15" s="44">
        <f t="shared" si="8"/>
        <v>105781.36940858976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0.70839718084543712</v>
      </c>
      <c r="AG15" s="44">
        <f t="shared" si="10"/>
        <v>159487.12450118002</v>
      </c>
      <c r="AH15" s="52">
        <f>HLOOKUP(I15,ElecAvoidedCostsWOCC!$A$5:$Q$50,T15+1,FALSE)</f>
        <v>0.70839718084543712</v>
      </c>
      <c r="AI15" s="44">
        <f t="shared" si="11"/>
        <v>0</v>
      </c>
      <c r="AJ15" s="44">
        <f t="shared" si="12"/>
        <v>159487.12450118002</v>
      </c>
      <c r="AK15" s="44">
        <f>HLOOKUP(I15,ElecAvoidedCostsWOCC!$A$5:$Q$50,G15+1,FALSE)*J15*L15</f>
        <v>0</v>
      </c>
      <c r="AL15" s="44">
        <f t="shared" si="13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4"/>
        <v>175435.83695129803</v>
      </c>
      <c r="AO15" s="47">
        <f t="shared" si="15"/>
        <v>1.6463610171863592</v>
      </c>
      <c r="AP15" s="47">
        <f t="shared" si="16"/>
        <v>1.6584757593150625</v>
      </c>
    </row>
    <row r="16" spans="1:42" ht="13.5" customHeight="1">
      <c r="A16" s="54">
        <f>SUM(U5:U999)</f>
        <v>12.931078792291016</v>
      </c>
      <c r="B16" s="97" t="s">
        <v>65</v>
      </c>
      <c r="C16" s="98">
        <v>18230711</v>
      </c>
      <c r="D16" s="61" t="s">
        <v>125</v>
      </c>
      <c r="E16" s="38" t="s">
        <v>1003</v>
      </c>
      <c r="F16" s="39" t="s">
        <v>1004</v>
      </c>
      <c r="G16" s="39">
        <v>10</v>
      </c>
      <c r="H16" s="39"/>
      <c r="I16" s="40" t="s">
        <v>270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0.57176291637427124</v>
      </c>
      <c r="V16" s="48">
        <f t="shared" si="2"/>
        <v>0</v>
      </c>
      <c r="W16" s="49">
        <f t="shared" si="3"/>
        <v>5.7176291637427122E-2</v>
      </c>
      <c r="X16" s="44">
        <f t="shared" si="4"/>
        <v>61794.657994592402</v>
      </c>
      <c r="Y16" s="44">
        <f t="shared" si="5"/>
        <v>0</v>
      </c>
      <c r="Z16" s="44">
        <f t="shared" si="6"/>
        <v>168306.4276920397</v>
      </c>
      <c r="AA16" s="50">
        <f t="shared" si="7"/>
        <v>157856.65799459239</v>
      </c>
      <c r="AB16" s="51">
        <f t="shared" si="8"/>
        <v>157339.84078904334</v>
      </c>
      <c r="AC16" s="44">
        <f t="shared" si="8"/>
        <v>147570.96194689386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0.70839718084543712</v>
      </c>
      <c r="AG16" s="44">
        <f t="shared" si="10"/>
        <v>259038.18032538932</v>
      </c>
      <c r="AH16" s="52">
        <f>HLOOKUP(I16,ElecAvoidedCostsWOCC!$A$5:$Q$50,T16+1,FALSE)</f>
        <v>0.70839718084543712</v>
      </c>
      <c r="AI16" s="44">
        <f t="shared" si="11"/>
        <v>0</v>
      </c>
      <c r="AJ16" s="44">
        <f t="shared" si="12"/>
        <v>259038.18032538932</v>
      </c>
      <c r="AK16" s="44">
        <f>HLOOKUP(I16,ElecAvoidedCostsWOCC!$A$5:$Q$50,G16+1,FALSE)*J16*L16</f>
        <v>0</v>
      </c>
      <c r="AL16" s="44">
        <f t="shared" si="13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4"/>
        <v>284941.99835792824</v>
      </c>
      <c r="AO16" s="47">
        <f t="shared" si="15"/>
        <v>1.6463610171863599</v>
      </c>
      <c r="AP16" s="47">
        <f t="shared" si="16"/>
        <v>1.9308812153739967</v>
      </c>
    </row>
    <row r="17" spans="1:42" ht="13.5" customHeight="1">
      <c r="A17" s="58" t="s">
        <v>261</v>
      </c>
      <c r="B17" s="97" t="s">
        <v>65</v>
      </c>
      <c r="C17" s="98">
        <v>18230711</v>
      </c>
      <c r="D17" s="61" t="s">
        <v>125</v>
      </c>
      <c r="E17" s="38" t="s">
        <v>1005</v>
      </c>
      <c r="F17" s="39" t="s">
        <v>1006</v>
      </c>
      <c r="G17" s="39">
        <v>15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0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2943640.15</v>
      </c>
      <c r="B18" s="97" t="s">
        <v>65</v>
      </c>
      <c r="C18" s="98">
        <v>18230711</v>
      </c>
      <c r="D18" s="61" t="s">
        <v>125</v>
      </c>
      <c r="E18" s="38" t="s">
        <v>1005</v>
      </c>
      <c r="F18" s="39" t="s">
        <v>1006</v>
      </c>
      <c r="G18" s="39">
        <v>15</v>
      </c>
      <c r="H18" s="39"/>
      <c r="I18" s="40" t="s">
        <v>275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0.57409504384993826</v>
      </c>
      <c r="V18" s="48">
        <f t="shared" si="2"/>
        <v>121335</v>
      </c>
      <c r="W18" s="49">
        <f t="shared" si="3"/>
        <v>3.8273002923329219E-2</v>
      </c>
      <c r="X18" s="44">
        <f t="shared" si="4"/>
        <v>41364.472202408651</v>
      </c>
      <c r="Y18" s="44">
        <f t="shared" si="5"/>
        <v>121335</v>
      </c>
      <c r="Z18" s="44">
        <f t="shared" si="6"/>
        <v>112661.94806617926</v>
      </c>
      <c r="AA18" s="50">
        <f t="shared" si="7"/>
        <v>248370.47220240865</v>
      </c>
      <c r="AB18" s="51">
        <f t="shared" si="8"/>
        <v>105321.06952059385</v>
      </c>
      <c r="AC18" s="44">
        <f t="shared" si="8"/>
        <v>232187.03580668283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337488.79970622284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337488.79970622284</v>
      </c>
      <c r="AK18" s="44">
        <f>HLOOKUP(I18,ElecAvoidedCostsWOCC!$A$5:$Q$50,G18+1,FALSE)*J18*L18</f>
        <v>0</v>
      </c>
      <c r="AL18" s="44">
        <f t="shared" si="13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4"/>
        <v>371237.67967684515</v>
      </c>
      <c r="AO18" s="47">
        <f t="shared" si="15"/>
        <v>3.2043806737096636</v>
      </c>
      <c r="AP18" s="47">
        <f t="shared" si="16"/>
        <v>1.5988734185225346</v>
      </c>
    </row>
    <row r="19" spans="1:42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1005</v>
      </c>
      <c r="F19" s="39" t="s">
        <v>1006</v>
      </c>
      <c r="G19" s="39">
        <v>15</v>
      </c>
      <c r="H19" s="39"/>
      <c r="I19" s="40" t="s">
        <v>275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1.9232429065172605E-3</v>
      </c>
      <c r="V19" s="48">
        <f t="shared" si="2"/>
        <v>510</v>
      </c>
      <c r="W19" s="49">
        <f t="shared" si="3"/>
        <v>1.2821619376781736E-4</v>
      </c>
      <c r="X19" s="44">
        <f t="shared" si="4"/>
        <v>138.5727478356481</v>
      </c>
      <c r="Y19" s="44">
        <f t="shared" si="5"/>
        <v>510</v>
      </c>
      <c r="Z19" s="44">
        <f t="shared" si="6"/>
        <v>377.42233585512696</v>
      </c>
      <c r="AA19" s="50">
        <f t="shared" si="7"/>
        <v>1148.572747835648</v>
      </c>
      <c r="AB19" s="51">
        <f t="shared" si="8"/>
        <v>352.83007932609792</v>
      </c>
      <c r="AC19" s="44">
        <f t="shared" si="8"/>
        <v>1073.7335213944543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1130.6018872959955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1130.6018872959955</v>
      </c>
      <c r="AK19" s="44">
        <f>HLOOKUP(I19,ElecAvoidedCostsWOCC!$A$5:$Q$50,G19+1,FALSE)*J19*L19</f>
        <v>0</v>
      </c>
      <c r="AL19" s="44">
        <f t="shared" si="13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4"/>
        <v>1243.6620760255953</v>
      </c>
      <c r="AO19" s="47">
        <f t="shared" si="15"/>
        <v>3.2043806737096632</v>
      </c>
      <c r="AP19" s="47">
        <f t="shared" si="16"/>
        <v>1.1582595227263235</v>
      </c>
    </row>
    <row r="20" spans="1:42" ht="13.5" customHeight="1">
      <c r="A20" s="59">
        <f>A8+SUM(Q5:Q906)</f>
        <v>4343391.55</v>
      </c>
      <c r="B20" s="97" t="s">
        <v>65</v>
      </c>
      <c r="C20" s="98">
        <v>18230711</v>
      </c>
      <c r="D20" s="61" t="s">
        <v>125</v>
      </c>
      <c r="E20" s="38" t="s">
        <v>1005</v>
      </c>
      <c r="F20" s="39" t="s">
        <v>1006</v>
      </c>
      <c r="G20" s="39">
        <v>15</v>
      </c>
      <c r="H20" s="39"/>
      <c r="I20" s="40" t="s">
        <v>275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2.7488301054124746E-2</v>
      </c>
      <c r="V20" s="48">
        <f t="shared" si="2"/>
        <v>13464</v>
      </c>
      <c r="W20" s="49">
        <f t="shared" si="3"/>
        <v>1.8325534036083165E-3</v>
      </c>
      <c r="X20" s="44">
        <f t="shared" si="4"/>
        <v>1980.576347114385</v>
      </c>
      <c r="Y20" s="44">
        <f t="shared" si="5"/>
        <v>13464</v>
      </c>
      <c r="Z20" s="44">
        <f t="shared" si="6"/>
        <v>5394.3777758805954</v>
      </c>
      <c r="AA20" s="50">
        <f t="shared" si="7"/>
        <v>26257.576347114384</v>
      </c>
      <c r="AB20" s="51">
        <f t="shared" si="8"/>
        <v>5042.8884508559358</v>
      </c>
      <c r="AC20" s="44">
        <f t="shared" si="8"/>
        <v>24546.673223440572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16159.334291596424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16159.334291596424</v>
      </c>
      <c r="AK20" s="44">
        <f>HLOOKUP(I20,ElecAvoidedCostsWOCC!$A$5:$Q$50,G20+1,FALSE)*J20*L20</f>
        <v>0</v>
      </c>
      <c r="AL20" s="44">
        <f t="shared" si="13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4"/>
        <v>17775.267720756066</v>
      </c>
      <c r="AO20" s="47">
        <f t="shared" si="15"/>
        <v>3.2043806737096632</v>
      </c>
      <c r="AP20" s="47">
        <f t="shared" si="16"/>
        <v>0.72414162029018958</v>
      </c>
    </row>
    <row r="21" spans="1:42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1007</v>
      </c>
      <c r="F21" s="39" t="s">
        <v>1008</v>
      </c>
      <c r="G21" s="39">
        <v>10</v>
      </c>
      <c r="H21" s="39"/>
      <c r="I21" s="40" t="s">
        <v>270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0.70839718084543712</v>
      </c>
      <c r="AG21" s="44">
        <f t="shared" si="10"/>
        <v>0</v>
      </c>
      <c r="AH21" s="52">
        <f>HLOOKUP(I21,ElecAvoidedCostsWOCC!$A$5:$Q$50,T21+1,FALSE)</f>
        <v>0.70839718084543712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2.0821922143159761</v>
      </c>
      <c r="B22" s="97" t="s">
        <v>65</v>
      </c>
      <c r="C22" s="98">
        <v>18230711</v>
      </c>
      <c r="D22" s="61" t="s">
        <v>125</v>
      </c>
      <c r="E22" s="38" t="s">
        <v>1007</v>
      </c>
      <c r="F22" s="39" t="s">
        <v>1008</v>
      </c>
      <c r="G22" s="39">
        <v>7</v>
      </c>
      <c r="H22" s="39"/>
      <c r="I22" s="40" t="s">
        <v>270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0.23587198269769374</v>
      </c>
      <c r="V22" s="48">
        <f t="shared" si="2"/>
        <v>10051</v>
      </c>
      <c r="W22" s="49">
        <f t="shared" si="3"/>
        <v>3.3695997528241962E-2</v>
      </c>
      <c r="X22" s="44">
        <f t="shared" si="4"/>
        <v>36417.763086987805</v>
      </c>
      <c r="Y22" s="44">
        <f t="shared" si="5"/>
        <v>10051</v>
      </c>
      <c r="Z22" s="44">
        <f t="shared" si="6"/>
        <v>99188.891218433797</v>
      </c>
      <c r="AA22" s="50">
        <f t="shared" si="7"/>
        <v>69922.763086987805</v>
      </c>
      <c r="AB22" s="51">
        <f t="shared" si="18"/>
        <v>92725.89624982125</v>
      </c>
      <c r="AC22" s="44">
        <f t="shared" si="18"/>
        <v>65366.703830034399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0.49980838947667638</v>
      </c>
      <c r="AG22" s="44">
        <f t="shared" si="10"/>
        <v>107709.20774061324</v>
      </c>
      <c r="AH22" s="52">
        <f>HLOOKUP(I22,ElecAvoidedCostsWOCC!$A$5:$Q$50,T22+1,FALSE)</f>
        <v>0.49980838947667638</v>
      </c>
      <c r="AI22" s="44">
        <f t="shared" si="11"/>
        <v>0</v>
      </c>
      <c r="AJ22" s="44">
        <f t="shared" si="12"/>
        <v>107709.20774061324</v>
      </c>
      <c r="AK22" s="44">
        <f>HLOOKUP(I22,ElecAvoidedCostsWOCC!$A$5:$Q$50,G22+1,FALSE)*J22*L22</f>
        <v>0</v>
      </c>
      <c r="AL22" s="44">
        <f t="shared" si="13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4"/>
        <v>118480.12851467458</v>
      </c>
      <c r="AO22" s="47">
        <f t="shared" si="15"/>
        <v>1.1615871304217336</v>
      </c>
      <c r="AP22" s="47">
        <f t="shared" si="16"/>
        <v>1.8125455556508552</v>
      </c>
    </row>
    <row r="23" spans="1:42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1007</v>
      </c>
      <c r="F23" s="39" t="s">
        <v>1008</v>
      </c>
      <c r="G23" s="39">
        <v>10</v>
      </c>
      <c r="H23" s="39"/>
      <c r="I23" s="40" t="s">
        <v>270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5.4995365453678925E-2</v>
      </c>
      <c r="V23" s="48">
        <f t="shared" si="2"/>
        <v>3967</v>
      </c>
      <c r="W23" s="49">
        <f t="shared" si="3"/>
        <v>5.4995365453678925E-3</v>
      </c>
      <c r="X23" s="44">
        <f t="shared" si="4"/>
        <v>5943.7569352139199</v>
      </c>
      <c r="Y23" s="44">
        <f t="shared" si="5"/>
        <v>3967</v>
      </c>
      <c r="Z23" s="44">
        <f t="shared" si="6"/>
        <v>16188.656581337224</v>
      </c>
      <c r="AA23" s="50">
        <f t="shared" si="7"/>
        <v>19165.756935213918</v>
      </c>
      <c r="AB23" s="51">
        <f t="shared" si="18"/>
        <v>15133.828719582334</v>
      </c>
      <c r="AC23" s="44">
        <f t="shared" si="18"/>
        <v>17916.945812109858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24915.745644695715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24915.745644695715</v>
      </c>
      <c r="AK23" s="44">
        <f>HLOOKUP(I23,ElecAvoidedCostsWOCC!$A$5:$Q$50,G23+1,FALSE)*J23*L23</f>
        <v>0</v>
      </c>
      <c r="AL23" s="44">
        <f t="shared" si="13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4"/>
        <v>27407.320209165289</v>
      </c>
      <c r="AO23" s="47">
        <f t="shared" si="15"/>
        <v>1.6463610171863596</v>
      </c>
      <c r="AP23" s="47">
        <f t="shared" si="16"/>
        <v>1.5296870625484058</v>
      </c>
    </row>
    <row r="24" spans="1:42" ht="13.5" customHeight="1">
      <c r="A24" s="60">
        <f>(SUM(AN5:AN1000)/SUM(AC5:AC1000))</f>
        <v>1.5522770592224657</v>
      </c>
      <c r="B24" s="97" t="s">
        <v>65</v>
      </c>
      <c r="C24" s="98">
        <v>18230711</v>
      </c>
      <c r="D24" s="61" t="s">
        <v>125</v>
      </c>
      <c r="E24" s="38" t="s">
        <v>1009</v>
      </c>
      <c r="F24" s="39" t="s">
        <v>1010</v>
      </c>
      <c r="G24" s="39">
        <v>15</v>
      </c>
      <c r="H24" s="39"/>
      <c r="I24" s="40" t="s">
        <v>270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0.60932791573006306</v>
      </c>
      <c r="V24" s="48">
        <f t="shared" si="2"/>
        <v>25039</v>
      </c>
      <c r="W24" s="49">
        <f t="shared" si="3"/>
        <v>4.0621861048670868E-2</v>
      </c>
      <c r="X24" s="44">
        <f t="shared" si="4"/>
        <v>43903.057346295362</v>
      </c>
      <c r="Y24" s="44">
        <f t="shared" si="5"/>
        <v>25039</v>
      </c>
      <c r="Z24" s="44">
        <f t="shared" si="6"/>
        <v>119576.14115058866</v>
      </c>
      <c r="AA24" s="50">
        <f t="shared" si="7"/>
        <v>127367.05734629536</v>
      </c>
      <c r="AB24" s="51">
        <f t="shared" si="18"/>
        <v>111784.74446161414</v>
      </c>
      <c r="AC24" s="44">
        <f t="shared" si="18"/>
        <v>119068.01658997416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267432.03361809166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267432.03361809166</v>
      </c>
      <c r="AK24" s="44">
        <f>HLOOKUP(I24,ElecAvoidedCostsWOCC!$A$5:$Q$50,G24+1,FALSE)*J24*L24</f>
        <v>0</v>
      </c>
      <c r="AL24" s="44">
        <f t="shared" si="13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4"/>
        <v>294175.23697990086</v>
      </c>
      <c r="AO24" s="47">
        <f t="shared" si="15"/>
        <v>2.3923839957421502</v>
      </c>
      <c r="AP24" s="47">
        <f t="shared" si="16"/>
        <v>2.4706486712794642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 t="s">
        <v>1009</v>
      </c>
      <c r="F25" s="39" t="s">
        <v>1010</v>
      </c>
      <c r="G25" s="39">
        <v>15</v>
      </c>
      <c r="H25" s="39"/>
      <c r="I25" s="40" t="s">
        <v>270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ref="T25:T88" si="19">G25+H25</f>
        <v>15</v>
      </c>
      <c r="U25" s="47">
        <f t="shared" ref="U25:U88" si="20">(O25/$A$10)*T25</f>
        <v>0.28289261362143825</v>
      </c>
      <c r="V25" s="48">
        <f t="shared" ref="V25:V88" si="21">N25-M25</f>
        <v>18852</v>
      </c>
      <c r="W25" s="49">
        <f t="shared" ref="W25:W88" si="22">(O25/A$10)</f>
        <v>1.8859507574762551E-2</v>
      </c>
      <c r="X25" s="44">
        <f t="shared" ref="X25:X88" si="23">W25*A$8</f>
        <v>20382.868268532555</v>
      </c>
      <c r="Y25" s="44">
        <f t="shared" ref="Y25:Y88" si="24">Q25-P25</f>
        <v>18852</v>
      </c>
      <c r="Z25" s="44">
        <f t="shared" ref="Z25:Z88" si="25">X25+(A$6*W25)</f>
        <v>55515.603706300171</v>
      </c>
      <c r="AA25" s="50">
        <f t="shared" ref="AA25:AA88" si="26">Q25+X25</f>
        <v>75419.868268532562</v>
      </c>
      <c r="AB25" s="51">
        <f t="shared" ref="AB25:AB88" si="27">Z25/(1+ElecDiscountRate)^1</f>
        <v>51898.292704777195</v>
      </c>
      <c r="AC25" s="44">
        <f t="shared" ref="AC25:AC88" si="28">AA25/(1+ElecDiscountRate)^1</f>
        <v>70505.62612744933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1.0293963841416951</v>
      </c>
      <c r="AG25" s="44">
        <f t="shared" ref="AG25:AG88" si="31">AF25*J25*K25</f>
        <v>124160.64487325055</v>
      </c>
      <c r="AH25" s="52">
        <f>HLOOKUP(I25,ElecAvoidedCostsWOCC!$A$5:$Q$50,T25+1,FALSE)</f>
        <v>1.0293963841416951</v>
      </c>
      <c r="AI25" s="44">
        <f t="shared" ref="AI25:AI88" si="32">AH25*J25*L25</f>
        <v>0</v>
      </c>
      <c r="AJ25" s="44">
        <f t="shared" ref="AJ25:AJ88" si="33">AG25+AI25</f>
        <v>124160.64487325055</v>
      </c>
      <c r="AK25" s="44">
        <f>HLOOKUP(I25,ElecAvoidedCostsWOCC!$A$5:$Q$50,G25+1,FALSE)*J25*L25</f>
        <v>0</v>
      </c>
      <c r="AL25" s="44">
        <f t="shared" ref="AL25:AL88" si="34">AG25+AI25-AK25</f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ref="AN25:AN88" si="35">AM25*1.1+AD25+AE25</f>
        <v>136576.70936057562</v>
      </c>
      <c r="AO25" s="47">
        <f t="shared" ref="AO25:AO88" si="36">IFERROR(AM25/AB25,0)</f>
        <v>2.3923839957421502</v>
      </c>
      <c r="AP25" s="47">
        <f t="shared" ref="AP25:AP88" si="37">AN25/AC25</f>
        <v>1.9371037016775521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 t="s">
        <v>1011</v>
      </c>
      <c r="F26" s="39" t="s">
        <v>1012</v>
      </c>
      <c r="G26" s="39">
        <v>7</v>
      </c>
      <c r="H26" s="39"/>
      <c r="I26" s="40" t="s">
        <v>271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19"/>
        <v>7</v>
      </c>
      <c r="U26" s="47">
        <f t="shared" si="20"/>
        <v>0.61023246534097375</v>
      </c>
      <c r="V26" s="48">
        <f t="shared" si="21"/>
        <v>88958</v>
      </c>
      <c r="W26" s="49">
        <f t="shared" si="22"/>
        <v>8.717606647728196E-2</v>
      </c>
      <c r="X26" s="44">
        <f t="shared" si="23"/>
        <v>94217.639147327893</v>
      </c>
      <c r="Y26" s="44">
        <f t="shared" si="24"/>
        <v>88958</v>
      </c>
      <c r="Z26" s="44">
        <f t="shared" si="25"/>
        <v>256614.96940159623</v>
      </c>
      <c r="AA26" s="50">
        <f t="shared" si="26"/>
        <v>294375.63914732786</v>
      </c>
      <c r="AB26" s="51">
        <f t="shared" si="27"/>
        <v>239894.33430082846</v>
      </c>
      <c r="AC26" s="44">
        <f t="shared" si="28"/>
        <v>275194.57712192938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0.51471879727314174</v>
      </c>
      <c r="AG26" s="44">
        <f t="shared" si="31"/>
        <v>286971.17104369472</v>
      </c>
      <c r="AH26" s="52">
        <f>HLOOKUP(I26,ElecAvoidedCostsWOCC!$A$5:$Q$50,T26+1,FALSE)</f>
        <v>0.51471879727314174</v>
      </c>
      <c r="AI26" s="44">
        <f t="shared" si="32"/>
        <v>0</v>
      </c>
      <c r="AJ26" s="44">
        <f t="shared" si="33"/>
        <v>286971.17104369472</v>
      </c>
      <c r="AK26" s="44">
        <f>HLOOKUP(I26,ElecAvoidedCostsWOCC!$A$5:$Q$50,G26+1,FALSE)*J26*L26</f>
        <v>0</v>
      </c>
      <c r="AL26" s="44">
        <f t="shared" si="3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35"/>
        <v>315668.28814806422</v>
      </c>
      <c r="AO26" s="47">
        <f t="shared" si="36"/>
        <v>1.1962398856983081</v>
      </c>
      <c r="AP26" s="47">
        <f t="shared" si="37"/>
        <v>1.1470730689878468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 t="s">
        <v>1013</v>
      </c>
      <c r="F27" s="39" t="s">
        <v>1014</v>
      </c>
      <c r="G27" s="39">
        <v>15</v>
      </c>
      <c r="H27" s="39"/>
      <c r="I27" s="40" t="s">
        <v>270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19"/>
        <v>15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1.0293963841416951</v>
      </c>
      <c r="AG27" s="44">
        <f t="shared" si="31"/>
        <v>0</v>
      </c>
      <c r="AH27" s="52">
        <f>HLOOKUP(I27,ElecAvoidedCostsWOCC!$A$5:$Q$50,T27+1,FALSE)</f>
        <v>1.0293963841416951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 t="s">
        <v>1015</v>
      </c>
      <c r="F28" s="39" t="s">
        <v>1016</v>
      </c>
      <c r="G28" s="39">
        <v>15</v>
      </c>
      <c r="H28" s="39"/>
      <c r="I28" s="40" t="s">
        <v>270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19"/>
        <v>15</v>
      </c>
      <c r="U28" s="47">
        <f t="shared" si="20"/>
        <v>4.520558997587034E-2</v>
      </c>
      <c r="V28" s="48">
        <f t="shared" si="21"/>
        <v>2054.16</v>
      </c>
      <c r="W28" s="49">
        <f t="shared" si="22"/>
        <v>3.0137059983913559E-3</v>
      </c>
      <c r="X28" s="44">
        <f t="shared" si="23"/>
        <v>3257.1355387613189</v>
      </c>
      <c r="Y28" s="44">
        <f t="shared" si="24"/>
        <v>2054.16</v>
      </c>
      <c r="Z28" s="44">
        <f t="shared" si="25"/>
        <v>8871.2659771606304</v>
      </c>
      <c r="AA28" s="50">
        <f t="shared" si="26"/>
        <v>9964.2955387613183</v>
      </c>
      <c r="AB28" s="51">
        <f t="shared" si="27"/>
        <v>8293.2279865014771</v>
      </c>
      <c r="AC28" s="44">
        <f t="shared" si="28"/>
        <v>9315.0374298974639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1.0293963841416951</v>
      </c>
      <c r="AG28" s="44">
        <f t="shared" si="31"/>
        <v>19840.585907947032</v>
      </c>
      <c r="AH28" s="52">
        <f>HLOOKUP(I28,ElecAvoidedCostsWOCC!$A$5:$Q$50,T28+1,FALSE)</f>
        <v>1.0293963841416951</v>
      </c>
      <c r="AI28" s="44">
        <f t="shared" si="32"/>
        <v>0</v>
      </c>
      <c r="AJ28" s="44">
        <f t="shared" si="33"/>
        <v>19840.585907947032</v>
      </c>
      <c r="AK28" s="44">
        <f>HLOOKUP(I28,ElecAvoidedCostsWOCC!$A$5:$Q$50,G28+1,FALSE)*J28*L28</f>
        <v>0</v>
      </c>
      <c r="AL28" s="44">
        <f t="shared" si="3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35"/>
        <v>21824.644498741738</v>
      </c>
      <c r="AO28" s="47">
        <f t="shared" si="36"/>
        <v>2.3923839957421502</v>
      </c>
      <c r="AP28" s="47">
        <f t="shared" si="37"/>
        <v>2.3429475901721606</v>
      </c>
    </row>
    <row r="29" spans="1:42">
      <c r="B29" s="97" t="s">
        <v>65</v>
      </c>
      <c r="C29" s="98">
        <v>18230711</v>
      </c>
      <c r="D29" s="61" t="s">
        <v>125</v>
      </c>
      <c r="E29" s="38" t="s">
        <v>1017</v>
      </c>
      <c r="F29" s="39" t="s">
        <v>1018</v>
      </c>
      <c r="G29" s="39">
        <v>15</v>
      </c>
      <c r="H29" s="39"/>
      <c r="I29" s="40" t="s">
        <v>270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19"/>
        <v>15</v>
      </c>
      <c r="U29" s="47">
        <f t="shared" si="20"/>
        <v>0.19901107787914152</v>
      </c>
      <c r="V29" s="48">
        <f t="shared" si="21"/>
        <v>3423</v>
      </c>
      <c r="W29" s="49">
        <f t="shared" si="22"/>
        <v>1.3267405191942768E-2</v>
      </c>
      <c r="X29" s="44">
        <f t="shared" si="23"/>
        <v>14339.068569027531</v>
      </c>
      <c r="Y29" s="44">
        <f t="shared" si="24"/>
        <v>3423</v>
      </c>
      <c r="Z29" s="44">
        <f t="shared" si="25"/>
        <v>39054.466609321185</v>
      </c>
      <c r="AA29" s="50">
        <f t="shared" si="26"/>
        <v>25749.068569027531</v>
      </c>
      <c r="AB29" s="51">
        <f t="shared" si="27"/>
        <v>36509.737879144792</v>
      </c>
      <c r="AC29" s="44">
        <f t="shared" si="28"/>
        <v>24071.299026855686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87345.312590806978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87345.312590806978</v>
      </c>
      <c r="AK29" s="44">
        <f>HLOOKUP(I29,ElecAvoidedCostsWOCC!$A$5:$Q$50,G29+1,FALSE)*J29*L29</f>
        <v>0</v>
      </c>
      <c r="AL29" s="44">
        <f t="shared" si="3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35"/>
        <v>96079.843849887679</v>
      </c>
      <c r="AO29" s="47">
        <f t="shared" si="36"/>
        <v>2.3923839957421507</v>
      </c>
      <c r="AP29" s="47">
        <f t="shared" si="37"/>
        <v>3.9914689997699768</v>
      </c>
    </row>
    <row r="30" spans="1:42">
      <c r="B30" s="97" t="s">
        <v>65</v>
      </c>
      <c r="C30" s="98">
        <v>18230711</v>
      </c>
      <c r="D30" s="61" t="s">
        <v>125</v>
      </c>
      <c r="E30" s="38" t="s">
        <v>1017</v>
      </c>
      <c r="F30" s="39" t="s">
        <v>1018</v>
      </c>
      <c r="G30" s="39">
        <v>15</v>
      </c>
      <c r="H30" s="39"/>
      <c r="I30" s="40" t="s">
        <v>270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19"/>
        <v>15</v>
      </c>
      <c r="U30" s="47">
        <f t="shared" si="20"/>
        <v>0.44321601864325999</v>
      </c>
      <c r="V30" s="48">
        <f t="shared" si="21"/>
        <v>19076</v>
      </c>
      <c r="W30" s="49">
        <f t="shared" si="22"/>
        <v>2.9547734576217333E-2</v>
      </c>
      <c r="X30" s="44">
        <f t="shared" si="23"/>
        <v>31934.427721036896</v>
      </c>
      <c r="Y30" s="44">
        <f t="shared" si="24"/>
        <v>19076</v>
      </c>
      <c r="Z30" s="44">
        <f t="shared" si="25"/>
        <v>86977.897840096586</v>
      </c>
      <c r="AA30" s="50">
        <f t="shared" si="26"/>
        <v>89413.427721036889</v>
      </c>
      <c r="AB30" s="51">
        <f t="shared" si="27"/>
        <v>81310.552341868359</v>
      </c>
      <c r="AC30" s="44">
        <f t="shared" si="28"/>
        <v>83587.386857097212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194526.06410764027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194526.06410764027</v>
      </c>
      <c r="AK30" s="44">
        <f>HLOOKUP(I30,ElecAvoidedCostsWOCC!$A$5:$Q$50,G30+1,FALSE)*J30*L30</f>
        <v>0</v>
      </c>
      <c r="AL30" s="44">
        <f t="shared" si="3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35"/>
        <v>213978.67051840431</v>
      </c>
      <c r="AO30" s="47">
        <f t="shared" si="36"/>
        <v>2.3923839957421502</v>
      </c>
      <c r="AP30" s="47">
        <f t="shared" si="37"/>
        <v>2.5599397057863147</v>
      </c>
    </row>
    <row r="31" spans="1:42">
      <c r="B31" s="97" t="s">
        <v>65</v>
      </c>
      <c r="C31" s="98">
        <v>18230711</v>
      </c>
      <c r="D31" s="61" t="s">
        <v>125</v>
      </c>
      <c r="E31" s="38" t="s">
        <v>1019</v>
      </c>
      <c r="F31" s="39" t="s">
        <v>1020</v>
      </c>
      <c r="G31" s="39">
        <v>20</v>
      </c>
      <c r="H31" s="39"/>
      <c r="I31" s="40" t="s">
        <v>273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19"/>
        <v>20</v>
      </c>
      <c r="U31" s="47">
        <f t="shared" si="20"/>
        <v>0.67061760176925833</v>
      </c>
      <c r="V31" s="48">
        <f t="shared" si="21"/>
        <v>82244</v>
      </c>
      <c r="W31" s="49">
        <f t="shared" si="22"/>
        <v>3.3530880088462917E-2</v>
      </c>
      <c r="X31" s="44">
        <f t="shared" si="23"/>
        <v>36239.308426360432</v>
      </c>
      <c r="Y31" s="44">
        <f t="shared" si="24"/>
        <v>82244</v>
      </c>
      <c r="Z31" s="44">
        <f t="shared" si="25"/>
        <v>98702.844893234986</v>
      </c>
      <c r="AA31" s="50">
        <f t="shared" si="26"/>
        <v>193539.30842636043</v>
      </c>
      <c r="AB31" s="51">
        <f t="shared" si="27"/>
        <v>92271.519952542745</v>
      </c>
      <c r="AC31" s="44">
        <f t="shared" si="28"/>
        <v>180928.58598332282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1.1073323783937479</v>
      </c>
      <c r="AG31" s="44">
        <f t="shared" si="31"/>
        <v>237461.89188464725</v>
      </c>
      <c r="AH31" s="52">
        <f>HLOOKUP(I31,ElecAvoidedCostsWOCC!$A$5:$Q$50,T31+1,FALSE)</f>
        <v>1.1073323783937479</v>
      </c>
      <c r="AI31" s="44">
        <f t="shared" si="32"/>
        <v>0</v>
      </c>
      <c r="AJ31" s="44">
        <f t="shared" si="33"/>
        <v>237461.89188464725</v>
      </c>
      <c r="AK31" s="44">
        <f>HLOOKUP(I31,ElecAvoidedCostsWOCC!$A$5:$Q$50,G31+1,FALSE)*J31*L31</f>
        <v>0</v>
      </c>
      <c r="AL31" s="44">
        <f t="shared" si="3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35"/>
        <v>261208.081073112</v>
      </c>
      <c r="AO31" s="47">
        <f t="shared" si="36"/>
        <v>2.5735123037615408</v>
      </c>
      <c r="AP31" s="47">
        <f t="shared" si="37"/>
        <v>1.4437081882527341</v>
      </c>
    </row>
    <row r="32" spans="1:42">
      <c r="B32" s="97" t="s">
        <v>65</v>
      </c>
      <c r="C32" s="98">
        <v>18230711</v>
      </c>
      <c r="D32" s="61" t="s">
        <v>125</v>
      </c>
      <c r="E32" s="38" t="s">
        <v>1021</v>
      </c>
      <c r="F32" s="39" t="s">
        <v>1022</v>
      </c>
      <c r="G32" s="39">
        <v>24</v>
      </c>
      <c r="H32" s="39"/>
      <c r="I32" s="40" t="s">
        <v>269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19"/>
        <v>24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1.4345808139443847</v>
      </c>
      <c r="AG32" s="44">
        <f t="shared" si="31"/>
        <v>0</v>
      </c>
      <c r="AH32" s="52">
        <f>HLOOKUP(I32,ElecAvoidedCostsWOCC!$A$5:$Q$50,T32+1,FALSE)</f>
        <v>1.4345808139443847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 t="s">
        <v>1021</v>
      </c>
      <c r="F33" s="39" t="s">
        <v>1022</v>
      </c>
      <c r="G33" s="39">
        <v>24</v>
      </c>
      <c r="H33" s="39"/>
      <c r="I33" s="40" t="s">
        <v>269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24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1.4345808139443847</v>
      </c>
      <c r="AG33" s="44">
        <f t="shared" si="31"/>
        <v>0</v>
      </c>
      <c r="AH33" s="52">
        <f>HLOOKUP(I33,ElecAvoidedCostsWOCC!$A$5:$Q$50,T33+1,FALSE)</f>
        <v>1.4345808139443847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 t="s">
        <v>1021</v>
      </c>
      <c r="F34" s="39" t="s">
        <v>1022</v>
      </c>
      <c r="G34" s="39">
        <v>24</v>
      </c>
      <c r="H34" s="39"/>
      <c r="I34" s="40" t="s">
        <v>269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24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1.4345808139443847</v>
      </c>
      <c r="AG34" s="44">
        <f t="shared" si="31"/>
        <v>0</v>
      </c>
      <c r="AH34" s="52">
        <f>HLOOKUP(I34,ElecAvoidedCostsWOCC!$A$5:$Q$50,T34+1,FALSE)</f>
        <v>1.4345808139443847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 t="s">
        <v>1021</v>
      </c>
      <c r="F35" s="39" t="s">
        <v>1022</v>
      </c>
      <c r="G35" s="39">
        <v>24</v>
      </c>
      <c r="H35" s="39"/>
      <c r="I35" s="40" t="s">
        <v>269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24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1.4345808139443847</v>
      </c>
      <c r="AG35" s="44">
        <f t="shared" si="31"/>
        <v>0</v>
      </c>
      <c r="AH35" s="52">
        <f>HLOOKUP(I35,ElecAvoidedCostsWOCC!$A$5:$Q$50,T35+1,FALSE)</f>
        <v>1.4345808139443847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 t="s">
        <v>1023</v>
      </c>
      <c r="F36" s="39" t="s">
        <v>1024</v>
      </c>
      <c r="G36" s="39">
        <v>30</v>
      </c>
      <c r="H36" s="39"/>
      <c r="I36" s="40" t="s">
        <v>269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30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1.6159766001539988</v>
      </c>
      <c r="AG36" s="44">
        <f t="shared" si="31"/>
        <v>0</v>
      </c>
      <c r="AH36" s="52">
        <f>HLOOKUP(I36,ElecAvoidedCostsWOCC!$A$5:$Q$50,T36+1,FALSE)</f>
        <v>1.6159766001539988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 t="s">
        <v>1025</v>
      </c>
      <c r="F37" s="39" t="s">
        <v>1026</v>
      </c>
      <c r="G37" s="39">
        <v>15</v>
      </c>
      <c r="H37" s="39"/>
      <c r="I37" s="40" t="s">
        <v>270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si="19"/>
        <v>15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1.0293963841416951</v>
      </c>
      <c r="AG37" s="44">
        <f t="shared" si="31"/>
        <v>0</v>
      </c>
      <c r="AH37" s="52">
        <f>HLOOKUP(I37,ElecAvoidedCostsWOCC!$A$5:$Q$50,T37+1,FALSE)</f>
        <v>1.0293963841416951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 t="s">
        <v>1025</v>
      </c>
      <c r="F38" s="39" t="s">
        <v>1026</v>
      </c>
      <c r="G38" s="39">
        <v>15</v>
      </c>
      <c r="H38" s="39"/>
      <c r="I38" s="40" t="s">
        <v>270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1.0293963841416951</v>
      </c>
      <c r="AG38" s="44">
        <f t="shared" si="31"/>
        <v>0</v>
      </c>
      <c r="AH38" s="52">
        <f>HLOOKUP(I38,ElecAvoidedCostsWOCC!$A$5:$Q$50,T38+1,FALSE)</f>
        <v>1.0293963841416951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 t="s">
        <v>1025</v>
      </c>
      <c r="F39" s="39" t="s">
        <v>1026</v>
      </c>
      <c r="G39" s="39">
        <v>15</v>
      </c>
      <c r="H39" s="39"/>
      <c r="I39" s="40" t="s">
        <v>270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7.7398799896426333E-3</v>
      </c>
      <c r="V39" s="48">
        <f t="shared" si="21"/>
        <v>781</v>
      </c>
      <c r="W39" s="49">
        <f t="shared" si="22"/>
        <v>5.1599199930950888E-4</v>
      </c>
      <c r="X39" s="44">
        <f t="shared" si="23"/>
        <v>557.67081446053498</v>
      </c>
      <c r="Y39" s="44">
        <f t="shared" si="24"/>
        <v>781</v>
      </c>
      <c r="Z39" s="44">
        <f t="shared" si="25"/>
        <v>1518.8947662462424</v>
      </c>
      <c r="AA39" s="50">
        <f t="shared" si="26"/>
        <v>2328.670814460535</v>
      </c>
      <c r="AB39" s="51">
        <f t="shared" si="27"/>
        <v>1419.9259289952718</v>
      </c>
      <c r="AC39" s="44">
        <f t="shared" si="28"/>
        <v>2176.9382204922267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1.0293963841416951</v>
      </c>
      <c r="AG39" s="44">
        <f t="shared" si="31"/>
        <v>3397.0080676675939</v>
      </c>
      <c r="AH39" s="52">
        <f>HLOOKUP(I39,ElecAvoidedCostsWOCC!$A$5:$Q$50,T39+1,FALSE)</f>
        <v>1.0293963841416951</v>
      </c>
      <c r="AI39" s="44">
        <f t="shared" si="32"/>
        <v>0</v>
      </c>
      <c r="AJ39" s="44">
        <f t="shared" si="33"/>
        <v>3397.0080676675939</v>
      </c>
      <c r="AK39" s="44">
        <f>HLOOKUP(I39,ElecAvoidedCostsWOCC!$A$5:$Q$50,G39+1,FALSE)*J39*L39</f>
        <v>0</v>
      </c>
      <c r="AL39" s="44">
        <f t="shared" si="34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5"/>
        <v>3736.7088744343537</v>
      </c>
      <c r="AO39" s="47">
        <f t="shared" si="36"/>
        <v>2.3923839957421511</v>
      </c>
      <c r="AP39" s="47">
        <f t="shared" si="37"/>
        <v>1.716497436288958</v>
      </c>
    </row>
    <row r="40" spans="2:42">
      <c r="B40" s="97" t="s">
        <v>65</v>
      </c>
      <c r="C40" s="98">
        <v>18230711</v>
      </c>
      <c r="D40" s="61" t="s">
        <v>125</v>
      </c>
      <c r="E40" s="38" t="s">
        <v>1027</v>
      </c>
      <c r="F40" s="39" t="s">
        <v>1028</v>
      </c>
      <c r="G40" s="39">
        <v>20</v>
      </c>
      <c r="H40" s="39"/>
      <c r="I40" s="40" t="s">
        <v>274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1.2592865625776986</v>
      </c>
      <c r="AG40" s="44">
        <f t="shared" si="31"/>
        <v>0</v>
      </c>
      <c r="AH40" s="52">
        <f>HLOOKUP(I40,ElecAvoidedCostsWOCC!$A$5:$Q$50,T40+1,FALSE)</f>
        <v>1.2592865625776986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 t="s">
        <v>1027</v>
      </c>
      <c r="F41" s="39" t="s">
        <v>1028</v>
      </c>
      <c r="G41" s="39">
        <v>10</v>
      </c>
      <c r="H41" s="39"/>
      <c r="I41" s="40" t="s">
        <v>274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0.41064988723229395</v>
      </c>
      <c r="V41" s="48">
        <f t="shared" si="21"/>
        <v>121995</v>
      </c>
      <c r="W41" s="49">
        <f t="shared" si="22"/>
        <v>4.1064988723229397E-2</v>
      </c>
      <c r="X41" s="44">
        <f t="shared" si="23"/>
        <v>44381.978282107833</v>
      </c>
      <c r="Y41" s="44">
        <f t="shared" si="24"/>
        <v>121995</v>
      </c>
      <c r="Z41" s="44">
        <f t="shared" si="25"/>
        <v>120880.54956499528</v>
      </c>
      <c r="AA41" s="50">
        <f t="shared" si="26"/>
        <v>258296.97828210783</v>
      </c>
      <c r="AB41" s="51">
        <f t="shared" si="27"/>
        <v>113004.1596382119</v>
      </c>
      <c r="AC41" s="44">
        <f t="shared" si="28"/>
        <v>241466.74608031017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0.68726615252653023</v>
      </c>
      <c r="AG41" s="44">
        <f t="shared" si="31"/>
        <v>180496.02237189011</v>
      </c>
      <c r="AH41" s="52">
        <f>HLOOKUP(I41,ElecAvoidedCostsWOCC!$A$5:$Q$50,T41+1,FALSE)</f>
        <v>0.68726615252653023</v>
      </c>
      <c r="AI41" s="44">
        <f t="shared" si="32"/>
        <v>0</v>
      </c>
      <c r="AJ41" s="44">
        <f t="shared" si="33"/>
        <v>180496.02237189011</v>
      </c>
      <c r="AK41" s="44">
        <f>HLOOKUP(I41,ElecAvoidedCostsWOCC!$A$5:$Q$50,G41+1,FALSE)*J41*L41</f>
        <v>0</v>
      </c>
      <c r="AL41" s="44">
        <f t="shared" si="34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5"/>
        <v>198545.62460907912</v>
      </c>
      <c r="AO41" s="47">
        <f t="shared" si="36"/>
        <v>1.5972511361507096</v>
      </c>
      <c r="AP41" s="47">
        <f t="shared" si="37"/>
        <v>0.82224831299562973</v>
      </c>
    </row>
    <row r="42" spans="2:42">
      <c r="B42" s="97" t="s">
        <v>65</v>
      </c>
      <c r="C42" s="98">
        <v>18230711</v>
      </c>
      <c r="D42" s="61" t="s">
        <v>125</v>
      </c>
      <c r="E42" s="38" t="s">
        <v>1027</v>
      </c>
      <c r="F42" s="39" t="s">
        <v>1028</v>
      </c>
      <c r="G42" s="39">
        <v>20</v>
      </c>
      <c r="H42" s="39"/>
      <c r="I42" s="40" t="s">
        <v>274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0.66231169419249447</v>
      </c>
      <c r="V42" s="48">
        <f t="shared" si="21"/>
        <v>251336</v>
      </c>
      <c r="W42" s="49">
        <f t="shared" si="22"/>
        <v>3.3115584709624724E-2</v>
      </c>
      <c r="X42" s="44">
        <f t="shared" si="23"/>
        <v>35790.467916297654</v>
      </c>
      <c r="Y42" s="44">
        <f t="shared" si="24"/>
        <v>251336</v>
      </c>
      <c r="Z42" s="44">
        <f t="shared" si="25"/>
        <v>97480.364741977421</v>
      </c>
      <c r="AA42" s="50">
        <f t="shared" si="26"/>
        <v>361252.46791629767</v>
      </c>
      <c r="AB42" s="51">
        <f t="shared" si="27"/>
        <v>91128.694719993844</v>
      </c>
      <c r="AC42" s="44">
        <f t="shared" si="28"/>
        <v>337713.81501009408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1.2592865625776986</v>
      </c>
      <c r="AG42" s="44">
        <f t="shared" si="31"/>
        <v>266703.04180176818</v>
      </c>
      <c r="AH42" s="52">
        <f>HLOOKUP(I42,ElecAvoidedCostsWOCC!$A$5:$Q$50,T42+1,FALSE)</f>
        <v>1.2592865625776986</v>
      </c>
      <c r="AI42" s="44">
        <f t="shared" si="32"/>
        <v>0</v>
      </c>
      <c r="AJ42" s="44">
        <f t="shared" si="33"/>
        <v>266703.04180176818</v>
      </c>
      <c r="AK42" s="44">
        <f>HLOOKUP(I42,ElecAvoidedCostsWOCC!$A$5:$Q$50,G42+1,FALSE)*J42*L42</f>
        <v>0</v>
      </c>
      <c r="AL42" s="44">
        <f t="shared" si="34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5"/>
        <v>293373.34598194505</v>
      </c>
      <c r="AO42" s="47">
        <f t="shared" si="36"/>
        <v>2.9266636883283805</v>
      </c>
      <c r="AP42" s="47">
        <f t="shared" si="37"/>
        <v>0.86870401192553015</v>
      </c>
    </row>
    <row r="43" spans="2:42">
      <c r="B43" s="97" t="s">
        <v>65</v>
      </c>
      <c r="C43" s="98">
        <v>18230711</v>
      </c>
      <c r="D43" s="61" t="s">
        <v>125</v>
      </c>
      <c r="E43" s="38" t="s">
        <v>1027</v>
      </c>
      <c r="F43" s="39" t="s">
        <v>1028</v>
      </c>
      <c r="G43" s="39">
        <v>20</v>
      </c>
      <c r="H43" s="39"/>
      <c r="I43" s="40" t="s">
        <v>274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1.418893563046717</v>
      </c>
      <c r="V43" s="48">
        <f t="shared" si="21"/>
        <v>71442</v>
      </c>
      <c r="W43" s="49">
        <f t="shared" si="22"/>
        <v>7.0944678152335849E-2</v>
      </c>
      <c r="X43" s="44">
        <f t="shared" si="23"/>
        <v>76675.174227114345</v>
      </c>
      <c r="Y43" s="44">
        <f t="shared" si="24"/>
        <v>71442</v>
      </c>
      <c r="Z43" s="44">
        <f t="shared" si="25"/>
        <v>208835.6030380436</v>
      </c>
      <c r="AA43" s="50">
        <f t="shared" si="26"/>
        <v>372093.17422711436</v>
      </c>
      <c r="AB43" s="51">
        <f t="shared" si="27"/>
        <v>195228.19766106718</v>
      </c>
      <c r="AC43" s="44">
        <f t="shared" si="28"/>
        <v>347848.157639632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1.2592865625776986</v>
      </c>
      <c r="AG43" s="44">
        <f t="shared" si="31"/>
        <v>571367.27703244111</v>
      </c>
      <c r="AH43" s="52">
        <f>HLOOKUP(I43,ElecAvoidedCostsWOCC!$A$5:$Q$50,T43+1,FALSE)</f>
        <v>1.2592865625776986</v>
      </c>
      <c r="AI43" s="44">
        <f t="shared" si="32"/>
        <v>0</v>
      </c>
      <c r="AJ43" s="44">
        <f t="shared" si="33"/>
        <v>571367.27703244111</v>
      </c>
      <c r="AK43" s="44">
        <f>HLOOKUP(I43,ElecAvoidedCostsWOCC!$A$5:$Q$50,G43+1,FALSE)*J43*L43</f>
        <v>0</v>
      </c>
      <c r="AL43" s="44">
        <f t="shared" si="34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5"/>
        <v>628504.0047356853</v>
      </c>
      <c r="AO43" s="47">
        <f t="shared" si="36"/>
        <v>2.926663688328381</v>
      </c>
      <c r="AP43" s="47">
        <f t="shared" si="37"/>
        <v>1.8068343641676279</v>
      </c>
    </row>
    <row r="44" spans="2:42">
      <c r="B44" s="97" t="s">
        <v>65</v>
      </c>
      <c r="C44" s="98">
        <v>18230711</v>
      </c>
      <c r="D44" s="61" t="s">
        <v>125</v>
      </c>
      <c r="E44" s="38" t="s">
        <v>1027</v>
      </c>
      <c r="F44" s="39" t="s">
        <v>1028</v>
      </c>
      <c r="G44" s="39">
        <v>20</v>
      </c>
      <c r="H44" s="39"/>
      <c r="I44" s="40" t="s">
        <v>274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0.50482468155475579</v>
      </c>
      <c r="V44" s="48">
        <f t="shared" si="21"/>
        <v>35129</v>
      </c>
      <c r="W44" s="49">
        <f t="shared" si="22"/>
        <v>2.524123407773779E-2</v>
      </c>
      <c r="X44" s="44">
        <f t="shared" si="23"/>
        <v>27280.073305318092</v>
      </c>
      <c r="Y44" s="44">
        <f t="shared" si="24"/>
        <v>35129</v>
      </c>
      <c r="Z44" s="44">
        <f t="shared" si="25"/>
        <v>74301.110066777183</v>
      </c>
      <c r="AA44" s="50">
        <f t="shared" si="26"/>
        <v>90463.073305318088</v>
      </c>
      <c r="AB44" s="51">
        <f t="shared" si="27"/>
        <v>69459.764482356899</v>
      </c>
      <c r="AC44" s="44">
        <f t="shared" si="28"/>
        <v>84568.639156135439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1.2592865625776986</v>
      </c>
      <c r="AG44" s="44">
        <f t="shared" si="31"/>
        <v>203285.37051035531</v>
      </c>
      <c r="AH44" s="52">
        <f>HLOOKUP(I44,ElecAvoidedCostsWOCC!$A$5:$Q$50,T44+1,FALSE)</f>
        <v>1.2592865625776986</v>
      </c>
      <c r="AI44" s="44">
        <f t="shared" si="32"/>
        <v>0</v>
      </c>
      <c r="AJ44" s="44">
        <f t="shared" si="33"/>
        <v>203285.37051035531</v>
      </c>
      <c r="AK44" s="44">
        <f>HLOOKUP(I44,ElecAvoidedCostsWOCC!$A$5:$Q$50,G44+1,FALSE)*J44*L44</f>
        <v>0</v>
      </c>
      <c r="AL44" s="44">
        <f t="shared" si="34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5"/>
        <v>223613.90756139086</v>
      </c>
      <c r="AO44" s="47">
        <f t="shared" si="36"/>
        <v>2.926663688328381</v>
      </c>
      <c r="AP44" s="47">
        <f t="shared" si="37"/>
        <v>2.6441705789842751</v>
      </c>
    </row>
    <row r="45" spans="2:42">
      <c r="B45" s="97" t="s">
        <v>65</v>
      </c>
      <c r="C45" s="98">
        <v>18230711</v>
      </c>
      <c r="D45" s="61" t="s">
        <v>125</v>
      </c>
      <c r="E45" s="38" t="s">
        <v>1029</v>
      </c>
      <c r="F45" s="39" t="s">
        <v>1030</v>
      </c>
      <c r="G45" s="39">
        <v>10</v>
      </c>
      <c r="H45" s="39"/>
      <c r="I45" s="40" t="s">
        <v>270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0.10838177403678366</v>
      </c>
      <c r="V45" s="48">
        <f t="shared" si="21"/>
        <v>95708</v>
      </c>
      <c r="W45" s="49">
        <f t="shared" si="22"/>
        <v>1.0838177403678366E-2</v>
      </c>
      <c r="X45" s="44">
        <f t="shared" si="23"/>
        <v>11713.621971009692</v>
      </c>
      <c r="Y45" s="44">
        <f t="shared" si="24"/>
        <v>95708</v>
      </c>
      <c r="Z45" s="44">
        <f t="shared" si="25"/>
        <v>31903.694158290396</v>
      </c>
      <c r="AA45" s="50">
        <f t="shared" si="26"/>
        <v>158127.62197100971</v>
      </c>
      <c r="AB45" s="51">
        <f t="shared" si="27"/>
        <v>29824.898717668872</v>
      </c>
      <c r="AC45" s="44">
        <f t="shared" si="28"/>
        <v>147824.27032907328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0.70839718084543712</v>
      </c>
      <c r="AG45" s="44">
        <f t="shared" si="31"/>
        <v>49102.550590301471</v>
      </c>
      <c r="AH45" s="52">
        <f>HLOOKUP(I45,ElecAvoidedCostsWOCC!$A$5:$Q$50,T45+1,FALSE)</f>
        <v>0.70839718084543712</v>
      </c>
      <c r="AI45" s="44">
        <f t="shared" si="32"/>
        <v>0</v>
      </c>
      <c r="AJ45" s="44">
        <f t="shared" si="33"/>
        <v>49102.550590301471</v>
      </c>
      <c r="AK45" s="44">
        <f>HLOOKUP(I45,ElecAvoidedCostsWOCC!$A$5:$Q$50,G45+1,FALSE)*J45*L45</f>
        <v>0</v>
      </c>
      <c r="AL45" s="44">
        <f t="shared" si="34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5"/>
        <v>54012.805649331625</v>
      </c>
      <c r="AO45" s="47">
        <f t="shared" si="36"/>
        <v>1.6463610171863594</v>
      </c>
      <c r="AP45" s="47">
        <f t="shared" si="37"/>
        <v>0.36538523429943615</v>
      </c>
    </row>
    <row r="46" spans="2:42">
      <c r="B46" s="97" t="s">
        <v>65</v>
      </c>
      <c r="C46" s="98">
        <v>18230711</v>
      </c>
      <c r="D46" s="61" t="s">
        <v>125</v>
      </c>
      <c r="E46" s="38" t="s">
        <v>1029</v>
      </c>
      <c r="F46" s="39" t="s">
        <v>1030</v>
      </c>
      <c r="G46" s="39">
        <v>10</v>
      </c>
      <c r="H46" s="39"/>
      <c r="I46" s="40" t="s">
        <v>270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0.89588407254659874</v>
      </c>
      <c r="V46" s="48">
        <f t="shared" si="21"/>
        <v>17918</v>
      </c>
      <c r="W46" s="49">
        <f t="shared" si="22"/>
        <v>8.9588407254659871E-2</v>
      </c>
      <c r="X46" s="44">
        <f t="shared" si="23"/>
        <v>96824.834700508844</v>
      </c>
      <c r="Y46" s="44">
        <f t="shared" si="24"/>
        <v>17918</v>
      </c>
      <c r="Z46" s="44">
        <f t="shared" si="25"/>
        <v>263716.03256936808</v>
      </c>
      <c r="AA46" s="50">
        <f t="shared" si="26"/>
        <v>267411.83470050886</v>
      </c>
      <c r="AB46" s="51">
        <f t="shared" si="27"/>
        <v>246532.70315917366</v>
      </c>
      <c r="AC46" s="44">
        <f t="shared" si="28"/>
        <v>249987.69253109174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0.70839718084543712</v>
      </c>
      <c r="AG46" s="44">
        <f t="shared" si="31"/>
        <v>405881.83194283996</v>
      </c>
      <c r="AH46" s="52">
        <f>HLOOKUP(I46,ElecAvoidedCostsWOCC!$A$5:$Q$50,T46+1,FALSE)</f>
        <v>0.70839718084543712</v>
      </c>
      <c r="AI46" s="44">
        <f t="shared" si="32"/>
        <v>0</v>
      </c>
      <c r="AJ46" s="44">
        <f t="shared" si="33"/>
        <v>405881.83194283996</v>
      </c>
      <c r="AK46" s="44">
        <f>HLOOKUP(I46,ElecAvoidedCostsWOCC!$A$5:$Q$50,G46+1,FALSE)*J46*L46</f>
        <v>0</v>
      </c>
      <c r="AL46" s="44">
        <f t="shared" si="34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5"/>
        <v>446470.01513712399</v>
      </c>
      <c r="AO46" s="47">
        <f t="shared" si="36"/>
        <v>1.6463610171863594</v>
      </c>
      <c r="AP46" s="47">
        <f t="shared" si="37"/>
        <v>1.7859679835302098</v>
      </c>
    </row>
    <row r="47" spans="2:42">
      <c r="B47" s="97" t="s">
        <v>65</v>
      </c>
      <c r="C47" s="98">
        <v>18230711</v>
      </c>
      <c r="D47" s="61" t="s">
        <v>125</v>
      </c>
      <c r="E47" s="38" t="s">
        <v>1029</v>
      </c>
      <c r="F47" s="39" t="s">
        <v>1030</v>
      </c>
      <c r="G47" s="39">
        <v>10</v>
      </c>
      <c r="H47" s="39"/>
      <c r="I47" s="40" t="s">
        <v>270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1.2263910206134112</v>
      </c>
      <c r="V47" s="48">
        <f t="shared" si="21"/>
        <v>0</v>
      </c>
      <c r="W47" s="49">
        <f t="shared" si="22"/>
        <v>0.12263910206134113</v>
      </c>
      <c r="X47" s="44">
        <f t="shared" si="23"/>
        <v>132545.1712871092</v>
      </c>
      <c r="Y47" s="44">
        <f t="shared" si="24"/>
        <v>0</v>
      </c>
      <c r="Z47" s="44">
        <f t="shared" si="25"/>
        <v>361005.38478771149</v>
      </c>
      <c r="AA47" s="50">
        <f t="shared" si="26"/>
        <v>174779.1712871092</v>
      </c>
      <c r="AB47" s="51">
        <f t="shared" si="27"/>
        <v>337482.83143658174</v>
      </c>
      <c r="AC47" s="44">
        <f t="shared" si="28"/>
        <v>163390.83040769299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0.70839718084543712</v>
      </c>
      <c r="AG47" s="44">
        <f t="shared" si="31"/>
        <v>555618.57764686341</v>
      </c>
      <c r="AH47" s="52">
        <f>HLOOKUP(I47,ElecAvoidedCostsWOCC!$A$5:$Q$50,T47+1,FALSE)</f>
        <v>0.70839718084543712</v>
      </c>
      <c r="AI47" s="44">
        <f t="shared" si="32"/>
        <v>0</v>
      </c>
      <c r="AJ47" s="44">
        <f t="shared" si="33"/>
        <v>555618.57764686341</v>
      </c>
      <c r="AK47" s="44">
        <f>HLOOKUP(I47,ElecAvoidedCostsWOCC!$A$5:$Q$50,G47+1,FALSE)*J47*L47</f>
        <v>0</v>
      </c>
      <c r="AL47" s="44">
        <f t="shared" si="34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5"/>
        <v>611180.43541154976</v>
      </c>
      <c r="AO47" s="47">
        <f t="shared" si="36"/>
        <v>1.6463610171863594</v>
      </c>
      <c r="AP47" s="47">
        <f t="shared" si="37"/>
        <v>3.7406042547585541</v>
      </c>
    </row>
    <row r="48" spans="2:42">
      <c r="B48" s="97" t="s">
        <v>65</v>
      </c>
      <c r="C48" s="98">
        <v>18230711</v>
      </c>
      <c r="D48" s="61" t="s">
        <v>125</v>
      </c>
      <c r="E48" s="38" t="s">
        <v>1031</v>
      </c>
      <c r="F48" s="39" t="s">
        <v>1032</v>
      </c>
      <c r="G48" s="39">
        <v>10</v>
      </c>
      <c r="H48" s="39"/>
      <c r="I48" s="40" t="s">
        <v>270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0.31122604702594719</v>
      </c>
      <c r="V48" s="48">
        <f t="shared" si="21"/>
        <v>18387</v>
      </c>
      <c r="W48" s="49">
        <f t="shared" si="22"/>
        <v>3.112260470259472E-2</v>
      </c>
      <c r="X48" s="44">
        <f t="shared" si="23"/>
        <v>33636.506643232809</v>
      </c>
      <c r="Y48" s="44">
        <f t="shared" si="24"/>
        <v>18387</v>
      </c>
      <c r="Z48" s="44">
        <f t="shared" si="25"/>
        <v>91613.748775136628</v>
      </c>
      <c r="AA48" s="50">
        <f t="shared" si="26"/>
        <v>94926.506643232802</v>
      </c>
      <c r="AB48" s="51">
        <f t="shared" si="27"/>
        <v>85644.338389395736</v>
      </c>
      <c r="AC48" s="44">
        <f t="shared" si="28"/>
        <v>88741.242070891647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0.70839718084543712</v>
      </c>
      <c r="AG48" s="44">
        <f t="shared" si="31"/>
        <v>141001.50006701835</v>
      </c>
      <c r="AH48" s="52">
        <f>HLOOKUP(I48,ElecAvoidedCostsWOCC!$A$5:$Q$50,T48+1,FALSE)</f>
        <v>0.70839718084543712</v>
      </c>
      <c r="AI48" s="44">
        <f t="shared" si="32"/>
        <v>0</v>
      </c>
      <c r="AJ48" s="44">
        <f t="shared" si="33"/>
        <v>141001.50006701835</v>
      </c>
      <c r="AK48" s="44">
        <f>HLOOKUP(I48,ElecAvoidedCostsWOCC!$A$5:$Q$50,G48+1,FALSE)*J48*L48</f>
        <v>0</v>
      </c>
      <c r="AL48" s="44">
        <f t="shared" si="34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5"/>
        <v>155101.6500737202</v>
      </c>
      <c r="AO48" s="47">
        <f t="shared" si="36"/>
        <v>1.6463610171863596</v>
      </c>
      <c r="AP48" s="47">
        <f t="shared" si="37"/>
        <v>1.7477967003190693</v>
      </c>
    </row>
    <row r="49" spans="2:42">
      <c r="B49" s="97" t="s">
        <v>65</v>
      </c>
      <c r="C49" s="98">
        <v>18230711</v>
      </c>
      <c r="D49" s="61" t="s">
        <v>125</v>
      </c>
      <c r="E49" s="38" t="s">
        <v>1033</v>
      </c>
      <c r="F49" s="39" t="s">
        <v>1034</v>
      </c>
      <c r="G49" s="39">
        <v>20</v>
      </c>
      <c r="H49" s="39"/>
      <c r="I49" s="40" t="s">
        <v>275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0.3821124024462399</v>
      </c>
      <c r="V49" s="48">
        <f t="shared" si="21"/>
        <v>75479</v>
      </c>
      <c r="W49" s="49">
        <f t="shared" si="22"/>
        <v>1.9105620122311994E-2</v>
      </c>
      <c r="X49" s="44">
        <f t="shared" si="23"/>
        <v>20648.86034791464</v>
      </c>
      <c r="Y49" s="44">
        <f t="shared" si="24"/>
        <v>75479</v>
      </c>
      <c r="Z49" s="44">
        <f t="shared" si="25"/>
        <v>56240.070482685493</v>
      </c>
      <c r="AA49" s="50">
        <f t="shared" si="26"/>
        <v>127061.86034791464</v>
      </c>
      <c r="AB49" s="51">
        <f t="shared" si="27"/>
        <v>52575.554344849479</v>
      </c>
      <c r="AC49" s="44">
        <f t="shared" si="28"/>
        <v>118782.70575667442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1.7025958820263232</v>
      </c>
      <c r="AG49" s="44">
        <f t="shared" si="31"/>
        <v>208038.48822891442</v>
      </c>
      <c r="AH49" s="52">
        <f>HLOOKUP(I49,ElecAvoidedCostsWOCC!$A$5:$Q$50,T49+1,FALSE)</f>
        <v>1.7025958820263232</v>
      </c>
      <c r="AI49" s="44">
        <f t="shared" si="32"/>
        <v>0</v>
      </c>
      <c r="AJ49" s="44">
        <f t="shared" si="33"/>
        <v>208038.48822891442</v>
      </c>
      <c r="AK49" s="44">
        <f>HLOOKUP(I49,ElecAvoidedCostsWOCC!$A$5:$Q$50,G49+1,FALSE)*J49*L49</f>
        <v>0</v>
      </c>
      <c r="AL49" s="44">
        <f t="shared" si="34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5"/>
        <v>228842.33705180587</v>
      </c>
      <c r="AO49" s="47">
        <f t="shared" si="36"/>
        <v>3.9569433136998344</v>
      </c>
      <c r="AP49" s="47">
        <f t="shared" si="37"/>
        <v>1.9265627567079324</v>
      </c>
    </row>
    <row r="50" spans="2:42">
      <c r="B50" s="97" t="s">
        <v>65</v>
      </c>
      <c r="C50" s="98">
        <v>18230711</v>
      </c>
      <c r="D50" s="61" t="s">
        <v>125</v>
      </c>
      <c r="E50" s="38" t="s">
        <v>1035</v>
      </c>
      <c r="F50" s="39" t="s">
        <v>1036</v>
      </c>
      <c r="G50" s="39">
        <v>5</v>
      </c>
      <c r="H50" s="39"/>
      <c r="I50" s="40" t="s">
        <v>270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0.35807218478063102</v>
      </c>
      <c r="AG50" s="44">
        <f t="shared" si="31"/>
        <v>0</v>
      </c>
      <c r="AH50" s="52">
        <f>HLOOKUP(I50,ElecAvoidedCostsWOCC!$A$5:$Q$50,T50+1,FALSE)</f>
        <v>0.35807218478063102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65</v>
      </c>
      <c r="C51" s="98">
        <v>18230711</v>
      </c>
      <c r="D51" s="61" t="s">
        <v>125</v>
      </c>
      <c r="E51" s="38" t="s">
        <v>1037</v>
      </c>
      <c r="F51" s="39" t="s">
        <v>1038</v>
      </c>
      <c r="G51" s="39">
        <v>15</v>
      </c>
      <c r="H51" s="39"/>
      <c r="I51" s="40" t="s">
        <v>270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1.904388089778855</v>
      </c>
      <c r="V51" s="48">
        <f t="shared" si="21"/>
        <v>159211.40000000002</v>
      </c>
      <c r="W51" s="49">
        <f t="shared" si="22"/>
        <v>0.12695920598525701</v>
      </c>
      <c r="X51" s="44">
        <f t="shared" si="23"/>
        <v>137214.22793339106</v>
      </c>
      <c r="Y51" s="44">
        <f t="shared" si="24"/>
        <v>159211.40000000002</v>
      </c>
      <c r="Z51" s="44">
        <f t="shared" si="25"/>
        <v>373722.21615032281</v>
      </c>
      <c r="AA51" s="50">
        <f t="shared" si="26"/>
        <v>682005.62793339114</v>
      </c>
      <c r="AB51" s="51">
        <f t="shared" si="27"/>
        <v>349371.05370694847</v>
      </c>
      <c r="AC51" s="44">
        <f t="shared" si="28"/>
        <v>637567.19447825663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1.0293963841416951</v>
      </c>
      <c r="AG51" s="44">
        <f t="shared" si="31"/>
        <v>835829.71746407484</v>
      </c>
      <c r="AH51" s="52">
        <f>HLOOKUP(I51,ElecAvoidedCostsWOCC!$A$5:$Q$50,T51+1,FALSE)</f>
        <v>1.0293963841416951</v>
      </c>
      <c r="AI51" s="44">
        <f t="shared" si="32"/>
        <v>0</v>
      </c>
      <c r="AJ51" s="44">
        <f t="shared" si="33"/>
        <v>835829.71746407484</v>
      </c>
      <c r="AK51" s="44">
        <f>HLOOKUP(I51,ElecAvoidedCostsWOCC!$A$5:$Q$50,G51+1,FALSE)*J51*L51</f>
        <v>0</v>
      </c>
      <c r="AL51" s="44">
        <f t="shared" si="34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5"/>
        <v>919412.68921048241</v>
      </c>
      <c r="AO51" s="47">
        <f t="shared" si="36"/>
        <v>2.3923839957421507</v>
      </c>
      <c r="AP51" s="47">
        <f t="shared" si="37"/>
        <v>1.4420639850563042</v>
      </c>
    </row>
    <row r="52" spans="2:42">
      <c r="B52" s="97" t="s">
        <v>65</v>
      </c>
      <c r="C52" s="98">
        <v>18230711</v>
      </c>
      <c r="D52" s="61" t="s">
        <v>125</v>
      </c>
      <c r="E52" s="38" t="s">
        <v>1039</v>
      </c>
      <c r="F52" s="39" t="s">
        <v>1040</v>
      </c>
      <c r="G52" s="39">
        <v>5</v>
      </c>
      <c r="H52" s="39"/>
      <c r="I52" s="40" t="s">
        <v>270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0.35807218478063102</v>
      </c>
      <c r="AG52" s="44">
        <f t="shared" si="31"/>
        <v>0</v>
      </c>
      <c r="AH52" s="52">
        <f>HLOOKUP(I52,ElecAvoidedCostsWOCC!$A$5:$Q$50,T52+1,FALSE)</f>
        <v>0.35807218478063102</v>
      </c>
      <c r="AI52" s="44">
        <f t="shared" si="32"/>
        <v>0</v>
      </c>
      <c r="AJ52" s="44">
        <f t="shared" si="33"/>
        <v>0</v>
      </c>
      <c r="AK52" s="44">
        <f>HLOOKUP(I52,ElecAvoidedCostsWOCC!$A$5:$Q$50,G52+1,FALSE)*J52*L52</f>
        <v>0</v>
      </c>
      <c r="AL52" s="44">
        <f t="shared" si="34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65</v>
      </c>
      <c r="C53" s="98">
        <v>18230711</v>
      </c>
      <c r="D53" s="61" t="s">
        <v>125</v>
      </c>
      <c r="E53" s="38" t="s">
        <v>1041</v>
      </c>
      <c r="F53" s="39" t="s">
        <v>1042</v>
      </c>
      <c r="G53" s="39">
        <v>5</v>
      </c>
      <c r="H53" s="39"/>
      <c r="I53" s="40" t="s">
        <v>270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0.35807218478063102</v>
      </c>
      <c r="AG53" s="44">
        <f t="shared" si="31"/>
        <v>0</v>
      </c>
      <c r="AH53" s="52">
        <f>HLOOKUP(I53,ElecAvoidedCostsWOCC!$A$5:$Q$50,T53+1,FALSE)</f>
        <v>0.35807218478063102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91 R5:S91">
    <cfRule type="expression" dxfId="242" priority="2">
      <formula>ISTEXT(M5)</formula>
    </cfRule>
  </conditionalFormatting>
  <conditionalFormatting sqref="M5:N91 R5:S91">
    <cfRule type="notContainsBlanks" dxfId="241" priority="3">
      <formula>LEN(TRIM(M5))&gt;0</formula>
    </cfRule>
  </conditionalFormatting>
  <conditionalFormatting sqref="R5:S91">
    <cfRule type="expression" dxfId="24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69"/>
  <sheetViews>
    <sheetView topLeftCell="A31" zoomScale="70" zoomScaleNormal="70" workbookViewId="0">
      <selection activeCell="I59" sqref="I59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1802</v>
      </c>
      <c r="C1" s="104"/>
      <c r="D1" s="104"/>
      <c r="E1" s="104"/>
      <c r="F1" s="105"/>
      <c r="G1" s="513"/>
      <c r="H1" s="514"/>
      <c r="I1" s="514"/>
      <c r="J1" s="514"/>
      <c r="K1" s="513"/>
      <c r="L1" s="514"/>
      <c r="M1" s="51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344</v>
      </c>
      <c r="C2" s="110">
        <f>ElecDiscountRate</f>
        <v>6.9699999999999998E-2</v>
      </c>
      <c r="D2" s="110"/>
      <c r="E2" s="111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3" t="s">
        <v>347</v>
      </c>
      <c r="V2" s="113" t="s">
        <v>347</v>
      </c>
    </row>
    <row r="3" spans="1:148" s="119" customFormat="1" ht="70.5" customHeight="1">
      <c r="A3" s="116"/>
      <c r="B3" s="117" t="s">
        <v>349</v>
      </c>
      <c r="C3" s="117" t="s">
        <v>350</v>
      </c>
      <c r="D3" s="117" t="s">
        <v>351</v>
      </c>
      <c r="E3" s="117" t="s">
        <v>225</v>
      </c>
      <c r="F3" s="117" t="s">
        <v>352</v>
      </c>
      <c r="G3" s="117" t="s">
        <v>353</v>
      </c>
      <c r="H3" s="117" t="s">
        <v>354</v>
      </c>
      <c r="I3" s="117" t="s">
        <v>355</v>
      </c>
      <c r="J3" s="118" t="s">
        <v>356</v>
      </c>
      <c r="K3" s="117" t="s">
        <v>357</v>
      </c>
      <c r="L3" s="117" t="s">
        <v>358</v>
      </c>
      <c r="M3" s="117" t="s">
        <v>359</v>
      </c>
      <c r="N3" s="117" t="s">
        <v>360</v>
      </c>
      <c r="O3" s="117" t="s">
        <v>361</v>
      </c>
      <c r="P3" s="117" t="s">
        <v>1832</v>
      </c>
      <c r="Q3" s="118" t="s">
        <v>362</v>
      </c>
      <c r="R3" s="117" t="s">
        <v>363</v>
      </c>
      <c r="S3" s="117" t="s">
        <v>364</v>
      </c>
      <c r="T3" s="117" t="s">
        <v>1831</v>
      </c>
      <c r="U3" s="117" t="s">
        <v>365</v>
      </c>
      <c r="V3" s="118" t="s">
        <v>366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369</v>
      </c>
      <c r="B4" s="120"/>
      <c r="C4" s="121" t="s">
        <v>367</v>
      </c>
      <c r="D4" s="122"/>
      <c r="E4" s="123"/>
      <c r="F4" s="123" t="s">
        <v>368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1800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370</v>
      </c>
      <c r="C5" s="292" t="s">
        <v>371</v>
      </c>
      <c r="D5" s="125"/>
      <c r="E5" s="126"/>
      <c r="F5" s="255"/>
      <c r="G5" s="255"/>
      <c r="H5" s="256" t="s">
        <v>372</v>
      </c>
      <c r="I5" s="256" t="s">
        <v>373</v>
      </c>
      <c r="J5" s="127" t="s">
        <v>374</v>
      </c>
      <c r="K5" s="257" t="s">
        <v>375</v>
      </c>
      <c r="L5" s="257" t="s">
        <v>376</v>
      </c>
      <c r="M5" s="257"/>
      <c r="N5" s="257" t="s">
        <v>1821</v>
      </c>
      <c r="O5" s="257" t="s">
        <v>1820</v>
      </c>
      <c r="P5" s="257"/>
      <c r="Q5" s="257"/>
      <c r="R5" s="257"/>
      <c r="S5" s="257" t="s">
        <v>377</v>
      </c>
      <c r="T5" s="257" t="s">
        <v>378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379</v>
      </c>
      <c r="D6" s="131"/>
      <c r="E6" s="132">
        <f>F61*(H61/$H$68)</f>
        <v>0</v>
      </c>
      <c r="F6" s="144">
        <f>'E201 LIW {E}'!A16</f>
        <v>22.712248151350028</v>
      </c>
      <c r="G6" s="145" t="s">
        <v>380</v>
      </c>
      <c r="H6" s="258">
        <f>'E201 LIW {E}'!A$10</f>
        <v>1066698.69</v>
      </c>
      <c r="I6" s="259">
        <f>'E201 LIW {E}'!A$8</f>
        <v>208664.2899999998</v>
      </c>
      <c r="J6" s="259">
        <f>'E201 LIW {E}'!A$12</f>
        <v>2777886.38</v>
      </c>
      <c r="K6" s="259">
        <f>'E201 LIW {E}'!A$14</f>
        <v>66248.600000000006</v>
      </c>
      <c r="L6" s="259">
        <f>SUM('E201 LIW {E}'!Q$6:Q$1000)</f>
        <v>2844134.98</v>
      </c>
      <c r="M6" s="259"/>
      <c r="N6" s="260">
        <f>'E201 LIW {E}'!A$18</f>
        <v>1744532.7699999998</v>
      </c>
      <c r="O6" s="259">
        <f>'E201 LIW {E}'!A$20</f>
        <v>3052799.2699999996</v>
      </c>
      <c r="P6" s="259">
        <f>SUM('E201 LIW {E}'!R$6:R$1000)</f>
        <v>25064.39</v>
      </c>
      <c r="Q6" s="261">
        <f t="shared" ref="Q6:R8" si="0">N6/(1+ElecDiscountRate)^1</f>
        <v>1630861.7088903429</v>
      </c>
      <c r="R6" s="261">
        <f t="shared" si="0"/>
        <v>2853883.5841824804</v>
      </c>
      <c r="S6" s="259">
        <f>SUM('E201 LIW {E}'!AM$6:AM$1000)</f>
        <v>1914006.9925963152</v>
      </c>
      <c r="T6" s="259">
        <f>SUM('E201 LIW {E}'!AD$6:AD$1000)</f>
        <v>383978.17120417854</v>
      </c>
      <c r="U6" s="133">
        <f>IFERROR(S6/Q6,0)</f>
        <v>1.1736169793934446</v>
      </c>
      <c r="V6" s="133">
        <f>IFERROR(((S6*1.1)+(T6))/R6,0)</f>
        <v>0.87228010170331871</v>
      </c>
    </row>
    <row r="7" spans="1:148" s="134" customFormat="1">
      <c r="A7" s="135"/>
      <c r="B7" s="136" t="s">
        <v>15</v>
      </c>
      <c r="C7" s="509" t="s">
        <v>381</v>
      </c>
      <c r="D7" s="138"/>
      <c r="E7" s="139"/>
      <c r="F7" s="140"/>
      <c r="G7" s="141"/>
      <c r="H7" s="262">
        <f t="shared" ref="H7:P7" si="1">SUM(H8:H16)</f>
        <v>28937234.930000015</v>
      </c>
      <c r="I7" s="262">
        <f t="shared" si="1"/>
        <v>3095235.7600000002</v>
      </c>
      <c r="J7" s="262">
        <f t="shared" si="1"/>
        <v>10571309.630000003</v>
      </c>
      <c r="K7" s="262">
        <f t="shared" si="1"/>
        <v>10046151.050000079</v>
      </c>
      <c r="L7" s="262">
        <f t="shared" si="1"/>
        <v>20617460.680000085</v>
      </c>
      <c r="M7" s="262">
        <f t="shared" si="1"/>
        <v>0</v>
      </c>
      <c r="N7" s="262">
        <f t="shared" si="1"/>
        <v>15907776.289999997</v>
      </c>
      <c r="O7" s="262">
        <f t="shared" si="1"/>
        <v>23712696.440000083</v>
      </c>
      <c r="P7" s="262">
        <f t="shared" si="1"/>
        <v>486.69000000000005</v>
      </c>
      <c r="Q7" s="263">
        <f t="shared" si="0"/>
        <v>14871250.15424885</v>
      </c>
      <c r="R7" s="263">
        <f t="shared" si="0"/>
        <v>22167613.760867611</v>
      </c>
      <c r="S7" s="262">
        <f>SUM(S8:S16)</f>
        <v>20466183.772807304</v>
      </c>
      <c r="T7" s="262">
        <f>SUM(T8:T16)</f>
        <v>1716457.8841086847</v>
      </c>
      <c r="U7" s="142">
        <f>S7/Q7</f>
        <v>1.376224833859037</v>
      </c>
      <c r="V7" s="142">
        <f>((S7*1.1)+(T7))/R7</f>
        <v>1.0930026251616005</v>
      </c>
    </row>
    <row r="8" spans="1:148" s="134" customFormat="1" ht="14.25">
      <c r="B8" s="130" t="s">
        <v>15</v>
      </c>
      <c r="C8" s="143" t="s">
        <v>382</v>
      </c>
      <c r="D8" s="143"/>
      <c r="E8" s="132"/>
      <c r="F8" s="144">
        <f>'Residential Lighting {E}'!A$16</f>
        <v>14.247590989573434</v>
      </c>
      <c r="G8" s="145" t="s">
        <v>383</v>
      </c>
      <c r="H8" s="258">
        <f>'Residential Lighting {E}'!A$10</f>
        <v>1162759.6000000159</v>
      </c>
      <c r="I8" s="259">
        <f>'Residential Lighting {E}'!A$8</f>
        <v>472132.34000000008</v>
      </c>
      <c r="J8" s="259">
        <f>'Residential Lighting {E}'!A$12</f>
        <v>863418.5</v>
      </c>
      <c r="K8" s="264">
        <f>'Residential Lighting {E}'!A$14</f>
        <v>-555294.46999999555</v>
      </c>
      <c r="L8" s="259">
        <f>SUM('Residential Lighting {E}'!Q$5:Q$1000)</f>
        <v>308124.03000000445</v>
      </c>
      <c r="M8" s="259"/>
      <c r="N8" s="260">
        <f>'Residential Lighting {E}'!A$18</f>
        <v>1550052.53</v>
      </c>
      <c r="O8" s="259">
        <f>'Residential Lighting {E}'!A$20</f>
        <v>780256.37000000454</v>
      </c>
      <c r="P8" s="259">
        <f>SUM('Residential Lighting {E}'!R$5:R$1000)</f>
        <v>0</v>
      </c>
      <c r="Q8" s="261">
        <f t="shared" si="0"/>
        <v>1449053.5009815835</v>
      </c>
      <c r="R8" s="261">
        <f t="shared" si="0"/>
        <v>729416.06992615166</v>
      </c>
      <c r="S8" s="259">
        <f>SUM('Residential Lighting {E}'!AM$5:AM$1000)</f>
        <v>1230628.8067367186</v>
      </c>
      <c r="T8" s="259">
        <f>SUM('Residential Lighting {E}'!AD$5:AD$1000)</f>
        <v>0</v>
      </c>
      <c r="U8" s="133">
        <f t="shared" ref="U8:U20" si="2">IFERROR(S8/Q8,0)</f>
        <v>0.84926388563506816</v>
      </c>
      <c r="V8" s="133">
        <f t="shared" ref="V8:V20" si="3">IFERROR(((S8*1.1)+(T8))/R8,0)</f>
        <v>1.8558566821093516</v>
      </c>
    </row>
    <row r="9" spans="1:148" s="134" customFormat="1" ht="14.25">
      <c r="B9" s="130" t="s">
        <v>15</v>
      </c>
      <c r="C9" s="143" t="s">
        <v>384</v>
      </c>
      <c r="D9" s="143"/>
      <c r="E9" s="132">
        <f t="shared" ref="E9:E16" si="4">F9*(H9/$H$68)</f>
        <v>1.5834047082673337</v>
      </c>
      <c r="F9" s="144">
        <f>'SF Existing Space Heat {E}'!A$16</f>
        <v>15.594329939747848</v>
      </c>
      <c r="G9" s="145" t="s">
        <v>380</v>
      </c>
      <c r="H9" s="258">
        <f>'SF Existing Space Heat {E}'!A$10</f>
        <v>17242039</v>
      </c>
      <c r="I9" s="259">
        <f>'SF Existing Space Heat {E}'!A$8</f>
        <v>864276.70000000019</v>
      </c>
      <c r="J9" s="259">
        <f>'SF Existing Space Heat {E}'!A$12</f>
        <v>5683130.1600000001</v>
      </c>
      <c r="K9" s="264">
        <f>'SF Existing Space Heat {E}'!A$14</f>
        <v>7787171.8500000667</v>
      </c>
      <c r="L9" s="259">
        <f>SUM('SF Existing Space Heat {E}'!Q$5:Q$1000)</f>
        <v>13470302.010000069</v>
      </c>
      <c r="M9" s="259"/>
      <c r="N9" s="260">
        <f>'SF Existing Space Heat {E}'!A$18</f>
        <v>8069488.3799999999</v>
      </c>
      <c r="O9" s="259">
        <f>'SF Existing Space Heat {E}'!A$20</f>
        <v>14334578.710000068</v>
      </c>
      <c r="P9" s="259">
        <f>SUM('SF Existing Space Heat {E}'!R$5:R$1000)</f>
        <v>120.78</v>
      </c>
      <c r="Q9" s="261">
        <f t="shared" ref="Q9:Q20" si="5">N9/(1+ElecDiscountRate)^1</f>
        <v>7543692.979340001</v>
      </c>
      <c r="R9" s="261">
        <f t="shared" ref="R9:R20" si="6">O9/(1+ElecDiscountRate)^1</f>
        <v>13400559.698981086</v>
      </c>
      <c r="S9" s="259">
        <f>SUM('SF Existing Space Heat {E}'!AM$5:AM$1000)</f>
        <v>9756329.3418776542</v>
      </c>
      <c r="T9" s="259">
        <f>SUM('SF Existing Space Heat {E}'!AD$5:AD$1000)</f>
        <v>399709.92131226871</v>
      </c>
      <c r="U9" s="133">
        <f t="shared" si="2"/>
        <v>1.2933094398986578</v>
      </c>
      <c r="V9" s="133">
        <f t="shared" si="3"/>
        <v>0.83068710915291755</v>
      </c>
    </row>
    <row r="10" spans="1:148" s="134" customFormat="1" ht="14.25">
      <c r="B10" s="130" t="s">
        <v>15</v>
      </c>
      <c r="C10" s="143" t="s">
        <v>385</v>
      </c>
      <c r="D10" s="143"/>
      <c r="E10" s="132">
        <f t="shared" si="4"/>
        <v>0.22305524239955299</v>
      </c>
      <c r="F10" s="144">
        <f>'SF Existing Water Heat {E}'!A$16</f>
        <v>13</v>
      </c>
      <c r="G10" s="145" t="s">
        <v>380</v>
      </c>
      <c r="H10" s="258">
        <f>'SF Existing Water Heat {E}'!A$10</f>
        <v>2913617.2</v>
      </c>
      <c r="I10" s="259">
        <f>'SF Existing Water Heat {E}'!A$8</f>
        <v>302949.21999999997</v>
      </c>
      <c r="J10" s="259">
        <f>'SF Existing Water Heat {E}'!A$12</f>
        <v>1150099.650000002</v>
      </c>
      <c r="K10" s="264">
        <f>'SF Existing Water Heat {E}'!A$14</f>
        <v>294063.35000001593</v>
      </c>
      <c r="L10" s="259">
        <f>SUM('SF Existing Water Heat {E}'!Q$5:Q$1000)</f>
        <v>1444163.0000000179</v>
      </c>
      <c r="M10" s="259"/>
      <c r="N10" s="260">
        <f>'SF Existing Water Heat {E}'!A$18</f>
        <v>1732775.02</v>
      </c>
      <c r="O10" s="259">
        <f>'SF Existing Water Heat {E}'!A$20</f>
        <v>1747112.2200000179</v>
      </c>
      <c r="P10" s="259">
        <f>SUM('SF Existing Water Heat {E}'!R$5:R$1000)</f>
        <v>0</v>
      </c>
      <c r="Q10" s="261">
        <f t="shared" si="5"/>
        <v>1619870.0757221649</v>
      </c>
      <c r="R10" s="261">
        <f t="shared" si="6"/>
        <v>1633273.0859119545</v>
      </c>
      <c r="S10" s="259">
        <f>SUM('SF Existing Water Heat {E}'!AM$5:AM$1000)</f>
        <v>1280090.4088900022</v>
      </c>
      <c r="T10" s="259">
        <f>SUM('SF Existing Water Heat {E}'!AD$5:AD$1000)</f>
        <v>0</v>
      </c>
      <c r="U10" s="133">
        <f t="shared" si="2"/>
        <v>0.79024264234235986</v>
      </c>
      <c r="V10" s="133">
        <f t="shared" si="3"/>
        <v>0.86213350475482542</v>
      </c>
    </row>
    <row r="11" spans="1:148" s="134" customFormat="1" ht="14.25">
      <c r="B11" s="130" t="s">
        <v>15</v>
      </c>
      <c r="C11" s="146" t="s">
        <v>387</v>
      </c>
      <c r="D11" s="146"/>
      <c r="E11" s="132">
        <f t="shared" si="4"/>
        <v>0.11298046918313695</v>
      </c>
      <c r="F11" s="144">
        <f>'Home Appliances {E}'!A$16</f>
        <v>10.826714732176615</v>
      </c>
      <c r="G11" s="145" t="s">
        <v>380</v>
      </c>
      <c r="H11" s="258">
        <f>'Home Appliances {E}'!A$10</f>
        <v>1772026</v>
      </c>
      <c r="I11" s="259">
        <f>'Home Appliances {E}'!A$8</f>
        <v>256696.18999999994</v>
      </c>
      <c r="J11" s="259">
        <f>'Home Appliances {E}'!A$12</f>
        <v>926131</v>
      </c>
      <c r="K11" s="264">
        <f>'Home Appliances {E}'!A$14</f>
        <v>134581.20999999146</v>
      </c>
      <c r="L11" s="259">
        <f>SUM('Home Appliances {E}'!Q$5:Q$999)</f>
        <v>1060712.2099999916</v>
      </c>
      <c r="M11" s="259"/>
      <c r="N11" s="260">
        <f>'Home Appliances {E}'!A$18</f>
        <v>1307549.1199999999</v>
      </c>
      <c r="O11" s="259">
        <f>'Home Appliances {E}'!A$20</f>
        <v>1317408.3999999915</v>
      </c>
      <c r="P11" s="259">
        <f>SUM('Home Appliances {E}'!R$5:R$999)</f>
        <v>255.56</v>
      </c>
      <c r="Q11" s="261">
        <f t="shared" si="5"/>
        <v>1222351.2386650459</v>
      </c>
      <c r="R11" s="261">
        <f t="shared" si="6"/>
        <v>1231568.1032064985</v>
      </c>
      <c r="S11" s="259">
        <f>SUM('Home Appliances {E}'!AM$5:AM$999)</f>
        <v>1393580.3371882604</v>
      </c>
      <c r="T11" s="259">
        <f>SUM('Home Appliances {E}'!AD$5:AD$999)</f>
        <v>1159524.5033458581</v>
      </c>
      <c r="U11" s="133">
        <f t="shared" si="2"/>
        <v>1.1400817482790111</v>
      </c>
      <c r="V11" s="133">
        <f t="shared" si="3"/>
        <v>2.1862070536277085</v>
      </c>
    </row>
    <row r="12" spans="1:148" s="134" customFormat="1" ht="14.25">
      <c r="B12" s="130" t="s">
        <v>388</v>
      </c>
      <c r="C12" s="143" t="s">
        <v>389</v>
      </c>
      <c r="D12" s="143"/>
      <c r="E12" s="132">
        <f t="shared" si="4"/>
        <v>0.16307039972788587</v>
      </c>
      <c r="F12" s="144">
        <f>'Web-Enabled Thermostats {E}'!A$16</f>
        <v>11.441973221206847</v>
      </c>
      <c r="G12" s="145" t="s">
        <v>380</v>
      </c>
      <c r="H12" s="258">
        <f>'Web-Enabled Thermostats {E}'!A$10</f>
        <v>2420124</v>
      </c>
      <c r="I12" s="259">
        <f>'Web-Enabled Thermostats {E}'!A$8</f>
        <v>156270</v>
      </c>
      <c r="J12" s="259">
        <f>'Web-Enabled Thermostats {E}'!A$12</f>
        <v>499545.88</v>
      </c>
      <c r="K12" s="264">
        <f>'Web-Enabled Thermostats {E}'!A$14</f>
        <v>510776.08999999927</v>
      </c>
      <c r="L12" s="259">
        <f>SUM('Web-Enabled Thermostats {E}'!Q$5:Q$1000)</f>
        <v>1010321.9699999993</v>
      </c>
      <c r="M12" s="259"/>
      <c r="N12" s="260">
        <f>'Web-Enabled Thermostats {E}'!A$18</f>
        <v>681594.19</v>
      </c>
      <c r="O12" s="259">
        <f>'Web-Enabled Thermostats {E}'!A$20</f>
        <v>1166591.9699999993</v>
      </c>
      <c r="P12" s="259">
        <f>SUM('Web-Enabled Thermostats {E}'!R$5:R$1000)</f>
        <v>0</v>
      </c>
      <c r="Q12" s="261">
        <f t="shared" si="5"/>
        <v>637182.56520519766</v>
      </c>
      <c r="R12" s="261">
        <f t="shared" si="6"/>
        <v>1090578.6388707107</v>
      </c>
      <c r="S12" s="259">
        <f>SUM('Web-Enabled Thermostats {E}'!AM$5:AM$1000)</f>
        <v>2675699.3383032628</v>
      </c>
      <c r="T12" s="259">
        <f>SUM('Web-Enabled Thermostats {E}'!AD$5:AD$1000)</f>
        <v>0</v>
      </c>
      <c r="U12" s="133">
        <f t="shared" si="2"/>
        <v>4.1992664024659607</v>
      </c>
      <c r="V12" s="133">
        <f t="shared" si="3"/>
        <v>2.6988143424314006</v>
      </c>
    </row>
    <row r="13" spans="1:148" s="134" customFormat="1" ht="14.25">
      <c r="B13" s="130" t="s">
        <v>15</v>
      </c>
      <c r="C13" s="143" t="s">
        <v>390</v>
      </c>
      <c r="D13" s="143"/>
      <c r="E13" s="132">
        <f t="shared" si="4"/>
        <v>4.2512617299458053E-3</v>
      </c>
      <c r="F13" s="144">
        <f>'Residential Showerheads {E}'!A$16</f>
        <v>10</v>
      </c>
      <c r="G13" s="145" t="s">
        <v>380</v>
      </c>
      <c r="H13" s="258">
        <f>'Residential Showerheads {E}'!A$10</f>
        <v>72190.700000000012</v>
      </c>
      <c r="I13" s="259">
        <f>'Residential Showerheads {E}'!A$8</f>
        <v>60108.729999999996</v>
      </c>
      <c r="J13" s="259">
        <f>'Residential Showerheads {E}'!A$12</f>
        <v>16998.5</v>
      </c>
      <c r="K13" s="264">
        <f>'Residential Showerheads {E}'!A$14</f>
        <v>1107.0000000000095</v>
      </c>
      <c r="L13" s="259">
        <f>SUM('Residential Showerheads {E}'!Q$5:Q$1000)</f>
        <v>18105.500000000011</v>
      </c>
      <c r="M13" s="259"/>
      <c r="N13" s="260">
        <f>'Residential Showerheads {E}'!A$18</f>
        <v>80924.429999999993</v>
      </c>
      <c r="O13" s="259">
        <f>'Residential Showerheads {E}'!A$20</f>
        <v>78214.23000000001</v>
      </c>
      <c r="P13" s="259">
        <f>SUM('Residential Showerheads {E}'!R$5:R$1000)</f>
        <v>108.74999999999999</v>
      </c>
      <c r="Q13" s="261">
        <f t="shared" si="5"/>
        <v>75651.519117509568</v>
      </c>
      <c r="R13" s="261">
        <f t="shared" si="6"/>
        <v>73117.91156398991</v>
      </c>
      <c r="S13" s="259">
        <f>SUM('Residential Showerheads {E}'!AM$5:AM$1000)</f>
        <v>38904.62539850772</v>
      </c>
      <c r="T13" s="259">
        <f>SUM('Residential Showerheads {E}'!AD$5:AD$1000)</f>
        <v>92553.653330250658</v>
      </c>
      <c r="U13" s="133">
        <f t="shared" si="2"/>
        <v>0.51426099372938083</v>
      </c>
      <c r="V13" s="133">
        <f t="shared" si="3"/>
        <v>1.8511023957537036</v>
      </c>
    </row>
    <row r="14" spans="1:148" s="134" customFormat="1" ht="14.25">
      <c r="B14" s="130" t="s">
        <v>15</v>
      </c>
      <c r="C14" s="143" t="s">
        <v>391</v>
      </c>
      <c r="D14" s="143"/>
      <c r="E14" s="132">
        <f t="shared" si="4"/>
        <v>0.28423138582598495</v>
      </c>
      <c r="F14" s="144">
        <f>'SF Existing Weatherization {E}'!A$16</f>
        <v>36.331299748690682</v>
      </c>
      <c r="G14" s="145" t="s">
        <v>380</v>
      </c>
      <c r="H14" s="258">
        <f>'SF Existing Weatherization {E}'!A$10</f>
        <v>1328478.43</v>
      </c>
      <c r="I14" s="259">
        <f>'SF Existing Weatherization {E}'!A$8</f>
        <v>148053.10999999999</v>
      </c>
      <c r="J14" s="259">
        <f>'SF Existing Weatherization {E}'!A$12</f>
        <v>842327</v>
      </c>
      <c r="K14" s="264">
        <f>'SF Existing Weatherization {E}'!A$14</f>
        <v>1873746.02</v>
      </c>
      <c r="L14" s="259">
        <f>SUM('SF Existing Weatherization {E}'!Q$5:Q$1000)</f>
        <v>2716073.0200000014</v>
      </c>
      <c r="M14" s="259"/>
      <c r="N14" s="260">
        <f>'SF Existing Weatherization {E}'!A$18</f>
        <v>996002.63</v>
      </c>
      <c r="O14" s="259">
        <f>'SF Existing Weatherization {E}'!A$20</f>
        <v>2864126.1300000013</v>
      </c>
      <c r="P14" s="259">
        <f>SUM('SF Existing Weatherization {E}'!R$5:R$1000)</f>
        <v>1.6000000000000003</v>
      </c>
      <c r="Q14" s="261">
        <f t="shared" si="5"/>
        <v>931104.63681405992</v>
      </c>
      <c r="R14" s="261">
        <f t="shared" si="6"/>
        <v>2677504.0946059651</v>
      </c>
      <c r="S14" s="259">
        <f>SUM('SF Existing Weatherization {E}'!AM$5:AM$1000)</f>
        <v>3753377.7418500767</v>
      </c>
      <c r="T14" s="259">
        <f>SUM('SF Existing Weatherization {E}'!AD$5:AD$1000)</f>
        <v>64669.806120307447</v>
      </c>
      <c r="U14" s="133">
        <f t="shared" si="2"/>
        <v>4.0311019765650897</v>
      </c>
      <c r="V14" s="133">
        <f t="shared" si="3"/>
        <v>1.5661545879998036</v>
      </c>
    </row>
    <row r="15" spans="1:148" s="134" customFormat="1" ht="14.25">
      <c r="B15" s="130" t="s">
        <v>15</v>
      </c>
      <c r="C15" s="143" t="s">
        <v>392</v>
      </c>
      <c r="D15" s="143"/>
      <c r="E15" s="132">
        <f t="shared" si="4"/>
        <v>2.386195525149417E-2</v>
      </c>
      <c r="F15" s="144">
        <f>'Home Energy Reports {E}'!A$16</f>
        <v>2</v>
      </c>
      <c r="G15" s="145" t="s">
        <v>380</v>
      </c>
      <c r="H15" s="258">
        <f>'Home Energy Reports {E}'!A$10</f>
        <v>2026000</v>
      </c>
      <c r="I15" s="259">
        <f>'Home Energy Reports {E}'!A$8</f>
        <v>777574.10000000009</v>
      </c>
      <c r="J15" s="259">
        <f>'Home Energy Reports {E}'!A$12</f>
        <v>589658.93999999994</v>
      </c>
      <c r="K15" s="264">
        <f>'Home Energy Reports {E}'!A$14</f>
        <v>0</v>
      </c>
      <c r="L15" s="259">
        <f>SUM('Home Energy Reports {E}'!Q$5:Q$999)</f>
        <v>589658.93999999994</v>
      </c>
      <c r="M15" s="259"/>
      <c r="N15" s="260">
        <f>'Home Energy Reports {E}'!A$18</f>
        <v>1432214.62</v>
      </c>
      <c r="O15" s="259">
        <f>'Home Energy Reports {E}'!A$20</f>
        <v>1367233.04</v>
      </c>
      <c r="P15" s="259">
        <f>SUM('Home Energy Reports {E}'!R$5:R$999)</f>
        <v>0</v>
      </c>
      <c r="Q15" s="261">
        <f t="shared" si="5"/>
        <v>1338893.7272132374</v>
      </c>
      <c r="R15" s="261">
        <f t="shared" si="6"/>
        <v>1278146.2466111993</v>
      </c>
      <c r="S15" s="259">
        <f>SUM('Home Energy Reports {E}'!AM$5:AM$999)</f>
        <v>337573.17256282136</v>
      </c>
      <c r="T15" s="259">
        <f>SUM('Home Energy Reports {E}'!AD$5:AD$999)</f>
        <v>0</v>
      </c>
      <c r="U15" s="133">
        <f t="shared" si="2"/>
        <v>0.25212842939031721</v>
      </c>
      <c r="V15" s="133">
        <f t="shared" si="3"/>
        <v>0.29052269316099544</v>
      </c>
    </row>
    <row r="16" spans="1:148" s="134" customFormat="1" ht="14.25">
      <c r="B16" s="130" t="s">
        <v>15</v>
      </c>
      <c r="C16" s="143" t="s">
        <v>1837</v>
      </c>
      <c r="D16" s="143"/>
      <c r="E16" s="132">
        <f t="shared" si="4"/>
        <v>0</v>
      </c>
      <c r="F16" s="144">
        <f>IFERROR('Efficiency Boost {E}'!A$16,0)</f>
        <v>0</v>
      </c>
      <c r="G16" s="145" t="s">
        <v>380</v>
      </c>
      <c r="H16" s="258">
        <f>'Efficiency Boost {E}'!A$10</f>
        <v>0</v>
      </c>
      <c r="I16" s="259">
        <f>'Efficiency Boost {E}'!A$8</f>
        <v>57175.369999999995</v>
      </c>
      <c r="J16" s="259">
        <f>'Efficiency Boost {E}'!A$12</f>
        <v>0</v>
      </c>
      <c r="K16" s="264">
        <f>'Efficiency Boost {E}'!A$14</f>
        <v>0</v>
      </c>
      <c r="L16" s="259">
        <f>SUM('Efficiency Boost {E}'!Q$5:Q$999)</f>
        <v>0</v>
      </c>
      <c r="M16" s="259"/>
      <c r="N16" s="260">
        <f>'Efficiency Boost {E}'!A$18</f>
        <v>57175.369999999995</v>
      </c>
      <c r="O16" s="259">
        <f>'Efficiency Boost {E}'!A$20</f>
        <v>57175.369999999995</v>
      </c>
      <c r="P16" s="259">
        <f>SUM('Efficiency Boost {E}'!R$5:R$999)</f>
        <v>0</v>
      </c>
      <c r="Q16" s="261">
        <f>N16/(1+ElecDiscountRate)^1</f>
        <v>53449.911190053273</v>
      </c>
      <c r="R16" s="261">
        <f>O16/(1+ElecDiscountRate)^1</f>
        <v>53449.911190053273</v>
      </c>
      <c r="S16" s="259">
        <f>SUM('Efficiency Boost {E}'!AM$5:AM$999)</f>
        <v>0</v>
      </c>
      <c r="T16" s="259">
        <f>SUM('Efficiency Boost {E}'!AD$5:AD$999)</f>
        <v>0</v>
      </c>
      <c r="U16" s="133">
        <f>IFERROR(S16/Q16,0)</f>
        <v>0</v>
      </c>
      <c r="V16" s="133">
        <f>IFERROR(((S16*1.1)+(T16))/R16,0)</f>
        <v>0</v>
      </c>
    </row>
    <row r="17" spans="1:425" s="134" customFormat="1" ht="14.25">
      <c r="B17" s="130" t="s">
        <v>17</v>
      </c>
      <c r="C17" s="131" t="s">
        <v>393</v>
      </c>
      <c r="D17" s="131"/>
      <c r="E17" s="132"/>
      <c r="F17" s="144">
        <f>'SF New Construction {E}'!A$16</f>
        <v>33.942523134671205</v>
      </c>
      <c r="G17" s="145" t="s">
        <v>380</v>
      </c>
      <c r="H17" s="258">
        <f>'SF New Construction {E}'!A$10</f>
        <v>79645.61</v>
      </c>
      <c r="I17" s="259">
        <f>'SF New Construction {E}'!A$8</f>
        <v>30133.25</v>
      </c>
      <c r="J17" s="259">
        <f>'SF New Construction {E}'!A$12</f>
        <v>31750</v>
      </c>
      <c r="K17" s="264">
        <f>'SF New Construction {E}'!A$14</f>
        <v>64032</v>
      </c>
      <c r="L17" s="259">
        <f>SUM('SF New Construction {E}'!Q$5:Q$1000)</f>
        <v>95782.000000000015</v>
      </c>
      <c r="M17" s="259"/>
      <c r="N17" s="260">
        <f>'SF New Construction {E}'!A$18</f>
        <v>62633.25</v>
      </c>
      <c r="O17" s="259">
        <f>'SF New Construction {E}'!A$20</f>
        <v>125915.25000000001</v>
      </c>
      <c r="P17" s="259">
        <f>SUM('SF New Construction {E}'!R$5:R$1000)</f>
        <v>65.27</v>
      </c>
      <c r="Q17" s="261">
        <f t="shared" si="5"/>
        <v>58552.164158175183</v>
      </c>
      <c r="R17" s="261">
        <f t="shared" si="6"/>
        <v>117710.80676825279</v>
      </c>
      <c r="S17" s="259">
        <f>SUM('SF New Construction {E}'!AM$5:AM$1000)</f>
        <v>186360.31866904549</v>
      </c>
      <c r="T17" s="259">
        <f>SUM('SF New Construction {E}'!AD$5:AD$1000)</f>
        <v>2719.7581235771027</v>
      </c>
      <c r="U17" s="133">
        <f t="shared" si="2"/>
        <v>3.1828083786212273</v>
      </c>
      <c r="V17" s="133">
        <f t="shared" si="3"/>
        <v>1.7646307451487899</v>
      </c>
    </row>
    <row r="18" spans="1:425" s="134" customFormat="1" ht="14.25">
      <c r="B18" s="130" t="s">
        <v>17</v>
      </c>
      <c r="C18" s="131" t="s">
        <v>394</v>
      </c>
      <c r="D18" s="131"/>
      <c r="E18" s="132"/>
      <c r="F18" s="144">
        <f>'MH New Construction {E}'!A$16</f>
        <v>44.172944297082232</v>
      </c>
      <c r="G18" s="145" t="s">
        <v>380</v>
      </c>
      <c r="H18" s="258">
        <f>'MH New Construction {E}'!A$10</f>
        <v>128180</v>
      </c>
      <c r="I18" s="259">
        <f>'MH New Construction {E}'!A$8</f>
        <v>58444.260000000009</v>
      </c>
      <c r="J18" s="259">
        <f>'MH New Construction {E}'!A$12</f>
        <v>65900</v>
      </c>
      <c r="K18" s="264">
        <f>'MH New Construction {E}'!A$14</f>
        <v>85639.910000000018</v>
      </c>
      <c r="L18" s="259">
        <f>SUM('MH New Construction {E}'!Q$5:Q$1000)</f>
        <v>151539.91</v>
      </c>
      <c r="M18" s="259"/>
      <c r="N18" s="260">
        <f>'MH New Construction {E}'!A$18</f>
        <v>151341.07</v>
      </c>
      <c r="O18" s="259">
        <f>'MH New Construction {E}'!A$20</f>
        <v>209984.17</v>
      </c>
      <c r="P18" s="259">
        <f>SUM('MH New Construction {E}'!R$5:R$1000)</f>
        <v>72.429999999999993</v>
      </c>
      <c r="Q18" s="261">
        <f t="shared" si="5"/>
        <v>141479.91960362718</v>
      </c>
      <c r="R18" s="261">
        <f t="shared" si="6"/>
        <v>196301.92577358137</v>
      </c>
      <c r="S18" s="259">
        <f>SUM('MH New Construction {E}'!AM$5:AM$1000)</f>
        <v>430610.62819830375</v>
      </c>
      <c r="T18" s="259">
        <f>SUM('MH New Construction {E}'!AD$5:AD$1000)</f>
        <v>7256.6143072719751</v>
      </c>
      <c r="U18" s="133">
        <f t="shared" si="2"/>
        <v>3.0436165740319239</v>
      </c>
      <c r="V18" s="133">
        <f t="shared" si="3"/>
        <v>2.4499418608868799</v>
      </c>
    </row>
    <row r="19" spans="1:425" s="134" customFormat="1" ht="14.25">
      <c r="B19" s="130" t="s">
        <v>39</v>
      </c>
      <c r="C19" s="147" t="s">
        <v>395</v>
      </c>
      <c r="D19" s="147"/>
      <c r="E19" s="132"/>
      <c r="F19" s="144">
        <f>'Multi Family Retrofit {E}'!A$16</f>
        <v>32.601542839527887</v>
      </c>
      <c r="G19" s="145" t="s">
        <v>380</v>
      </c>
      <c r="H19" s="258">
        <f>'Multi Family Retrofit {E}'!A$10</f>
        <v>6706309.9000000004</v>
      </c>
      <c r="I19" s="259">
        <f>'Multi Family Retrofit {E}'!A$8</f>
        <v>1305220.33</v>
      </c>
      <c r="J19" s="259">
        <f>'Multi Family Retrofit {E}'!A$12</f>
        <v>4463558.8600000013</v>
      </c>
      <c r="K19" s="259">
        <f>'Multi Family Retrofit {E}'!A$14</f>
        <v>4083356.7800000007</v>
      </c>
      <c r="L19" s="259">
        <f>SUM('Multi Family Retrofit {E}'!Q$5:Q$1000)</f>
        <v>8546915.6400000006</v>
      </c>
      <c r="M19" s="259"/>
      <c r="N19" s="260">
        <f>'Multi Family Retrofit {E}'!A$18</f>
        <v>5843584.25</v>
      </c>
      <c r="O19" s="259">
        <f>'Multi Family Retrofit {E}'!A$20</f>
        <v>9852135.9700000007</v>
      </c>
      <c r="P19" s="259">
        <f>SUM('Multi Family Retrofit {E}'!R$5:R$1000)</f>
        <v>88.31</v>
      </c>
      <c r="Q19" s="261">
        <f t="shared" si="5"/>
        <v>5462825.3248574361</v>
      </c>
      <c r="R19" s="261">
        <f t="shared" si="6"/>
        <v>9210186.0054220799</v>
      </c>
      <c r="S19" s="259">
        <f>SUM('Multi Family Retrofit {E}'!AM$5:AM$1000)</f>
        <v>15431694.955823271</v>
      </c>
      <c r="T19" s="259">
        <f>SUM('Multi Family Retrofit {E}'!AD$5:AD$1000)</f>
        <v>137627.19856779967</v>
      </c>
      <c r="U19" s="133">
        <f t="shared" si="2"/>
        <v>2.8248560109737708</v>
      </c>
      <c r="V19" s="133">
        <f t="shared" si="3"/>
        <v>1.8579963140700084</v>
      </c>
    </row>
    <row r="20" spans="1:425" s="134" customFormat="1" ht="14.25">
      <c r="A20" s="148"/>
      <c r="B20" s="130" t="s">
        <v>59</v>
      </c>
      <c r="C20" s="147" t="s">
        <v>396</v>
      </c>
      <c r="D20" s="147"/>
      <c r="E20" s="132"/>
      <c r="F20" s="144">
        <f>'MF New Construction {E}'!A$16</f>
        <v>15.000000000000002</v>
      </c>
      <c r="G20" s="145" t="s">
        <v>380</v>
      </c>
      <c r="H20" s="258">
        <f>'MF New Construction {E}'!A$10</f>
        <v>844510</v>
      </c>
      <c r="I20" s="259">
        <f>'MF New Construction {E}'!A$8</f>
        <v>413852.89</v>
      </c>
      <c r="J20" s="259">
        <f>'MF New Construction {E}'!A$12</f>
        <v>232417</v>
      </c>
      <c r="K20" s="259">
        <f>'MF New Construction {E}'!A$14</f>
        <v>0</v>
      </c>
      <c r="L20" s="259">
        <f>SUM('MF New Construction {E}'!Q$5:Q$1000)</f>
        <v>232417</v>
      </c>
      <c r="M20" s="259"/>
      <c r="N20" s="260">
        <f>'MF New Construction {E}'!A$18</f>
        <v>646269.89</v>
      </c>
      <c r="O20" s="259">
        <f>'MF New Construction {E}'!A$20</f>
        <v>646269.89</v>
      </c>
      <c r="P20" s="259">
        <f>SUM('MF New Construction {E}'!R$5:R$1000)</f>
        <v>0</v>
      </c>
      <c r="Q20" s="261">
        <f t="shared" si="5"/>
        <v>604159.94203982421</v>
      </c>
      <c r="R20" s="261">
        <f t="shared" si="6"/>
        <v>604159.94203982421</v>
      </c>
      <c r="S20" s="259">
        <f>SUM('MF New Construction {E}'!AM$5:AM$1000)</f>
        <v>869930.87720654137</v>
      </c>
      <c r="T20" s="259">
        <f>SUM('MF New Construction {E}'!AD$5:AD$1000)</f>
        <v>0</v>
      </c>
      <c r="U20" s="133">
        <f t="shared" si="2"/>
        <v>1.4399016165643077</v>
      </c>
      <c r="V20" s="133">
        <f t="shared" si="3"/>
        <v>1.5838917782207387</v>
      </c>
    </row>
    <row r="21" spans="1:425" s="156" customFormat="1">
      <c r="A21" s="134"/>
      <c r="B21" s="149" t="s">
        <v>397</v>
      </c>
      <c r="C21" s="149"/>
      <c r="D21" s="149"/>
      <c r="E21" s="150"/>
      <c r="F21" s="151"/>
      <c r="G21" s="152"/>
      <c r="H21" s="153">
        <f t="shared" ref="H21:T21" si="7">SUM(H8:H20,H6)</f>
        <v>37762579.13000001</v>
      </c>
      <c r="I21" s="153">
        <f t="shared" si="7"/>
        <v>5111550.78</v>
      </c>
      <c r="J21" s="153">
        <f t="shared" si="7"/>
        <v>18142821.870000005</v>
      </c>
      <c r="K21" s="153">
        <f t="shared" si="7"/>
        <v>14345428.34000008</v>
      </c>
      <c r="L21" s="153">
        <f t="shared" si="7"/>
        <v>32488250.210000087</v>
      </c>
      <c r="M21" s="153">
        <f t="shared" si="7"/>
        <v>0</v>
      </c>
      <c r="N21" s="153">
        <f t="shared" si="7"/>
        <v>24356137.52</v>
      </c>
      <c r="O21" s="153">
        <f t="shared" si="7"/>
        <v>37599800.990000084</v>
      </c>
      <c r="P21" s="153">
        <f t="shared" si="7"/>
        <v>25777.09</v>
      </c>
      <c r="Q21" s="153">
        <f t="shared" si="7"/>
        <v>22769129.213798258</v>
      </c>
      <c r="R21" s="153">
        <f t="shared" si="7"/>
        <v>35149856.025053822</v>
      </c>
      <c r="S21" s="153">
        <f t="shared" si="7"/>
        <v>39298787.545300782</v>
      </c>
      <c r="T21" s="153">
        <f t="shared" si="7"/>
        <v>2248039.6263115122</v>
      </c>
      <c r="U21" s="154">
        <f>S21/Q21</f>
        <v>1.7259679619844852</v>
      </c>
      <c r="V21" s="154">
        <f>((S21*1.1)+(T21))/R21</f>
        <v>1.2937949416841954</v>
      </c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  <c r="IW21" s="155"/>
      <c r="IX21" s="155"/>
      <c r="IY21" s="155"/>
      <c r="IZ21" s="155"/>
      <c r="JA21" s="155"/>
      <c r="JB21" s="155"/>
      <c r="JC21" s="155"/>
      <c r="JD21" s="155"/>
      <c r="JE21" s="155"/>
      <c r="JF21" s="155"/>
      <c r="JG21" s="155"/>
      <c r="JH21" s="155"/>
      <c r="JI21" s="155"/>
      <c r="JJ21" s="155"/>
      <c r="JK21" s="155"/>
      <c r="JL21" s="155"/>
      <c r="JM21" s="155"/>
      <c r="JN21" s="155"/>
      <c r="JO21" s="155"/>
      <c r="JP21" s="155"/>
      <c r="JQ21" s="155"/>
      <c r="JR21" s="155"/>
      <c r="JS21" s="155"/>
      <c r="JT21" s="155"/>
      <c r="JU21" s="155"/>
      <c r="JV21" s="155"/>
      <c r="JW21" s="155"/>
      <c r="JX21" s="155"/>
      <c r="JY21" s="155"/>
      <c r="JZ21" s="155"/>
      <c r="KA21" s="155"/>
      <c r="KB21" s="155"/>
      <c r="KC21" s="155"/>
      <c r="KD21" s="155"/>
      <c r="KE21" s="155"/>
      <c r="KF21" s="155"/>
      <c r="KG21" s="155"/>
      <c r="KH21" s="155"/>
      <c r="KI21" s="155"/>
      <c r="KJ21" s="155"/>
      <c r="KK21" s="155"/>
      <c r="KL21" s="155"/>
      <c r="KM21" s="155"/>
      <c r="KN21" s="155"/>
      <c r="KO21" s="155"/>
      <c r="KP21" s="155"/>
      <c r="KQ21" s="155"/>
      <c r="KR21" s="155"/>
      <c r="KS21" s="155"/>
      <c r="KT21" s="155"/>
      <c r="KU21" s="155"/>
      <c r="KV21" s="155"/>
      <c r="KW21" s="155"/>
      <c r="KX21" s="155"/>
      <c r="KY21" s="155"/>
      <c r="KZ21" s="155"/>
      <c r="LA21" s="155"/>
      <c r="LB21" s="155"/>
      <c r="LC21" s="155"/>
      <c r="LD21" s="155"/>
      <c r="LE21" s="155"/>
      <c r="LF21" s="155"/>
      <c r="LG21" s="155"/>
      <c r="LH21" s="155"/>
      <c r="LI21" s="155"/>
      <c r="LJ21" s="155"/>
      <c r="LK21" s="155"/>
      <c r="LL21" s="155"/>
      <c r="LM21" s="155"/>
      <c r="LN21" s="155"/>
      <c r="LO21" s="155"/>
      <c r="LP21" s="155"/>
      <c r="LQ21" s="155"/>
      <c r="LR21" s="155"/>
      <c r="LS21" s="155"/>
      <c r="LT21" s="155"/>
      <c r="LU21" s="155"/>
      <c r="LV21" s="155"/>
      <c r="LW21" s="155"/>
      <c r="LX21" s="155"/>
      <c r="LY21" s="155"/>
      <c r="LZ21" s="155"/>
      <c r="MA21" s="155"/>
      <c r="MB21" s="155"/>
      <c r="MC21" s="155"/>
      <c r="MD21" s="155"/>
      <c r="ME21" s="155"/>
      <c r="MF21" s="155"/>
      <c r="MG21" s="155"/>
      <c r="MH21" s="155"/>
      <c r="MI21" s="155"/>
      <c r="MJ21" s="155"/>
      <c r="MK21" s="155"/>
      <c r="ML21" s="155"/>
      <c r="MM21" s="155"/>
      <c r="MN21" s="155"/>
      <c r="MO21" s="155"/>
      <c r="MP21" s="155"/>
      <c r="MQ21" s="155"/>
      <c r="MR21" s="155"/>
      <c r="MS21" s="155"/>
      <c r="MT21" s="155"/>
      <c r="MU21" s="155"/>
      <c r="MV21" s="155"/>
      <c r="MW21" s="155"/>
      <c r="MX21" s="155"/>
      <c r="MY21" s="155"/>
      <c r="MZ21" s="155"/>
      <c r="NA21" s="155"/>
      <c r="NB21" s="155"/>
      <c r="NC21" s="155"/>
      <c r="ND21" s="155"/>
      <c r="NE21" s="155"/>
      <c r="NF21" s="155"/>
      <c r="NG21" s="155"/>
      <c r="NH21" s="155"/>
      <c r="NI21" s="155"/>
      <c r="NJ21" s="155"/>
      <c r="NK21" s="155"/>
      <c r="NL21" s="155"/>
      <c r="NM21" s="155"/>
      <c r="NN21" s="155"/>
      <c r="NO21" s="155"/>
      <c r="NP21" s="155"/>
      <c r="NQ21" s="155"/>
      <c r="NR21" s="155"/>
      <c r="NS21" s="155"/>
      <c r="NT21" s="155"/>
      <c r="NU21" s="155"/>
      <c r="NV21" s="155"/>
      <c r="NW21" s="155"/>
      <c r="NX21" s="155"/>
      <c r="NY21" s="155"/>
      <c r="NZ21" s="155"/>
      <c r="OA21" s="155"/>
      <c r="OB21" s="155"/>
      <c r="OC21" s="155"/>
      <c r="OD21" s="155"/>
      <c r="OE21" s="155"/>
      <c r="OF21" s="155"/>
      <c r="OG21" s="155"/>
      <c r="OH21" s="155"/>
      <c r="OI21" s="155"/>
      <c r="OJ21" s="155"/>
      <c r="OK21" s="155"/>
      <c r="OL21" s="155"/>
      <c r="OM21" s="155"/>
      <c r="ON21" s="155"/>
      <c r="OO21" s="155"/>
      <c r="OP21" s="155"/>
      <c r="OQ21" s="155"/>
      <c r="OR21" s="155"/>
      <c r="OS21" s="155"/>
      <c r="OT21" s="155"/>
      <c r="OU21" s="155"/>
      <c r="OV21" s="155"/>
      <c r="OW21" s="155"/>
      <c r="OX21" s="155"/>
      <c r="OY21" s="155"/>
      <c r="OZ21" s="155"/>
      <c r="PA21" s="155"/>
      <c r="PB21" s="155"/>
      <c r="PC21" s="155"/>
      <c r="PD21" s="155"/>
      <c r="PE21" s="155"/>
      <c r="PF21" s="155"/>
      <c r="PG21" s="155"/>
      <c r="PH21" s="155"/>
      <c r="PI21" s="155"/>
    </row>
    <row r="22" spans="1:425" s="156" customFormat="1">
      <c r="A22" s="134"/>
      <c r="B22" s="157" t="s">
        <v>398</v>
      </c>
      <c r="C22" s="157"/>
      <c r="D22" s="157"/>
      <c r="E22" s="158"/>
      <c r="F22" s="151"/>
      <c r="G22" s="152"/>
      <c r="H22" s="153">
        <f t="shared" ref="H22:T22" si="8">H21-H6</f>
        <v>36695880.440000013</v>
      </c>
      <c r="I22" s="153">
        <f t="shared" si="8"/>
        <v>4902886.49</v>
      </c>
      <c r="J22" s="153">
        <f t="shared" si="8"/>
        <v>15364935.490000006</v>
      </c>
      <c r="K22" s="153">
        <f t="shared" si="8"/>
        <v>14279179.74000008</v>
      </c>
      <c r="L22" s="153">
        <f t="shared" si="8"/>
        <v>29644115.230000086</v>
      </c>
      <c r="M22" s="153">
        <f t="shared" si="8"/>
        <v>0</v>
      </c>
      <c r="N22" s="153">
        <f t="shared" si="8"/>
        <v>22611604.75</v>
      </c>
      <c r="O22" s="153">
        <f t="shared" si="8"/>
        <v>34547001.720000088</v>
      </c>
      <c r="P22" s="153">
        <f t="shared" si="8"/>
        <v>712.70000000000073</v>
      </c>
      <c r="Q22" s="153">
        <f t="shared" si="8"/>
        <v>21138267.504907917</v>
      </c>
      <c r="R22" s="153">
        <f t="shared" si="8"/>
        <v>32295972.440871343</v>
      </c>
      <c r="S22" s="153">
        <f t="shared" si="8"/>
        <v>37384780.552704468</v>
      </c>
      <c r="T22" s="153">
        <f t="shared" si="8"/>
        <v>1864061.4551073336</v>
      </c>
      <c r="U22" s="154">
        <f>S22/Q22</f>
        <v>1.7685829997195563</v>
      </c>
      <c r="V22" s="154">
        <f>((S22*1.1)+(T22))/R22</f>
        <v>1.3310427528319519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21" customFormat="1" ht="14.25">
      <c r="A23" s="134"/>
      <c r="B23" s="130" t="s">
        <v>65</v>
      </c>
      <c r="C23" s="502" t="s">
        <v>1824</v>
      </c>
      <c r="D23" s="147"/>
      <c r="E23" s="159"/>
      <c r="F23" s="144"/>
      <c r="G23" s="160"/>
      <c r="H23" s="258">
        <f>SUM(H24:H27)</f>
        <v>57575865.5</v>
      </c>
      <c r="I23" s="258">
        <f>SUM(I24:I27)</f>
        <v>3762264.0400000005</v>
      </c>
      <c r="J23" s="258">
        <f>SUM(J24:J27)</f>
        <v>14830547.33</v>
      </c>
      <c r="K23" s="258">
        <f>SUM(K24:K27)</f>
        <v>19560241.309999999</v>
      </c>
      <c r="L23" s="258">
        <f>SUM(L24:L27)</f>
        <v>34390788.640000001</v>
      </c>
      <c r="M23" s="259"/>
      <c r="N23" s="260">
        <f t="shared" ref="N23:T23" si="9">SUM(N24:N27)</f>
        <v>18777486.349999998</v>
      </c>
      <c r="O23" s="258">
        <f t="shared" si="9"/>
        <v>38153052.68</v>
      </c>
      <c r="P23" s="258">
        <f t="shared" si="9"/>
        <v>0</v>
      </c>
      <c r="Q23" s="258">
        <f t="shared" si="9"/>
        <v>17553974.338599607</v>
      </c>
      <c r="R23" s="258">
        <f t="shared" si="9"/>
        <v>35667058.689352155</v>
      </c>
      <c r="S23" s="258">
        <f t="shared" si="9"/>
        <v>58025527.979469351</v>
      </c>
      <c r="T23" s="258">
        <f t="shared" si="9"/>
        <v>0</v>
      </c>
      <c r="U23" s="133">
        <f>IFERROR(S23/Q23,0)</f>
        <v>3.3055493223478427</v>
      </c>
      <c r="V23" s="133">
        <f>IFERROR(((S23*1.1)+(T23))/R23,0)</f>
        <v>1.7895526887523014</v>
      </c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</row>
    <row r="24" spans="1:425" s="21" customFormat="1" ht="14.25">
      <c r="A24" s="134"/>
      <c r="B24" s="130" t="s">
        <v>65</v>
      </c>
      <c r="C24" s="143" t="s">
        <v>399</v>
      </c>
      <c r="D24" s="147"/>
      <c r="E24" s="159">
        <f>F24*(H24/$H$68)</f>
        <v>0.48701498062702081</v>
      </c>
      <c r="F24" s="144">
        <f>'CI Retrofit {E}'!A$16</f>
        <v>12.931078792291016</v>
      </c>
      <c r="G24" s="160" t="s">
        <v>380</v>
      </c>
      <c r="H24" s="258">
        <f>'CI Retrofit {E}'!A$10</f>
        <v>6395448</v>
      </c>
      <c r="I24" s="259">
        <f>'CI Retrofit {E}'!A$8</f>
        <v>1080774.1499999999</v>
      </c>
      <c r="J24" s="259">
        <f>'CI Retrofit {E}'!A$12</f>
        <v>1862866</v>
      </c>
      <c r="K24" s="259">
        <f>'CI Retrofit {E}'!A$14</f>
        <v>1399751.4</v>
      </c>
      <c r="L24" s="259">
        <f>SUM('CI Retrofit {E}'!Q$5:Q$1000)</f>
        <v>3262617.4</v>
      </c>
      <c r="M24" s="259"/>
      <c r="N24" s="260">
        <f>'CI Retrofit {E}'!A$18</f>
        <v>2943640.15</v>
      </c>
      <c r="O24" s="259">
        <f>'CI Retrofit {E}'!A$20</f>
        <v>4343391.55</v>
      </c>
      <c r="P24" s="259">
        <f>SUM('CI Retrofit {E}'!R$5:R$1000)</f>
        <v>0</v>
      </c>
      <c r="Q24" s="261">
        <f t="shared" ref="Q24:Q41" si="10">N24/(1+ElecDiscountRate)^1</f>
        <v>2751837.1038608951</v>
      </c>
      <c r="R24" s="261">
        <f t="shared" ref="R24:R41" si="11">O24/(1+ElecDiscountRate)^1</f>
        <v>4060382.8643544912</v>
      </c>
      <c r="S24" s="259">
        <f>SUM('CI Retrofit {E}'!AM$5:AM$1000)</f>
        <v>5729853.792724981</v>
      </c>
      <c r="T24" s="259">
        <f>SUM('CI Retrofit {E}'!AD$5:AD$1000)</f>
        <v>0</v>
      </c>
      <c r="U24" s="133">
        <f t="shared" ref="U24:U32" si="12">IFERROR(S24/Q24,0)</f>
        <v>2.0821922143159766</v>
      </c>
      <c r="V24" s="133">
        <f t="shared" ref="V24:V32" si="13">IFERROR(((S24*1.1)+(T24))/R24,0)</f>
        <v>1.5522770592224651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1822</v>
      </c>
      <c r="D25" s="147"/>
      <c r="E25" s="159">
        <f>F25*(H25/$H$68)</f>
        <v>4.2463843816259956</v>
      </c>
      <c r="F25" s="144">
        <f>'Bus Lighting Grants {E}'!A$16</f>
        <v>14.893028479096808</v>
      </c>
      <c r="G25" s="160" t="s">
        <v>380</v>
      </c>
      <c r="H25" s="258">
        <f>'Bus Lighting Grants {E}'!A$10</f>
        <v>48417202.600000001</v>
      </c>
      <c r="I25" s="259">
        <f>'Bus Lighting Grants {E}'!A$8</f>
        <v>2374281.8100000005</v>
      </c>
      <c r="J25" s="259">
        <f>'Bus Lighting Grants {E}'!A$12</f>
        <v>12412035.33</v>
      </c>
      <c r="K25" s="259">
        <f>'Bus Lighting Grants {E}'!A$14</f>
        <v>17516428.050000001</v>
      </c>
      <c r="L25" s="259">
        <f>SUM('Bus Lighting Grants {E}'!Q$5:Q$1000)</f>
        <v>29928463.380000003</v>
      </c>
      <c r="M25" s="259"/>
      <c r="N25" s="260">
        <f>'Bus Lighting Grants {E}'!A$18</f>
        <v>14775964.140000001</v>
      </c>
      <c r="O25" s="259">
        <f>'Bus Lighting Grants {E}'!A$20</f>
        <v>32302745.190000005</v>
      </c>
      <c r="P25" s="259">
        <f>SUM('Bus Lighting Grants {E}'!R$5:R$1000)</f>
        <v>0</v>
      </c>
      <c r="Q25" s="261">
        <f t="shared" ref="Q25:R27" si="14">N25/(1+ElecDiscountRate)^1</f>
        <v>13813185.136019444</v>
      </c>
      <c r="R25" s="261">
        <f t="shared" si="14"/>
        <v>30197948.200430028</v>
      </c>
      <c r="S25" s="259">
        <f>SUM('Bus Lighting Grants {E}'!AM$5:AM$1000)</f>
        <v>50265415.053253412</v>
      </c>
      <c r="T25" s="259">
        <f>SUM('Bus Lighting Grants {E}'!AD$5:AD$1000)</f>
        <v>0</v>
      </c>
      <c r="U25" s="133">
        <f>IFERROR(S25/Q25,0)</f>
        <v>3.6389445705886221</v>
      </c>
      <c r="V25" s="133">
        <f>IFERROR(((S25*1.1)+(T25))/R25,0)</f>
        <v>1.830983886441377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1823</v>
      </c>
      <c r="D26" s="147"/>
      <c r="E26" s="159">
        <f>F26*(H26/$H$68)</f>
        <v>0.17476356752936262</v>
      </c>
      <c r="F26" s="144">
        <f>'Industrial EM {E}'!A$16</f>
        <v>10.935425571676138</v>
      </c>
      <c r="G26" s="160" t="s">
        <v>380</v>
      </c>
      <c r="H26" s="258">
        <f>'Industrial EM {E}'!A$10</f>
        <v>2713804.9</v>
      </c>
      <c r="I26" s="259">
        <f>'Industrial EM {E}'!A$8</f>
        <v>264563.08000000007</v>
      </c>
      <c r="J26" s="259">
        <f>'Industrial EM {E}'!A$12</f>
        <v>555646</v>
      </c>
      <c r="K26" s="259">
        <f>'Industrial EM {E}'!A$14</f>
        <v>644061.86</v>
      </c>
      <c r="L26" s="259">
        <f>SUM('Industrial EM {E}'!Q$5:Q$1000)</f>
        <v>1199707.8600000001</v>
      </c>
      <c r="M26" s="259"/>
      <c r="N26" s="260">
        <f>'Industrial EM {E}'!A$18</f>
        <v>1015237.06</v>
      </c>
      <c r="O26" s="259">
        <f>'Industrial EM {E}'!A$20</f>
        <v>1464270.9400000002</v>
      </c>
      <c r="P26" s="259">
        <f>SUM('Industrial EM {E}'!R$5:R$1000)</f>
        <v>0</v>
      </c>
      <c r="Q26" s="261">
        <f t="shared" si="14"/>
        <v>949085.78106011031</v>
      </c>
      <c r="R26" s="261">
        <f t="shared" si="14"/>
        <v>1368861.306908479</v>
      </c>
      <c r="S26" s="259">
        <f>SUM('Industrial EM {E}'!AM$5:AM$1000)</f>
        <v>2012566.7868409439</v>
      </c>
      <c r="T26" s="259">
        <f>SUM('Industrial EM {E}'!AD$5:AD$1000)</f>
        <v>0</v>
      </c>
      <c r="U26" s="133">
        <f>IFERROR(S26/Q26,0)</f>
        <v>2.1205320182891647</v>
      </c>
      <c r="V26" s="133">
        <f>IFERROR(((S26*1.1)+(T26))/R26,0)</f>
        <v>1.617273754727478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334</v>
      </c>
      <c r="D27" s="147"/>
      <c r="E27" s="159">
        <f>F27*(H27/$H$68)</f>
        <v>1.4548608205532166E-3</v>
      </c>
      <c r="F27" s="144">
        <f>'CBA {E}'!A$16</f>
        <v>5</v>
      </c>
      <c r="G27" s="160" t="s">
        <v>380</v>
      </c>
      <c r="H27" s="258">
        <f>'CBA {E}'!A$10</f>
        <v>49410</v>
      </c>
      <c r="I27" s="259">
        <f>'CBA {E}'!A$8</f>
        <v>42645</v>
      </c>
      <c r="J27" s="259">
        <f>'CBA {E}'!A$12</f>
        <v>0</v>
      </c>
      <c r="K27" s="259">
        <f>'CBA {E}'!A$14</f>
        <v>0</v>
      </c>
      <c r="L27" s="259">
        <f>SUM('CBA {E}'!Q$5:Q$1000)</f>
        <v>0</v>
      </c>
      <c r="M27" s="259"/>
      <c r="N27" s="260">
        <f>'CBA {E}'!A$18</f>
        <v>42645</v>
      </c>
      <c r="O27" s="259">
        <f>'CBA {E}'!A$20</f>
        <v>42645</v>
      </c>
      <c r="P27" s="259">
        <f>SUM('CBA {E}'!R$5:R$1000)</f>
        <v>0</v>
      </c>
      <c r="Q27" s="261">
        <f t="shared" si="14"/>
        <v>39866.317659156768</v>
      </c>
      <c r="R27" s="261">
        <f t="shared" si="14"/>
        <v>39866.317659156768</v>
      </c>
      <c r="S27" s="259">
        <f>SUM('CBA {E}'!AM$5:AM$1000)</f>
        <v>17692.346650010979</v>
      </c>
      <c r="T27" s="259">
        <f>SUM('CBA {E}'!AD$5:AD$1000)</f>
        <v>0</v>
      </c>
      <c r="U27" s="133">
        <f>IFERROR(S27/Q27,0)</f>
        <v>0.44379184456599241</v>
      </c>
      <c r="V27" s="133">
        <f>IFERROR(((S27*1.1)+(T27))/R27,0)</f>
        <v>0.48817102902259168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129</v>
      </c>
      <c r="C28" s="147" t="s">
        <v>400</v>
      </c>
      <c r="D28" s="147"/>
      <c r="E28" s="159">
        <f>F28*(H28/$H$68)</f>
        <v>0.56278804830166984</v>
      </c>
      <c r="F28" s="144">
        <f>'CI New Construction {E}'!A$16</f>
        <v>10.546316489241368</v>
      </c>
      <c r="G28" s="160" t="s">
        <v>380</v>
      </c>
      <c r="H28" s="258">
        <f>'CI New Construction {E}'!A$10</f>
        <v>9061654</v>
      </c>
      <c r="I28" s="259">
        <f>'CI New Construction {E}'!A$8</f>
        <v>303338.80000000005</v>
      </c>
      <c r="J28" s="259">
        <f>'CI New Construction {E}'!A$12</f>
        <v>1882382.8</v>
      </c>
      <c r="K28" s="259">
        <f>'CI New Construction {E}'!A$14</f>
        <v>673138.02</v>
      </c>
      <c r="L28" s="259">
        <f>SUM('CI New Construction {E}'!Q$5:Q$1000)</f>
        <v>2555520.8200000003</v>
      </c>
      <c r="M28" s="259"/>
      <c r="N28" s="260">
        <f>'CI New Construction {E}'!A$18</f>
        <v>2185721.6</v>
      </c>
      <c r="O28" s="259">
        <f>'CI New Construction {E}'!A$20</f>
        <v>2858859.62</v>
      </c>
      <c r="P28" s="259">
        <f>SUM('CI New Construction {E}'!R$5:R$1000)</f>
        <v>0</v>
      </c>
      <c r="Q28" s="261">
        <f t="shared" si="10"/>
        <v>2043303.3560811442</v>
      </c>
      <c r="R28" s="261">
        <f t="shared" si="11"/>
        <v>2672580.742264186</v>
      </c>
      <c r="S28" s="259">
        <f>SUM('CI New Construction {E}'!AM$5:AM$1000)</f>
        <v>6789724.1728120344</v>
      </c>
      <c r="T28" s="259">
        <f>SUM('CI New Construction {E}'!AD$5:AD$1000)</f>
        <v>0</v>
      </c>
      <c r="U28" s="133">
        <f t="shared" si="12"/>
        <v>3.3229153921785066</v>
      </c>
      <c r="V28" s="133">
        <f t="shared" si="13"/>
        <v>2.7945634988620873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136</v>
      </c>
      <c r="C29" s="162" t="s">
        <v>401</v>
      </c>
      <c r="D29" s="162"/>
      <c r="E29" s="159"/>
      <c r="F29" s="144">
        <f>'Com SEM {E}'!A$16</f>
        <v>3</v>
      </c>
      <c r="G29" s="160" t="s">
        <v>380</v>
      </c>
      <c r="H29" s="258">
        <f>'Com SEM {E}'!A$10</f>
        <v>6595843</v>
      </c>
      <c r="I29" s="259">
        <f>'Com SEM {E}'!A$8</f>
        <v>850910.56</v>
      </c>
      <c r="J29" s="259">
        <f>'Com SEM {E}'!A$12</f>
        <v>388417</v>
      </c>
      <c r="K29" s="259">
        <f>'Com SEM {E}'!A$14</f>
        <v>126257</v>
      </c>
      <c r="L29" s="259">
        <f>SUM('Com SEM {E}'!Q$5:Q$995)</f>
        <v>514674</v>
      </c>
      <c r="M29" s="259"/>
      <c r="N29" s="260">
        <f>'Com SEM {E}'!A$18</f>
        <v>1239327.56</v>
      </c>
      <c r="O29" s="259">
        <f>'Com SEM {E}'!A$20</f>
        <v>1365584.56</v>
      </c>
      <c r="P29" s="259">
        <f>SUM('Com SEM {E}'!R$5:R$995)</f>
        <v>0</v>
      </c>
      <c r="Q29" s="261">
        <f>N29/(1+ElecDiscountRate)^1</f>
        <v>1158574.8901561184</v>
      </c>
      <c r="R29" s="261">
        <f>O29/(1+ElecDiscountRate)^1</f>
        <v>1276605.1790221557</v>
      </c>
      <c r="S29" s="259">
        <f>SUM('Com SEM {E}'!AM$5:AM$995)</f>
        <v>1455607.2669271596</v>
      </c>
      <c r="T29" s="259">
        <f>SUM('Com SEM {E}'!AD$5:AD$995)</f>
        <v>0</v>
      </c>
      <c r="U29" s="133">
        <f t="shared" si="12"/>
        <v>1.2563773643765195</v>
      </c>
      <c r="V29" s="133">
        <f t="shared" si="13"/>
        <v>1.2542389925492283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402</v>
      </c>
      <c r="D30" s="162"/>
      <c r="E30" s="159"/>
      <c r="F30" s="144">
        <f>'P4P {E}'!A$16</f>
        <v>14</v>
      </c>
      <c r="G30" s="160" t="s">
        <v>380</v>
      </c>
      <c r="H30" s="258">
        <f>'P4P {E}'!A$10</f>
        <v>80136</v>
      </c>
      <c r="I30" s="259">
        <f>'P4P {E}'!A$8</f>
        <v>9575.2799999999988</v>
      </c>
      <c r="J30" s="259">
        <f>'P4P {E}'!A$12</f>
        <v>28048</v>
      </c>
      <c r="K30" s="259">
        <f>'P4P {E}'!A$14</f>
        <v>36462</v>
      </c>
      <c r="L30" s="259">
        <f>SUM('P4P {E}'!Q$5:Q$1000)</f>
        <v>64510</v>
      </c>
      <c r="M30" s="259"/>
      <c r="N30" s="260">
        <f>'P4P {E}'!A$18</f>
        <v>37623.279999999999</v>
      </c>
      <c r="O30" s="259">
        <f>'P4P {E}'!A$20</f>
        <v>74085.279999999999</v>
      </c>
      <c r="P30" s="259">
        <f>SUM('P4P {E}'!R$5:R$1000)</f>
        <v>0</v>
      </c>
      <c r="Q30" s="261">
        <f>N30/(1+ElecDiscountRate)^1</f>
        <v>35171.805179022151</v>
      </c>
      <c r="R30" s="261">
        <f>O30/(1+ElecDiscountRate)^1</f>
        <v>69257.997569411978</v>
      </c>
      <c r="S30" s="259">
        <f>SUM('P4P {E}'!AM$5:AM$1000)</f>
        <v>77737.371106511913</v>
      </c>
      <c r="T30" s="259">
        <f>SUM('P4P {E}'!AD$5:AD$1000)</f>
        <v>0</v>
      </c>
      <c r="U30" s="133">
        <f t="shared" si="12"/>
        <v>2.210218403941278</v>
      </c>
      <c r="V30" s="133">
        <f t="shared" si="13"/>
        <v>1.2346748565963359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133</v>
      </c>
      <c r="C31" s="163" t="s">
        <v>403</v>
      </c>
      <c r="D31" s="163"/>
      <c r="E31" s="159">
        <f>F31*(H31/$H$68)</f>
        <v>0.62578604818374717</v>
      </c>
      <c r="F31" s="144">
        <f>'LPU 449 {E}'!A$16</f>
        <v>14.215213850717516</v>
      </c>
      <c r="G31" s="160" t="s">
        <v>380</v>
      </c>
      <c r="H31" s="258">
        <f>'LPU 449 {E}'!A$10</f>
        <v>7475425</v>
      </c>
      <c r="I31" s="259">
        <f>'LPU 449 {E}'!A$8</f>
        <v>251049.39999999991</v>
      </c>
      <c r="J31" s="259">
        <f>'LPU 449 {E}'!A$12</f>
        <v>2973641.4499999997</v>
      </c>
      <c r="K31" s="259">
        <f>'LPU 449 {E}'!A$14</f>
        <v>3854331.24</v>
      </c>
      <c r="L31" s="259">
        <f>SUM('LPU 449 {E}'!Q$5:Q$1000)</f>
        <v>6827972.6900000004</v>
      </c>
      <c r="M31" s="259"/>
      <c r="N31" s="260">
        <f>'LPU 449 {E}'!A$18</f>
        <v>3559423.39</v>
      </c>
      <c r="O31" s="259">
        <f>'LPU 449 {E}'!A$20</f>
        <v>7079022.0899999999</v>
      </c>
      <c r="P31" s="259">
        <f>SUM('LPU 449 {E}'!R$5:R$1000)</f>
        <v>0</v>
      </c>
      <c r="Q31" s="261">
        <f t="shared" si="10"/>
        <v>3327496.8589324108</v>
      </c>
      <c r="R31" s="261">
        <f t="shared" si="11"/>
        <v>6617763.9431616338</v>
      </c>
      <c r="S31" s="259">
        <f>SUM('LPU 449 {E}'!AM$5:AM$1000)</f>
        <v>7104419.6514067622</v>
      </c>
      <c r="T31" s="259">
        <f>SUM('LPU 449 {E}'!AD$5:AD$1000)</f>
        <v>0</v>
      </c>
      <c r="U31" s="133">
        <f t="shared" si="12"/>
        <v>2.1350642698085474</v>
      </c>
      <c r="V31" s="133">
        <f t="shared" si="13"/>
        <v>1.1808915645325802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404</v>
      </c>
      <c r="D32" s="163"/>
      <c r="E32" s="159"/>
      <c r="F32" s="144">
        <f>'LPU Non-449 {E}'!A$16</f>
        <v>13.528016044665428</v>
      </c>
      <c r="G32" s="160" t="s">
        <v>380</v>
      </c>
      <c r="H32" s="258">
        <f>'LPU Non-449 {E}'!A$10</f>
        <v>5521586</v>
      </c>
      <c r="I32" s="259">
        <f>'LPU Non-449 {E}'!A$8</f>
        <v>202818.05000000005</v>
      </c>
      <c r="J32" s="259">
        <f>'LPU Non-449 {E}'!A$12</f>
        <v>1524849.43</v>
      </c>
      <c r="K32" s="259">
        <f>'LPU Non-449 {E}'!A$14</f>
        <v>498022</v>
      </c>
      <c r="L32" s="259">
        <f>SUM('LPU Non-449 {E}'!Q$5:Q$1000)</f>
        <v>2022871.43</v>
      </c>
      <c r="M32" s="259"/>
      <c r="N32" s="260">
        <f>'LPU Non-449 {E}'!A$18</f>
        <v>1998091.55</v>
      </c>
      <c r="O32" s="259">
        <f>'LPU Non-449 {E}'!A$20</f>
        <v>2225689.48</v>
      </c>
      <c r="P32" s="259">
        <f>SUM('LPU Non-449 {E}'!R$5:R$1000)</f>
        <v>0</v>
      </c>
      <c r="Q32" s="261">
        <f t="shared" si="10"/>
        <v>1867898.990371132</v>
      </c>
      <c r="R32" s="261">
        <f t="shared" si="11"/>
        <v>2080666.9907450685</v>
      </c>
      <c r="S32" s="259">
        <f>SUM('LPU Non-449 {E}'!AM$5:AM$1000)</f>
        <v>5114749.3770999042</v>
      </c>
      <c r="T32" s="259">
        <f>SUM('LPU Non-449 {E}'!AD$5:AD$1000)</f>
        <v>0</v>
      </c>
      <c r="U32" s="133">
        <f t="shared" si="12"/>
        <v>2.7382365981597627</v>
      </c>
      <c r="V32" s="133">
        <f t="shared" si="13"/>
        <v>2.704048432466934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>
      <c r="A33" s="134"/>
      <c r="B33" s="130" t="s">
        <v>70</v>
      </c>
      <c r="C33" s="509" t="s">
        <v>405</v>
      </c>
      <c r="D33" s="164"/>
      <c r="E33" s="165">
        <f>F33*(H33/$H$68)</f>
        <v>0</v>
      </c>
      <c r="F33" s="140"/>
      <c r="G33" s="141"/>
      <c r="H33" s="262">
        <f t="shared" ref="H33:O33" si="15">SUM(H34:H38)</f>
        <v>31979914.150000013</v>
      </c>
      <c r="I33" s="262">
        <f t="shared" si="15"/>
        <v>1969119.6099999994</v>
      </c>
      <c r="J33" s="262">
        <f t="shared" si="15"/>
        <v>7771542.3699999992</v>
      </c>
      <c r="K33" s="262">
        <f t="shared" si="15"/>
        <v>1331408.68</v>
      </c>
      <c r="L33" s="262">
        <f t="shared" si="15"/>
        <v>9102951.0499999989</v>
      </c>
      <c r="M33" s="262">
        <f t="shared" si="15"/>
        <v>0</v>
      </c>
      <c r="N33" s="262">
        <f t="shared" si="15"/>
        <v>10531755.85</v>
      </c>
      <c r="O33" s="262">
        <f t="shared" si="15"/>
        <v>11072070.659999998</v>
      </c>
      <c r="P33" s="262">
        <f>SUM(P34:P38)</f>
        <v>49773.120000000003</v>
      </c>
      <c r="Q33" s="263">
        <f t="shared" si="10"/>
        <v>9845522.9036178347</v>
      </c>
      <c r="R33" s="263">
        <f t="shared" si="11"/>
        <v>10350631.635037858</v>
      </c>
      <c r="S33" s="262">
        <f>SUM(S34:S38)</f>
        <v>29452458.561937496</v>
      </c>
      <c r="T33" s="262">
        <f>SUM(T34:T38)</f>
        <v>798079.46039596619</v>
      </c>
      <c r="U33" s="142">
        <f>S33/Q33</f>
        <v>2.9914570155654099</v>
      </c>
      <c r="V33" s="142">
        <f>((S33*1.1)+(T33))/R33</f>
        <v>3.2071263908336158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70</v>
      </c>
      <c r="C34" s="143" t="s">
        <v>406</v>
      </c>
      <c r="D34" s="143"/>
      <c r="E34" s="166"/>
      <c r="F34" s="144">
        <f>'Lighting to Go {E}'!A$16</f>
        <v>12.134488081824781</v>
      </c>
      <c r="G34" s="145"/>
      <c r="H34" s="258">
        <f>'Lighting to Go {E}'!A$10</f>
        <v>14889787.800000012</v>
      </c>
      <c r="I34" s="259">
        <f>'Lighting to Go {E}'!A$8</f>
        <v>392612.91999999993</v>
      </c>
      <c r="J34" s="259">
        <f>'Lighting to Go {E}'!A$12</f>
        <v>1315131.1400000001</v>
      </c>
      <c r="K34" s="259">
        <f>'Lighting to Go {E}'!A$14</f>
        <v>985543.97</v>
      </c>
      <c r="L34" s="259">
        <f>SUM('Lighting to Go {E}'!Q$5:Q$999)</f>
        <v>2300675.11</v>
      </c>
      <c r="M34" s="259"/>
      <c r="N34" s="260">
        <f>'Lighting to Go {E}'!A$18</f>
        <v>2209676.86</v>
      </c>
      <c r="O34" s="259">
        <f>'Lighting to Go {E}'!A$20</f>
        <v>2693288.03</v>
      </c>
      <c r="P34" s="259">
        <f>SUM('Lighting to Go {E}'!R$5:R$999)</f>
        <v>0</v>
      </c>
      <c r="Q34" s="261">
        <f t="shared" si="10"/>
        <v>2065697.7283350469</v>
      </c>
      <c r="R34" s="261">
        <f t="shared" si="11"/>
        <v>2517797.5413667378</v>
      </c>
      <c r="S34" s="259">
        <f>SUM('Lighting to Go {E}'!AM$5:AM$999)</f>
        <v>12988571.716811474</v>
      </c>
      <c r="T34" s="259">
        <f>SUM('Lighting to Go {E}'!AD$5:AD$999)</f>
        <v>0</v>
      </c>
      <c r="U34" s="133">
        <f t="shared" ref="U34:U39" si="16">IFERROR(S34/Q34,0)</f>
        <v>6.2877407176510127</v>
      </c>
      <c r="V34" s="133">
        <f t="shared" ref="V34:V39" si="17">IFERROR(((S34*1.1)+(T34))/R34,0)</f>
        <v>5.6745741679996113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407</v>
      </c>
      <c r="D35" s="143"/>
      <c r="E35" s="159"/>
      <c r="F35" s="144">
        <f>'Commercial Kitchen Laundry {E}'!A$16</f>
        <v>12.785051678330255</v>
      </c>
      <c r="G35" s="160" t="s">
        <v>380</v>
      </c>
      <c r="H35" s="258">
        <f>'Commercial Kitchen Laundry {E}'!A$10</f>
        <v>505663.58999999997</v>
      </c>
      <c r="I35" s="259">
        <f>'Commercial Kitchen Laundry {E}'!A$8</f>
        <v>66502.37</v>
      </c>
      <c r="J35" s="259">
        <f>'Commercial Kitchen Laundry {E}'!A$12</f>
        <v>87875</v>
      </c>
      <c r="K35" s="259">
        <f>'Commercial Kitchen Laundry {E}'!A$14</f>
        <v>13597.800000000001</v>
      </c>
      <c r="L35" s="259">
        <f>SUM('Commercial Kitchen Laundry {E}'!Q$5:Q$971)</f>
        <v>101472.8</v>
      </c>
      <c r="M35" s="259"/>
      <c r="N35" s="260">
        <f>'Commercial Kitchen Laundry {E}'!A$18</f>
        <v>215523.56</v>
      </c>
      <c r="O35" s="259">
        <f>'Commercial Kitchen Laundry {E}'!A$20</f>
        <v>167975.16999999998</v>
      </c>
      <c r="P35" s="259">
        <f>SUM('Commercial Kitchen Laundry {E}'!R$5:R$971)</f>
        <v>49271.82</v>
      </c>
      <c r="Q35" s="261">
        <f t="shared" si="10"/>
        <v>201480.37767598391</v>
      </c>
      <c r="R35" s="261">
        <f t="shared" si="11"/>
        <v>157030.1673366364</v>
      </c>
      <c r="S35" s="259">
        <f>SUM('Commercial Kitchen Laundry {E}'!AM$5:AM$971)</f>
        <v>440553.25024105608</v>
      </c>
      <c r="T35" s="259">
        <f>SUM('Commercial Kitchen Laundry {E}'!AD$5:AD$971)</f>
        <v>794480.04961261526</v>
      </c>
      <c r="U35" s="133">
        <f t="shared" si="16"/>
        <v>2.1865814196037672</v>
      </c>
      <c r="V35" s="133">
        <f t="shared" si="17"/>
        <v>8.1454961589368136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408</v>
      </c>
      <c r="D36" s="143"/>
      <c r="E36" s="159"/>
      <c r="F36" s="144">
        <f>'Commercial HVAC {E}'!A$16</f>
        <v>14.859803834102109</v>
      </c>
      <c r="G36" s="160" t="s">
        <v>380</v>
      </c>
      <c r="H36" s="258">
        <f>'Commercial HVAC {E}'!A$10</f>
        <v>1099468.3700000001</v>
      </c>
      <c r="I36" s="259">
        <f>'Commercial HVAC {E}'!A$8</f>
        <v>57871.989999999991</v>
      </c>
      <c r="J36" s="259">
        <f>'Commercial HVAC {E}'!A$12</f>
        <v>191592.87</v>
      </c>
      <c r="K36" s="259">
        <f>'Commercial HVAC {E}'!A$14</f>
        <v>371240.10000000003</v>
      </c>
      <c r="L36" s="259">
        <f>SUM('Commercial HVAC {E}'!Q$5:Q$1000)</f>
        <v>562832.97</v>
      </c>
      <c r="M36" s="259"/>
      <c r="N36" s="260">
        <f>'Commercial HVAC {E}'!A$18</f>
        <v>249464.86</v>
      </c>
      <c r="O36" s="259">
        <f>'Commercial HVAC {E}'!A$20</f>
        <v>620704.96</v>
      </c>
      <c r="P36" s="259">
        <f>SUM('Commercial HVAC {E}'!R$5:R$1000)</f>
        <v>0</v>
      </c>
      <c r="Q36" s="261">
        <f t="shared" si="10"/>
        <v>233210.11498550992</v>
      </c>
      <c r="R36" s="261">
        <f t="shared" si="11"/>
        <v>580260.78339721414</v>
      </c>
      <c r="S36" s="259">
        <f>SUM('Commercial HVAC {E}'!AM$5:AM$1000)</f>
        <v>1159252.0194760449</v>
      </c>
      <c r="T36" s="259">
        <f>SUM('Commercial HVAC {E}'!AD$5:AD$1000)</f>
        <v>0</v>
      </c>
      <c r="U36" s="133">
        <f t="shared" si="16"/>
        <v>4.9708479391988334</v>
      </c>
      <c r="V36" s="133">
        <f t="shared" si="17"/>
        <v>2.1975933199516851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409</v>
      </c>
      <c r="D37" s="143"/>
      <c r="E37" s="159"/>
      <c r="F37" s="144">
        <f>'Commercial Midstream {E}'!A$16</f>
        <v>14.890222387481112</v>
      </c>
      <c r="G37" s="160" t="s">
        <v>380</v>
      </c>
      <c r="H37" s="258">
        <f>'Commercial Midstream {E}'!A$10</f>
        <v>379203</v>
      </c>
      <c r="I37" s="259">
        <f>'Commercial Midstream {E}'!A$8</f>
        <v>87072.849999999977</v>
      </c>
      <c r="J37" s="259">
        <f>'Commercial Midstream {E}'!A$12</f>
        <v>224435.5</v>
      </c>
      <c r="K37" s="259">
        <f>'Commercial Midstream {E}'!A$14</f>
        <v>166801.45000000001</v>
      </c>
      <c r="L37" s="259">
        <f>SUM('Commercial Midstream {E}'!Q$5:Q$1000)</f>
        <v>391236.95000000013</v>
      </c>
      <c r="M37" s="259"/>
      <c r="N37" s="260">
        <f>'Commercial Midstream {E}'!A$18</f>
        <v>388874.47</v>
      </c>
      <c r="O37" s="259">
        <f>'Commercial Midstream {E}'!A$20</f>
        <v>478309.8000000001</v>
      </c>
      <c r="P37" s="259">
        <f>SUM('Commercial Midstream {E}'!R$5:R$1000)</f>
        <v>0</v>
      </c>
      <c r="Q37" s="261">
        <f t="shared" si="10"/>
        <v>363536.01009628864</v>
      </c>
      <c r="R37" s="261">
        <f t="shared" si="11"/>
        <v>447143.8721136768</v>
      </c>
      <c r="S37" s="259">
        <f>SUM('Commercial Midstream {E}'!AM$5:AM$1000)</f>
        <v>516505.96276233625</v>
      </c>
      <c r="T37" s="259">
        <f>SUM('Commercial Midstream {E}'!AD$5:AD$1000)</f>
        <v>0</v>
      </c>
      <c r="U37" s="133">
        <f t="shared" si="16"/>
        <v>1.4207834943931166</v>
      </c>
      <c r="V37" s="133">
        <f t="shared" si="17"/>
        <v>1.2706347877537909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410</v>
      </c>
      <c r="D38" s="143"/>
      <c r="E38" s="159"/>
      <c r="F38" s="144">
        <f>'SBDI {E}'!A$16</f>
        <v>13.335489971968956</v>
      </c>
      <c r="G38" s="160" t="s">
        <v>380</v>
      </c>
      <c r="H38" s="258">
        <f>'SBDI {E}'!A$10</f>
        <v>15105791.390000002</v>
      </c>
      <c r="I38" s="259">
        <f>'SBDI {E}'!A$8</f>
        <v>1365059.4799999995</v>
      </c>
      <c r="J38" s="259">
        <f>'SBDI {E}'!A$12</f>
        <v>5952507.8599999994</v>
      </c>
      <c r="K38" s="259">
        <f>'SBDI {E}'!A$14</f>
        <v>-205774.6400000001</v>
      </c>
      <c r="L38" s="259">
        <f>SUM('SBDI {E}'!Q$5:Q$996)</f>
        <v>5746733.2199999988</v>
      </c>
      <c r="M38" s="259"/>
      <c r="N38" s="260">
        <f>'SBDI {E}'!A$18</f>
        <v>7468216.0999999996</v>
      </c>
      <c r="O38" s="259">
        <f>'SBDI {E}'!A$20</f>
        <v>7111792.6999999983</v>
      </c>
      <c r="P38" s="259">
        <f>SUM('SBDI {E}'!R$5:R$996)</f>
        <v>501.3</v>
      </c>
      <c r="Q38" s="261">
        <f t="shared" si="10"/>
        <v>6981598.6725250063</v>
      </c>
      <c r="R38" s="261">
        <f t="shared" si="11"/>
        <v>6648399.2708235933</v>
      </c>
      <c r="S38" s="259">
        <f>SUM('SBDI {E}'!AM$5:AM$996)</f>
        <v>14347575.612646583</v>
      </c>
      <c r="T38" s="259">
        <f>SUM('SBDI {E}'!AD$5:AD$996)</f>
        <v>3599.4107833509206</v>
      </c>
      <c r="U38" s="133">
        <f t="shared" si="16"/>
        <v>2.0550559099177717</v>
      </c>
      <c r="V38" s="133">
        <f t="shared" si="17"/>
        <v>2.3743959924264684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411</v>
      </c>
      <c r="D39" s="143"/>
      <c r="E39" s="159"/>
      <c r="F39" s="144">
        <f>'Lodging Rebates {E}'!A$16</f>
        <v>12.484570271533492</v>
      </c>
      <c r="G39" s="160" t="s">
        <v>380</v>
      </c>
      <c r="H39" s="258">
        <f>'Lodging Rebates {E}'!A$10</f>
        <v>605487</v>
      </c>
      <c r="I39" s="259">
        <f>'Lodging Rebates {E}'!A$8</f>
        <v>473.45999999996275</v>
      </c>
      <c r="J39" s="259">
        <f>'Lodging Rebates {E}'!A$12</f>
        <v>600902.76</v>
      </c>
      <c r="K39" s="259">
        <f>'Lodging Rebates {E}'!A$14</f>
        <v>23622.559999999998</v>
      </c>
      <c r="L39" s="259">
        <f>SUM('Lodging Rebates {E}'!Q$5:Q$998)</f>
        <v>624525.32000000007</v>
      </c>
      <c r="M39" s="259"/>
      <c r="N39" s="260">
        <f>'Lodging Rebates {E}'!A$18</f>
        <v>601376.22</v>
      </c>
      <c r="O39" s="259">
        <f>'Lodging Rebates {E}'!A$20</f>
        <v>624998.78</v>
      </c>
      <c r="P39" s="259">
        <f>SUM('Lodging Rebates {E}'!R$5:R$998)</f>
        <v>0</v>
      </c>
      <c r="Q39" s="261">
        <f>N39/(1+ElecDiscountRate)^1</f>
        <v>562191.47424511542</v>
      </c>
      <c r="R39" s="261">
        <f>O39/(1+ElecDiscountRate)^1</f>
        <v>584274.82471721037</v>
      </c>
      <c r="S39" s="259">
        <f>SUM('Lodging Rebates {E}'!AM$5:AM$998)</f>
        <v>711335.02077273466</v>
      </c>
      <c r="T39" s="259">
        <f>SUM('Lodging Rebates {E}'!AD$5:AD$998)</f>
        <v>0</v>
      </c>
      <c r="U39" s="133">
        <f t="shared" si="16"/>
        <v>1.265289591465047</v>
      </c>
      <c r="V39" s="133">
        <f t="shared" si="17"/>
        <v>1.3392131403722962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>
      <c r="A40" s="134"/>
      <c r="B40" s="149" t="s">
        <v>412</v>
      </c>
      <c r="C40" s="149"/>
      <c r="D40" s="149"/>
      <c r="E40" s="150"/>
      <c r="F40" s="151"/>
      <c r="G40" s="152"/>
      <c r="H40" s="153">
        <f t="shared" ref="H40:O40" si="18">SUM(H24:H32,H34:H39)</f>
        <v>118895910.65000002</v>
      </c>
      <c r="I40" s="153">
        <f t="shared" si="18"/>
        <v>7349549.1999999993</v>
      </c>
      <c r="J40" s="153">
        <f t="shared" si="18"/>
        <v>30000331.140000004</v>
      </c>
      <c r="K40" s="153">
        <f t="shared" si="18"/>
        <v>26103482.809999999</v>
      </c>
      <c r="L40" s="153">
        <f t="shared" si="18"/>
        <v>56103813.949999996</v>
      </c>
      <c r="M40" s="153">
        <f t="shared" si="18"/>
        <v>0</v>
      </c>
      <c r="N40" s="153">
        <f t="shared" si="18"/>
        <v>38930805.799999997</v>
      </c>
      <c r="O40" s="153">
        <f t="shared" si="18"/>
        <v>63453363.149999999</v>
      </c>
      <c r="P40" s="153">
        <f>SUM(P24:P32,P34:P39)</f>
        <v>49773.120000000003</v>
      </c>
      <c r="Q40" s="167">
        <f t="shared" si="10"/>
        <v>36394134.617182381</v>
      </c>
      <c r="R40" s="167">
        <f t="shared" si="11"/>
        <v>59318840.001869678</v>
      </c>
      <c r="S40" s="153">
        <f>SUM(S24:S32,S34:S39)</f>
        <v>108731559.40153196</v>
      </c>
      <c r="T40" s="153">
        <f>SUM(T24:T32,T34:T39)</f>
        <v>798079.46039596619</v>
      </c>
      <c r="U40" s="168">
        <f>S40/Q40</f>
        <v>2.9876121673242828</v>
      </c>
      <c r="V40" s="168">
        <f>((S40*1.1)+(T40))/R40</f>
        <v>2.0297563943982411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156" customFormat="1">
      <c r="A41" s="148"/>
      <c r="B41" s="130" t="s">
        <v>413</v>
      </c>
      <c r="C41" s="147" t="s">
        <v>414</v>
      </c>
      <c r="D41" s="106"/>
      <c r="E41" s="169">
        <f>F41*(H41/$H$68)</f>
        <v>0</v>
      </c>
      <c r="F41" s="170">
        <v>0</v>
      </c>
      <c r="G41" s="160" t="s">
        <v>380</v>
      </c>
      <c r="H41" s="265">
        <f>'Residential Pilots {E}'!A10</f>
        <v>0</v>
      </c>
      <c r="I41" s="265">
        <f>'Residential Pilots {E}'!A$8</f>
        <v>338818.27</v>
      </c>
      <c r="J41" s="265">
        <f>'Residential Pilots {E}'!A$12</f>
        <v>0</v>
      </c>
      <c r="K41" s="265">
        <f>'Residential Pilots {E}'!A$14</f>
        <v>0</v>
      </c>
      <c r="L41" s="265">
        <f>SUM('Residential Pilots {E}'!Q$5:Q$997)</f>
        <v>0</v>
      </c>
      <c r="M41" s="171"/>
      <c r="N41" s="260">
        <f>'Residential Pilots {E}'!A$18</f>
        <v>338818.27</v>
      </c>
      <c r="O41" s="259">
        <f>'Residential Pilots {E}'!A$20</f>
        <v>338818.27</v>
      </c>
      <c r="P41" s="259">
        <f>SUM('Residential Pilots {E}'!R$5:R$999)</f>
        <v>0</v>
      </c>
      <c r="Q41" s="266">
        <f t="shared" si="10"/>
        <v>316741.39478358417</v>
      </c>
      <c r="R41" s="266">
        <f t="shared" si="11"/>
        <v>316741.39478358417</v>
      </c>
      <c r="S41" s="259">
        <f>SUM('Residential Pilots {E}'!AM$5:AM$999)</f>
        <v>0</v>
      </c>
      <c r="T41" s="259">
        <f>SUM('Residential Pilots {E}'!AD$5:AD$999)</f>
        <v>0</v>
      </c>
      <c r="U41" s="133">
        <f>IFERROR(S41/Q41,0)</f>
        <v>0</v>
      </c>
      <c r="V41" s="133">
        <f>IFERROR(((S41*1.1)+(T41))/R41,0)</f>
        <v>0</v>
      </c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/>
      <c r="FJ41" s="155"/>
      <c r="FK41" s="155"/>
      <c r="FL41" s="155"/>
      <c r="FM41" s="155"/>
      <c r="FN41" s="155"/>
      <c r="FO41" s="155"/>
      <c r="FP41" s="155"/>
      <c r="FQ41" s="155"/>
      <c r="FR41" s="155"/>
      <c r="FS41" s="155"/>
      <c r="FT41" s="155"/>
      <c r="FU41" s="155"/>
      <c r="FV41" s="155"/>
      <c r="FW41" s="155"/>
      <c r="FX41" s="155"/>
      <c r="FY41" s="155"/>
      <c r="FZ41" s="155"/>
      <c r="GA41" s="155"/>
      <c r="GB41" s="155"/>
      <c r="GC41" s="155"/>
      <c r="GD41" s="155"/>
      <c r="GE41" s="155"/>
      <c r="GF41" s="155"/>
      <c r="GG41" s="155"/>
      <c r="GH41" s="155"/>
      <c r="GI41" s="155"/>
      <c r="GJ41" s="155"/>
      <c r="GK41" s="155"/>
      <c r="GL41" s="155"/>
      <c r="GM41" s="155"/>
      <c r="GN41" s="155"/>
      <c r="GO41" s="155"/>
      <c r="GP41" s="155"/>
      <c r="GQ41" s="155"/>
      <c r="GR41" s="155"/>
      <c r="GS41" s="155"/>
      <c r="GT41" s="155"/>
      <c r="GU41" s="155"/>
      <c r="GV41" s="155"/>
      <c r="GW41" s="155"/>
      <c r="GX41" s="155"/>
      <c r="GY41" s="155"/>
      <c r="GZ41" s="155"/>
      <c r="HA41" s="155"/>
      <c r="HB41" s="155"/>
      <c r="HC41" s="155"/>
      <c r="HD41" s="155"/>
      <c r="HE41" s="155"/>
      <c r="HF41" s="155"/>
      <c r="HG41" s="155"/>
      <c r="HH41" s="155"/>
      <c r="HI41" s="155"/>
      <c r="HJ41" s="155"/>
      <c r="HK41" s="155"/>
      <c r="HL41" s="155"/>
      <c r="HM41" s="155"/>
      <c r="HN41" s="155"/>
      <c r="HO41" s="155"/>
      <c r="HP41" s="155"/>
      <c r="HQ41" s="155"/>
      <c r="HR41" s="155"/>
      <c r="HS41" s="155"/>
      <c r="HT41" s="155"/>
      <c r="HU41" s="155"/>
      <c r="HV41" s="155"/>
      <c r="HW41" s="155"/>
      <c r="HX41" s="155"/>
      <c r="HY41" s="155"/>
      <c r="HZ41" s="155"/>
      <c r="IA41" s="155"/>
      <c r="IB41" s="155"/>
      <c r="IC41" s="155"/>
      <c r="ID41" s="155"/>
      <c r="IE41" s="155"/>
      <c r="IF41" s="155"/>
      <c r="IG41" s="155"/>
      <c r="IH41" s="155"/>
      <c r="II41" s="155"/>
      <c r="IJ41" s="155"/>
      <c r="IK41" s="155"/>
      <c r="IL41" s="155"/>
      <c r="IM41" s="155"/>
      <c r="IN41" s="155"/>
      <c r="IO41" s="155"/>
      <c r="IP41" s="155"/>
      <c r="IQ41" s="155"/>
      <c r="IR41" s="155"/>
      <c r="IS41" s="155"/>
      <c r="IT41" s="155"/>
      <c r="IU41" s="155"/>
      <c r="IV41" s="155"/>
      <c r="IW41" s="155"/>
      <c r="IX41" s="155"/>
      <c r="IY41" s="155"/>
      <c r="IZ41" s="155"/>
      <c r="JA41" s="155"/>
      <c r="JB41" s="155"/>
      <c r="JC41" s="155"/>
      <c r="JD41" s="155"/>
      <c r="JE41" s="155"/>
      <c r="JF41" s="155"/>
      <c r="JG41" s="155"/>
      <c r="JH41" s="155"/>
      <c r="JI41" s="155"/>
      <c r="JJ41" s="155"/>
      <c r="JK41" s="155"/>
      <c r="JL41" s="155"/>
      <c r="JM41" s="155"/>
      <c r="JN41" s="155"/>
      <c r="JO41" s="155"/>
      <c r="JP41" s="155"/>
      <c r="JQ41" s="155"/>
      <c r="JR41" s="155"/>
      <c r="JS41" s="155"/>
      <c r="JT41" s="155"/>
      <c r="JU41" s="155"/>
      <c r="JV41" s="155"/>
      <c r="JW41" s="155"/>
      <c r="JX41" s="155"/>
      <c r="JY41" s="155"/>
      <c r="JZ41" s="155"/>
      <c r="KA41" s="155"/>
      <c r="KB41" s="155"/>
      <c r="KC41" s="155"/>
      <c r="KD41" s="155"/>
      <c r="KE41" s="155"/>
      <c r="KF41" s="155"/>
      <c r="KG41" s="155"/>
      <c r="KH41" s="155"/>
      <c r="KI41" s="155"/>
      <c r="KJ41" s="155"/>
      <c r="KK41" s="155"/>
      <c r="KL41" s="155"/>
      <c r="KM41" s="155"/>
      <c r="KN41" s="155"/>
      <c r="KO41" s="155"/>
      <c r="KP41" s="155"/>
      <c r="KQ41" s="155"/>
      <c r="KR41" s="155"/>
      <c r="KS41" s="155"/>
      <c r="KT41" s="155"/>
      <c r="KU41" s="155"/>
      <c r="KV41" s="155"/>
      <c r="KW41" s="155"/>
      <c r="KX41" s="155"/>
      <c r="KY41" s="155"/>
      <c r="KZ41" s="155"/>
      <c r="LA41" s="155"/>
      <c r="LB41" s="155"/>
      <c r="LC41" s="155"/>
      <c r="LD41" s="155"/>
      <c r="LE41" s="155"/>
      <c r="LF41" s="155"/>
      <c r="LG41" s="155"/>
      <c r="LH41" s="155"/>
      <c r="LI41" s="155"/>
      <c r="LJ41" s="155"/>
      <c r="LK41" s="155"/>
      <c r="LL41" s="155"/>
      <c r="LM41" s="155"/>
      <c r="LN41" s="155"/>
      <c r="LO41" s="155"/>
      <c r="LP41" s="155"/>
      <c r="LQ41" s="155"/>
      <c r="LR41" s="155"/>
      <c r="LS41" s="155"/>
      <c r="LT41" s="155"/>
      <c r="LU41" s="155"/>
      <c r="LV41" s="155"/>
      <c r="LW41" s="155"/>
      <c r="LX41" s="155"/>
      <c r="LY41" s="155"/>
      <c r="LZ41" s="155"/>
      <c r="MA41" s="155"/>
      <c r="MB41" s="155"/>
      <c r="MC41" s="155"/>
      <c r="MD41" s="155"/>
      <c r="ME41" s="155"/>
      <c r="MF41" s="155"/>
      <c r="MG41" s="155"/>
      <c r="MH41" s="155"/>
      <c r="MI41" s="155"/>
      <c r="MJ41" s="155"/>
      <c r="MK41" s="155"/>
      <c r="ML41" s="155"/>
      <c r="MM41" s="155"/>
      <c r="MN41" s="155"/>
      <c r="MO41" s="155"/>
      <c r="MP41" s="155"/>
      <c r="MQ41" s="155"/>
      <c r="MR41" s="155"/>
      <c r="MS41" s="155"/>
      <c r="MT41" s="155"/>
      <c r="MU41" s="155"/>
      <c r="MV41" s="155"/>
      <c r="MW41" s="155"/>
      <c r="MX41" s="155"/>
      <c r="MY41" s="155"/>
      <c r="MZ41" s="155"/>
      <c r="NA41" s="155"/>
      <c r="NB41" s="155"/>
      <c r="NC41" s="155"/>
      <c r="ND41" s="155"/>
      <c r="NE41" s="155"/>
      <c r="NF41" s="155"/>
      <c r="NG41" s="155"/>
      <c r="NH41" s="155"/>
      <c r="NI41" s="155"/>
      <c r="NJ41" s="155"/>
      <c r="NK41" s="155"/>
      <c r="NL41" s="155"/>
      <c r="NM41" s="155"/>
      <c r="NN41" s="155"/>
      <c r="NO41" s="155"/>
      <c r="NP41" s="155"/>
      <c r="NQ41" s="155"/>
      <c r="NR41" s="155"/>
      <c r="NS41" s="155"/>
      <c r="NT41" s="155"/>
      <c r="NU41" s="155"/>
      <c r="NV41" s="155"/>
      <c r="NW41" s="155"/>
      <c r="NX41" s="155"/>
      <c r="NY41" s="155"/>
      <c r="NZ41" s="155"/>
      <c r="OA41" s="155"/>
      <c r="OB41" s="155"/>
      <c r="OC41" s="155"/>
      <c r="OD41" s="155"/>
      <c r="OE41" s="155"/>
      <c r="OF41" s="155"/>
      <c r="OG41" s="155"/>
      <c r="OH41" s="155"/>
      <c r="OI41" s="155"/>
      <c r="OJ41" s="155"/>
      <c r="OK41" s="155"/>
      <c r="OL41" s="155"/>
      <c r="OM41" s="155"/>
      <c r="ON41" s="155"/>
      <c r="OO41" s="155"/>
      <c r="OP41" s="155"/>
      <c r="OQ41" s="155"/>
      <c r="OR41" s="155"/>
      <c r="OS41" s="155"/>
      <c r="OT41" s="155"/>
      <c r="OU41" s="155"/>
      <c r="OV41" s="155"/>
      <c r="OW41" s="155"/>
      <c r="OX41" s="155"/>
      <c r="OY41" s="155"/>
      <c r="OZ41" s="155"/>
      <c r="PA41" s="155"/>
      <c r="PB41" s="155"/>
      <c r="PC41" s="155"/>
      <c r="PD41" s="155"/>
      <c r="PE41" s="155"/>
      <c r="PF41" s="155"/>
      <c r="PG41" s="155"/>
      <c r="PH41" s="155"/>
      <c r="PI41" s="155"/>
    </row>
    <row r="42" spans="1:425" s="156" customFormat="1">
      <c r="A42" s="148"/>
      <c r="B42" s="172" t="s">
        <v>315</v>
      </c>
      <c r="C42" s="147" t="s">
        <v>415</v>
      </c>
      <c r="D42" s="106"/>
      <c r="E42" s="169"/>
      <c r="F42" s="170">
        <v>0</v>
      </c>
      <c r="G42" s="160" t="s">
        <v>380</v>
      </c>
      <c r="H42" s="265">
        <f>'Commercial Pilots {E}'!A10</f>
        <v>607491</v>
      </c>
      <c r="I42" s="265">
        <f>'Commercial Pilots {E}'!A$8</f>
        <v>19553.830000000002</v>
      </c>
      <c r="J42" s="265">
        <f>'Commercial Pilots {E}'!A$12</f>
        <v>194915</v>
      </c>
      <c r="K42" s="265">
        <f>'Commercial Pilots {E}'!A$14</f>
        <v>0</v>
      </c>
      <c r="L42" s="265">
        <f>SUM('Commercial Pilots {E}'!Q$5:Q$998)</f>
        <v>194915</v>
      </c>
      <c r="M42" s="173"/>
      <c r="N42" s="260">
        <f>'Commercial Pilots {E}'!A$18</f>
        <v>214468.83000000002</v>
      </c>
      <c r="O42" s="259">
        <f>'Commercial Pilots {E}'!A$20</f>
        <v>214468.83000000002</v>
      </c>
      <c r="P42" s="259">
        <f>SUM('Commercial Pilots {E}'!R$5:R$1000)</f>
        <v>0</v>
      </c>
      <c r="Q42" s="269">
        <f>N42/(1+ElecDiscountRate)^1</f>
        <v>200494.37225390295</v>
      </c>
      <c r="R42" s="269">
        <f>O42/(1+ElecDiscountRate)^1</f>
        <v>200494.37225390295</v>
      </c>
      <c r="S42" s="259">
        <f>SUM('Commercial Pilots {E}'!AM$5:AM$1000)</f>
        <v>561142.42378596438</v>
      </c>
      <c r="T42" s="259">
        <f>SUM('Commercial Pilots {E}'!AD$5:AD$1000)</f>
        <v>0</v>
      </c>
      <c r="U42" s="133">
        <f>IFERROR(S42/Q42,0)</f>
        <v>2.7987938887149526</v>
      </c>
      <c r="V42" s="133">
        <f>IFERROR(((S42*1.1)+(T42))/R42,0)</f>
        <v>3.0786732775864483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02" customFormat="1">
      <c r="A43" s="134"/>
      <c r="B43" s="149" t="s">
        <v>416</v>
      </c>
      <c r="C43" s="149"/>
      <c r="D43" s="149"/>
      <c r="E43" s="150"/>
      <c r="F43" s="151"/>
      <c r="G43" s="152"/>
      <c r="H43" s="153">
        <f t="shared" ref="H43:O43" si="19">SUM(H41:H42)</f>
        <v>607491</v>
      </c>
      <c r="I43" s="153">
        <f t="shared" si="19"/>
        <v>358372.10000000003</v>
      </c>
      <c r="J43" s="153">
        <f t="shared" si="19"/>
        <v>194915</v>
      </c>
      <c r="K43" s="153">
        <f t="shared" si="19"/>
        <v>0</v>
      </c>
      <c r="L43" s="153">
        <f t="shared" si="19"/>
        <v>194915</v>
      </c>
      <c r="M43" s="153">
        <f t="shared" si="19"/>
        <v>0</v>
      </c>
      <c r="N43" s="153">
        <f t="shared" si="19"/>
        <v>553287.10000000009</v>
      </c>
      <c r="O43" s="153">
        <f t="shared" si="19"/>
        <v>553287.10000000009</v>
      </c>
      <c r="P43" s="153">
        <f>SUM(P41:P42)</f>
        <v>0</v>
      </c>
      <c r="Q43" s="153">
        <f>SUM(Q41:Q42)</f>
        <v>517235.76703748712</v>
      </c>
      <c r="R43" s="153">
        <f>SUM(R41:R42)</f>
        <v>517235.76703748712</v>
      </c>
      <c r="S43" s="153">
        <f>SUM(S41:S42)</f>
        <v>561142.42378596438</v>
      </c>
      <c r="T43" s="153">
        <f>SUM(T41:T42)</f>
        <v>0</v>
      </c>
      <c r="U43" s="168">
        <f>S43/Q43</f>
        <v>1.0848871241058144</v>
      </c>
      <c r="V43" s="168">
        <f>((S43*1.1)+(T43))/R43</f>
        <v>1.1933758365163958</v>
      </c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425" s="102" customFormat="1">
      <c r="A44" s="134"/>
      <c r="B44" s="130" t="s">
        <v>417</v>
      </c>
      <c r="C44" s="174" t="s">
        <v>418</v>
      </c>
      <c r="D44" s="174"/>
      <c r="E44" s="169">
        <f>F44*(H44/$H$68)</f>
        <v>0.85993969661987124</v>
      </c>
      <c r="F44" s="144">
        <f>'Residential Lighting {E}'!A$16</f>
        <v>14.247590989573434</v>
      </c>
      <c r="G44" s="160" t="s">
        <v>419</v>
      </c>
      <c r="H44" s="258">
        <f>'NEEA {E}'!A10</f>
        <v>10249200</v>
      </c>
      <c r="I44" s="259">
        <f>'NEEA {E}'!A$8</f>
        <v>1483874.7100000004</v>
      </c>
      <c r="J44" s="259">
        <f>'NEEA {E}'!A$12</f>
        <v>0</v>
      </c>
      <c r="K44" s="259">
        <f>'NEEA {E}'!A$14</f>
        <v>0</v>
      </c>
      <c r="L44" s="259">
        <f>SUM('NEEA {E}'!Q$5:Q$1000)</f>
        <v>0</v>
      </c>
      <c r="M44" s="259"/>
      <c r="N44" s="260">
        <f>'NEEA {E}'!A$18</f>
        <v>4289485.32</v>
      </c>
      <c r="O44" s="259">
        <f>SUM(I44:K44)</f>
        <v>1483874.7100000004</v>
      </c>
      <c r="P44" s="259">
        <f>SUM('NEEA {E}'!R$5:R$1000)</f>
        <v>0</v>
      </c>
      <c r="Q44" s="261">
        <f>N44/(1+ElecDiscountRate)^1</f>
        <v>4009989.081050762</v>
      </c>
      <c r="R44" s="261">
        <f>O44/(1+ElecDiscountRate)^1</f>
        <v>1387187.7255305229</v>
      </c>
      <c r="S44" s="259">
        <f>SUM('NEEA {E}'!AM$5:AM$1000)</f>
        <v>3669953.4362536436</v>
      </c>
      <c r="T44" s="259">
        <f>SUM('NEEA {E}'!AD$5:AD$1000)</f>
        <v>0</v>
      </c>
      <c r="U44" s="133">
        <f>IFERROR(S44/Q44,0)</f>
        <v>0.91520285020127368</v>
      </c>
      <c r="V44" s="133">
        <f>IFERROR(((S44*1.1)+(T44))/R44,0)</f>
        <v>2.9101676042693487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76" customFormat="1">
      <c r="A45" s="102"/>
      <c r="B45" s="130" t="s">
        <v>96</v>
      </c>
      <c r="C45" s="175" t="s">
        <v>420</v>
      </c>
      <c r="D45" s="175"/>
      <c r="E45" s="169">
        <f>F45*(H45/$H$68)</f>
        <v>0.20271564270119641</v>
      </c>
      <c r="F45" s="144">
        <f>'T&amp;D {E}'!A$16</f>
        <v>15</v>
      </c>
      <c r="G45" s="160" t="s">
        <v>419</v>
      </c>
      <c r="H45" s="258">
        <f>'T&amp;D {E}'!A$10</f>
        <v>2294877</v>
      </c>
      <c r="I45" s="259">
        <f>'T&amp;D {E}'!A$8</f>
        <v>0</v>
      </c>
      <c r="J45" s="259">
        <f>'T&amp;D {E}'!A$12</f>
        <v>0</v>
      </c>
      <c r="K45" s="259">
        <f>'T&amp;D {E}'!A$14</f>
        <v>169088</v>
      </c>
      <c r="L45" s="259">
        <f>SUM('T&amp;D {E}'!Q$5:Q$1000)</f>
        <v>169088</v>
      </c>
      <c r="M45" s="259"/>
      <c r="N45" s="260">
        <f>'T&amp;D {E}'!A$18</f>
        <v>0</v>
      </c>
      <c r="O45" s="259">
        <f>SUM(I45:K45)</f>
        <v>169088</v>
      </c>
      <c r="P45" s="259">
        <f>SUM('T&amp;D {E}'!R$5:R$1000)</f>
        <v>0</v>
      </c>
      <c r="Q45" s="261">
        <f>N45/(1+ElecDiscountRate)^1</f>
        <v>0</v>
      </c>
      <c r="R45" s="261">
        <f>O45/(1+ElecDiscountRate)^1</f>
        <v>158070.4870524446</v>
      </c>
      <c r="S45" s="259">
        <f>SUM('T&amp;D {E}'!AM$5:AM$1000)</f>
        <v>2363421.7853261298</v>
      </c>
      <c r="T45" s="259">
        <f>SUM('T&amp;D {E}'!AD$5:AD$1000)</f>
        <v>0</v>
      </c>
      <c r="U45" s="133">
        <f>IFERROR(S45/Q45,0)</f>
        <v>0</v>
      </c>
      <c r="V45" s="133">
        <f>IFERROR(((S45*1.1)+(T45))/R45,0)</f>
        <v>16.44686501785873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72" t="s">
        <v>173</v>
      </c>
      <c r="C46" s="175" t="s">
        <v>421</v>
      </c>
      <c r="D46" s="175"/>
      <c r="E46" s="169"/>
      <c r="F46" s="144" t="e">
        <f>'TDSM {E}'!A$16</f>
        <v>#DIV/0!</v>
      </c>
      <c r="G46" s="160" t="s">
        <v>419</v>
      </c>
      <c r="H46" s="258">
        <f>'TDSM {E}'!A$10</f>
        <v>0</v>
      </c>
      <c r="I46" s="259">
        <f>'TDSM {E}'!A$8</f>
        <v>25615.18</v>
      </c>
      <c r="J46" s="259">
        <f>'TDSM {E}'!A$12</f>
        <v>0</v>
      </c>
      <c r="K46" s="259">
        <v>0</v>
      </c>
      <c r="L46" s="259">
        <v>0</v>
      </c>
      <c r="M46" s="259"/>
      <c r="N46" s="260">
        <f>'TDSM {E}'!A$18</f>
        <v>25615.18</v>
      </c>
      <c r="O46" s="259">
        <f>SUM(I46:K46)</f>
        <v>25615.18</v>
      </c>
      <c r="P46" s="259">
        <v>0</v>
      </c>
      <c r="Q46" s="266">
        <v>0</v>
      </c>
      <c r="R46" s="261">
        <f>O46/(1+ElecDiscountRate)^1</f>
        <v>23946.134430214075</v>
      </c>
      <c r="S46" s="259">
        <f>SUM('TDSM {E}'!AM$5:AM$1000)</f>
        <v>0</v>
      </c>
      <c r="T46" s="259">
        <v>0</v>
      </c>
      <c r="U46" s="133">
        <f>IFERROR(S46/Q46,0)</f>
        <v>0</v>
      </c>
      <c r="V46" s="133">
        <f>IFERROR(((S46*1.1)+(T46))/R46,0)</f>
        <v>0</v>
      </c>
      <c r="W46" s="106"/>
      <c r="X46" s="106">
        <v>18230134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02" customFormat="1">
      <c r="B47" s="177" t="s">
        <v>422</v>
      </c>
      <c r="C47" s="177"/>
      <c r="D47" s="177"/>
      <c r="E47" s="177"/>
      <c r="F47" s="178"/>
      <c r="G47" s="179"/>
      <c r="H47" s="180">
        <f>SUM(H44:H46)</f>
        <v>12544077</v>
      </c>
      <c r="I47" s="180">
        <f>SUM(I44:I46)</f>
        <v>1509489.8900000004</v>
      </c>
      <c r="J47" s="180">
        <f t="shared" ref="J47:T47" si="20">SUM(J44:J46)</f>
        <v>0</v>
      </c>
      <c r="K47" s="180">
        <f t="shared" si="20"/>
        <v>169088</v>
      </c>
      <c r="L47" s="180">
        <f t="shared" si="20"/>
        <v>169088</v>
      </c>
      <c r="M47" s="180">
        <f t="shared" si="20"/>
        <v>0</v>
      </c>
      <c r="N47" s="180">
        <f t="shared" si="20"/>
        <v>4315100.5</v>
      </c>
      <c r="O47" s="180">
        <f t="shared" si="20"/>
        <v>1678577.8900000004</v>
      </c>
      <c r="P47" s="180">
        <f>SUM(P44:P46)</f>
        <v>0</v>
      </c>
      <c r="Q47" s="180">
        <f t="shared" si="20"/>
        <v>4009989.081050762</v>
      </c>
      <c r="R47" s="180">
        <f t="shared" si="20"/>
        <v>1569204.3470131815</v>
      </c>
      <c r="S47" s="180">
        <f t="shared" si="20"/>
        <v>6033375.2215797734</v>
      </c>
      <c r="T47" s="180">
        <f t="shared" si="20"/>
        <v>0</v>
      </c>
      <c r="U47" s="181">
        <f>S47/Q47</f>
        <v>1.5045864464046896</v>
      </c>
      <c r="V47" s="181">
        <f>((S47*1.1)+(T47))/R47</f>
        <v>4.2293489413090457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82"/>
      <c r="C48" s="183" t="s">
        <v>423</v>
      </c>
      <c r="D48" s="183"/>
      <c r="E48" s="184"/>
      <c r="F48" s="184"/>
      <c r="G48" s="185"/>
      <c r="H48" s="241"/>
      <c r="I48" s="242"/>
      <c r="J48" s="243"/>
      <c r="K48" s="186"/>
      <c r="L48" s="186"/>
      <c r="M48" s="186"/>
      <c r="N48" s="187"/>
      <c r="O48" s="187"/>
      <c r="P48" s="187"/>
      <c r="Q48" s="187"/>
      <c r="R48" s="187"/>
      <c r="S48" s="188"/>
      <c r="T48" s="189"/>
      <c r="U48" s="190"/>
      <c r="V48" s="190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91"/>
      <c r="C49" s="192" t="s">
        <v>424</v>
      </c>
      <c r="D49" s="191">
        <v>18230745</v>
      </c>
      <c r="E49" s="191"/>
      <c r="F49" s="191"/>
      <c r="G49" s="193"/>
      <c r="H49" s="191"/>
      <c r="I49" s="194">
        <f>SUMIF('Program Costs'!D:D,D49,'Program Costs'!N:N)</f>
        <v>928441.91</v>
      </c>
      <c r="J49" s="194"/>
      <c r="K49" s="191"/>
      <c r="L49" s="191"/>
      <c r="M49" s="191"/>
      <c r="N49" s="194">
        <f>I49</f>
        <v>928441.91</v>
      </c>
      <c r="O49" s="194">
        <f>I49</f>
        <v>928441.91</v>
      </c>
      <c r="P49" s="195"/>
      <c r="Q49" s="196">
        <f t="shared" ref="Q49:R51" si="21">N49/(1+ElecDiscountRate)^1</f>
        <v>867946.06899130589</v>
      </c>
      <c r="R49" s="196">
        <f t="shared" si="21"/>
        <v>867946.06899130589</v>
      </c>
      <c r="S49" s="191"/>
      <c r="T49" s="197"/>
      <c r="U49" s="191"/>
      <c r="V49" s="198"/>
      <c r="W49" s="106"/>
      <c r="X49" s="106">
        <v>18230745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9" t="s">
        <v>425</v>
      </c>
      <c r="D50" s="200">
        <v>18230507</v>
      </c>
      <c r="E50" s="201"/>
      <c r="F50" s="201"/>
      <c r="G50" s="202"/>
      <c r="H50" s="203"/>
      <c r="I50" s="194">
        <f>SUMIF('Program Costs'!D:D,D50,'Program Costs'!N:N)</f>
        <v>588277.77</v>
      </c>
      <c r="J50" s="194"/>
      <c r="K50" s="204"/>
      <c r="L50" s="204"/>
      <c r="M50" s="204"/>
      <c r="N50" s="194">
        <f t="shared" ref="N50:N60" si="22">I50</f>
        <v>588277.77</v>
      </c>
      <c r="O50" s="194">
        <f t="shared" ref="O50:O60" si="23">I50</f>
        <v>588277.77</v>
      </c>
      <c r="P50" s="205"/>
      <c r="Q50" s="196">
        <f t="shared" si="21"/>
        <v>549946.49901841639</v>
      </c>
      <c r="R50" s="196">
        <f t="shared" si="21"/>
        <v>549946.49901841639</v>
      </c>
      <c r="S50" s="206"/>
      <c r="T50" s="206"/>
      <c r="U50" s="207"/>
      <c r="V50" s="207"/>
      <c r="W50" s="106"/>
      <c r="X50" s="106">
        <v>18230507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208" t="s">
        <v>426</v>
      </c>
      <c r="D51" s="209">
        <v>18230418</v>
      </c>
      <c r="E51" s="201"/>
      <c r="F51" s="201"/>
      <c r="G51" s="202"/>
      <c r="H51" s="203"/>
      <c r="I51" s="194">
        <f>SUMIF('Program Costs'!D:D,D51,'Program Costs'!N:N)</f>
        <v>530409.13</v>
      </c>
      <c r="J51" s="194"/>
      <c r="K51" s="204"/>
      <c r="L51" s="204"/>
      <c r="M51" s="204"/>
      <c r="N51" s="194">
        <f t="shared" si="22"/>
        <v>530409.13</v>
      </c>
      <c r="O51" s="194">
        <f t="shared" si="23"/>
        <v>530409.13</v>
      </c>
      <c r="P51" s="196"/>
      <c r="Q51" s="196">
        <f t="shared" si="21"/>
        <v>495848.49023090582</v>
      </c>
      <c r="R51" s="196">
        <f t="shared" si="21"/>
        <v>495848.49023090582</v>
      </c>
      <c r="S51" s="206"/>
      <c r="T51" s="206"/>
      <c r="U51" s="207"/>
      <c r="V51" s="207"/>
      <c r="W51" s="106"/>
      <c r="X51" s="106">
        <v>18230418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2" t="s">
        <v>427</v>
      </c>
      <c r="D52" s="191">
        <v>18230810</v>
      </c>
      <c r="E52" s="191"/>
      <c r="F52" s="191"/>
      <c r="G52" s="191"/>
      <c r="H52" s="191"/>
      <c r="I52" s="194">
        <f>SUMIF('Program Costs'!D:D,D52,'Program Costs'!N:N)</f>
        <v>719678.75000000012</v>
      </c>
      <c r="J52" s="194"/>
      <c r="K52" s="191"/>
      <c r="L52" s="191"/>
      <c r="M52" s="191"/>
      <c r="N52" s="194">
        <f t="shared" si="22"/>
        <v>719678.75000000012</v>
      </c>
      <c r="O52" s="194">
        <f t="shared" si="23"/>
        <v>719678.75000000012</v>
      </c>
      <c r="P52" s="195"/>
      <c r="Q52" s="196">
        <f t="shared" ref="Q52:R54" si="24">N52/(1+ElecDiscountRate)^1</f>
        <v>672785.59409180144</v>
      </c>
      <c r="R52" s="196">
        <f t="shared" si="24"/>
        <v>672785.59409180144</v>
      </c>
      <c r="S52" s="191"/>
      <c r="T52" s="197"/>
      <c r="U52" s="191"/>
      <c r="V52" s="198"/>
      <c r="W52" s="106"/>
      <c r="X52" s="106">
        <v>18230810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214" customFormat="1">
      <c r="A53" s="210"/>
      <c r="B53" s="191"/>
      <c r="C53" s="211" t="s">
        <v>428</v>
      </c>
      <c r="D53" s="212">
        <v>18230730</v>
      </c>
      <c r="E53" s="191"/>
      <c r="F53" s="191"/>
      <c r="G53" s="191"/>
      <c r="H53" s="191"/>
      <c r="I53" s="194">
        <f>SUMIF('Program Costs'!D:D,D53,'Program Costs'!N:N)</f>
        <v>194023.02000000002</v>
      </c>
      <c r="J53" s="194"/>
      <c r="K53" s="191"/>
      <c r="L53" s="191"/>
      <c r="M53" s="191"/>
      <c r="N53" s="194">
        <f t="shared" si="22"/>
        <v>194023.02000000002</v>
      </c>
      <c r="O53" s="194">
        <f t="shared" si="23"/>
        <v>194023.02000000002</v>
      </c>
      <c r="P53" s="195"/>
      <c r="Q53" s="196">
        <f t="shared" si="24"/>
        <v>181380.779657848</v>
      </c>
      <c r="R53" s="196">
        <f t="shared" si="24"/>
        <v>181380.779657848</v>
      </c>
      <c r="S53" s="191"/>
      <c r="T53" s="197"/>
      <c r="U53" s="191"/>
      <c r="V53" s="198"/>
      <c r="W53" s="106"/>
      <c r="X53" s="106">
        <v>18230730</v>
      </c>
      <c r="Y53" s="106"/>
      <c r="Z53" s="106"/>
      <c r="AA53" s="106"/>
      <c r="AB53" s="106"/>
      <c r="AC53" s="106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  <c r="KV53" s="213"/>
      <c r="KW53" s="213"/>
      <c r="KX53" s="213"/>
      <c r="KY53" s="213"/>
      <c r="KZ53" s="213"/>
      <c r="LA53" s="213"/>
      <c r="LB53" s="213"/>
      <c r="LC53" s="213"/>
      <c r="LD53" s="213"/>
      <c r="LE53" s="213"/>
      <c r="LF53" s="213"/>
      <c r="LG53" s="213"/>
      <c r="LH53" s="213"/>
      <c r="LI53" s="213"/>
      <c r="LJ53" s="213"/>
      <c r="LK53" s="213"/>
      <c r="LL53" s="213"/>
      <c r="LM53" s="213"/>
      <c r="LN53" s="213"/>
      <c r="LO53" s="213"/>
      <c r="LP53" s="213"/>
      <c r="LQ53" s="213"/>
      <c r="LR53" s="213"/>
      <c r="LS53" s="213"/>
      <c r="LT53" s="213"/>
      <c r="LU53" s="213"/>
      <c r="LV53" s="213"/>
      <c r="LW53" s="213"/>
      <c r="LX53" s="213"/>
      <c r="LY53" s="213"/>
      <c r="LZ53" s="213"/>
      <c r="MA53" s="213"/>
      <c r="MB53" s="213"/>
      <c r="MC53" s="213"/>
      <c r="MD53" s="213"/>
      <c r="ME53" s="213"/>
      <c r="MF53" s="213"/>
      <c r="MG53" s="213"/>
      <c r="MH53" s="213"/>
      <c r="MI53" s="213"/>
      <c r="MJ53" s="213"/>
      <c r="MK53" s="213"/>
      <c r="ML53" s="213"/>
      <c r="MM53" s="213"/>
      <c r="MN53" s="213"/>
      <c r="MO53" s="213"/>
      <c r="MP53" s="213"/>
      <c r="MQ53" s="213"/>
      <c r="MR53" s="213"/>
      <c r="MS53" s="213"/>
      <c r="MT53" s="213"/>
      <c r="MU53" s="213"/>
      <c r="MV53" s="213"/>
      <c r="MW53" s="213"/>
      <c r="MX53" s="213"/>
      <c r="MY53" s="213"/>
      <c r="MZ53" s="213"/>
      <c r="NA53" s="213"/>
      <c r="NB53" s="213"/>
      <c r="NC53" s="213"/>
      <c r="ND53" s="213"/>
      <c r="NE53" s="213"/>
      <c r="NF53" s="213"/>
      <c r="NG53" s="213"/>
      <c r="NH53" s="213"/>
      <c r="NI53" s="213"/>
      <c r="NJ53" s="213"/>
      <c r="NK53" s="213"/>
      <c r="NL53" s="213"/>
      <c r="NM53" s="213"/>
      <c r="NN53" s="213"/>
      <c r="NO53" s="213"/>
      <c r="NP53" s="213"/>
      <c r="NQ53" s="213"/>
      <c r="NR53" s="213"/>
      <c r="NS53" s="213"/>
      <c r="NT53" s="213"/>
      <c r="NU53" s="213"/>
      <c r="NV53" s="213"/>
      <c r="NW53" s="213"/>
      <c r="NX53" s="213"/>
      <c r="NY53" s="213"/>
      <c r="NZ53" s="213"/>
      <c r="OA53" s="213"/>
      <c r="OB53" s="213"/>
      <c r="OC53" s="213"/>
      <c r="OD53" s="213"/>
      <c r="OE53" s="213"/>
      <c r="OF53" s="213"/>
      <c r="OG53" s="213"/>
      <c r="OH53" s="213"/>
      <c r="OI53" s="213"/>
      <c r="OJ53" s="213"/>
      <c r="OK53" s="213"/>
      <c r="OL53" s="213"/>
      <c r="OM53" s="213"/>
      <c r="ON53" s="213"/>
      <c r="OO53" s="213"/>
      <c r="OP53" s="213"/>
      <c r="OQ53" s="213"/>
      <c r="OR53" s="213"/>
      <c r="OS53" s="213"/>
      <c r="OT53" s="213"/>
      <c r="OU53" s="213"/>
      <c r="OV53" s="213"/>
      <c r="OW53" s="213"/>
      <c r="OX53" s="213"/>
      <c r="OY53" s="213"/>
      <c r="OZ53" s="213"/>
      <c r="PA53" s="213"/>
      <c r="PB53" s="213"/>
      <c r="PC53" s="213"/>
      <c r="PD53" s="213"/>
      <c r="PE53" s="213"/>
      <c r="PF53" s="213"/>
      <c r="PG53" s="213"/>
      <c r="PH53" s="213"/>
      <c r="PI53" s="213"/>
    </row>
    <row r="54" spans="1:425" s="102" customFormat="1">
      <c r="B54" s="191"/>
      <c r="C54" s="211" t="s">
        <v>429</v>
      </c>
      <c r="D54" s="212">
        <v>18230746</v>
      </c>
      <c r="E54" s="191"/>
      <c r="F54" s="191"/>
      <c r="G54" s="191"/>
      <c r="H54" s="191"/>
      <c r="I54" s="194">
        <f>SUMIF('Program Costs'!D:D,D54,'Program Costs'!N:N)</f>
        <v>-84918.489999999991</v>
      </c>
      <c r="J54" s="194"/>
      <c r="K54" s="191"/>
      <c r="L54" s="191"/>
      <c r="M54" s="191"/>
      <c r="N54" s="194">
        <f t="shared" si="22"/>
        <v>-84918.489999999991</v>
      </c>
      <c r="O54" s="194">
        <f t="shared" si="23"/>
        <v>-84918.489999999991</v>
      </c>
      <c r="P54" s="195"/>
      <c r="Q54" s="196">
        <f t="shared" si="24"/>
        <v>-79385.332336168998</v>
      </c>
      <c r="R54" s="196">
        <f t="shared" si="24"/>
        <v>-79385.332336168998</v>
      </c>
      <c r="S54" s="191"/>
      <c r="T54" s="197"/>
      <c r="U54" s="191"/>
      <c r="V54" s="198"/>
      <c r="W54" s="106"/>
      <c r="X54" s="106">
        <v>18230746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102" customFormat="1">
      <c r="B55" s="191"/>
      <c r="C55" s="211" t="s">
        <v>430</v>
      </c>
      <c r="D55" s="212">
        <v>18230411</v>
      </c>
      <c r="E55" s="191"/>
      <c r="F55" s="191"/>
      <c r="G55" s="191"/>
      <c r="H55" s="191"/>
      <c r="I55" s="194">
        <f>SUMIF('Program Costs'!D:D,D55,'Program Costs'!N:N)</f>
        <v>1148531.31</v>
      </c>
      <c r="J55" s="194"/>
      <c r="K55" s="191"/>
      <c r="L55" s="191"/>
      <c r="M55" s="191"/>
      <c r="N55" s="194">
        <f t="shared" si="22"/>
        <v>1148531.31</v>
      </c>
      <c r="O55" s="194">
        <f t="shared" si="23"/>
        <v>1148531.31</v>
      </c>
      <c r="P55" s="195"/>
      <c r="Q55" s="196">
        <f t="shared" ref="Q55:Q60" si="25">N55/(1+ElecDiscountRate)^1</f>
        <v>1073694.7835841824</v>
      </c>
      <c r="R55" s="196">
        <f t="shared" ref="R55:R60" si="26">O55/(1+ElecDiscountRate)^1</f>
        <v>1073694.7835841824</v>
      </c>
      <c r="S55" s="191"/>
      <c r="T55" s="197"/>
      <c r="U55" s="191"/>
      <c r="V55" s="198"/>
      <c r="W55" s="106"/>
      <c r="X55" s="106">
        <v>18230411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5" t="s">
        <v>431</v>
      </c>
      <c r="D56" s="216">
        <v>18230610</v>
      </c>
      <c r="E56" s="201"/>
      <c r="F56" s="201"/>
      <c r="G56" s="202"/>
      <c r="H56" s="203"/>
      <c r="I56" s="194">
        <f>SUMIF('Program Costs'!D:D,D56,'Program Costs'!N:N)</f>
        <v>1007071.3999999999</v>
      </c>
      <c r="J56" s="194"/>
      <c r="K56" s="204"/>
      <c r="L56" s="204"/>
      <c r="M56" s="204"/>
      <c r="N56" s="194">
        <f t="shared" si="22"/>
        <v>1007071.3999999999</v>
      </c>
      <c r="O56" s="194">
        <f t="shared" si="23"/>
        <v>1007071.3999999999</v>
      </c>
      <c r="P56" s="196"/>
      <c r="Q56" s="196">
        <f t="shared" si="25"/>
        <v>941452.18285500596</v>
      </c>
      <c r="R56" s="196">
        <f t="shared" si="26"/>
        <v>941452.18285500596</v>
      </c>
      <c r="S56" s="206"/>
      <c r="T56" s="206"/>
      <c r="U56" s="207"/>
      <c r="V56" s="207"/>
      <c r="W56" s="106"/>
      <c r="X56" s="106">
        <v>18230610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A57" s="134"/>
      <c r="B57" s="191"/>
      <c r="C57" s="192" t="s">
        <v>432</v>
      </c>
      <c r="D57" s="191">
        <v>18230811</v>
      </c>
      <c r="E57" s="191"/>
      <c r="F57" s="191"/>
      <c r="G57" s="191"/>
      <c r="H57" s="191"/>
      <c r="I57" s="194">
        <f>SUMIF('Program Costs'!D:D,D57,'Program Costs'!N:N)</f>
        <v>790340.59000000008</v>
      </c>
      <c r="J57" s="194"/>
      <c r="K57" s="191"/>
      <c r="L57" s="191"/>
      <c r="M57" s="191"/>
      <c r="N57" s="194">
        <f t="shared" si="22"/>
        <v>790340.59000000008</v>
      </c>
      <c r="O57" s="194">
        <f t="shared" si="23"/>
        <v>790340.59000000008</v>
      </c>
      <c r="P57" s="195"/>
      <c r="Q57" s="196">
        <f t="shared" si="25"/>
        <v>738843.21772459568</v>
      </c>
      <c r="R57" s="196">
        <f t="shared" si="26"/>
        <v>738843.21772459568</v>
      </c>
      <c r="S57" s="191"/>
      <c r="T57" s="197"/>
      <c r="U57" s="191"/>
      <c r="V57" s="198"/>
      <c r="W57" s="106"/>
      <c r="X57" s="106">
        <v>18230811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433</v>
      </c>
      <c r="D58" s="217"/>
      <c r="E58" s="201"/>
      <c r="F58" s="201"/>
      <c r="G58" s="202"/>
      <c r="H58" s="203"/>
      <c r="I58" s="194">
        <f>SUMIF('Program Costs'!D:D,X58,'Program Costs'!N:N)+SUMIF('Program Costs'!D:D,Y58,'Program Costs'!N:N)+SUMIF('Program Costs'!D:D,Z58,'Program Costs'!N:N)+SUMIF('Program Costs'!D:D,AA58,'Program Costs'!N:N)</f>
        <v>1248079.71</v>
      </c>
      <c r="J58" s="194"/>
      <c r="K58" s="204"/>
      <c r="L58" s="204"/>
      <c r="M58" s="204"/>
      <c r="N58" s="194">
        <f t="shared" si="22"/>
        <v>1248079.71</v>
      </c>
      <c r="O58" s="194">
        <f t="shared" si="23"/>
        <v>1248079.71</v>
      </c>
      <c r="P58" s="196"/>
      <c r="Q58" s="196">
        <f t="shared" si="25"/>
        <v>1166756.7635785732</v>
      </c>
      <c r="R58" s="196">
        <f t="shared" si="26"/>
        <v>1166756.7635785732</v>
      </c>
      <c r="S58" s="206"/>
      <c r="T58" s="206"/>
      <c r="U58" s="207"/>
      <c r="V58" s="207"/>
      <c r="W58" s="106"/>
      <c r="X58" s="106">
        <v>18230508</v>
      </c>
      <c r="Y58" s="106">
        <v>18230408</v>
      </c>
      <c r="Z58" s="106">
        <v>18230400</v>
      </c>
      <c r="AA58" s="106">
        <v>18230509</v>
      </c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192" t="s">
        <v>434</v>
      </c>
      <c r="D59" s="191">
        <v>18230466</v>
      </c>
      <c r="E59" s="201"/>
      <c r="F59" s="201"/>
      <c r="G59" s="202"/>
      <c r="H59" s="203"/>
      <c r="I59" s="194">
        <f>SUMIF('Program Costs'!D:D,D59,'Program Costs'!N:N)</f>
        <v>1334023.92</v>
      </c>
      <c r="J59" s="194"/>
      <c r="K59" s="218"/>
      <c r="L59" s="218"/>
      <c r="M59" s="218"/>
      <c r="N59" s="194">
        <f t="shared" si="22"/>
        <v>1334023.92</v>
      </c>
      <c r="O59" s="194">
        <f t="shared" si="23"/>
        <v>1334023.92</v>
      </c>
      <c r="P59" s="219"/>
      <c r="Q59" s="196">
        <f t="shared" si="25"/>
        <v>1247100.9815836214</v>
      </c>
      <c r="R59" s="196">
        <f t="shared" si="26"/>
        <v>1247100.9815836214</v>
      </c>
      <c r="S59" s="219"/>
      <c r="T59" s="194"/>
      <c r="U59" s="207"/>
      <c r="V59" s="207"/>
      <c r="W59" s="106"/>
      <c r="X59" s="106">
        <v>18230466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215" t="s">
        <v>435</v>
      </c>
      <c r="D60" s="216">
        <v>18230487</v>
      </c>
      <c r="E60" s="201"/>
      <c r="F60" s="201"/>
      <c r="G60" s="202"/>
      <c r="H60" s="203"/>
      <c r="I60" s="194">
        <f>SUMIF('Program Costs'!D:D,D60,'Program Costs'!N:N)</f>
        <v>232625.07</v>
      </c>
      <c r="J60" s="194"/>
      <c r="K60" s="204"/>
      <c r="L60" s="204"/>
      <c r="M60" s="204"/>
      <c r="N60" s="194">
        <f t="shared" si="22"/>
        <v>232625.07</v>
      </c>
      <c r="O60" s="194">
        <f t="shared" si="23"/>
        <v>232625.07</v>
      </c>
      <c r="P60" s="196"/>
      <c r="Q60" s="196">
        <f t="shared" si="25"/>
        <v>217467.57969524164</v>
      </c>
      <c r="R60" s="196">
        <f t="shared" si="26"/>
        <v>217467.57969524164</v>
      </c>
      <c r="S60" s="206"/>
      <c r="T60" s="206"/>
      <c r="U60" s="207"/>
      <c r="V60" s="207"/>
      <c r="W60" s="106"/>
      <c r="X60" s="106">
        <v>18230487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37"/>
      <c r="C61" s="137" t="s">
        <v>436</v>
      </c>
      <c r="D61" s="137"/>
      <c r="E61" s="137"/>
      <c r="F61" s="137"/>
      <c r="G61" s="137"/>
      <c r="H61" s="137">
        <f>SUM(H56:H60)</f>
        <v>0</v>
      </c>
      <c r="I61" s="220">
        <f>SUM(I49:I60)</f>
        <v>8636584.0899999999</v>
      </c>
      <c r="J61" s="137">
        <f>SUM(J49:J60)</f>
        <v>0</v>
      </c>
      <c r="K61" s="137">
        <f>SUM(K56:K60)</f>
        <v>0</v>
      </c>
      <c r="L61" s="137">
        <f>SUM(L56:L60)</f>
        <v>0</v>
      </c>
      <c r="M61" s="137">
        <f>SUM(M56:M60)</f>
        <v>0</v>
      </c>
      <c r="N61" s="221">
        <f>SUM(N49:N60)</f>
        <v>8636584.0899999999</v>
      </c>
      <c r="O61" s="221">
        <f>SUM(O49:O60)</f>
        <v>8636584.0899999999</v>
      </c>
      <c r="P61" s="221">
        <f>SUM(P49:P60)</f>
        <v>0</v>
      </c>
      <c r="Q61" s="221">
        <f>SUM(Q49:Q60)</f>
        <v>8073837.608675329</v>
      </c>
      <c r="R61" s="221">
        <f>SUM(R49:R60)</f>
        <v>8073837.608675329</v>
      </c>
      <c r="S61" s="137">
        <f>SUM(S56:S60)</f>
        <v>0</v>
      </c>
      <c r="T61" s="137">
        <f>SUM(T56:T60)</f>
        <v>0</v>
      </c>
      <c r="U61" s="137"/>
      <c r="V61" s="13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08" t="s">
        <v>437</v>
      </c>
      <c r="D62" s="209">
        <v>18230809</v>
      </c>
      <c r="E62" s="201"/>
      <c r="F62" s="201"/>
      <c r="G62" s="202"/>
      <c r="H62" s="203"/>
      <c r="I62" s="194">
        <f>SUMIF('Program Costs'!D:D,D62,'Program Costs'!N:N)</f>
        <v>174950.35</v>
      </c>
      <c r="J62" s="194"/>
      <c r="K62" s="204"/>
      <c r="L62" s="204"/>
      <c r="M62" s="204"/>
      <c r="N62" s="222">
        <f>I62</f>
        <v>174950.35</v>
      </c>
      <c r="O62" s="222">
        <f>I62</f>
        <v>174950.35</v>
      </c>
      <c r="P62" s="196"/>
      <c r="Q62" s="196">
        <f t="shared" ref="Q62:R67" si="27">N62/(1+ElecDiscountRate)^1</f>
        <v>163550.85538001309</v>
      </c>
      <c r="R62" s="196">
        <f t="shared" si="27"/>
        <v>163550.85538001309</v>
      </c>
      <c r="S62" s="206"/>
      <c r="T62" s="206"/>
      <c r="U62" s="207"/>
      <c r="V62" s="207"/>
      <c r="W62" s="106"/>
      <c r="X62" s="106">
        <v>18230809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A63" s="134"/>
      <c r="B63" s="191"/>
      <c r="C63" s="208" t="s">
        <v>438</v>
      </c>
      <c r="D63" s="209">
        <v>18230469</v>
      </c>
      <c r="E63" s="201"/>
      <c r="F63" s="201"/>
      <c r="G63" s="202"/>
      <c r="H63" s="203"/>
      <c r="I63" s="194">
        <f>SUMIF('Program Costs'!D:D,D63,'Program Costs'!N:N)</f>
        <v>283517.43</v>
      </c>
      <c r="J63" s="194"/>
      <c r="K63" s="204"/>
      <c r="L63" s="204"/>
      <c r="M63" s="204"/>
      <c r="N63" s="222">
        <f>I63</f>
        <v>283517.43</v>
      </c>
      <c r="O63" s="222">
        <f>I63</f>
        <v>283517.43</v>
      </c>
      <c r="P63" s="196"/>
      <c r="Q63" s="196">
        <f t="shared" si="27"/>
        <v>265043.87211367668</v>
      </c>
      <c r="R63" s="196">
        <f t="shared" si="27"/>
        <v>265043.87211367668</v>
      </c>
      <c r="S63" s="206"/>
      <c r="T63" s="206"/>
      <c r="U63" s="207"/>
      <c r="V63" s="207"/>
      <c r="W63" s="106"/>
      <c r="X63" s="106">
        <v>18230469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76" customFormat="1">
      <c r="A64" s="102"/>
      <c r="B64" s="191"/>
      <c r="C64" s="208" t="s">
        <v>439</v>
      </c>
      <c r="D64" s="209">
        <v>18230413</v>
      </c>
      <c r="E64" s="201"/>
      <c r="F64" s="201"/>
      <c r="G64" s="202"/>
      <c r="H64" s="203"/>
      <c r="I64" s="194">
        <f>SUMIF('Program Costs'!D:D,D64,'Program Costs'!N:N)</f>
        <v>150481.52000000002</v>
      </c>
      <c r="J64" s="194"/>
      <c r="K64" s="204"/>
      <c r="L64" s="204"/>
      <c r="M64" s="204"/>
      <c r="N64" s="222">
        <f>I64</f>
        <v>150481.52000000002</v>
      </c>
      <c r="O64" s="222">
        <f>I64</f>
        <v>150481.52000000002</v>
      </c>
      <c r="P64" s="196"/>
      <c r="Q64" s="196">
        <f t="shared" si="27"/>
        <v>140676.37655417409</v>
      </c>
      <c r="R64" s="196">
        <f t="shared" si="27"/>
        <v>140676.37655417409</v>
      </c>
      <c r="S64" s="206"/>
      <c r="T64" s="206"/>
      <c r="U64" s="207"/>
      <c r="V64" s="207"/>
      <c r="W64" s="106"/>
      <c r="X64" s="106">
        <v>18230413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224" customFormat="1" ht="14.1" customHeight="1">
      <c r="A65" s="102"/>
      <c r="B65" s="191"/>
      <c r="C65" s="208" t="s">
        <v>440</v>
      </c>
      <c r="D65" s="209">
        <v>18230802</v>
      </c>
      <c r="E65" s="201"/>
      <c r="F65" s="201"/>
      <c r="G65" s="202"/>
      <c r="H65" s="203"/>
      <c r="I65" s="194">
        <f>SUMIF('Program Costs'!D:D,D65,'Program Costs'!N:N)</f>
        <v>1906365.21</v>
      </c>
      <c r="J65" s="194"/>
      <c r="K65" s="204"/>
      <c r="L65" s="204"/>
      <c r="M65" s="204"/>
      <c r="N65" s="222">
        <f>I65</f>
        <v>1906365.21</v>
      </c>
      <c r="O65" s="222">
        <f>I65</f>
        <v>1906365.21</v>
      </c>
      <c r="P65" s="196"/>
      <c r="Q65" s="196">
        <f t="shared" si="27"/>
        <v>1782149.3970272036</v>
      </c>
      <c r="R65" s="196">
        <f t="shared" si="27"/>
        <v>1782149.3970272036</v>
      </c>
      <c r="S65" s="206"/>
      <c r="T65" s="206"/>
      <c r="U65" s="207"/>
      <c r="V65" s="207"/>
      <c r="W65" s="106"/>
      <c r="X65" s="106">
        <v>18230802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224" customFormat="1" ht="14.1" customHeight="1">
      <c r="A66" s="102"/>
      <c r="B66" s="191"/>
      <c r="C66" s="208" t="s">
        <v>441</v>
      </c>
      <c r="D66" s="209">
        <v>18230624</v>
      </c>
      <c r="E66" s="201"/>
      <c r="F66" s="201"/>
      <c r="G66" s="202"/>
      <c r="H66" s="203"/>
      <c r="I66" s="194">
        <f>SUMIF('Program Costs'!D:D,D66,'Program Costs'!N:N)</f>
        <v>81122.25</v>
      </c>
      <c r="J66" s="194"/>
      <c r="K66" s="204"/>
      <c r="L66" s="204"/>
      <c r="M66" s="204"/>
      <c r="N66" s="222">
        <f>I66</f>
        <v>81122.25</v>
      </c>
      <c r="O66" s="222">
        <f>I66</f>
        <v>81122.25</v>
      </c>
      <c r="P66" s="196"/>
      <c r="Q66" s="196">
        <f t="shared" si="27"/>
        <v>75836.449471814514</v>
      </c>
      <c r="R66" s="196">
        <f t="shared" si="27"/>
        <v>75836.449471814514</v>
      </c>
      <c r="S66" s="206"/>
      <c r="T66" s="206"/>
      <c r="U66" s="207"/>
      <c r="V66" s="207"/>
      <c r="W66" s="106"/>
      <c r="X66" s="106">
        <v>18230624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9" customFormat="1">
      <c r="A67" s="225"/>
      <c r="B67" s="226"/>
      <c r="C67" s="226" t="s">
        <v>442</v>
      </c>
      <c r="D67" s="226"/>
      <c r="E67" s="226"/>
      <c r="F67" s="226"/>
      <c r="G67" s="226"/>
      <c r="H67" s="226">
        <f t="shared" ref="H67:P67" si="28">SUM(H62:H66)</f>
        <v>0</v>
      </c>
      <c r="I67" s="227">
        <f t="shared" si="28"/>
        <v>2596436.7599999998</v>
      </c>
      <c r="J67" s="226">
        <f t="shared" si="28"/>
        <v>0</v>
      </c>
      <c r="K67" s="226">
        <f t="shared" si="28"/>
        <v>0</v>
      </c>
      <c r="L67" s="226">
        <f t="shared" si="28"/>
        <v>0</v>
      </c>
      <c r="M67" s="226">
        <f t="shared" si="28"/>
        <v>0</v>
      </c>
      <c r="N67" s="228">
        <f t="shared" si="28"/>
        <v>2596436.7599999998</v>
      </c>
      <c r="O67" s="228">
        <f t="shared" si="28"/>
        <v>2596436.7599999998</v>
      </c>
      <c r="P67" s="228">
        <f t="shared" si="28"/>
        <v>0</v>
      </c>
      <c r="Q67" s="228">
        <f t="shared" si="27"/>
        <v>2427256.9505468816</v>
      </c>
      <c r="R67" s="228">
        <f t="shared" si="27"/>
        <v>2427256.9505468816</v>
      </c>
      <c r="S67" s="226">
        <f>SUM(S62:S66)</f>
        <v>0</v>
      </c>
      <c r="T67" s="226">
        <f>SUM(T62:T66)</f>
        <v>0</v>
      </c>
      <c r="U67" s="226"/>
      <c r="V67" s="226">
        <f>((S67*1.1)+(T67))/R67</f>
        <v>0</v>
      </c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40" customFormat="1">
      <c r="A68" s="230"/>
      <c r="B68" s="231" t="s">
        <v>443</v>
      </c>
      <c r="C68" s="232"/>
      <c r="D68" s="232"/>
      <c r="E68" s="232"/>
      <c r="F68" s="233"/>
      <c r="G68" s="234"/>
      <c r="H68" s="235">
        <f>SUM(H21,H40,H43,H47,H61,H67)</f>
        <v>169810057.78000003</v>
      </c>
      <c r="I68" s="235">
        <f t="shared" ref="I68:O68" si="29">I67+I61+I47+I40+I22+I43</f>
        <v>25353318.530000001</v>
      </c>
      <c r="J68" s="236">
        <f>J67+J61+J47+J40+J22+J43</f>
        <v>45560181.63000001</v>
      </c>
      <c r="K68" s="236">
        <f t="shared" si="29"/>
        <v>40551750.550000079</v>
      </c>
      <c r="L68" s="236">
        <f t="shared" si="29"/>
        <v>86111932.180000082</v>
      </c>
      <c r="M68" s="236">
        <f t="shared" si="29"/>
        <v>0</v>
      </c>
      <c r="N68" s="236">
        <f>N67+N61+N47+N40+N22+N43</f>
        <v>77643819</v>
      </c>
      <c r="O68" s="236">
        <f t="shared" si="29"/>
        <v>111465250.71000008</v>
      </c>
      <c r="P68" s="236"/>
      <c r="Q68" s="236">
        <f>Q67+Q61+Q47+Q40+Q22+Q43</f>
        <v>72560721.529400751</v>
      </c>
      <c r="R68" s="236">
        <f>R67+R61+R47+R40+R22+R43</f>
        <v>104202347.1160139</v>
      </c>
      <c r="S68" s="235">
        <f>S67+S61+S47+S40+S22+S43</f>
        <v>152710857.59960216</v>
      </c>
      <c r="T68" s="237">
        <f>T67+T61+T47+T40+T22+T43</f>
        <v>2662140.9155032998</v>
      </c>
      <c r="U68" s="238">
        <f>S68/Q68</f>
        <v>2.1045939784064238</v>
      </c>
      <c r="V68" s="238">
        <f>((S68*1.1)+(T68))/R68</f>
        <v>1.6376222704952965</v>
      </c>
      <c r="W68" s="106"/>
      <c r="X68" s="106"/>
      <c r="Y68" s="106"/>
      <c r="Z68" s="106"/>
      <c r="AA68" s="106"/>
      <c r="AB68" s="106"/>
      <c r="AC68" s="106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239"/>
      <c r="EH68" s="239"/>
      <c r="EI68" s="239"/>
      <c r="EJ68" s="239"/>
      <c r="EK68" s="239"/>
      <c r="EL68" s="239"/>
      <c r="EM68" s="239"/>
      <c r="EN68" s="239"/>
      <c r="EO68" s="239"/>
      <c r="EP68" s="239"/>
      <c r="EQ68" s="239"/>
      <c r="ER68" s="239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</row>
    <row r="69" spans="1:425" s="102" customFormat="1">
      <c r="B69" s="182"/>
      <c r="C69" s="183" t="s">
        <v>444</v>
      </c>
      <c r="D69" s="183"/>
      <c r="E69" s="184"/>
      <c r="F69" s="184"/>
      <c r="G69" s="185"/>
      <c r="H69" s="241"/>
      <c r="I69" s="242"/>
      <c r="J69" s="243"/>
      <c r="K69" s="186"/>
      <c r="L69" s="186"/>
      <c r="M69" s="186"/>
      <c r="N69" s="244"/>
      <c r="O69" s="187"/>
      <c r="P69" s="187"/>
      <c r="Q69" s="187"/>
      <c r="R69" s="187"/>
      <c r="S69" s="188"/>
      <c r="T69" s="189"/>
      <c r="U69" s="190"/>
      <c r="V69" s="190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7" customFormat="1">
      <c r="A70" s="102"/>
      <c r="B70" s="191"/>
      <c r="C70" s="245" t="s">
        <v>445</v>
      </c>
      <c r="D70" s="106">
        <v>18230128</v>
      </c>
      <c r="E70" s="245"/>
      <c r="F70" s="201"/>
      <c r="G70" s="202"/>
      <c r="H70" s="203"/>
      <c r="I70" s="194">
        <f>SUMIF('Program Costs'!D:D,D70,'Program Costs'!N:N)</f>
        <v>3518013.21</v>
      </c>
      <c r="J70" s="204"/>
      <c r="K70" s="204"/>
      <c r="L70" s="204" t="s">
        <v>312</v>
      </c>
      <c r="M70" s="204"/>
      <c r="N70" s="223">
        <f>I70</f>
        <v>3518013.21</v>
      </c>
      <c r="O70" s="223">
        <f>I70</f>
        <v>3518013.21</v>
      </c>
      <c r="P70" s="196">
        <v>0</v>
      </c>
      <c r="Q70" s="196">
        <f>N70/(1+ElecDiscountRate)^1</f>
        <v>3288784.9023090582</v>
      </c>
      <c r="R70" s="196">
        <f>O70/(1+ElecDiscountRate)^1</f>
        <v>3288784.9023090582</v>
      </c>
      <c r="S70" s="246"/>
      <c r="T70" s="206"/>
      <c r="U70" s="207"/>
      <c r="V70" s="207"/>
      <c r="W70" s="106"/>
      <c r="X70" s="106">
        <v>18230128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>
      <c r="B71" s="191"/>
      <c r="C71" s="245" t="s">
        <v>446</v>
      </c>
      <c r="D71" s="106">
        <v>18230133</v>
      </c>
      <c r="E71" s="245"/>
      <c r="F71" s="201"/>
      <c r="G71" s="202"/>
      <c r="H71" s="203"/>
      <c r="I71" s="194">
        <f>SUMIF('Program Costs'!D:D,D71,'Program Costs'!N:N)</f>
        <v>0</v>
      </c>
      <c r="J71" s="204"/>
      <c r="K71" s="204"/>
      <c r="L71" s="204"/>
      <c r="M71" s="204"/>
      <c r="N71" s="223">
        <f>I71</f>
        <v>0</v>
      </c>
      <c r="O71" s="223">
        <f>I71</f>
        <v>0</v>
      </c>
      <c r="P71" s="196"/>
      <c r="Q71" s="196">
        <f>N71/(1+ElecDiscountRate)^1</f>
        <v>0</v>
      </c>
      <c r="R71" s="196">
        <f>O71/(1+ElecDiscountRate)^1</f>
        <v>0</v>
      </c>
      <c r="S71" s="246"/>
      <c r="T71" s="206"/>
      <c r="U71" s="207"/>
      <c r="V71" s="207"/>
      <c r="W71" s="106"/>
      <c r="X71" s="106">
        <v>18230133</v>
      </c>
      <c r="Y71" s="106"/>
      <c r="Z71" s="106"/>
      <c r="AA71" s="106"/>
      <c r="AB71" s="106"/>
      <c r="AC71" s="106"/>
    </row>
    <row r="72" spans="1:425" ht="15.75">
      <c r="A72" s="249"/>
      <c r="B72" s="226"/>
      <c r="C72" s="226" t="s">
        <v>447</v>
      </c>
      <c r="D72" s="226"/>
      <c r="E72" s="226"/>
      <c r="F72" s="226"/>
      <c r="G72" s="226"/>
      <c r="H72" s="226"/>
      <c r="I72" s="227">
        <f>SUM(I70:I71)</f>
        <v>3518013.21</v>
      </c>
      <c r="J72" s="226">
        <f>SUM(J70:J71)</f>
        <v>0</v>
      </c>
      <c r="K72" s="226">
        <f>SUM(K70)</f>
        <v>0</v>
      </c>
      <c r="L72" s="226">
        <f>SUM(L70)</f>
        <v>0</v>
      </c>
      <c r="M72" s="226">
        <f>SUM(M70)</f>
        <v>0</v>
      </c>
      <c r="N72" s="228">
        <f>SUM(N70:N71)</f>
        <v>3518013.21</v>
      </c>
      <c r="O72" s="228">
        <f>SUM(O70:O71)</f>
        <v>3518013.21</v>
      </c>
      <c r="P72" s="228">
        <f>SUM(P70:P70)</f>
        <v>0</v>
      </c>
      <c r="Q72" s="228">
        <f>SUM(Q70:Q71)</f>
        <v>3288784.9023090582</v>
      </c>
      <c r="R72" s="228">
        <f>SUM(R70:R71)</f>
        <v>3288784.9023090582</v>
      </c>
      <c r="S72" s="226">
        <f>SUM(S70)</f>
        <v>0</v>
      </c>
      <c r="T72" s="226">
        <f>SUM(T70)</f>
        <v>0</v>
      </c>
      <c r="U72" s="226"/>
      <c r="V72" s="226"/>
      <c r="W72" s="106"/>
      <c r="X72" s="106"/>
      <c r="Y72" s="106"/>
      <c r="Z72" s="106"/>
      <c r="AA72" s="106"/>
      <c r="AB72" s="106"/>
      <c r="AC72" s="106"/>
    </row>
    <row r="73" spans="1:425">
      <c r="H73" s="250"/>
      <c r="N73" s="252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</row>
    <row r="74" spans="1:425">
      <c r="J74" s="254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</row>
    <row r="75" spans="1:425">
      <c r="T75" s="106"/>
      <c r="U75" s="106"/>
      <c r="V75" s="106"/>
    </row>
    <row r="76" spans="1:425">
      <c r="T76" s="106"/>
      <c r="U76" s="106"/>
      <c r="V76" s="106"/>
    </row>
    <row r="77" spans="1:425" ht="24" customHeight="1">
      <c r="T77" s="106"/>
      <c r="U77" s="106"/>
      <c r="V77" s="106"/>
    </row>
    <row r="78" spans="1:425">
      <c r="T78" s="106"/>
      <c r="U78" s="106"/>
      <c r="V78" s="106"/>
    </row>
    <row r="79" spans="1:425">
      <c r="T79" s="106"/>
      <c r="U79" s="106"/>
      <c r="V79" s="106"/>
    </row>
    <row r="80" spans="1:425">
      <c r="T80" s="106"/>
      <c r="U80" s="106"/>
      <c r="V80" s="106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</row>
    <row r="81" spans="6:148">
      <c r="F81" s="102"/>
      <c r="G81" s="102"/>
      <c r="H81" s="102"/>
      <c r="I81" s="102"/>
      <c r="K81" s="102"/>
      <c r="L81" s="102"/>
      <c r="M81" s="102"/>
      <c r="N81" s="102"/>
      <c r="O81" s="102"/>
      <c r="P81" s="102"/>
      <c r="V81" s="102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</row>
    <row r="82" spans="6:148">
      <c r="F82" s="102"/>
      <c r="G82" s="102"/>
      <c r="H82" s="102"/>
      <c r="I82" s="102"/>
      <c r="K82" s="102"/>
      <c r="L82" s="102"/>
      <c r="M82" s="102"/>
      <c r="N82" s="102"/>
      <c r="O82" s="102"/>
      <c r="P82" s="102"/>
      <c r="V82" s="102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 ht="24" customHeight="1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</row>
    <row r="92" spans="6:148">
      <c r="T92" s="106"/>
      <c r="U92" s="106"/>
      <c r="V92" s="106"/>
    </row>
    <row r="93" spans="6:148">
      <c r="T93" s="106"/>
      <c r="U93" s="106"/>
      <c r="V93" s="106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 ht="24" customHeight="1">
      <c r="T99" s="106"/>
      <c r="U99" s="106"/>
      <c r="V99" s="106"/>
    </row>
    <row r="100" spans="20:22">
      <c r="T100" s="106"/>
      <c r="U100" s="106"/>
      <c r="V100" s="106"/>
    </row>
    <row r="101" spans="20:22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 ht="24" customHeight="1">
      <c r="T110" s="106"/>
      <c r="U110" s="106"/>
      <c r="V110" s="106"/>
    </row>
    <row r="111" spans="20:22">
      <c r="T111" s="106"/>
      <c r="U111" s="106"/>
      <c r="V111" s="106"/>
    </row>
    <row r="112" spans="20:22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 ht="24" customHeight="1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 ht="24" customHeight="1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 ht="24" customHeight="1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 ht="24" customHeight="1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 ht="24" customHeight="1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 ht="24" customHeight="1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 ht="24" customHeight="1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 ht="24" customHeight="1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 ht="24" customHeight="1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 ht="24" customHeight="1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 ht="24" customHeight="1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 ht="24" customHeight="1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 ht="24" customHeight="1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</sheetData>
  <mergeCells count="2">
    <mergeCell ref="G1:J1"/>
    <mergeCell ref="K1:M1"/>
  </mergeCells>
  <conditionalFormatting sqref="X71">
    <cfRule type="duplicateValues" dxfId="320" priority="3"/>
  </conditionalFormatting>
  <conditionalFormatting sqref="X58:AA58">
    <cfRule type="duplicateValues" dxfId="319" priority="2"/>
  </conditionalFormatting>
  <conditionalFormatting sqref="D71">
    <cfRule type="duplicateValues" dxfId="31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7" location="'SF New Construction {E}'!A1" display="Single Family New Construction"/>
    <hyperlink ref="C18" location="'MH New Construction {E}'!A1" display="Energy Star Manufactured Home"/>
    <hyperlink ref="C19" location="'Multi Family Retrofit {E}'!A1" display="Multifamily Retrofit"/>
    <hyperlink ref="C20" location="'MF New Construction {E}'!A1" display="Multi-Family New Construction"/>
    <hyperlink ref="C24" location="'CI Retrofit {E}'!A1" display="Commercial/Industrial Retrofit"/>
    <hyperlink ref="C25" location="'Bus Lighting Grants {E}'!A1" display="Business Lighting Grants"/>
    <hyperlink ref="C26" location="'Industrial EM {E}'!A1" display="Industrial Energy Management"/>
    <hyperlink ref="C27" location="'CBA {E}'!A1" display="Clean Buildings Accelerator"/>
    <hyperlink ref="C28" location="'CI New Construction {E}'!A1" display="Commercial/Industrial New Construction"/>
    <hyperlink ref="C29" location="'Com SEM {E}'!A1" display="Commercial Strategic Energy Management"/>
    <hyperlink ref="C30" location="'P4P {E}'!A1" display="Pay for Performance"/>
    <hyperlink ref="C31" location="'LPU 449 {E}'!A1" display="Large Power User, Self-Directed 449"/>
    <hyperlink ref="C32" location="'LPU Non-449 {E}'!A1" display="Large Power User, Self Directed non-449"/>
    <hyperlink ref="C34" location="'Lighting to Go {E}'!A1" display="Lighting to Go--AKA Business Lighting Markdowns"/>
    <hyperlink ref="C35" location="'Commercial Kitchen Laundry {E}'!A1" display="Commercial Kitchen and Laundry"/>
    <hyperlink ref="C36" location="'Commercial HVAC {E}'!A1" display="Commercial HVAC Rebates"/>
    <hyperlink ref="C37" location="'Commercial Midstream {E}'!A1" display="Commercial Midstream"/>
    <hyperlink ref="C38" location="'SBDI {E}'!A1" display="Small Business Direct Install"/>
    <hyperlink ref="C39" location="'Lodging Rebates {E}'!A1" display="Lodging Rebates"/>
    <hyperlink ref="C41" location="'Residential Pilots {E}'!A1" display="Residential Pilots"/>
    <hyperlink ref="C42" location="'Commercial Pilots {E}'!A1" display="Commercial Pilots"/>
    <hyperlink ref="C44" location="'NEEA {E}'!A1" display="Northwest Energy Efficiency Alliance"/>
    <hyperlink ref="C45" location="'T&amp;D {E}'!A1" display="Transmission &amp; Distribution"/>
    <hyperlink ref="C46" location="'TDSM {E}'!A1" display="Targeted DSM Pilot"/>
    <hyperlink ref="A4" location="Summary!A1" display="Return to Summary Page"/>
  </hyperlinks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1011</v>
      </c>
      <c r="F5" s="39" t="s">
        <v>1012</v>
      </c>
      <c r="G5" s="39">
        <v>20</v>
      </c>
      <c r="H5" s="39"/>
      <c r="I5" s="40" t="s">
        <v>271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2.101030099578698E-2</v>
      </c>
      <c r="V5" s="48">
        <f t="shared" ref="V5:V24" si="2">N5-M5</f>
        <v>23577</v>
      </c>
      <c r="W5" s="49">
        <f t="shared" ref="W5:W24" si="3">(O5/A$10)</f>
        <v>1.050515049789349E-3</v>
      </c>
      <c r="X5" s="44">
        <f t="shared" ref="X5:X24" si="4">W5*A$8</f>
        <v>2494.2187738460962</v>
      </c>
      <c r="Y5" s="44">
        <f t="shared" ref="Y5:Y24" si="5">Q5-P5</f>
        <v>23577</v>
      </c>
      <c r="Z5" s="44">
        <f t="shared" ref="Z5:Z24" si="6">X5+(A$6*W5)</f>
        <v>15522.372704217736</v>
      </c>
      <c r="AA5" s="50">
        <f t="shared" ref="AA5:AA24" si="7">Q5+X5</f>
        <v>29897.218773846096</v>
      </c>
      <c r="AB5" s="51">
        <f t="shared" ref="AB5:AC20" si="8">Z5/(1+ElecDiscountRate)^1</f>
        <v>14510.958870914961</v>
      </c>
      <c r="AC5" s="44">
        <f t="shared" si="8"/>
        <v>27949.162170558189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4.624170926620363</v>
      </c>
      <c r="AP5" s="47">
        <f>AN5/AC5</f>
        <v>2.6409117057129148</v>
      </c>
    </row>
    <row r="6" spans="1:42" ht="13.5" customHeight="1">
      <c r="A6" s="53">
        <f>SUMIF('Program Costs'!D:D,C2,'Program Costs'!L:L)</f>
        <v>12401682.33</v>
      </c>
      <c r="B6" s="97" t="s">
        <v>65</v>
      </c>
      <c r="C6" s="98">
        <v>18230724</v>
      </c>
      <c r="D6" s="61" t="s">
        <v>138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0.12578380560962024</v>
      </c>
      <c r="V6" s="48">
        <f t="shared" si="2"/>
        <v>74062</v>
      </c>
      <c r="W6" s="49">
        <f t="shared" si="3"/>
        <v>6.2891902804810117E-3</v>
      </c>
      <c r="X6" s="44">
        <f t="shared" si="4"/>
        <v>14932.310082574868</v>
      </c>
      <c r="Y6" s="44">
        <f t="shared" si="5"/>
        <v>74062</v>
      </c>
      <c r="Z6" s="44">
        <f t="shared" si="6"/>
        <v>92928.850054023977</v>
      </c>
      <c r="AA6" s="50">
        <f t="shared" si="7"/>
        <v>149494.31008257487</v>
      </c>
      <c r="AB6" s="51">
        <f t="shared" si="8"/>
        <v>86873.749699938271</v>
      </c>
      <c r="AC6" s="44">
        <f t="shared" si="8"/>
        <v>139753.49171036258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4.624170926620363</v>
      </c>
      <c r="AP6" s="47">
        <f t="shared" ref="AP6:AP24" si="16">AN6/AC6</f>
        <v>3.1619315482267711</v>
      </c>
    </row>
    <row r="7" spans="1:42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1011</v>
      </c>
      <c r="F7" s="39" t="s">
        <v>1012</v>
      </c>
      <c r="G7" s="39">
        <v>20</v>
      </c>
      <c r="H7" s="39"/>
      <c r="I7" s="40" t="s">
        <v>271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1.1029137813096207E-4</v>
      </c>
      <c r="V7" s="48">
        <f t="shared" si="2"/>
        <v>0</v>
      </c>
      <c r="W7" s="49">
        <f t="shared" si="3"/>
        <v>5.5145689065481033E-6</v>
      </c>
      <c r="X7" s="44">
        <f t="shared" si="4"/>
        <v>13.093140644808754</v>
      </c>
      <c r="Y7" s="44">
        <f t="shared" si="5"/>
        <v>0</v>
      </c>
      <c r="Z7" s="44">
        <f t="shared" si="6"/>
        <v>81.483072410713788</v>
      </c>
      <c r="AA7" s="50">
        <f t="shared" si="7"/>
        <v>613.09314064480873</v>
      </c>
      <c r="AB7" s="51">
        <f t="shared" si="8"/>
        <v>76.17376125148526</v>
      </c>
      <c r="AC7" s="44">
        <f t="shared" si="8"/>
        <v>573.14493843583125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4.6241709266203621</v>
      </c>
      <c r="AP7" s="47">
        <f t="shared" si="16"/>
        <v>0.6760323879382264</v>
      </c>
    </row>
    <row r="8" spans="1:42" ht="13.5" customHeight="1">
      <c r="A8" s="53">
        <f>SUMIF('Program Costs'!D:D,C2,'Program Costs'!O:O)</f>
        <v>2374281.8100000005</v>
      </c>
      <c r="B8" s="97" t="s">
        <v>65</v>
      </c>
      <c r="C8" s="98">
        <v>18230724</v>
      </c>
      <c r="D8" s="61" t="s">
        <v>138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0.22176787223142874</v>
      </c>
      <c r="V8" s="48">
        <f t="shared" si="2"/>
        <v>173943.31</v>
      </c>
      <c r="W8" s="49">
        <f t="shared" si="3"/>
        <v>1.1088393611571438E-2</v>
      </c>
      <c r="X8" s="44">
        <f t="shared" si="4"/>
        <v>26326.971254074277</v>
      </c>
      <c r="Y8" s="44">
        <f t="shared" si="5"/>
        <v>173943.31</v>
      </c>
      <c r="Z8" s="44">
        <f t="shared" si="6"/>
        <v>163841.70637478467</v>
      </c>
      <c r="AA8" s="50">
        <f t="shared" si="7"/>
        <v>301062.97125407425</v>
      </c>
      <c r="AB8" s="51">
        <f t="shared" si="8"/>
        <v>153166.03381769155</v>
      </c>
      <c r="AC8" s="44">
        <f t="shared" si="8"/>
        <v>281446.17299623654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4.6241709266203621</v>
      </c>
      <c r="AP8" s="47">
        <f t="shared" si="16"/>
        <v>2.7681758976644195</v>
      </c>
    </row>
    <row r="9" spans="1:42" ht="13.5" customHeight="1">
      <c r="A9" s="36" t="s">
        <v>251</v>
      </c>
      <c r="B9" s="97" t="s">
        <v>65</v>
      </c>
      <c r="C9" s="98">
        <v>18230724</v>
      </c>
      <c r="D9" s="61" t="s">
        <v>138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6.7694947745700618E-3</v>
      </c>
      <c r="V9" s="48">
        <f t="shared" si="2"/>
        <v>7413.4599999999991</v>
      </c>
      <c r="W9" s="49">
        <f t="shared" si="3"/>
        <v>3.3847473872850308E-4</v>
      </c>
      <c r="X9" s="44">
        <f t="shared" si="4"/>
        <v>803.63441530758757</v>
      </c>
      <c r="Y9" s="44">
        <f t="shared" si="5"/>
        <v>7413.4599999999991</v>
      </c>
      <c r="Z9" s="44">
        <f t="shared" si="6"/>
        <v>5001.290601748231</v>
      </c>
      <c r="AA9" s="50">
        <f t="shared" si="7"/>
        <v>11495.094415307587</v>
      </c>
      <c r="AB9" s="51">
        <f t="shared" si="8"/>
        <v>4675.4142299226232</v>
      </c>
      <c r="AC9" s="44">
        <f t="shared" si="8"/>
        <v>10746.091815749824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4.624170926620363</v>
      </c>
      <c r="AP9" s="47">
        <f t="shared" si="16"/>
        <v>2.2130748940979013</v>
      </c>
    </row>
    <row r="10" spans="1:42" ht="13.5" customHeight="1">
      <c r="A10" s="54">
        <f>SUM(O5:O999)</f>
        <v>48417202.600000001</v>
      </c>
      <c r="B10" s="97" t="s">
        <v>65</v>
      </c>
      <c r="C10" s="98">
        <v>18230724</v>
      </c>
      <c r="D10" s="61" t="s">
        <v>138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1.693612922610279E-2</v>
      </c>
      <c r="V10" s="48">
        <f t="shared" si="2"/>
        <v>19352.43</v>
      </c>
      <c r="W10" s="49">
        <f t="shared" si="3"/>
        <v>8.4680646130513946E-4</v>
      </c>
      <c r="X10" s="44">
        <f t="shared" si="4"/>
        <v>2010.5571776672618</v>
      </c>
      <c r="Y10" s="44">
        <f t="shared" si="5"/>
        <v>19352.43</v>
      </c>
      <c r="Z10" s="44">
        <f t="shared" si="6"/>
        <v>12512.38190576504</v>
      </c>
      <c r="AA10" s="50">
        <f t="shared" si="7"/>
        <v>27860.557177667262</v>
      </c>
      <c r="AB10" s="51">
        <f t="shared" si="8"/>
        <v>11697.094424385377</v>
      </c>
      <c r="AC10" s="44">
        <f t="shared" si="8"/>
        <v>26045.206298651268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4.624170926620363</v>
      </c>
      <c r="AP10" s="47">
        <f t="shared" si="16"/>
        <v>2.2844242305953513</v>
      </c>
    </row>
    <row r="11" spans="1:42" ht="13.5" customHeight="1">
      <c r="A11" s="36" t="s">
        <v>252</v>
      </c>
      <c r="B11" s="97" t="s">
        <v>65</v>
      </c>
      <c r="C11" s="98">
        <v>18230724</v>
      </c>
      <c r="D11" s="61" t="s">
        <v>138</v>
      </c>
      <c r="E11" s="38" t="s">
        <v>1011</v>
      </c>
      <c r="F11" s="39" t="s">
        <v>1012</v>
      </c>
      <c r="G11" s="39">
        <v>20</v>
      </c>
      <c r="H11" s="39"/>
      <c r="I11" s="40" t="s">
        <v>271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0.15635599732067129</v>
      </c>
      <c r="V11" s="48">
        <f t="shared" si="2"/>
        <v>162411</v>
      </c>
      <c r="W11" s="49">
        <f t="shared" si="3"/>
        <v>7.8177998660335646E-3</v>
      </c>
      <c r="X11" s="44">
        <f t="shared" si="4"/>
        <v>18561.660016143935</v>
      </c>
      <c r="Y11" s="44">
        <f t="shared" si="5"/>
        <v>162411</v>
      </c>
      <c r="Z11" s="44">
        <f t="shared" si="6"/>
        <v>115515.53047420876</v>
      </c>
      <c r="AA11" s="50">
        <f t="shared" si="7"/>
        <v>283171.66001614393</v>
      </c>
      <c r="AB11" s="51">
        <f t="shared" si="8"/>
        <v>107988.71690586963</v>
      </c>
      <c r="AC11" s="44">
        <f t="shared" si="8"/>
        <v>264720.63196797599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4.624170926620363</v>
      </c>
      <c r="AP11" s="47">
        <f t="shared" si="16"/>
        <v>2.0749954755983091</v>
      </c>
    </row>
    <row r="12" spans="1:42" ht="13.5" customHeight="1">
      <c r="A12" s="55">
        <f>SUM(P5:P1000)</f>
        <v>12412035.33</v>
      </c>
      <c r="B12" s="97" t="s">
        <v>65</v>
      </c>
      <c r="C12" s="98">
        <v>18230724</v>
      </c>
      <c r="D12" s="61" t="s">
        <v>138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5.9243406185552731E-3</v>
      </c>
      <c r="V12" s="48">
        <f t="shared" si="2"/>
        <v>31062</v>
      </c>
      <c r="W12" s="49">
        <f t="shared" si="3"/>
        <v>2.9621703092776365E-4</v>
      </c>
      <c r="X12" s="44">
        <f t="shared" si="4"/>
        <v>703.30270834399676</v>
      </c>
      <c r="Y12" s="44">
        <f t="shared" si="5"/>
        <v>31062</v>
      </c>
      <c r="Z12" s="44">
        <f t="shared" si="6"/>
        <v>4376.8922266459067</v>
      </c>
      <c r="AA12" s="50">
        <f t="shared" si="7"/>
        <v>33431.302708343996</v>
      </c>
      <c r="AB12" s="51">
        <f t="shared" si="8"/>
        <v>4091.7006886471968</v>
      </c>
      <c r="AC12" s="44">
        <f t="shared" si="8"/>
        <v>31252.970653775817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4.624170926620363</v>
      </c>
      <c r="AP12" s="47">
        <f t="shared" si="16"/>
        <v>0.66594615698869197</v>
      </c>
    </row>
    <row r="13" spans="1:42" ht="13.5" customHeight="1">
      <c r="A13" s="56" t="s">
        <v>255</v>
      </c>
      <c r="B13" s="97" t="s">
        <v>65</v>
      </c>
      <c r="C13" s="98">
        <v>18230724</v>
      </c>
      <c r="D13" s="61" t="s">
        <v>138</v>
      </c>
      <c r="E13" s="38" t="s">
        <v>1011</v>
      </c>
      <c r="F13" s="39" t="s">
        <v>1012</v>
      </c>
      <c r="G13" s="39">
        <v>7</v>
      </c>
      <c r="H13" s="39"/>
      <c r="I13" s="40" t="s">
        <v>271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0.2143033145826562</v>
      </c>
      <c r="V13" s="48">
        <f t="shared" si="2"/>
        <v>491728</v>
      </c>
      <c r="W13" s="49">
        <f t="shared" si="3"/>
        <v>3.0614759226093743E-2</v>
      </c>
      <c r="X13" s="44">
        <f t="shared" si="4"/>
        <v>72688.065948044066</v>
      </c>
      <c r="Y13" s="44">
        <f t="shared" si="5"/>
        <v>491728</v>
      </c>
      <c r="Z13" s="44">
        <f t="shared" si="6"/>
        <v>452362.5844794953</v>
      </c>
      <c r="AA13" s="50">
        <f t="shared" si="7"/>
        <v>851616.06594804407</v>
      </c>
      <c r="AB13" s="51">
        <f t="shared" si="8"/>
        <v>422887.3370846922</v>
      </c>
      <c r="AC13" s="44">
        <f t="shared" si="8"/>
        <v>796126.07829115074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1.8041634890288314</v>
      </c>
      <c r="AP13" s="47">
        <f t="shared" si="16"/>
        <v>1.0541718275280387</v>
      </c>
    </row>
    <row r="14" spans="1:42" ht="13.5" customHeight="1">
      <c r="A14" s="55">
        <f>SUM(Y5:Y1000)</f>
        <v>17516428.050000001</v>
      </c>
      <c r="B14" s="97" t="s">
        <v>65</v>
      </c>
      <c r="C14" s="98">
        <v>18230724</v>
      </c>
      <c r="D14" s="61" t="s">
        <v>138</v>
      </c>
      <c r="E14" s="38" t="s">
        <v>1011</v>
      </c>
      <c r="F14" s="39" t="s">
        <v>1012</v>
      </c>
      <c r="G14" s="39">
        <v>10</v>
      </c>
      <c r="H14" s="39"/>
      <c r="I14" s="40" t="s">
        <v>271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0.48604790727831104</v>
      </c>
      <c r="V14" s="48">
        <f t="shared" si="2"/>
        <v>732741.87</v>
      </c>
      <c r="W14" s="49">
        <f t="shared" si="3"/>
        <v>4.8604790727831103E-2</v>
      </c>
      <c r="X14" s="44">
        <f t="shared" si="4"/>
        <v>115401.47050394607</v>
      </c>
      <c r="Y14" s="44">
        <f t="shared" si="5"/>
        <v>732741.87</v>
      </c>
      <c r="Z14" s="44">
        <f t="shared" si="6"/>
        <v>718182.64482663688</v>
      </c>
      <c r="AA14" s="50">
        <f t="shared" si="7"/>
        <v>1019220.3405039461</v>
      </c>
      <c r="AB14" s="51">
        <f t="shared" si="8"/>
        <v>671386.97282101226</v>
      </c>
      <c r="AC14" s="44">
        <f t="shared" si="8"/>
        <v>952809.51715803123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2.5512976799759355</v>
      </c>
      <c r="AP14" s="47">
        <f t="shared" si="16"/>
        <v>1.9775189004794931</v>
      </c>
    </row>
    <row r="15" spans="1:42" ht="13.5" customHeight="1">
      <c r="A15" s="57" t="s">
        <v>258</v>
      </c>
      <c r="B15" s="97" t="s">
        <v>65</v>
      </c>
      <c r="C15" s="98">
        <v>18230724</v>
      </c>
      <c r="D15" s="61" t="s">
        <v>138</v>
      </c>
      <c r="E15" s="38" t="s">
        <v>1011</v>
      </c>
      <c r="F15" s="39" t="s">
        <v>1012</v>
      </c>
      <c r="G15" s="39">
        <v>11</v>
      </c>
      <c r="H15" s="39"/>
      <c r="I15" s="40" t="s">
        <v>271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0.12967959036939486</v>
      </c>
      <c r="V15" s="48">
        <f t="shared" si="2"/>
        <v>264643</v>
      </c>
      <c r="W15" s="49">
        <f t="shared" si="3"/>
        <v>1.1789053669944987E-2</v>
      </c>
      <c r="X15" s="44">
        <f t="shared" si="4"/>
        <v>27990.535685664134</v>
      </c>
      <c r="Y15" s="44">
        <f t="shared" si="5"/>
        <v>264643</v>
      </c>
      <c r="Z15" s="44">
        <f t="shared" si="6"/>
        <v>174194.63427164254</v>
      </c>
      <c r="AA15" s="50">
        <f t="shared" si="7"/>
        <v>392444.53568566416</v>
      </c>
      <c r="AB15" s="51">
        <f t="shared" si="8"/>
        <v>162844.38092141959</v>
      </c>
      <c r="AC15" s="44">
        <f t="shared" si="8"/>
        <v>366873.45581533527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2.7999728840247058</v>
      </c>
      <c r="AP15" s="47">
        <f t="shared" si="16"/>
        <v>1.3671085439274686</v>
      </c>
    </row>
    <row r="16" spans="1:42" ht="13.5" customHeight="1">
      <c r="A16" s="54">
        <f>SUM(U5:U999)</f>
        <v>14.893028479096808</v>
      </c>
      <c r="B16" s="97" t="s">
        <v>65</v>
      </c>
      <c r="C16" s="98">
        <v>18230724</v>
      </c>
      <c r="D16" s="61" t="s">
        <v>138</v>
      </c>
      <c r="E16" s="38" t="s">
        <v>1011</v>
      </c>
      <c r="F16" s="39" t="s">
        <v>1012</v>
      </c>
      <c r="G16" s="39">
        <v>12</v>
      </c>
      <c r="H16" s="39"/>
      <c r="I16" s="40" t="s">
        <v>271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6.3360290046992507E-2</v>
      </c>
      <c r="V16" s="48">
        <f t="shared" si="2"/>
        <v>171586.06999999998</v>
      </c>
      <c r="W16" s="49">
        <f t="shared" si="3"/>
        <v>5.2800241705827089E-3</v>
      </c>
      <c r="X16" s="44">
        <f t="shared" si="4"/>
        <v>12536.265344574866</v>
      </c>
      <c r="Y16" s="44">
        <f t="shared" si="5"/>
        <v>171586.06999999998</v>
      </c>
      <c r="Z16" s="44">
        <f t="shared" si="6"/>
        <v>78017.447802863346</v>
      </c>
      <c r="AA16" s="50">
        <f t="shared" si="7"/>
        <v>221545.87534457486</v>
      </c>
      <c r="AB16" s="51">
        <f t="shared" si="8"/>
        <v>72933.951390916467</v>
      </c>
      <c r="AC16" s="44">
        <f t="shared" si="8"/>
        <v>207110.28825331855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3.0372194739030842</v>
      </c>
      <c r="AP16" s="47">
        <f t="shared" si="16"/>
        <v>1.1765135439456247</v>
      </c>
    </row>
    <row r="17" spans="1:42" ht="13.5" customHeight="1">
      <c r="A17" s="58" t="s">
        <v>261</v>
      </c>
      <c r="B17" s="97" t="s">
        <v>65</v>
      </c>
      <c r="C17" s="98">
        <v>18230724</v>
      </c>
      <c r="D17" s="61" t="s">
        <v>138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0.15545939450867818</v>
      </c>
      <c r="V17" s="48">
        <f t="shared" si="2"/>
        <v>201805.71000000002</v>
      </c>
      <c r="W17" s="49">
        <f t="shared" si="3"/>
        <v>1.1958414962206015E-2</v>
      </c>
      <c r="X17" s="44">
        <f t="shared" si="4"/>
        <v>28392.647121197584</v>
      </c>
      <c r="Y17" s="44">
        <f t="shared" si="5"/>
        <v>201805.71000000002</v>
      </c>
      <c r="Z17" s="44">
        <f t="shared" si="6"/>
        <v>176697.11065279553</v>
      </c>
      <c r="AA17" s="50">
        <f t="shared" si="7"/>
        <v>356171.35712119762</v>
      </c>
      <c r="AB17" s="51">
        <f t="shared" si="8"/>
        <v>165183.79980629662</v>
      </c>
      <c r="AC17" s="44">
        <f t="shared" si="8"/>
        <v>332963.78154734749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3.2655477408462792</v>
      </c>
      <c r="AP17" s="47">
        <f t="shared" si="16"/>
        <v>1.7820471042003292</v>
      </c>
    </row>
    <row r="18" spans="1:42" ht="13.5" customHeight="1">
      <c r="A18" s="59">
        <f>A6+A8</f>
        <v>14775964.140000001</v>
      </c>
      <c r="B18" s="97" t="s">
        <v>65</v>
      </c>
      <c r="C18" s="98">
        <v>18230724</v>
      </c>
      <c r="D18" s="61" t="s">
        <v>138</v>
      </c>
      <c r="E18" s="38" t="s">
        <v>1011</v>
      </c>
      <c r="F18" s="39" t="s">
        <v>1012</v>
      </c>
      <c r="G18" s="39">
        <v>14</v>
      </c>
      <c r="H18" s="39"/>
      <c r="I18" s="40" t="s">
        <v>271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1.0613807333015972</v>
      </c>
      <c r="V18" s="48">
        <f t="shared" si="2"/>
        <v>933867.2699999999</v>
      </c>
      <c r="W18" s="49">
        <f t="shared" si="3"/>
        <v>7.5812909521542654E-2</v>
      </c>
      <c r="X18" s="44">
        <f t="shared" si="4"/>
        <v>180001.21204017458</v>
      </c>
      <c r="Y18" s="44">
        <f t="shared" si="5"/>
        <v>933867.2699999999</v>
      </c>
      <c r="Z18" s="44">
        <f t="shared" si="6"/>
        <v>1120208.8324393788</v>
      </c>
      <c r="AA18" s="50">
        <f t="shared" si="7"/>
        <v>1966897.9020401745</v>
      </c>
      <c r="AB18" s="51">
        <f t="shared" si="8"/>
        <v>1047217.7549213599</v>
      </c>
      <c r="AC18" s="44">
        <f t="shared" si="8"/>
        <v>1838737.8723382016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3.4850288959978233</v>
      </c>
      <c r="AP18" s="47">
        <f t="shared" si="16"/>
        <v>2.183314223483181</v>
      </c>
    </row>
    <row r="19" spans="1:42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1011</v>
      </c>
      <c r="F19" s="39" t="s">
        <v>1012</v>
      </c>
      <c r="G19" s="39">
        <v>15</v>
      </c>
      <c r="H19" s="39"/>
      <c r="I19" s="40" t="s">
        <v>271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6.5978898582628975</v>
      </c>
      <c r="V19" s="48">
        <f t="shared" si="2"/>
        <v>7438256.5200000005</v>
      </c>
      <c r="W19" s="49">
        <f t="shared" si="3"/>
        <v>0.43985932388419319</v>
      </c>
      <c r="X19" s="44">
        <f t="shared" si="4"/>
        <v>1044349.9916571387</v>
      </c>
      <c r="Y19" s="44">
        <f t="shared" si="5"/>
        <v>7438256.5200000005</v>
      </c>
      <c r="Z19" s="44">
        <f t="shared" si="6"/>
        <v>6499345.5963574843</v>
      </c>
      <c r="AA19" s="50">
        <f t="shared" si="7"/>
        <v>14279841.311657138</v>
      </c>
      <c r="AB19" s="51">
        <f t="shared" si="8"/>
        <v>6075858.2746166997</v>
      </c>
      <c r="AC19" s="44">
        <f t="shared" si="8"/>
        <v>13349388.904980028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3.6964915147625637</v>
      </c>
      <c r="AP19" s="47">
        <f t="shared" si="16"/>
        <v>1.8506685653233323</v>
      </c>
    </row>
    <row r="20" spans="1:42" ht="13.5" customHeight="1">
      <c r="A20" s="59">
        <f>A8+SUM(Q5:Q906)</f>
        <v>32302745.190000005</v>
      </c>
      <c r="B20" s="97" t="s">
        <v>65</v>
      </c>
      <c r="C20" s="98">
        <v>18230724</v>
      </c>
      <c r="D20" s="61" t="s">
        <v>138</v>
      </c>
      <c r="E20" s="38" t="s">
        <v>1011</v>
      </c>
      <c r="F20" s="39" t="s">
        <v>1012</v>
      </c>
      <c r="G20" s="39">
        <v>16</v>
      </c>
      <c r="H20" s="39"/>
      <c r="I20" s="40" t="s">
        <v>271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0.46485196978315307</v>
      </c>
      <c r="V20" s="48">
        <f t="shared" si="2"/>
        <v>517569.85</v>
      </c>
      <c r="W20" s="49">
        <f t="shared" si="3"/>
        <v>2.9053248111447067E-2</v>
      </c>
      <c r="X20" s="44">
        <f t="shared" si="4"/>
        <v>68980.59851242564</v>
      </c>
      <c r="Y20" s="44">
        <f t="shared" si="5"/>
        <v>517569.85</v>
      </c>
      <c r="Z20" s="44">
        <f t="shared" si="6"/>
        <v>429289.75224526459</v>
      </c>
      <c r="AA20" s="50">
        <f t="shared" si="7"/>
        <v>930780.44851242565</v>
      </c>
      <c r="AB20" s="51">
        <f t="shared" si="8"/>
        <v>401317.8949661256</v>
      </c>
      <c r="AC20" s="44">
        <f t="shared" si="8"/>
        <v>870132.23194580304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3.8998270161345041</v>
      </c>
      <c r="AP20" s="47">
        <f t="shared" si="16"/>
        <v>1.9785238869752255</v>
      </c>
    </row>
    <row r="21" spans="1:42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1011</v>
      </c>
      <c r="F21" s="39" t="s">
        <v>1012</v>
      </c>
      <c r="G21" s="39">
        <v>17</v>
      </c>
      <c r="H21" s="39"/>
      <c r="I21" s="40" t="s">
        <v>271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0.1516974258236059</v>
      </c>
      <c r="V21" s="48">
        <f t="shared" si="2"/>
        <v>105187.28</v>
      </c>
      <c r="W21" s="49">
        <f t="shared" si="3"/>
        <v>8.9233779896238773E-3</v>
      </c>
      <c r="X21" s="44">
        <f t="shared" si="4"/>
        <v>21186.614044518345</v>
      </c>
      <c r="Y21" s="44">
        <f t="shared" si="5"/>
        <v>105187.28</v>
      </c>
      <c r="Z21" s="44">
        <f t="shared" si="6"/>
        <v>131851.5131823477</v>
      </c>
      <c r="AA21" s="50">
        <f t="shared" si="7"/>
        <v>239515.89404451835</v>
      </c>
      <c r="AB21" s="51">
        <f t="shared" ref="AB21:AC24" si="18">Z21/(1+ElecDiscountRate)^1</f>
        <v>123260.27220935561</v>
      </c>
      <c r="AC21" s="44">
        <f t="shared" si="18"/>
        <v>223909.40828692002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4.092285152761594</v>
      </c>
      <c r="AP21" s="47">
        <f t="shared" si="16"/>
        <v>2.4780459397466106</v>
      </c>
    </row>
    <row r="22" spans="1:42" ht="13.5" customHeight="1">
      <c r="A22" s="60">
        <f>(SUM(AM5:AM1000)/(SUM(AB5:AB1000)))</f>
        <v>3.6389445705886221</v>
      </c>
      <c r="B22" s="97" t="s">
        <v>65</v>
      </c>
      <c r="C22" s="98">
        <v>18230724</v>
      </c>
      <c r="D22" s="61" t="s">
        <v>138</v>
      </c>
      <c r="E22" s="38" t="s">
        <v>1011</v>
      </c>
      <c r="F22" s="39" t="s">
        <v>1012</v>
      </c>
      <c r="G22" s="39">
        <v>18</v>
      </c>
      <c r="H22" s="39"/>
      <c r="I22" s="40" t="s">
        <v>271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0.54708030570935962</v>
      </c>
      <c r="V22" s="48">
        <f t="shared" si="2"/>
        <v>471653.49</v>
      </c>
      <c r="W22" s="49">
        <f t="shared" si="3"/>
        <v>3.0393350317186645E-2</v>
      </c>
      <c r="X22" s="44">
        <f t="shared" si="4"/>
        <v>72162.378803054002</v>
      </c>
      <c r="Y22" s="44">
        <f t="shared" si="5"/>
        <v>471653.49</v>
      </c>
      <c r="Z22" s="44">
        <f t="shared" si="6"/>
        <v>449091.0543812075</v>
      </c>
      <c r="AA22" s="50">
        <f t="shared" si="7"/>
        <v>983409.86880305398</v>
      </c>
      <c r="AB22" s="51">
        <f t="shared" si="18"/>
        <v>419828.97483519441</v>
      </c>
      <c r="AC22" s="44">
        <f t="shared" si="18"/>
        <v>919332.40048897255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4.2781535893122582</v>
      </c>
      <c r="AP22" s="47">
        <f t="shared" si="16"/>
        <v>2.1490617736266966</v>
      </c>
    </row>
    <row r="23" spans="1:42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1011</v>
      </c>
      <c r="F23" s="39" t="s">
        <v>1012</v>
      </c>
      <c r="G23" s="39">
        <v>19</v>
      </c>
      <c r="H23" s="39"/>
      <c r="I23" s="40" t="s">
        <v>271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0.43405343290113996</v>
      </c>
      <c r="V23" s="48">
        <f t="shared" si="2"/>
        <v>277794.63</v>
      </c>
      <c r="W23" s="49">
        <f t="shared" si="3"/>
        <v>2.2844917521112628E-2</v>
      </c>
      <c r="X23" s="44">
        <f t="shared" si="4"/>
        <v>54240.272121328017</v>
      </c>
      <c r="Y23" s="44">
        <f t="shared" si="5"/>
        <v>277794.63</v>
      </c>
      <c r="Z23" s="44">
        <f t="shared" si="6"/>
        <v>337555.68207321793</v>
      </c>
      <c r="AA23" s="50">
        <f t="shared" si="7"/>
        <v>624396.90212132805</v>
      </c>
      <c r="AB23" s="51">
        <f t="shared" si="18"/>
        <v>315561.07513622317</v>
      </c>
      <c r="AC23" s="44">
        <f t="shared" si="18"/>
        <v>583712.16427159763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4.4558945673777499</v>
      </c>
      <c r="AP23" s="47">
        <f t="shared" si="16"/>
        <v>2.6497949898697652</v>
      </c>
    </row>
    <row r="24" spans="1:42" ht="13.5" customHeight="1">
      <c r="A24" s="60">
        <f>(SUM(AN5:AN1000)/SUM(AC5:AC1000))</f>
        <v>1.8309838864413779</v>
      </c>
      <c r="B24" s="97" t="s">
        <v>65</v>
      </c>
      <c r="C24" s="98">
        <v>18230724</v>
      </c>
      <c r="D24" s="61" t="s">
        <v>138</v>
      </c>
      <c r="E24" s="38" t="s">
        <v>1011</v>
      </c>
      <c r="F24" s="39" t="s">
        <v>1012</v>
      </c>
      <c r="G24" s="39">
        <v>20</v>
      </c>
      <c r="H24" s="39"/>
      <c r="I24" s="40" t="s">
        <v>271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1.538722933158472</v>
      </c>
      <c r="V24" s="48">
        <f t="shared" si="2"/>
        <v>1939471.12</v>
      </c>
      <c r="W24" s="49">
        <f t="shared" si="3"/>
        <v>7.6936146657923601E-2</v>
      </c>
      <c r="X24" s="44">
        <f t="shared" si="4"/>
        <v>182668.09354140033</v>
      </c>
      <c r="Y24" s="44">
        <f t="shared" si="5"/>
        <v>1939471.12</v>
      </c>
      <c r="Z24" s="44">
        <f t="shared" si="6"/>
        <v>1136805.74408726</v>
      </c>
      <c r="AA24" s="50">
        <f t="shared" si="7"/>
        <v>3005709.2135414006</v>
      </c>
      <c r="AB24" s="51">
        <f t="shared" si="18"/>
        <v>1062733.2374378422</v>
      </c>
      <c r="AC24" s="44">
        <f t="shared" si="18"/>
        <v>2809861.8430788075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4.624170926620363</v>
      </c>
      <c r="AP24" s="47">
        <f t="shared" si="16"/>
        <v>1.9238263142936007</v>
      </c>
    </row>
    <row r="25" spans="1:42" ht="13.5" customHeight="1">
      <c r="B25" s="97" t="s">
        <v>65</v>
      </c>
      <c r="C25" s="98">
        <v>18230724</v>
      </c>
      <c r="D25" s="61" t="s">
        <v>138</v>
      </c>
      <c r="E25" s="38" t="s">
        <v>1043</v>
      </c>
      <c r="F25" s="39" t="s">
        <v>1044</v>
      </c>
      <c r="G25" s="39">
        <v>12</v>
      </c>
      <c r="H25" s="39"/>
      <c r="I25" s="40" t="s">
        <v>271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0.45539062184480689</v>
      </c>
      <c r="V25" s="48">
        <f t="shared" ref="V25:V67" si="21">N25-M25</f>
        <v>1603048.29</v>
      </c>
      <c r="W25" s="49">
        <f t="shared" ref="W25:W67" si="22">(O25/A$10)</f>
        <v>3.7949218487067241E-2</v>
      </c>
      <c r="X25" s="44">
        <f t="shared" ref="X25:X67" si="23">W25*A$8</f>
        <v>90102.13915755949</v>
      </c>
      <c r="Y25" s="44">
        <f t="shared" ref="Y25:Y67" si="24">Q25-P25</f>
        <v>1603048.29</v>
      </c>
      <c r="Z25" s="44">
        <f t="shared" ref="Z25:Z67" si="25">X25+(A$6*W25)</f>
        <v>560736.2915059306</v>
      </c>
      <c r="AA25" s="50">
        <f t="shared" ref="AA25:AA67" si="26">Q25+X25</f>
        <v>1871975.7391575596</v>
      </c>
      <c r="AB25" s="51">
        <f t="shared" ref="AB25:AB67" si="27">Z25/(1+ElecDiscountRate)^1</f>
        <v>524199.58072911151</v>
      </c>
      <c r="AC25" s="44">
        <f t="shared" ref="AC25:AC67" si="28">AA25/(1+ElecDiscountRate)^1</f>
        <v>1750000.6909951945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3.0372194739030838</v>
      </c>
      <c r="AP25" s="47">
        <f t="shared" ref="AP25:AP67" si="37">AN25/AC25</f>
        <v>1.0007539432950587</v>
      </c>
    </row>
    <row r="26" spans="1:42" ht="13.5" customHeight="1">
      <c r="B26" s="97" t="s">
        <v>65</v>
      </c>
      <c r="C26" s="98">
        <v>18230724</v>
      </c>
      <c r="D26" s="61" t="s">
        <v>138</v>
      </c>
      <c r="E26" s="38" t="s">
        <v>1043</v>
      </c>
      <c r="F26" s="39" t="s">
        <v>1044</v>
      </c>
      <c r="G26" s="39">
        <v>20</v>
      </c>
      <c r="H26" s="39"/>
      <c r="I26" s="40" t="s">
        <v>271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0.21509751577427977</v>
      </c>
      <c r="V26" s="48">
        <f t="shared" si="21"/>
        <v>59813.98000000001</v>
      </c>
      <c r="W26" s="49">
        <f t="shared" si="22"/>
        <v>1.0754875788713989E-2</v>
      </c>
      <c r="X26" s="44">
        <f t="shared" si="23"/>
        <v>25535.105953953032</v>
      </c>
      <c r="Y26" s="44">
        <f t="shared" si="24"/>
        <v>59813.98000000001</v>
      </c>
      <c r="Z26" s="44">
        <f t="shared" si="25"/>
        <v>158913.65898419212</v>
      </c>
      <c r="AA26" s="50">
        <f t="shared" si="26"/>
        <v>177420.08595395304</v>
      </c>
      <c r="AB26" s="51">
        <f t="shared" si="27"/>
        <v>148559.09038439946</v>
      </c>
      <c r="AC26" s="44">
        <f t="shared" si="28"/>
        <v>165859.66715336358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4.624170926620363</v>
      </c>
      <c r="AP26" s="47">
        <f t="shared" si="37"/>
        <v>4.5560135400853712</v>
      </c>
    </row>
    <row r="27" spans="1:42" ht="13.5" customHeight="1">
      <c r="B27" s="97" t="s">
        <v>65</v>
      </c>
      <c r="C27" s="98">
        <v>18230724</v>
      </c>
      <c r="D27" s="61" t="s">
        <v>138</v>
      </c>
      <c r="E27" s="38" t="s">
        <v>1045</v>
      </c>
      <c r="F27" s="39" t="s">
        <v>1046</v>
      </c>
      <c r="G27" s="39">
        <v>12</v>
      </c>
      <c r="H27" s="39"/>
      <c r="I27" s="40" t="s">
        <v>271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5.9045195642922176E-2</v>
      </c>
      <c r="V27" s="48">
        <f t="shared" si="21"/>
        <v>0</v>
      </c>
      <c r="W27" s="49">
        <f t="shared" si="22"/>
        <v>4.9204329702435146E-3</v>
      </c>
      <c r="X27" s="44">
        <f t="shared" si="23"/>
        <v>11682.494498573451</v>
      </c>
      <c r="Y27" s="44">
        <f t="shared" si="24"/>
        <v>0</v>
      </c>
      <c r="Z27" s="44">
        <f t="shared" si="25"/>
        <v>72704.141121591863</v>
      </c>
      <c r="AA27" s="50">
        <f t="shared" si="26"/>
        <v>23714.494498573451</v>
      </c>
      <c r="AB27" s="51">
        <f t="shared" si="27"/>
        <v>67966.851567347723</v>
      </c>
      <c r="AC27" s="44">
        <f t="shared" si="28"/>
        <v>22169.294660721182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3.0372194739030838</v>
      </c>
      <c r="AP27" s="47">
        <f t="shared" si="37"/>
        <v>10.242692568770472</v>
      </c>
    </row>
    <row r="28" spans="1:42" ht="13.5" customHeight="1">
      <c r="B28" s="97" t="s">
        <v>65</v>
      </c>
      <c r="C28" s="98">
        <v>18230724</v>
      </c>
      <c r="D28" s="61" t="s">
        <v>138</v>
      </c>
      <c r="E28" s="38" t="s">
        <v>1047</v>
      </c>
      <c r="F28" s="39" t="s">
        <v>1048</v>
      </c>
      <c r="G28" s="39">
        <v>13</v>
      </c>
      <c r="H28" s="39"/>
      <c r="I28" s="40" t="s">
        <v>271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5.8606752303364172E-2</v>
      </c>
      <c r="V28" s="48">
        <f t="shared" si="21"/>
        <v>91736</v>
      </c>
      <c r="W28" s="49">
        <f t="shared" si="22"/>
        <v>4.5082117156433977E-3</v>
      </c>
      <c r="X28" s="44">
        <f t="shared" si="23"/>
        <v>10703.765072081014</v>
      </c>
      <c r="Y28" s="44">
        <f t="shared" si="24"/>
        <v>91736</v>
      </c>
      <c r="Z28" s="44">
        <f t="shared" si="25"/>
        <v>66613.174645874722</v>
      </c>
      <c r="AA28" s="50">
        <f t="shared" si="26"/>
        <v>166289.76507208101</v>
      </c>
      <c r="AB28" s="51">
        <f t="shared" si="27"/>
        <v>62272.763060554098</v>
      </c>
      <c r="AC28" s="44">
        <f t="shared" si="28"/>
        <v>155454.58079095167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3.2655477408462783</v>
      </c>
      <c r="AP28" s="47">
        <f t="shared" si="37"/>
        <v>1.4389421505843001</v>
      </c>
    </row>
    <row r="29" spans="1:42">
      <c r="B29" s="97" t="s">
        <v>65</v>
      </c>
      <c r="C29" s="98">
        <v>18230724</v>
      </c>
      <c r="D29" s="61" t="s">
        <v>138</v>
      </c>
      <c r="E29" s="38" t="s">
        <v>1047</v>
      </c>
      <c r="F29" s="39" t="s">
        <v>1048</v>
      </c>
      <c r="G29" s="39">
        <v>14</v>
      </c>
      <c r="H29" s="39"/>
      <c r="I29" s="40" t="s">
        <v>271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2.9103003154502777E-2</v>
      </c>
      <c r="V29" s="48">
        <f t="shared" si="21"/>
        <v>201650</v>
      </c>
      <c r="W29" s="49">
        <f t="shared" si="22"/>
        <v>2.0787859396073412E-3</v>
      </c>
      <c r="X29" s="44">
        <f t="shared" si="23"/>
        <v>4935.6236432934702</v>
      </c>
      <c r="Y29" s="44">
        <f t="shared" si="24"/>
        <v>201650</v>
      </c>
      <c r="Z29" s="44">
        <f t="shared" si="25"/>
        <v>30716.066498374283</v>
      </c>
      <c r="AA29" s="50">
        <f t="shared" si="26"/>
        <v>253259.62364329348</v>
      </c>
      <c r="AB29" s="51">
        <f t="shared" si="27"/>
        <v>28714.65504195034</v>
      </c>
      <c r="AC29" s="44">
        <f t="shared" si="28"/>
        <v>236757.61769028089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3.4850288959978228</v>
      </c>
      <c r="AP29" s="47">
        <f t="shared" si="37"/>
        <v>0.46494192621835112</v>
      </c>
    </row>
    <row r="30" spans="1:42">
      <c r="B30" s="97" t="s">
        <v>65</v>
      </c>
      <c r="C30" s="98">
        <v>18230724</v>
      </c>
      <c r="D30" s="61" t="s">
        <v>138</v>
      </c>
      <c r="E30" s="38" t="s">
        <v>1047</v>
      </c>
      <c r="F30" s="39" t="s">
        <v>1048</v>
      </c>
      <c r="G30" s="39">
        <v>15</v>
      </c>
      <c r="H30" s="39"/>
      <c r="I30" s="40" t="s">
        <v>271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1.0166206917538849</v>
      </c>
      <c r="V30" s="48">
        <f t="shared" si="21"/>
        <v>1226875.77</v>
      </c>
      <c r="W30" s="49">
        <f t="shared" si="22"/>
        <v>6.7774712783592331E-2</v>
      </c>
      <c r="X30" s="44">
        <f t="shared" si="23"/>
        <v>160916.26774005778</v>
      </c>
      <c r="Y30" s="44">
        <f t="shared" si="24"/>
        <v>1226875.77</v>
      </c>
      <c r="Z30" s="44">
        <f t="shared" si="25"/>
        <v>1001436.7256891599</v>
      </c>
      <c r="AA30" s="50">
        <f t="shared" si="26"/>
        <v>2815042.0377400578</v>
      </c>
      <c r="AB30" s="51">
        <f t="shared" si="27"/>
        <v>936184.65522030462</v>
      </c>
      <c r="AC30" s="44">
        <f t="shared" si="28"/>
        <v>2631618.2459942577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3.6964915147625637</v>
      </c>
      <c r="AP30" s="47">
        <f t="shared" si="37"/>
        <v>1.4465086277215136</v>
      </c>
    </row>
    <row r="31" spans="1:42">
      <c r="B31" s="97" t="s">
        <v>65</v>
      </c>
      <c r="C31" s="98">
        <v>18230724</v>
      </c>
      <c r="D31" s="61" t="s">
        <v>138</v>
      </c>
      <c r="E31" s="38" t="s">
        <v>1047</v>
      </c>
      <c r="F31" s="39" t="s">
        <v>1048</v>
      </c>
      <c r="G31" s="39">
        <v>16</v>
      </c>
      <c r="H31" s="39"/>
      <c r="I31" s="40" t="s">
        <v>271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0.1125996486215831</v>
      </c>
      <c r="V31" s="48">
        <f t="shared" si="21"/>
        <v>141671</v>
      </c>
      <c r="W31" s="49">
        <f t="shared" si="22"/>
        <v>7.0374780388489438E-3</v>
      </c>
      <c r="X31" s="44">
        <f t="shared" si="23"/>
        <v>16708.956095913523</v>
      </c>
      <c r="Y31" s="44">
        <f t="shared" si="24"/>
        <v>141671</v>
      </c>
      <c r="Z31" s="44">
        <f t="shared" si="25"/>
        <v>103985.52313806953</v>
      </c>
      <c r="AA31" s="50">
        <f t="shared" si="26"/>
        <v>287024.95609591354</v>
      </c>
      <c r="AB31" s="51">
        <f t="shared" si="27"/>
        <v>97209.987041291504</v>
      </c>
      <c r="AC31" s="44">
        <f t="shared" si="28"/>
        <v>268322.85322605731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3.8998270161345046</v>
      </c>
      <c r="AP31" s="47">
        <f t="shared" si="37"/>
        <v>1.5541439801274006</v>
      </c>
    </row>
    <row r="32" spans="1:42">
      <c r="B32" s="97" t="s">
        <v>65</v>
      </c>
      <c r="C32" s="98">
        <v>18230724</v>
      </c>
      <c r="D32" s="61" t="s">
        <v>138</v>
      </c>
      <c r="E32" s="38" t="s">
        <v>1047</v>
      </c>
      <c r="F32" s="39" t="s">
        <v>1048</v>
      </c>
      <c r="G32" s="39">
        <v>18</v>
      </c>
      <c r="H32" s="39"/>
      <c r="I32" s="40" t="s">
        <v>271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0.21190555110674653</v>
      </c>
      <c r="V32" s="48">
        <f t="shared" si="21"/>
        <v>143860</v>
      </c>
      <c r="W32" s="49">
        <f t="shared" si="22"/>
        <v>1.1772530617041473E-2</v>
      </c>
      <c r="X32" s="44">
        <f t="shared" si="23"/>
        <v>27951.305301709654</v>
      </c>
      <c r="Y32" s="44">
        <f t="shared" si="24"/>
        <v>143860</v>
      </c>
      <c r="Z32" s="44">
        <f t="shared" si="25"/>
        <v>173950.4902344569</v>
      </c>
      <c r="AA32" s="50">
        <f t="shared" si="26"/>
        <v>351393.30530170968</v>
      </c>
      <c r="AB32" s="51">
        <f t="shared" si="27"/>
        <v>162616.14493265111</v>
      </c>
      <c r="AC32" s="44">
        <f t="shared" si="28"/>
        <v>328497.0602053937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4.2781535893122573</v>
      </c>
      <c r="AP32" s="47">
        <f t="shared" si="37"/>
        <v>2.3295993213992019</v>
      </c>
    </row>
    <row r="33" spans="2:42">
      <c r="B33" s="97" t="s">
        <v>65</v>
      </c>
      <c r="C33" s="98">
        <v>18230724</v>
      </c>
      <c r="D33" s="61" t="s">
        <v>138</v>
      </c>
      <c r="E33" s="38" t="s">
        <v>1049</v>
      </c>
      <c r="F33" s="39" t="s">
        <v>1050</v>
      </c>
      <c r="G33" s="39">
        <v>10</v>
      </c>
      <c r="H33" s="39"/>
      <c r="I33" s="40" t="s">
        <v>271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0.32666096244065124</v>
      </c>
      <c r="V33" s="48">
        <f t="shared" si="21"/>
        <v>1125</v>
      </c>
      <c r="W33" s="49">
        <f t="shared" si="22"/>
        <v>3.2666096244065121E-2</v>
      </c>
      <c r="X33" s="44">
        <f t="shared" si="23"/>
        <v>77558.518115993153</v>
      </c>
      <c r="Y33" s="44">
        <f t="shared" si="24"/>
        <v>1125</v>
      </c>
      <c r="Z33" s="44">
        <f t="shared" si="25"/>
        <v>482673.06669609493</v>
      </c>
      <c r="AA33" s="50">
        <f t="shared" si="26"/>
        <v>633233.51811599312</v>
      </c>
      <c r="AB33" s="51">
        <f t="shared" si="27"/>
        <v>451222.83509030094</v>
      </c>
      <c r="AC33" s="44">
        <f t="shared" si="28"/>
        <v>591973.00001495099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2.5512976799759355</v>
      </c>
      <c r="AP33" s="47">
        <f t="shared" si="37"/>
        <v>2.1391586263526734</v>
      </c>
    </row>
    <row r="34" spans="2:42">
      <c r="B34" s="97" t="s">
        <v>65</v>
      </c>
      <c r="C34" s="98">
        <v>18230724</v>
      </c>
      <c r="D34" s="61" t="s">
        <v>138</v>
      </c>
      <c r="E34" s="38" t="s">
        <v>1051</v>
      </c>
      <c r="F34" s="39" t="s">
        <v>1052</v>
      </c>
      <c r="G34" s="39">
        <v>12</v>
      </c>
      <c r="H34" s="39"/>
      <c r="I34" s="40" t="s">
        <v>271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7.4948567970343659E-4</v>
      </c>
      <c r="V34" s="48">
        <f t="shared" si="21"/>
        <v>73</v>
      </c>
      <c r="W34" s="49">
        <f t="shared" si="22"/>
        <v>6.2457139975286382E-5</v>
      </c>
      <c r="X34" s="44">
        <f t="shared" si="23"/>
        <v>148.29085134794633</v>
      </c>
      <c r="Y34" s="44">
        <f t="shared" si="24"/>
        <v>876</v>
      </c>
      <c r="Z34" s="44">
        <f t="shared" si="25"/>
        <v>922.86446056179216</v>
      </c>
      <c r="AA34" s="50">
        <f t="shared" si="26"/>
        <v>1444.2908513479463</v>
      </c>
      <c r="AB34" s="51">
        <f t="shared" si="27"/>
        <v>862.73203754491169</v>
      </c>
      <c r="AC34" s="44">
        <f t="shared" si="28"/>
        <v>1350.1830899765787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3.0372194739030842</v>
      </c>
      <c r="AP34" s="47">
        <f t="shared" si="37"/>
        <v>2.1347750694764231</v>
      </c>
    </row>
    <row r="35" spans="2:42">
      <c r="B35" s="97" t="s">
        <v>65</v>
      </c>
      <c r="C35" s="98">
        <v>18230724</v>
      </c>
      <c r="D35" s="61" t="s">
        <v>138</v>
      </c>
      <c r="E35" s="38" t="s">
        <v>1053</v>
      </c>
      <c r="F35" s="39" t="s">
        <v>1054</v>
      </c>
      <c r="G35" s="39">
        <v>12</v>
      </c>
      <c r="H35" s="39"/>
      <c r="I35" s="40" t="s">
        <v>271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3.1860576761202639E-3</v>
      </c>
      <c r="V35" s="48">
        <f t="shared" si="21"/>
        <v>210</v>
      </c>
      <c r="W35" s="49">
        <f t="shared" si="22"/>
        <v>2.6550480634335532E-4</v>
      </c>
      <c r="X35" s="44">
        <f t="shared" si="23"/>
        <v>630.38323216860135</v>
      </c>
      <c r="Y35" s="44">
        <f t="shared" si="24"/>
        <v>3150</v>
      </c>
      <c r="Z35" s="44">
        <f t="shared" si="25"/>
        <v>3923.089497527063</v>
      </c>
      <c r="AA35" s="50">
        <f t="shared" si="26"/>
        <v>5430.3832321686014</v>
      </c>
      <c r="AB35" s="51">
        <f t="shared" si="27"/>
        <v>3667.4670445237566</v>
      </c>
      <c r="AC35" s="44">
        <f t="shared" si="28"/>
        <v>5076.5478472175382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3.0372194739030838</v>
      </c>
      <c r="AP35" s="47">
        <f t="shared" si="37"/>
        <v>2.4136072246405886</v>
      </c>
    </row>
    <row r="36" spans="2:42">
      <c r="B36" s="97" t="s">
        <v>65</v>
      </c>
      <c r="C36" s="98">
        <v>18230724</v>
      </c>
      <c r="D36" s="61" t="s">
        <v>138</v>
      </c>
      <c r="E36" s="38" t="s">
        <v>1055</v>
      </c>
      <c r="F36" s="39" t="s">
        <v>1056</v>
      </c>
      <c r="G36" s="39">
        <v>12</v>
      </c>
      <c r="H36" s="39"/>
      <c r="I36" s="40" t="s">
        <v>271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4.8776052171176035E-3</v>
      </c>
      <c r="V36" s="48">
        <f t="shared" si="21"/>
        <v>281</v>
      </c>
      <c r="W36" s="49">
        <f t="shared" si="22"/>
        <v>4.0646710142646693E-4</v>
      </c>
      <c r="X36" s="44">
        <f t="shared" si="23"/>
        <v>965.06744528028571</v>
      </c>
      <c r="Y36" s="44">
        <f t="shared" si="24"/>
        <v>4496</v>
      </c>
      <c r="Z36" s="44">
        <f t="shared" si="25"/>
        <v>6005.9433147672189</v>
      </c>
      <c r="AA36" s="50">
        <f t="shared" si="26"/>
        <v>7941.0674452802859</v>
      </c>
      <c r="AB36" s="51">
        <f t="shared" si="27"/>
        <v>5614.6053237049809</v>
      </c>
      <c r="AC36" s="44">
        <f t="shared" si="28"/>
        <v>7423.6397543986959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3.0372194739030842</v>
      </c>
      <c r="AP36" s="47">
        <f t="shared" si="37"/>
        <v>2.5268019611358072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67 R5:S67">
    <cfRule type="expression" dxfId="237" priority="2">
      <formula>ISTEXT(M5)</formula>
    </cfRule>
  </conditionalFormatting>
  <conditionalFormatting sqref="M5:N67 R5:S67">
    <cfRule type="notContainsBlanks" dxfId="236" priority="3">
      <formula>LEN(TRIM(M5))&gt;0</formula>
    </cfRule>
  </conditionalFormatting>
  <conditionalFormatting sqref="R5:S67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1015</v>
      </c>
      <c r="F5" s="39" t="s">
        <v>1016</v>
      </c>
      <c r="G5" s="39">
        <v>15</v>
      </c>
      <c r="H5" s="39"/>
      <c r="I5" s="40" t="s">
        <v>270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4" si="0">G5+H5</f>
        <v>15</v>
      </c>
      <c r="U5" s="47">
        <f t="shared" ref="U5:U24" si="1">(O5/$A$10)*T5</f>
        <v>0.14461061662907307</v>
      </c>
      <c r="V5" s="48">
        <f t="shared" ref="V5:V24" si="2">N5-M5</f>
        <v>44110</v>
      </c>
      <c r="W5" s="49">
        <f t="shared" ref="W5:W24" si="3">(O5/A$10)</f>
        <v>9.640707775271538E-3</v>
      </c>
      <c r="X5" s="44">
        <f t="shared" ref="X5:X24" si="4">W5*A$8</f>
        <v>2550.5753424057866</v>
      </c>
      <c r="Y5" s="44">
        <f t="shared" ref="Y5:Y24" si="5">Q5-P5</f>
        <v>44110</v>
      </c>
      <c r="Z5" s="44">
        <f t="shared" ref="Z5:Z24" si="6">X5+(A$6*W5)</f>
        <v>9787.6038180858177</v>
      </c>
      <c r="AA5" s="50">
        <f t="shared" ref="AA5:AA24" si="7">Q5+X5</f>
        <v>52283.575342405784</v>
      </c>
      <c r="AB5" s="51">
        <f t="shared" ref="AB5:AC20" si="8">Z5/(1+ElecDiscountRate)^1</f>
        <v>9149.8586688658652</v>
      </c>
      <c r="AC5" s="44">
        <f t="shared" si="8"/>
        <v>48876.858317664562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26932.097598299169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2.9434441091358883</v>
      </c>
      <c r="AP5" s="47">
        <f>AN5/AC5</f>
        <v>0.60612135022234481</v>
      </c>
    </row>
    <row r="6" spans="1:42" ht="13.5" customHeight="1">
      <c r="A6" s="53">
        <f>SUMIF('Program Costs'!D:D,C2,'Program Costs'!L:L)</f>
        <v>750673.98</v>
      </c>
      <c r="B6" s="97" t="s">
        <v>65</v>
      </c>
      <c r="C6" s="100">
        <v>18231137</v>
      </c>
      <c r="D6" s="100" t="s">
        <v>99</v>
      </c>
      <c r="E6" s="38" t="s">
        <v>1017</v>
      </c>
      <c r="F6" s="39" t="s">
        <v>1018</v>
      </c>
      <c r="G6" s="39">
        <v>15</v>
      </c>
      <c r="H6" s="39"/>
      <c r="I6" s="40" t="s">
        <v>270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0.34385246338084219</v>
      </c>
      <c r="V6" s="48">
        <f t="shared" si="2"/>
        <v>7675</v>
      </c>
      <c r="W6" s="49">
        <f t="shared" si="3"/>
        <v>2.2923497558722812E-2</v>
      </c>
      <c r="X6" s="44">
        <f t="shared" si="4"/>
        <v>6064.7111185081894</v>
      </c>
      <c r="Y6" s="44">
        <f t="shared" si="5"/>
        <v>7675</v>
      </c>
      <c r="Z6" s="44">
        <f t="shared" si="6"/>
        <v>23272.784266434926</v>
      </c>
      <c r="AA6" s="50">
        <f t="shared" si="7"/>
        <v>26119.711118508189</v>
      </c>
      <c r="AB6" s="51">
        <f t="shared" si="8"/>
        <v>21756.365585149972</v>
      </c>
      <c r="AC6" s="44">
        <f t="shared" si="8"/>
        <v>24417.791080217059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64038.646117816439</v>
      </c>
      <c r="AK6" s="44">
        <f>HLOOKUP(I6,ElecAvoidedCostsWOCC!$A$5:$Q$50,G6+1,FALSE)*J6*L6</f>
        <v>0</v>
      </c>
      <c r="AL6" s="44">
        <f t="shared" ref="AL6:AL24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4" si="14">AM6*1.1+AD6+AE6</f>
        <v>70442.510729598085</v>
      </c>
      <c r="AO6" s="47">
        <f t="shared" ref="AO6:AO24" si="15">IFERROR(AM6/AB6,0)</f>
        <v>2.9434441091358874</v>
      </c>
      <c r="AP6" s="47">
        <f t="shared" ref="AP6:AP24" si="16">AN6/AC6</f>
        <v>2.8848846522677305</v>
      </c>
    </row>
    <row r="7" spans="1:42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1027</v>
      </c>
      <c r="F7" s="39" t="s">
        <v>1028</v>
      </c>
      <c r="G7" s="39">
        <v>20</v>
      </c>
      <c r="H7" s="39"/>
      <c r="I7" s="40" t="s">
        <v>274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0.98898045323744532</v>
      </c>
      <c r="V7" s="48">
        <f t="shared" si="2"/>
        <v>14134</v>
      </c>
      <c r="W7" s="49">
        <f t="shared" si="3"/>
        <v>4.9449022661872268E-2</v>
      </c>
      <c r="X7" s="44">
        <f t="shared" si="4"/>
        <v>13082.385738414729</v>
      </c>
      <c r="Y7" s="44">
        <f t="shared" si="5"/>
        <v>14134</v>
      </c>
      <c r="Z7" s="44">
        <f t="shared" si="6"/>
        <v>50202.480387112577</v>
      </c>
      <c r="AA7" s="50">
        <f t="shared" si="7"/>
        <v>60194.385738414727</v>
      </c>
      <c r="AB7" s="51">
        <f t="shared" si="8"/>
        <v>46931.364295702137</v>
      </c>
      <c r="AC7" s="44">
        <f t="shared" si="8"/>
        <v>56272.212525394709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3.6007894251774388</v>
      </c>
      <c r="AP7" s="47">
        <f t="shared" si="16"/>
        <v>3.3033880835543323</v>
      </c>
    </row>
    <row r="8" spans="1:42" ht="13.5" customHeight="1">
      <c r="A8" s="53">
        <f>SUMIF('Program Costs'!D:D,C2,'Program Costs'!O:O)</f>
        <v>264563.08000000007</v>
      </c>
      <c r="B8" s="97" t="s">
        <v>65</v>
      </c>
      <c r="C8" s="100">
        <v>18231137</v>
      </c>
      <c r="D8" s="100" t="s">
        <v>99</v>
      </c>
      <c r="E8" s="38" t="s">
        <v>1027</v>
      </c>
      <c r="F8" s="39" t="s">
        <v>1028</v>
      </c>
      <c r="G8" s="39">
        <v>20</v>
      </c>
      <c r="H8" s="39"/>
      <c r="I8" s="40" t="s">
        <v>274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0.92250551983305795</v>
      </c>
      <c r="V8" s="48">
        <f t="shared" si="2"/>
        <v>81514.75</v>
      </c>
      <c r="W8" s="49">
        <f t="shared" si="3"/>
        <v>4.6125275991652899E-2</v>
      </c>
      <c r="X8" s="44">
        <f t="shared" si="4"/>
        <v>12203.045082201748</v>
      </c>
      <c r="Y8" s="44">
        <f t="shared" si="5"/>
        <v>81514.75</v>
      </c>
      <c r="Z8" s="44">
        <f t="shared" si="6"/>
        <v>46828.089589454277</v>
      </c>
      <c r="AA8" s="50">
        <f t="shared" si="7"/>
        <v>139760.79508220174</v>
      </c>
      <c r="AB8" s="51">
        <f t="shared" si="8"/>
        <v>43776.843591151046</v>
      </c>
      <c r="AC8" s="44">
        <f t="shared" si="8"/>
        <v>130654.19751537977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3.6007894251774388</v>
      </c>
      <c r="AP8" s="47">
        <f t="shared" si="16"/>
        <v>1.3271239525030869</v>
      </c>
    </row>
    <row r="9" spans="1:42" ht="13.5" customHeight="1">
      <c r="A9" s="36" t="s">
        <v>251</v>
      </c>
      <c r="B9" s="97" t="s">
        <v>65</v>
      </c>
      <c r="C9" s="100">
        <v>18231137</v>
      </c>
      <c r="D9" s="100" t="s">
        <v>99</v>
      </c>
      <c r="E9" s="38" t="s">
        <v>1057</v>
      </c>
      <c r="F9" s="39" t="s">
        <v>1058</v>
      </c>
      <c r="G9" s="39">
        <v>15</v>
      </c>
      <c r="H9" s="39"/>
      <c r="I9" s="40" t="s">
        <v>270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6.4702071987562562</v>
      </c>
      <c r="V9" s="48">
        <f t="shared" si="2"/>
        <v>480979</v>
      </c>
      <c r="W9" s="49">
        <f t="shared" si="3"/>
        <v>0.4313471465837504</v>
      </c>
      <c r="X9" s="44">
        <f t="shared" si="4"/>
        <v>114118.52964940852</v>
      </c>
      <c r="Y9" s="44">
        <f t="shared" si="5"/>
        <v>480979</v>
      </c>
      <c r="Z9" s="44">
        <f t="shared" si="6"/>
        <v>437919.60893707583</v>
      </c>
      <c r="AA9" s="50">
        <f t="shared" si="7"/>
        <v>1004804.5296494085</v>
      </c>
      <c r="AB9" s="51">
        <f t="shared" si="8"/>
        <v>409385.44352348865</v>
      </c>
      <c r="AC9" s="44">
        <f t="shared" si="8"/>
        <v>939333.01827559923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2.9434441091358874</v>
      </c>
      <c r="AP9" s="47">
        <f t="shared" si="16"/>
        <v>1.4111113561716764</v>
      </c>
    </row>
    <row r="10" spans="1:42" ht="13.5" customHeight="1">
      <c r="A10" s="54">
        <f>SUM(O5:O999)</f>
        <v>2713804.9</v>
      </c>
      <c r="B10" s="97" t="s">
        <v>65</v>
      </c>
      <c r="C10" s="100">
        <v>18231137</v>
      </c>
      <c r="D10" s="100" t="s">
        <v>99</v>
      </c>
      <c r="E10" s="38" t="s">
        <v>1059</v>
      </c>
      <c r="F10" s="39" t="s">
        <v>1060</v>
      </c>
      <c r="G10" s="39">
        <v>5</v>
      </c>
      <c r="H10" s="39"/>
      <c r="I10" s="40" t="s">
        <v>274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1.8593156788831799</v>
      </c>
      <c r="V10" s="48">
        <f t="shared" si="2"/>
        <v>15649.11</v>
      </c>
      <c r="W10" s="49">
        <f t="shared" si="3"/>
        <v>0.37186313577663599</v>
      </c>
      <c r="X10" s="44">
        <f t="shared" si="4"/>
        <v>98381.256539525042</v>
      </c>
      <c r="Y10" s="44">
        <f t="shared" si="5"/>
        <v>15649.11</v>
      </c>
      <c r="Z10" s="44">
        <f t="shared" si="6"/>
        <v>377529.23668825277</v>
      </c>
      <c r="AA10" s="50">
        <f t="shared" si="7"/>
        <v>151219.36653952504</v>
      </c>
      <c r="AB10" s="51">
        <f t="shared" si="8"/>
        <v>352930.01466603042</v>
      </c>
      <c r="AC10" s="44">
        <f t="shared" si="8"/>
        <v>141366.14615268301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0.98845849871921565</v>
      </c>
      <c r="AP10" s="47">
        <f t="shared" si="16"/>
        <v>2.714527842332537</v>
      </c>
    </row>
    <row r="11" spans="1:42" ht="13.5" customHeight="1">
      <c r="A11" s="36" t="s">
        <v>252</v>
      </c>
      <c r="B11" s="97" t="s">
        <v>65</v>
      </c>
      <c r="C11" s="100">
        <v>18231137</v>
      </c>
      <c r="D11" s="100" t="s">
        <v>99</v>
      </c>
      <c r="E11" s="38" t="s">
        <v>1061</v>
      </c>
      <c r="F11" s="39" t="s">
        <v>1062</v>
      </c>
      <c r="G11" s="39">
        <v>5</v>
      </c>
      <c r="H11" s="39"/>
      <c r="I11" s="40" t="s">
        <v>270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555646</v>
      </c>
      <c r="B12" s="97" t="s">
        <v>65</v>
      </c>
      <c r="C12" s="100">
        <v>18231137</v>
      </c>
      <c r="D12" s="100" t="s">
        <v>99</v>
      </c>
      <c r="E12" s="38" t="s">
        <v>1063</v>
      </c>
      <c r="F12" s="39" t="s">
        <v>1064</v>
      </c>
      <c r="G12" s="39">
        <v>3</v>
      </c>
      <c r="H12" s="39"/>
      <c r="I12" s="40" t="s">
        <v>270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0.20595364095628249</v>
      </c>
      <c r="V12" s="48">
        <f t="shared" si="2"/>
        <v>0</v>
      </c>
      <c r="W12" s="49">
        <f t="shared" si="3"/>
        <v>6.8651213652094159E-2</v>
      </c>
      <c r="X12" s="44">
        <f t="shared" si="4"/>
        <v>18162.576529536083</v>
      </c>
      <c r="Y12" s="44">
        <f t="shared" si="5"/>
        <v>0</v>
      </c>
      <c r="Z12" s="44">
        <f t="shared" si="6"/>
        <v>69697.25631358393</v>
      </c>
      <c r="AA12" s="50">
        <f t="shared" si="7"/>
        <v>21888.576529536083</v>
      </c>
      <c r="AB12" s="51">
        <f t="shared" si="8"/>
        <v>65155.890729722283</v>
      </c>
      <c r="AC12" s="44">
        <f t="shared" si="8"/>
        <v>20462.350686674843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0.63102571960334819</v>
      </c>
      <c r="AP12" s="47">
        <f t="shared" si="16"/>
        <v>2.2102322362691122</v>
      </c>
    </row>
    <row r="13" spans="1:42" ht="13.5" customHeight="1">
      <c r="A13" s="56" t="s">
        <v>255</v>
      </c>
      <c r="B13" s="97" t="s">
        <v>65</v>
      </c>
      <c r="C13" s="100">
        <v>18231137</v>
      </c>
      <c r="D13" s="100" t="s">
        <v>99</v>
      </c>
      <c r="E13" s="38" t="s">
        <v>1065</v>
      </c>
      <c r="F13" s="39" t="s">
        <v>1066</v>
      </c>
      <c r="G13" s="39">
        <v>0</v>
      </c>
      <c r="H13" s="39"/>
      <c r="I13" s="40" t="s">
        <v>270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Comm Flat</v>
      </c>
      <c r="AG13" s="44" t="e">
        <f t="shared" si="10"/>
        <v>#VALUE!</v>
      </c>
      <c r="AH13" s="52" t="str">
        <f>HLOOKUP(I13,ElecAvoidedCostsWOCC!$A$5:$Q$50,T13+1,FALSE)</f>
        <v>Comm Flat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644061.86</v>
      </c>
      <c r="B14" s="97" t="s">
        <v>65</v>
      </c>
      <c r="C14" s="100">
        <v>18231137</v>
      </c>
      <c r="D14" s="100" t="s">
        <v>99</v>
      </c>
      <c r="E14" s="38" t="s">
        <v>1067</v>
      </c>
      <c r="F14" s="39" t="s">
        <v>1068</v>
      </c>
      <c r="G14" s="39">
        <v>0</v>
      </c>
      <c r="H14" s="39"/>
      <c r="I14" s="40" t="s">
        <v>270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 t="str">
        <f>HLOOKUP(I14,ElecAvoidedCostsWOCC!$A$5:$Q$50,G14+1,FALSE)</f>
        <v>Comm Flat</v>
      </c>
      <c r="AG14" s="44" t="e">
        <f t="shared" si="10"/>
        <v>#VALUE!</v>
      </c>
      <c r="AH14" s="52" t="str">
        <f>HLOOKUP(I14,ElecAvoidedCostsWOCC!$A$5:$Q$50,T14+1,FALSE)</f>
        <v>Comm Flat</v>
      </c>
      <c r="AI14" s="44" t="e">
        <f t="shared" si="11"/>
        <v>#VALUE!</v>
      </c>
      <c r="AJ14" s="44" t="e">
        <f t="shared" si="12"/>
        <v>#VALUE!</v>
      </c>
      <c r="AK14" s="44" t="e">
        <f>HLOOKUP(I14,ElecAvoidedCostsWOCC!$A$5:$Q$50,G14+1,FALSE)*J14*L14</f>
        <v>#VALUE!</v>
      </c>
      <c r="AL14" s="44" t="e">
        <f t="shared" si="13"/>
        <v>#VALUE!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10.935425571676138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1015237.06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1464270.9400000002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2.1205320182891643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1.6172737547274778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24 R5:S24">
    <cfRule type="expression" dxfId="232" priority="2">
      <formula>ISTEXT(M5)</formula>
    </cfRule>
  </conditionalFormatting>
  <conditionalFormatting sqref="M5:N24 R5:S24">
    <cfRule type="notContainsBlanks" dxfId="231" priority="3">
      <formula>LEN(TRIM(M5))&gt;0</formula>
    </cfRule>
  </conditionalFormatting>
  <conditionalFormatting sqref="R5:S24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18230013</v>
      </c>
      <c r="D2" s="20" t="s">
        <v>522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18230013</v>
      </c>
      <c r="D5" s="100" t="s">
        <v>522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16" sqref="I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1882382.8</v>
      </c>
      <c r="B6" s="97" t="s">
        <v>129</v>
      </c>
      <c r="C6" s="98">
        <v>18230715</v>
      </c>
      <c r="D6" s="61" t="s">
        <v>130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6.1045146945579692E-2</v>
      </c>
      <c r="V6" s="48">
        <f t="shared" si="2"/>
        <v>0</v>
      </c>
      <c r="W6" s="49">
        <f t="shared" si="3"/>
        <v>4.069676463038646E-3</v>
      </c>
      <c r="X6" s="44">
        <f t="shared" si="4"/>
        <v>1234.4907746863873</v>
      </c>
      <c r="Y6" s="44">
        <f t="shared" si="5"/>
        <v>0</v>
      </c>
      <c r="Z6" s="44">
        <f t="shared" si="6"/>
        <v>8895.1797502751706</v>
      </c>
      <c r="AA6" s="50">
        <f t="shared" si="7"/>
        <v>12297.490774686386</v>
      </c>
      <c r="AB6" s="51">
        <f t="shared" si="8"/>
        <v>8315.5835750913066</v>
      </c>
      <c r="AC6" s="44">
        <f t="shared" si="8"/>
        <v>11496.205267538922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4.5651732691485334</v>
      </c>
      <c r="AP6" s="47">
        <f t="shared" ref="AP6:AP24" si="16">AN6/AC6</f>
        <v>3.6323540566664465</v>
      </c>
    </row>
    <row r="7" spans="1:42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0.13343590474763217</v>
      </c>
      <c r="V7" s="48">
        <f t="shared" si="2"/>
        <v>0</v>
      </c>
      <c r="W7" s="49">
        <f t="shared" si="3"/>
        <v>8.8957269831754782E-3</v>
      </c>
      <c r="X7" s="44">
        <f t="shared" si="4"/>
        <v>2698.4191482040701</v>
      </c>
      <c r="Y7" s="44">
        <f t="shared" si="5"/>
        <v>0</v>
      </c>
      <c r="Z7" s="44">
        <f t="shared" si="6"/>
        <v>19443.58261482948</v>
      </c>
      <c r="AA7" s="50">
        <f t="shared" si="7"/>
        <v>30912.41914820407</v>
      </c>
      <c r="AB7" s="51">
        <f t="shared" si="8"/>
        <v>18176.668799504045</v>
      </c>
      <c r="AC7" s="44">
        <f t="shared" si="8"/>
        <v>28898.213656356049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4.5651732691485343</v>
      </c>
      <c r="AP7" s="47">
        <f t="shared" si="16"/>
        <v>3.1585899344388055</v>
      </c>
    </row>
    <row r="8" spans="1:42" ht="13.5" customHeight="1">
      <c r="A8" s="53">
        <f>SUMIF('Program Costs'!D:D,C2,'Program Costs'!O:O)</f>
        <v>303338.80000000005</v>
      </c>
      <c r="B8" s="97" t="s">
        <v>129</v>
      </c>
      <c r="C8" s="98">
        <v>18230715</v>
      </c>
      <c r="D8" s="61" t="s">
        <v>130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2.296461551059001</v>
      </c>
      <c r="V8" s="48">
        <f t="shared" si="2"/>
        <v>0</v>
      </c>
      <c r="W8" s="49">
        <f t="shared" si="3"/>
        <v>0.15309743673726672</v>
      </c>
      <c r="X8" s="44">
        <f t="shared" si="4"/>
        <v>46440.392742958407</v>
      </c>
      <c r="Y8" s="44">
        <f t="shared" si="5"/>
        <v>0</v>
      </c>
      <c r="Z8" s="44">
        <f t="shared" si="6"/>
        <v>334628.37438127742</v>
      </c>
      <c r="AA8" s="50">
        <f t="shared" si="7"/>
        <v>502284.39274295839</v>
      </c>
      <c r="AB8" s="51">
        <f t="shared" si="8"/>
        <v>312824.50629267778</v>
      </c>
      <c r="AC8" s="44">
        <f t="shared" si="8"/>
        <v>469556.31741886353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4.5651732691485343</v>
      </c>
      <c r="AP8" s="47">
        <f t="shared" si="16"/>
        <v>3.3455153795040897</v>
      </c>
    </row>
    <row r="9" spans="1:42" ht="13.5" customHeight="1">
      <c r="A9" s="36" t="s">
        <v>251</v>
      </c>
      <c r="B9" s="97" t="s">
        <v>129</v>
      </c>
      <c r="C9" s="98">
        <v>18230715</v>
      </c>
      <c r="D9" s="61" t="s">
        <v>130</v>
      </c>
      <c r="E9" s="38" t="s">
        <v>1005</v>
      </c>
      <c r="F9" s="39" t="s">
        <v>1006</v>
      </c>
      <c r="G9" s="39">
        <v>15</v>
      </c>
      <c r="H9" s="39"/>
      <c r="I9" s="40" t="s">
        <v>275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9061654</v>
      </c>
      <c r="B10" s="97" t="s">
        <v>129</v>
      </c>
      <c r="C10" s="98">
        <v>18230715</v>
      </c>
      <c r="D10" s="61" t="s">
        <v>130</v>
      </c>
      <c r="E10" s="38" t="s">
        <v>1005</v>
      </c>
      <c r="F10" s="39" t="s">
        <v>1006</v>
      </c>
      <c r="G10" s="39">
        <v>15</v>
      </c>
      <c r="H10" s="39"/>
      <c r="I10" s="40" t="s">
        <v>275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2.501199008481233E-3</v>
      </c>
      <c r="V10" s="48">
        <f t="shared" si="2"/>
        <v>1807.0200000000002</v>
      </c>
      <c r="W10" s="49">
        <f t="shared" si="3"/>
        <v>1.6674660056541555E-4</v>
      </c>
      <c r="X10" s="44">
        <f t="shared" si="4"/>
        <v>50.580713719592481</v>
      </c>
      <c r="Y10" s="44">
        <f t="shared" si="5"/>
        <v>1807.0200000000002</v>
      </c>
      <c r="Z10" s="44">
        <f t="shared" si="6"/>
        <v>364.46164658240099</v>
      </c>
      <c r="AA10" s="50">
        <f t="shared" si="7"/>
        <v>3042.4007137195927</v>
      </c>
      <c r="AB10" s="51">
        <f t="shared" si="8"/>
        <v>340.71388855043557</v>
      </c>
      <c r="AC10" s="44">
        <f t="shared" si="8"/>
        <v>2844.1625817702088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6.1146341982853585</v>
      </c>
      <c r="AP10" s="47">
        <f t="shared" si="16"/>
        <v>0.80574679131425297</v>
      </c>
    </row>
    <row r="11" spans="1:42" ht="13.5" customHeight="1">
      <c r="A11" s="36" t="s">
        <v>252</v>
      </c>
      <c r="B11" s="97" t="s">
        <v>129</v>
      </c>
      <c r="C11" s="98">
        <v>18230715</v>
      </c>
      <c r="D11" s="61" t="s">
        <v>130</v>
      </c>
      <c r="E11" s="38" t="s">
        <v>1009</v>
      </c>
      <c r="F11" s="39" t="s">
        <v>1010</v>
      </c>
      <c r="G11" s="39">
        <v>15</v>
      </c>
      <c r="H11" s="39"/>
      <c r="I11" s="40" t="s">
        <v>270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0.36377630397276262</v>
      </c>
      <c r="V11" s="48">
        <f t="shared" si="2"/>
        <v>1746</v>
      </c>
      <c r="W11" s="49">
        <f t="shared" si="3"/>
        <v>2.4251753598184173E-2</v>
      </c>
      <c r="X11" s="44">
        <f t="shared" si="4"/>
        <v>7356.4978343688708</v>
      </c>
      <c r="Y11" s="44">
        <f t="shared" si="5"/>
        <v>1746</v>
      </c>
      <c r="Z11" s="44">
        <f t="shared" si="6"/>
        <v>53007.581677428869</v>
      </c>
      <c r="AA11" s="50">
        <f t="shared" si="7"/>
        <v>32002.497834368871</v>
      </c>
      <c r="AB11" s="51">
        <f t="shared" si="8"/>
        <v>49553.689518022686</v>
      </c>
      <c r="AC11" s="44">
        <f t="shared" si="8"/>
        <v>29917.264498802346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4.5651732691485334</v>
      </c>
      <c r="AP11" s="47">
        <f t="shared" si="16"/>
        <v>8.3177155673059993</v>
      </c>
    </row>
    <row r="12" spans="1:42" ht="13.5" customHeight="1">
      <c r="A12" s="55">
        <f>SUM(P5:P1000)</f>
        <v>1882382.8</v>
      </c>
      <c r="B12" s="97" t="s">
        <v>129</v>
      </c>
      <c r="C12" s="98">
        <v>18230715</v>
      </c>
      <c r="D12" s="61" t="s">
        <v>130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5.5799967643876056E-2</v>
      </c>
      <c r="V12" s="48">
        <f t="shared" si="2"/>
        <v>0</v>
      </c>
      <c r="W12" s="49">
        <f t="shared" si="3"/>
        <v>2.7899983821938028E-3</v>
      </c>
      <c r="X12" s="44">
        <f t="shared" si="4"/>
        <v>846.31476125660959</v>
      </c>
      <c r="Y12" s="44">
        <f t="shared" si="5"/>
        <v>0</v>
      </c>
      <c r="Z12" s="44">
        <f t="shared" si="6"/>
        <v>6098.1597279260504</v>
      </c>
      <c r="AA12" s="50">
        <f t="shared" si="7"/>
        <v>5270.3147612566099</v>
      </c>
      <c r="AB12" s="51">
        <f t="shared" si="8"/>
        <v>5700.8130577975598</v>
      </c>
      <c r="AC12" s="44">
        <f t="shared" si="8"/>
        <v>4926.9091906671119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5.8506301531787841</v>
      </c>
      <c r="AP12" s="47">
        <f t="shared" si="16"/>
        <v>7.4465922206243489</v>
      </c>
    </row>
    <row r="13" spans="1:42" ht="13.5" customHeight="1">
      <c r="A13" s="56" t="s">
        <v>255</v>
      </c>
      <c r="B13" s="97" t="s">
        <v>129</v>
      </c>
      <c r="C13" s="98">
        <v>18230715</v>
      </c>
      <c r="D13" s="61" t="s">
        <v>130</v>
      </c>
      <c r="E13" s="38" t="s">
        <v>1011</v>
      </c>
      <c r="F13" s="39" t="s">
        <v>1012</v>
      </c>
      <c r="G13" s="39">
        <v>1</v>
      </c>
      <c r="H13" s="39"/>
      <c r="I13" s="40" t="s">
        <v>271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4.4760040495918292E-4</v>
      </c>
      <c r="V13" s="48">
        <f t="shared" si="2"/>
        <v>0</v>
      </c>
      <c r="W13" s="49">
        <f t="shared" si="3"/>
        <v>4.4760040495918292E-4</v>
      </c>
      <c r="X13" s="44">
        <f t="shared" si="4"/>
        <v>135.77456971983261</v>
      </c>
      <c r="Y13" s="44">
        <f t="shared" si="5"/>
        <v>0</v>
      </c>
      <c r="Z13" s="44">
        <f t="shared" si="6"/>
        <v>978.32987328803324</v>
      </c>
      <c r="AA13" s="50">
        <f t="shared" si="7"/>
        <v>4078.7745697198325</v>
      </c>
      <c r="AB13" s="51">
        <f t="shared" si="8"/>
        <v>914.58340963637761</v>
      </c>
      <c r="AC13" s="44">
        <f t="shared" si="8"/>
        <v>3813.0079178459682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0.36199275106396656</v>
      </c>
      <c r="AP13" s="47">
        <f t="shared" si="16"/>
        <v>9.5509851757832123E-2</v>
      </c>
    </row>
    <row r="14" spans="1:42" ht="13.5" customHeight="1">
      <c r="A14" s="55">
        <f>SUM(Y5:Y1000)</f>
        <v>673138.02</v>
      </c>
      <c r="B14" s="97" t="s">
        <v>129</v>
      </c>
      <c r="C14" s="98">
        <v>18230715</v>
      </c>
      <c r="D14" s="61" t="s">
        <v>130</v>
      </c>
      <c r="E14" s="38" t="s">
        <v>1011</v>
      </c>
      <c r="F14" s="39" t="s">
        <v>1012</v>
      </c>
      <c r="G14" s="39">
        <v>7</v>
      </c>
      <c r="H14" s="39"/>
      <c r="I14" s="40" t="s">
        <v>271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3.7792327978976021</v>
      </c>
      <c r="V14" s="48">
        <f t="shared" si="2"/>
        <v>479800</v>
      </c>
      <c r="W14" s="49">
        <f t="shared" si="3"/>
        <v>0.53989039969965746</v>
      </c>
      <c r="X14" s="44">
        <f t="shared" si="4"/>
        <v>163769.70597641449</v>
      </c>
      <c r="Y14" s="44">
        <f t="shared" si="5"/>
        <v>479800</v>
      </c>
      <c r="Z14" s="44">
        <f t="shared" si="6"/>
        <v>1180050.1082561749</v>
      </c>
      <c r="AA14" s="50">
        <f t="shared" si="7"/>
        <v>1420080.7059764145</v>
      </c>
      <c r="AB14" s="51">
        <f t="shared" si="8"/>
        <v>1103159.8656223004</v>
      </c>
      <c r="AC14" s="44">
        <f t="shared" si="8"/>
        <v>1327550.4402883186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2.2826780146492003</v>
      </c>
      <c r="AP14" s="47">
        <f t="shared" si="16"/>
        <v>2.0865306243940118</v>
      </c>
    </row>
    <row r="15" spans="1:42" ht="13.5" customHeight="1">
      <c r="A15" s="57" t="s">
        <v>258</v>
      </c>
      <c r="B15" s="97" t="s">
        <v>129</v>
      </c>
      <c r="C15" s="98">
        <v>18230715</v>
      </c>
      <c r="D15" s="61" t="s">
        <v>130</v>
      </c>
      <c r="E15" s="38" t="s">
        <v>1011</v>
      </c>
      <c r="F15" s="39" t="s">
        <v>1012</v>
      </c>
      <c r="G15" s="39">
        <v>10</v>
      </c>
      <c r="H15" s="39"/>
      <c r="I15" s="40" t="s">
        <v>271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0.31326510590671419</v>
      </c>
      <c r="V15" s="48">
        <f t="shared" si="2"/>
        <v>41706</v>
      </c>
      <c r="W15" s="49">
        <f t="shared" si="3"/>
        <v>3.1326510590671416E-2</v>
      </c>
      <c r="X15" s="44">
        <f t="shared" si="4"/>
        <v>9502.5461307615606</v>
      </c>
      <c r="Y15" s="44">
        <f t="shared" si="5"/>
        <v>41706</v>
      </c>
      <c r="Z15" s="44">
        <f t="shared" si="6"/>
        <v>68471.03085065927</v>
      </c>
      <c r="AA15" s="50">
        <f t="shared" si="7"/>
        <v>100886.54613076156</v>
      </c>
      <c r="AB15" s="51">
        <f t="shared" si="8"/>
        <v>64009.564224230402</v>
      </c>
      <c r="AC15" s="44">
        <f t="shared" si="8"/>
        <v>94312.934589849072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3.2279730514009493</v>
      </c>
      <c r="AP15" s="47">
        <f t="shared" si="16"/>
        <v>2.4098843299800152</v>
      </c>
    </row>
    <row r="16" spans="1:42" ht="13.5" customHeight="1">
      <c r="A16" s="54">
        <f>SUM(U5:U999)</f>
        <v>10.546316489241368</v>
      </c>
      <c r="B16" s="97" t="s">
        <v>129</v>
      </c>
      <c r="C16" s="98">
        <v>18230715</v>
      </c>
      <c r="D16" s="61" t="s">
        <v>130</v>
      </c>
      <c r="E16" s="38" t="s">
        <v>1011</v>
      </c>
      <c r="F16" s="39" t="s">
        <v>1012</v>
      </c>
      <c r="G16" s="39">
        <v>11</v>
      </c>
      <c r="H16" s="39"/>
      <c r="I16" s="40" t="s">
        <v>271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0.15027918744193941</v>
      </c>
      <c r="V16" s="48">
        <f t="shared" si="2"/>
        <v>10812</v>
      </c>
      <c r="W16" s="49">
        <f t="shared" si="3"/>
        <v>1.3661744312903583E-2</v>
      </c>
      <c r="X16" s="44">
        <f t="shared" si="4"/>
        <v>4144.1371257829978</v>
      </c>
      <c r="Y16" s="44">
        <f t="shared" si="5"/>
        <v>10812</v>
      </c>
      <c r="Z16" s="44">
        <f t="shared" si="6"/>
        <v>29860.76963839052</v>
      </c>
      <c r="AA16" s="50">
        <f t="shared" si="7"/>
        <v>36621.137125782996</v>
      </c>
      <c r="AB16" s="51">
        <f t="shared" si="8"/>
        <v>27915.088004478373</v>
      </c>
      <c r="AC16" s="44">
        <f t="shared" si="8"/>
        <v>34234.960386821534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3.5426038620355729</v>
      </c>
      <c r="AP16" s="47">
        <f t="shared" si="16"/>
        <v>3.1774918738616464</v>
      </c>
    </row>
    <row r="17" spans="1:42" ht="13.5" customHeight="1">
      <c r="A17" s="58" t="s">
        <v>261</v>
      </c>
      <c r="B17" s="97" t="s">
        <v>129</v>
      </c>
      <c r="C17" s="98">
        <v>18230715</v>
      </c>
      <c r="D17" s="61" t="s">
        <v>130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0.37829981149136793</v>
      </c>
      <c r="V17" s="48">
        <f t="shared" si="2"/>
        <v>60672</v>
      </c>
      <c r="W17" s="49">
        <f t="shared" si="3"/>
        <v>2.9099985499335995E-2</v>
      </c>
      <c r="X17" s="44">
        <f t="shared" si="4"/>
        <v>8827.1546813859823</v>
      </c>
      <c r="Y17" s="44">
        <f t="shared" si="5"/>
        <v>60672</v>
      </c>
      <c r="Z17" s="44">
        <f t="shared" si="6"/>
        <v>63604.466865585469</v>
      </c>
      <c r="AA17" s="50">
        <f t="shared" si="7"/>
        <v>115645.15468138599</v>
      </c>
      <c r="AB17" s="51">
        <f t="shared" si="8"/>
        <v>59460.098032705864</v>
      </c>
      <c r="AC17" s="44">
        <f t="shared" si="8"/>
        <v>108109.89499989341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4.1316621687260193</v>
      </c>
      <c r="AP17" s="47">
        <f t="shared" si="16"/>
        <v>2.499641141541991</v>
      </c>
    </row>
    <row r="18" spans="1:42" ht="13.5" customHeight="1">
      <c r="A18" s="59">
        <f>A6+A8</f>
        <v>2185721.6</v>
      </c>
      <c r="B18" s="97" t="s">
        <v>129</v>
      </c>
      <c r="C18" s="98">
        <v>18230715</v>
      </c>
      <c r="D18" s="61" t="s">
        <v>130</v>
      </c>
      <c r="E18" s="38" t="s">
        <v>1011</v>
      </c>
      <c r="F18" s="39" t="s">
        <v>1012</v>
      </c>
      <c r="G18" s="39">
        <v>15</v>
      </c>
      <c r="H18" s="39"/>
      <c r="I18" s="40" t="s">
        <v>271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5.1767039438936867E-2</v>
      </c>
      <c r="V18" s="48">
        <f t="shared" si="2"/>
        <v>0</v>
      </c>
      <c r="W18" s="49">
        <f t="shared" si="3"/>
        <v>3.451135962595791E-3</v>
      </c>
      <c r="X18" s="44">
        <f t="shared" si="4"/>
        <v>1046.8634415306524</v>
      </c>
      <c r="Y18" s="44">
        <f t="shared" si="5"/>
        <v>0</v>
      </c>
      <c r="Z18" s="44">
        <f t="shared" si="6"/>
        <v>7543.2224179824125</v>
      </c>
      <c r="AA18" s="50">
        <f t="shared" si="7"/>
        <v>7182.8634415306524</v>
      </c>
      <c r="AB18" s="51">
        <f t="shared" si="8"/>
        <v>7051.7176946643094</v>
      </c>
      <c r="AC18" s="44">
        <f t="shared" si="8"/>
        <v>6714.8391525947945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4.6769042625000061</v>
      </c>
      <c r="AP18" s="47">
        <f t="shared" si="16"/>
        <v>5.4026952208550769</v>
      </c>
    </row>
    <row r="19" spans="1:42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1011</v>
      </c>
      <c r="F19" s="39" t="s">
        <v>1012</v>
      </c>
      <c r="G19" s="39">
        <v>20</v>
      </c>
      <c r="H19" s="39"/>
      <c r="I19" s="40" t="s">
        <v>271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0.19535065011310299</v>
      </c>
      <c r="V19" s="48">
        <f t="shared" si="2"/>
        <v>0</v>
      </c>
      <c r="W19" s="49">
        <f t="shared" si="3"/>
        <v>9.7675325056551486E-3</v>
      </c>
      <c r="X19" s="44">
        <f t="shared" si="4"/>
        <v>2962.8715892264263</v>
      </c>
      <c r="Y19" s="44">
        <f t="shared" si="5"/>
        <v>0</v>
      </c>
      <c r="Z19" s="44">
        <f t="shared" si="6"/>
        <v>21349.106776312583</v>
      </c>
      <c r="AA19" s="50">
        <f t="shared" si="7"/>
        <v>9408.8715892264263</v>
      </c>
      <c r="AB19" s="51">
        <f t="shared" si="8"/>
        <v>19958.031949436834</v>
      </c>
      <c r="AC19" s="44">
        <f t="shared" si="8"/>
        <v>8795.8040471407166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5.8506301531787841</v>
      </c>
      <c r="AP19" s="47">
        <f t="shared" si="16"/>
        <v>14.602845764325826</v>
      </c>
    </row>
    <row r="20" spans="1:42" ht="13.5" customHeight="1">
      <c r="A20" s="59">
        <f>A8+SUM(Q5:Q906)</f>
        <v>2858859.62</v>
      </c>
      <c r="B20" s="97" t="s">
        <v>129</v>
      </c>
      <c r="C20" s="98">
        <v>18230715</v>
      </c>
      <c r="D20" s="61" t="s">
        <v>130</v>
      </c>
      <c r="E20" s="38" t="s">
        <v>1017</v>
      </c>
      <c r="F20" s="39" t="s">
        <v>1018</v>
      </c>
      <c r="G20" s="39">
        <v>15</v>
      </c>
      <c r="H20" s="39"/>
      <c r="I20" s="40" t="s">
        <v>270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1.2587106062535602E-2</v>
      </c>
      <c r="V20" s="48">
        <f t="shared" si="2"/>
        <v>0</v>
      </c>
      <c r="W20" s="49">
        <f t="shared" si="3"/>
        <v>8.3914040416904019E-4</v>
      </c>
      <c r="X20" s="44">
        <f t="shared" si="4"/>
        <v>254.54384323215169</v>
      </c>
      <c r="Y20" s="44">
        <f t="shared" si="5"/>
        <v>0</v>
      </c>
      <c r="Z20" s="44">
        <f t="shared" si="6"/>
        <v>1834.1273068250011</v>
      </c>
      <c r="AA20" s="50">
        <f t="shared" si="7"/>
        <v>2535.5438432321516</v>
      </c>
      <c r="AB20" s="51">
        <f t="shared" si="8"/>
        <v>1714.6184040618875</v>
      </c>
      <c r="AC20" s="44">
        <f t="shared" si="8"/>
        <v>2370.3317221951493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4.5651732691485343</v>
      </c>
      <c r="AP20" s="47">
        <f t="shared" si="16"/>
        <v>3.6325224165421308</v>
      </c>
    </row>
    <row r="21" spans="1:42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991</v>
      </c>
      <c r="F21" s="39" t="s">
        <v>992</v>
      </c>
      <c r="G21" s="39">
        <v>15</v>
      </c>
      <c r="H21" s="39"/>
      <c r="I21" s="40" t="s">
        <v>271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2.353936157791944</v>
      </c>
      <c r="V21" s="48">
        <f t="shared" si="2"/>
        <v>33469</v>
      </c>
      <c r="W21" s="49">
        <f t="shared" si="3"/>
        <v>0.15692907718612958</v>
      </c>
      <c r="X21" s="44">
        <f t="shared" si="4"/>
        <v>47602.677958747932</v>
      </c>
      <c r="Y21" s="44">
        <f t="shared" si="5"/>
        <v>33469</v>
      </c>
      <c r="Z21" s="44">
        <f t="shared" si="6"/>
        <v>343003.27367379068</v>
      </c>
      <c r="AA21" s="50">
        <f t="shared" si="7"/>
        <v>488419.67795874795</v>
      </c>
      <c r="AB21" s="51">
        <f t="shared" ref="AB21:AC24" si="18">Z21/(1+ElecDiscountRate)^1</f>
        <v>320653.7100811355</v>
      </c>
      <c r="AC21" s="44">
        <f t="shared" si="18"/>
        <v>456595.00603790587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4.6769042625000061</v>
      </c>
      <c r="AP21" s="47">
        <f t="shared" si="16"/>
        <v>3.6129027956877047</v>
      </c>
    </row>
    <row r="22" spans="1:42" ht="13.5" customHeight="1">
      <c r="A22" s="60">
        <f>(SUM(AM5:AM1000)/(SUM(AB5:AB1000)))</f>
        <v>3.3229153921785062</v>
      </c>
      <c r="B22" s="97" t="s">
        <v>129</v>
      </c>
      <c r="C22" s="98">
        <v>18230715</v>
      </c>
      <c r="D22" s="61" t="s">
        <v>130</v>
      </c>
      <c r="E22" s="38" t="s">
        <v>1027</v>
      </c>
      <c r="F22" s="39" t="s">
        <v>1028</v>
      </c>
      <c r="G22" s="39">
        <v>20</v>
      </c>
      <c r="H22" s="39"/>
      <c r="I22" s="40" t="s">
        <v>274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0.24772740164212848</v>
      </c>
      <c r="V22" s="48">
        <f t="shared" si="2"/>
        <v>7280</v>
      </c>
      <c r="W22" s="49">
        <f t="shared" si="3"/>
        <v>1.2386370082106423E-2</v>
      </c>
      <c r="X22" s="44">
        <f t="shared" si="4"/>
        <v>3757.2666370620645</v>
      </c>
      <c r="Y22" s="44">
        <f t="shared" si="5"/>
        <v>7280</v>
      </c>
      <c r="Z22" s="44">
        <f t="shared" si="6"/>
        <v>27073.156634053783</v>
      </c>
      <c r="AA22" s="50">
        <f t="shared" si="7"/>
        <v>28025.266637062065</v>
      </c>
      <c r="AB22" s="51">
        <f t="shared" si="18"/>
        <v>25309.11155843113</v>
      </c>
      <c r="AC22" s="44">
        <f t="shared" si="18"/>
        <v>26199.183544042313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5.5846916136887552</v>
      </c>
      <c r="AP22" s="47">
        <f t="shared" si="16"/>
        <v>5.934457503835743</v>
      </c>
    </row>
    <row r="23" spans="1:42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1031</v>
      </c>
      <c r="F23" s="39" t="s">
        <v>1032</v>
      </c>
      <c r="G23" s="39">
        <v>10</v>
      </c>
      <c r="H23" s="39"/>
      <c r="I23" s="40" t="s">
        <v>270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2.2309392965125349E-2</v>
      </c>
      <c r="V23" s="48">
        <f t="shared" si="2"/>
        <v>4924</v>
      </c>
      <c r="W23" s="49">
        <f t="shared" si="3"/>
        <v>2.2309392965125349E-3</v>
      </c>
      <c r="X23" s="44">
        <f t="shared" si="4"/>
        <v>676.73044907695669</v>
      </c>
      <c r="Y23" s="44">
        <f t="shared" si="5"/>
        <v>4924</v>
      </c>
      <c r="Z23" s="44">
        <f t="shared" si="6"/>
        <v>4876.212208676252</v>
      </c>
      <c r="AA23" s="50">
        <f t="shared" si="7"/>
        <v>12676.730449076957</v>
      </c>
      <c r="AB23" s="51">
        <f t="shared" si="18"/>
        <v>4558.4857517773689</v>
      </c>
      <c r="AC23" s="44">
        <f t="shared" si="18"/>
        <v>11850.734270428116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3.1416040737623381</v>
      </c>
      <c r="AP23" s="47">
        <f t="shared" si="16"/>
        <v>1.3292892059927526</v>
      </c>
    </row>
    <row r="24" spans="1:42" ht="13.5" customHeight="1">
      <c r="A24" s="60">
        <f>(SUM(AN5:AN1000)/SUM(AC5:AC1000))</f>
        <v>2.7945634988620869</v>
      </c>
      <c r="B24" s="97" t="s">
        <v>129</v>
      </c>
      <c r="C24" s="98">
        <v>18230715</v>
      </c>
      <c r="D24" s="61" t="s">
        <v>130</v>
      </c>
      <c r="E24" s="38" t="s">
        <v>1033</v>
      </c>
      <c r="F24" s="39" t="s">
        <v>1034</v>
      </c>
      <c r="G24" s="39">
        <v>20</v>
      </c>
      <c r="H24" s="39"/>
      <c r="I24" s="40" t="s">
        <v>275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0.11048314137794271</v>
      </c>
      <c r="V24" s="48">
        <f t="shared" si="2"/>
        <v>30922</v>
      </c>
      <c r="W24" s="49">
        <f t="shared" si="3"/>
        <v>5.5241570688971354E-3</v>
      </c>
      <c r="X24" s="44">
        <f t="shared" si="4"/>
        <v>1675.6911762907746</v>
      </c>
      <c r="Y24" s="44">
        <f t="shared" si="5"/>
        <v>30922</v>
      </c>
      <c r="Z24" s="44">
        <f t="shared" si="6"/>
        <v>12074.269427281159</v>
      </c>
      <c r="AA24" s="50">
        <f t="shared" si="7"/>
        <v>45270.691176290777</v>
      </c>
      <c r="AB24" s="51">
        <f t="shared" si="18"/>
        <v>11287.528678396893</v>
      </c>
      <c r="AC24" s="44">
        <f t="shared" si="18"/>
        <v>42320.922853408221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7.5506824470436902</v>
      </c>
      <c r="AP24" s="47">
        <f t="shared" si="16"/>
        <v>2.2152494040231212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 t="s">
        <v>1047</v>
      </c>
      <c r="F25" s="39" t="s">
        <v>1048</v>
      </c>
      <c r="G25" s="39">
        <v>15</v>
      </c>
      <c r="H25" s="39"/>
      <c r="I25" s="40" t="s">
        <v>271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1.7611023329736492E-2</v>
      </c>
      <c r="V25" s="48">
        <f>N25-M25</f>
        <v>0</v>
      </c>
      <c r="W25" s="49">
        <f>(O25/A$10)</f>
        <v>1.1740682219824328E-3</v>
      </c>
      <c r="X25" s="44">
        <f>W25*A$8</f>
        <v>356.14044557428485</v>
      </c>
      <c r="Y25" s="44">
        <f>Q25-P25</f>
        <v>0</v>
      </c>
      <c r="Z25" s="44">
        <f>X25+(A$6*W25)</f>
        <v>2566.1862726605982</v>
      </c>
      <c r="AA25" s="50">
        <f>Q25+X25</f>
        <v>2218.140445574285</v>
      </c>
      <c r="AB25" s="51">
        <f t="shared" ref="AB25:AC27" si="19">Z25/(1+ElecDiscountRate)^1</f>
        <v>2398.9775382449266</v>
      </c>
      <c r="AC25" s="44">
        <f t="shared" si="19"/>
        <v>2073.6098397441197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4.6769042625000061</v>
      </c>
      <c r="AP25" s="47">
        <f>AN25/AC25</f>
        <v>5.9518270337723571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27 R5:S27">
    <cfRule type="expression" dxfId="222" priority="2">
      <formula>ISTEXT(M5)</formula>
    </cfRule>
  </conditionalFormatting>
  <conditionalFormatting sqref="M5:N27 R5:S27">
    <cfRule type="notContainsBlanks" dxfId="221" priority="3">
      <formula>LEN(TRIM(M5))&gt;0</formula>
    </cfRule>
  </conditionalFormatting>
  <conditionalFormatting sqref="R5:S2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1.1117952625615861</v>
      </c>
      <c r="V5" s="48">
        <f t="shared" ref="V5:V19" si="2">N5-M5</f>
        <v>37148</v>
      </c>
      <c r="W5" s="49">
        <f t="shared" ref="W5:W19" si="3">(O5/A$10)</f>
        <v>0.37059842085386202</v>
      </c>
      <c r="X5" s="44">
        <f t="shared" ref="X5:X19" si="4">W5*A$8</f>
        <v>315346.10982387542</v>
      </c>
      <c r="Y5" s="44">
        <f t="shared" ref="Y5:Y19" si="5">Q5-P5</f>
        <v>37148</v>
      </c>
      <c r="Z5" s="44">
        <f t="shared" ref="Z5:Z19" si="6">X5+(A$6*W5)</f>
        <v>459292.83665666997</v>
      </c>
      <c r="AA5" s="50">
        <f t="shared" ref="AA5:AA19" si="7">Q5+X5</f>
        <v>413122.10982387542</v>
      </c>
      <c r="AB5" s="51">
        <f t="shared" ref="AB5:AC15" si="8">Z5/(1+ElecDiscountRate)^1</f>
        <v>429366.02473279415</v>
      </c>
      <c r="AC5" s="44">
        <f t="shared" si="8"/>
        <v>386203.71115628252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1.2563773643765195</v>
      </c>
      <c r="AP5" s="47">
        <f>AN5/AC5</f>
        <v>1.5364697770010534</v>
      </c>
    </row>
    <row r="6" spans="1:42" ht="13.5" customHeight="1">
      <c r="A6" s="53">
        <f>SUMIF('Program Costs'!D:D,C2,'Program Costs'!L:L)</f>
        <v>388417</v>
      </c>
      <c r="B6" s="97" t="s">
        <v>136</v>
      </c>
      <c r="C6" s="98">
        <v>18230723</v>
      </c>
      <c r="D6" s="61" t="s">
        <v>137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0.96604391584214477</v>
      </c>
      <c r="V6" s="48">
        <f t="shared" si="2"/>
        <v>33464</v>
      </c>
      <c r="W6" s="49">
        <f t="shared" si="3"/>
        <v>0.32201463861404828</v>
      </c>
      <c r="X6" s="44">
        <f t="shared" si="4"/>
        <v>274005.65647127747</v>
      </c>
      <c r="Y6" s="44">
        <f t="shared" si="5"/>
        <v>33464</v>
      </c>
      <c r="Z6" s="44">
        <f t="shared" si="6"/>
        <v>399081.61635783024</v>
      </c>
      <c r="AA6" s="50">
        <f t="shared" si="7"/>
        <v>358963.65647127747</v>
      </c>
      <c r="AB6" s="51">
        <f t="shared" si="8"/>
        <v>373078.07456093316</v>
      </c>
      <c r="AC6" s="44">
        <f t="shared" si="8"/>
        <v>335574.13898408657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1.2563773643765193</v>
      </c>
      <c r="AP6" s="47">
        <f t="shared" ref="AP6:AP19" si="16">AN6/AC6</f>
        <v>1.536469807795098</v>
      </c>
    </row>
    <row r="7" spans="1:42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1.0472050350501066E-2</v>
      </c>
      <c r="V7" s="48">
        <f t="shared" si="2"/>
        <v>461</v>
      </c>
      <c r="W7" s="49">
        <f t="shared" si="3"/>
        <v>3.4906834501670218E-3</v>
      </c>
      <c r="X7" s="44">
        <f t="shared" si="4"/>
        <v>2970.2594093643529</v>
      </c>
      <c r="Y7" s="44">
        <f t="shared" si="5"/>
        <v>461</v>
      </c>
      <c r="Z7" s="44">
        <f t="shared" si="6"/>
        <v>4326.1002030278769</v>
      </c>
      <c r="AA7" s="50">
        <f t="shared" si="7"/>
        <v>3891.2594093643529</v>
      </c>
      <c r="AB7" s="51">
        <f t="shared" si="8"/>
        <v>4044.2181948470379</v>
      </c>
      <c r="AC7" s="44">
        <f t="shared" si="8"/>
        <v>3637.7109557486701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1.2563773643765193</v>
      </c>
      <c r="AP7" s="47">
        <f t="shared" si="16"/>
        <v>1.5364526440544914</v>
      </c>
    </row>
    <row r="8" spans="1:42" ht="13.5" customHeight="1">
      <c r="A8" s="53">
        <f>SUMIF('Program Costs'!D:D,C2,'Program Costs'!O:O)</f>
        <v>850910.56</v>
      </c>
      <c r="B8" s="97" t="s">
        <v>136</v>
      </c>
      <c r="C8" s="98">
        <v>18230723</v>
      </c>
      <c r="D8" s="61" t="s">
        <v>137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0.91168877124576797</v>
      </c>
      <c r="V8" s="48">
        <f t="shared" si="2"/>
        <v>55184</v>
      </c>
      <c r="W8" s="49">
        <f t="shared" si="3"/>
        <v>0.30389625708192264</v>
      </c>
      <c r="X8" s="44">
        <f t="shared" si="4"/>
        <v>258588.53429548276</v>
      </c>
      <c r="Y8" s="44">
        <f t="shared" si="5"/>
        <v>55184</v>
      </c>
      <c r="Z8" s="44">
        <f t="shared" si="6"/>
        <v>376627.0067824719</v>
      </c>
      <c r="AA8" s="50">
        <f t="shared" si="7"/>
        <v>354208.53429548279</v>
      </c>
      <c r="AB8" s="51">
        <f t="shared" si="8"/>
        <v>352086.57266754407</v>
      </c>
      <c r="AC8" s="44">
        <f t="shared" si="8"/>
        <v>331128.85322565463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1.2563773643765193</v>
      </c>
      <c r="AP8" s="47">
        <f t="shared" si="16"/>
        <v>1.4694852335590818</v>
      </c>
    </row>
    <row r="9" spans="1:42" ht="13.5" customHeight="1">
      <c r="A9" s="36" t="s">
        <v>251</v>
      </c>
      <c r="B9" s="97" t="s">
        <v>136</v>
      </c>
      <c r="C9" s="98">
        <v>18230723</v>
      </c>
      <c r="D9" s="61" t="s">
        <v>137</v>
      </c>
      <c r="E9" s="38" t="s">
        <v>1077</v>
      </c>
      <c r="F9" s="39" t="s">
        <v>1078</v>
      </c>
      <c r="G9" s="39">
        <v>3</v>
      </c>
      <c r="H9" s="39"/>
      <c r="I9" s="40" t="s">
        <v>270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SUM(O5:O994)</f>
        <v>6595843</v>
      </c>
      <c r="B10" s="97" t="s">
        <v>136</v>
      </c>
      <c r="C10" s="98">
        <v>18230723</v>
      </c>
      <c r="D10" s="61" t="s">
        <v>137</v>
      </c>
      <c r="E10" s="38" t="s">
        <v>1079</v>
      </c>
      <c r="F10" s="39" t="s">
        <v>1080</v>
      </c>
      <c r="G10" s="39">
        <v>3</v>
      </c>
      <c r="H10" s="39"/>
      <c r="I10" s="40" t="s">
        <v>270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136</v>
      </c>
      <c r="C11" s="98">
        <v>18230723</v>
      </c>
      <c r="D11" s="61" t="s">
        <v>137</v>
      </c>
      <c r="E11" s="38" t="s">
        <v>1081</v>
      </c>
      <c r="F11" s="39" t="s">
        <v>1082</v>
      </c>
      <c r="G11" s="39">
        <v>3</v>
      </c>
      <c r="H11" s="39"/>
      <c r="I11" s="40" t="s">
        <v>270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SUM(P5:P995)</f>
        <v>388417</v>
      </c>
      <c r="B12" s="97" t="s">
        <v>136</v>
      </c>
      <c r="C12" s="98">
        <v>18230723</v>
      </c>
      <c r="D12" s="61" t="s">
        <v>137</v>
      </c>
      <c r="E12" s="38" t="s">
        <v>1081</v>
      </c>
      <c r="F12" s="39" t="s">
        <v>1082</v>
      </c>
      <c r="G12" s="39">
        <v>3</v>
      </c>
      <c r="H12" s="39"/>
      <c r="I12" s="40" t="s">
        <v>270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136</v>
      </c>
      <c r="C13" s="98">
        <v>18230723</v>
      </c>
      <c r="D13" s="61" t="s">
        <v>137</v>
      </c>
      <c r="E13" s="38" t="s">
        <v>1083</v>
      </c>
      <c r="F13" s="39" t="s">
        <v>1084</v>
      </c>
      <c r="G13" s="39">
        <v>3</v>
      </c>
      <c r="H13" s="39"/>
      <c r="I13" s="40" t="s">
        <v>270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SUM(Y5:Y995)</f>
        <v>126257</v>
      </c>
      <c r="B14" s="97" t="s">
        <v>136</v>
      </c>
      <c r="C14" s="98">
        <v>18230723</v>
      </c>
      <c r="D14" s="61" t="s">
        <v>137</v>
      </c>
      <c r="E14" s="38" t="s">
        <v>1085</v>
      </c>
      <c r="F14" s="39" t="s">
        <v>1086</v>
      </c>
      <c r="G14" s="39">
        <v>3</v>
      </c>
      <c r="H14" s="39"/>
      <c r="I14" s="40" t="s">
        <v>270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136</v>
      </c>
      <c r="C15" s="98">
        <v>18230723</v>
      </c>
      <c r="D15" s="61" t="s">
        <v>137</v>
      </c>
      <c r="E15" s="38" t="s">
        <v>1087</v>
      </c>
      <c r="F15" s="39" t="s">
        <v>1088</v>
      </c>
      <c r="G15" s="39">
        <v>3</v>
      </c>
      <c r="H15" s="39"/>
      <c r="I15" s="40" t="s">
        <v>270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1087</v>
      </c>
      <c r="F16" s="39" t="s">
        <v>1088</v>
      </c>
      <c r="G16" s="39">
        <v>3</v>
      </c>
      <c r="H16" s="39"/>
      <c r="I16" s="40" t="s">
        <v>270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1239327.56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1365584.56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245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1.2563773643765195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1.2542389925492283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28 M5:N28">
    <cfRule type="expression" dxfId="217" priority="2">
      <formula>ISTEXT(M5)</formula>
    </cfRule>
  </conditionalFormatting>
  <conditionalFormatting sqref="R5:S28 M5:N28">
    <cfRule type="notContainsBlanks" dxfId="216" priority="3">
      <formula>LEN(TRIM(M5))&gt;0</formula>
    </cfRule>
  </conditionalFormatting>
  <conditionalFormatting sqref="R5:S28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18236102</v>
      </c>
      <c r="D2" s="20" t="s">
        <v>524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18236102</v>
      </c>
      <c r="D5" s="61" t="s">
        <v>524</v>
      </c>
      <c r="E5" s="38" t="s">
        <v>1089</v>
      </c>
      <c r="F5" s="39" t="s">
        <v>1090</v>
      </c>
      <c r="G5" s="39">
        <v>14</v>
      </c>
      <c r="H5" s="39"/>
      <c r="I5" s="40" t="s">
        <v>270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</row>
    <row r="6" spans="1:42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 t="s">
        <v>312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1007</v>
      </c>
      <c r="F5" s="39" t="s">
        <v>1008</v>
      </c>
      <c r="G5" s="39">
        <v>7</v>
      </c>
      <c r="H5" s="39"/>
      <c r="I5" s="40" t="s">
        <v>270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0.10561018269864256</v>
      </c>
      <c r="V5" s="48">
        <f t="shared" ref="V5:V24" si="2">N5-M5</f>
        <v>0</v>
      </c>
      <c r="W5" s="49">
        <f t="shared" ref="W5:W24" si="3">(O5/A$10)</f>
        <v>1.5087168956948937E-2</v>
      </c>
      <c r="X5" s="44">
        <f t="shared" ref="X5:X24" si="4">W5*A$8</f>
        <v>3787.6247143406549</v>
      </c>
      <c r="Y5" s="44">
        <f t="shared" ref="Y5:Y24" si="5">Q5-P5</f>
        <v>0</v>
      </c>
      <c r="Z5" s="44">
        <f t="shared" ref="Z5:Z24" si="6">X5+(A$6*W5)</f>
        <v>53701.622074245955</v>
      </c>
      <c r="AA5" s="50">
        <f t="shared" ref="AA5:AA24" si="7">Q5+X5</f>
        <v>17899.624714340654</v>
      </c>
      <c r="AB5" s="51">
        <f t="shared" ref="AB5:AC20" si="8">Z5/(1+ElecDiscountRate)^1</f>
        <v>50202.507314430171</v>
      </c>
      <c r="AC5" s="44">
        <f t="shared" si="8"/>
        <v>16733.312811386979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1.122850084703739</v>
      </c>
      <c r="AP5" s="47">
        <f>AN5/AC5</f>
        <v>3.7055948961395897</v>
      </c>
    </row>
    <row r="6" spans="1:42" ht="13.5" customHeight="1">
      <c r="A6" s="53">
        <f>SUMIF('Program Costs'!C:C,D2,'Program Costs'!L:L)</f>
        <v>3308373.99</v>
      </c>
      <c r="B6" s="97" t="s">
        <v>133</v>
      </c>
      <c r="C6" s="98">
        <v>18230720</v>
      </c>
      <c r="D6" s="61" t="s">
        <v>134</v>
      </c>
      <c r="E6" s="38" t="s">
        <v>1007</v>
      </c>
      <c r="F6" s="39" t="s">
        <v>1008</v>
      </c>
      <c r="G6" s="39">
        <v>10</v>
      </c>
      <c r="H6" s="39"/>
      <c r="I6" s="40" t="s">
        <v>270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0.31588839430534055</v>
      </c>
      <c r="V6" s="48">
        <f t="shared" si="2"/>
        <v>0</v>
      </c>
      <c r="W6" s="49">
        <f t="shared" si="3"/>
        <v>3.1588839430534053E-2</v>
      </c>
      <c r="X6" s="44">
        <f t="shared" si="4"/>
        <v>7930.3591857319125</v>
      </c>
      <c r="Y6" s="44">
        <f t="shared" si="5"/>
        <v>0</v>
      </c>
      <c r="Z6" s="44">
        <f t="shared" si="6"/>
        <v>112438.05393199719</v>
      </c>
      <c r="AA6" s="50">
        <f t="shared" si="7"/>
        <v>110656.35918573191</v>
      </c>
      <c r="AB6" s="51">
        <f t="shared" si="8"/>
        <v>105111.76398242234</v>
      </c>
      <c r="AC6" s="44">
        <f t="shared" si="8"/>
        <v>103446.16171424877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1.5914575490600236</v>
      </c>
      <c r="AP6" s="47">
        <f t="shared" ref="AP6:AP24" si="16">AN6/AC6</f>
        <v>1.7787900320711476</v>
      </c>
    </row>
    <row r="7" spans="1:42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1009</v>
      </c>
      <c r="F7" s="39" t="s">
        <v>1010</v>
      </c>
      <c r="G7" s="39">
        <v>15</v>
      </c>
      <c r="H7" s="39"/>
      <c r="I7" s="40" t="s">
        <v>270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0.16873890113271151</v>
      </c>
      <c r="V7" s="48">
        <f t="shared" si="2"/>
        <v>25786.740000000005</v>
      </c>
      <c r="W7" s="49">
        <f t="shared" si="3"/>
        <v>1.1249260075514101E-2</v>
      </c>
      <c r="X7" s="44">
        <f t="shared" si="4"/>
        <v>2824.1199924017687</v>
      </c>
      <c r="Y7" s="44">
        <f t="shared" si="5"/>
        <v>25786.740000000005</v>
      </c>
      <c r="Z7" s="44">
        <f t="shared" si="6"/>
        <v>40040.879432978058</v>
      </c>
      <c r="AA7" s="50">
        <f t="shared" si="7"/>
        <v>70657.859992401776</v>
      </c>
      <c r="AB7" s="51">
        <f t="shared" si="8"/>
        <v>37431.877566586947</v>
      </c>
      <c r="AC7" s="44">
        <f t="shared" si="8"/>
        <v>66053.902956344551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2.3126018719643029</v>
      </c>
      <c r="AP7" s="47">
        <f t="shared" si="16"/>
        <v>1.4415731528797453</v>
      </c>
    </row>
    <row r="8" spans="1:42" ht="13.5" customHeight="1">
      <c r="A8" s="53">
        <f>SUMIF('Program Costs'!C:C,D2,'Program Costs'!O:O)</f>
        <v>251049.39999999991</v>
      </c>
      <c r="B8" s="97" t="s">
        <v>133</v>
      </c>
      <c r="C8" s="98">
        <v>18230720</v>
      </c>
      <c r="D8" s="61" t="s">
        <v>134</v>
      </c>
      <c r="E8" s="38" t="s">
        <v>1009</v>
      </c>
      <c r="F8" s="39" t="s">
        <v>1010</v>
      </c>
      <c r="G8" s="39">
        <v>15</v>
      </c>
      <c r="H8" s="39"/>
      <c r="I8" s="40" t="s">
        <v>270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7.067959346792993E-2</v>
      </c>
      <c r="V8" s="48">
        <f t="shared" si="2"/>
        <v>0</v>
      </c>
      <c r="W8" s="49">
        <f t="shared" si="3"/>
        <v>4.7119728978619949E-3</v>
      </c>
      <c r="X8" s="44">
        <f t="shared" si="4"/>
        <v>1182.9379688245147</v>
      </c>
      <c r="Y8" s="44">
        <f t="shared" si="5"/>
        <v>0</v>
      </c>
      <c r="Z8" s="44">
        <f t="shared" si="6"/>
        <v>16771.906545696067</v>
      </c>
      <c r="AA8" s="50">
        <f t="shared" si="7"/>
        <v>12869.937968824515</v>
      </c>
      <c r="AB8" s="51">
        <f t="shared" si="8"/>
        <v>15679.075017010438</v>
      </c>
      <c r="AC8" s="44">
        <f t="shared" si="8"/>
        <v>12031.352686570546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2.3126018719643024</v>
      </c>
      <c r="AP8" s="47">
        <f t="shared" si="16"/>
        <v>3.3151221726737394</v>
      </c>
    </row>
    <row r="9" spans="1:42" ht="13.5" customHeight="1">
      <c r="A9" s="36" t="s">
        <v>251</v>
      </c>
      <c r="B9" s="97" t="s">
        <v>133</v>
      </c>
      <c r="C9" s="98">
        <v>18230720</v>
      </c>
      <c r="D9" s="61" t="s">
        <v>134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3.3100004347578897</v>
      </c>
      <c r="V9" s="48">
        <f t="shared" si="2"/>
        <v>607573</v>
      </c>
      <c r="W9" s="49">
        <f t="shared" si="3"/>
        <v>0.16550002173789449</v>
      </c>
      <c r="X9" s="44">
        <f t="shared" si="4"/>
        <v>41548.681157285355</v>
      </c>
      <c r="Y9" s="44">
        <f t="shared" si="5"/>
        <v>607573</v>
      </c>
      <c r="Z9" s="44">
        <f t="shared" si="6"/>
        <v>589084.64841937018</v>
      </c>
      <c r="AA9" s="50">
        <f t="shared" si="7"/>
        <v>1267713.6811572853</v>
      </c>
      <c r="AB9" s="51">
        <f t="shared" si="8"/>
        <v>550700.80248608964</v>
      </c>
      <c r="AC9" s="44">
        <f t="shared" si="8"/>
        <v>1185111.4154971349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2.9637819742459879</v>
      </c>
      <c r="AP9" s="47">
        <f t="shared" si="16"/>
        <v>1.5149401138955789</v>
      </c>
    </row>
    <row r="10" spans="1:42" ht="13.5" customHeight="1">
      <c r="A10" s="54">
        <f>SUM(O5:O999)</f>
        <v>7475425</v>
      </c>
      <c r="B10" s="97" t="s">
        <v>133</v>
      </c>
      <c r="C10" s="98">
        <v>18230720</v>
      </c>
      <c r="D10" s="61" t="s">
        <v>134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7.6210864265242435</v>
      </c>
      <c r="V10" s="48">
        <f t="shared" si="2"/>
        <v>2224783.5</v>
      </c>
      <c r="W10" s="49">
        <f t="shared" si="3"/>
        <v>0.3810543213262122</v>
      </c>
      <c r="X10" s="44">
        <f t="shared" si="4"/>
        <v>95663.458736352739</v>
      </c>
      <c r="Y10" s="44">
        <f t="shared" si="5"/>
        <v>2224783.5</v>
      </c>
      <c r="Z10" s="44">
        <f t="shared" si="6"/>
        <v>1356333.6641890956</v>
      </c>
      <c r="AA10" s="50">
        <f t="shared" si="7"/>
        <v>3728339.2187363524</v>
      </c>
      <c r="AB10" s="51">
        <f t="shared" si="8"/>
        <v>1267957.0572955927</v>
      </c>
      <c r="AC10" s="44">
        <f t="shared" si="8"/>
        <v>3485406.3931348529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2.9637819742459883</v>
      </c>
      <c r="AP10" s="47">
        <f t="shared" si="16"/>
        <v>1.1860146655282142</v>
      </c>
    </row>
    <row r="11" spans="1:42" ht="13.5" customHeight="1">
      <c r="A11" s="36" t="s">
        <v>252</v>
      </c>
      <c r="B11" s="97" t="s">
        <v>133</v>
      </c>
      <c r="C11" s="98">
        <v>18230720</v>
      </c>
      <c r="D11" s="61" t="s">
        <v>134</v>
      </c>
      <c r="E11" s="38" t="s">
        <v>1091</v>
      </c>
      <c r="F11" s="39" t="s">
        <v>1092</v>
      </c>
      <c r="G11" s="39">
        <v>15</v>
      </c>
      <c r="H11" s="39"/>
      <c r="I11" s="40" t="s">
        <v>270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1.4454221666326663</v>
      </c>
      <c r="V11" s="48">
        <f t="shared" si="2"/>
        <v>644847</v>
      </c>
      <c r="W11" s="49">
        <f t="shared" si="3"/>
        <v>9.6361477775511087E-2</v>
      </c>
      <c r="X11" s="44">
        <f t="shared" si="4"/>
        <v>24191.491178655386</v>
      </c>
      <c r="Y11" s="44">
        <f t="shared" si="5"/>
        <v>644847</v>
      </c>
      <c r="Z11" s="44">
        <f t="shared" si="6"/>
        <v>342991.29788911936</v>
      </c>
      <c r="AA11" s="50">
        <f t="shared" si="7"/>
        <v>1025189.4911786554</v>
      </c>
      <c r="AB11" s="51">
        <f t="shared" si="8"/>
        <v>320642.51462009846</v>
      </c>
      <c r="AC11" s="44">
        <f t="shared" si="8"/>
        <v>958389.7271932835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2.3126018719643029</v>
      </c>
      <c r="AP11" s="47">
        <f t="shared" si="16"/>
        <v>0.85108417207758613</v>
      </c>
    </row>
    <row r="12" spans="1:42" ht="13.5" customHeight="1">
      <c r="A12" s="55">
        <f>SUM(P5:P1000)</f>
        <v>2973641.4499999997</v>
      </c>
      <c r="B12" s="97" t="s">
        <v>133</v>
      </c>
      <c r="C12" s="98">
        <v>18230720</v>
      </c>
      <c r="D12" s="61" t="s">
        <v>134</v>
      </c>
      <c r="E12" s="38" t="s">
        <v>1093</v>
      </c>
      <c r="F12" s="39" t="s">
        <v>1094</v>
      </c>
      <c r="G12" s="39">
        <v>5</v>
      </c>
      <c r="H12" s="39"/>
      <c r="I12" s="40" t="s">
        <v>270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133</v>
      </c>
      <c r="C13" s="98">
        <v>18230720</v>
      </c>
      <c r="D13" s="61" t="s">
        <v>134</v>
      </c>
      <c r="E13" s="38" t="s">
        <v>1095</v>
      </c>
      <c r="F13" s="39" t="s">
        <v>1096</v>
      </c>
      <c r="G13" s="39">
        <v>4</v>
      </c>
      <c r="H13" s="39"/>
      <c r="I13" s="40" t="s">
        <v>270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1.1777877511980923</v>
      </c>
      <c r="V13" s="48">
        <f t="shared" si="2"/>
        <v>351341</v>
      </c>
      <c r="W13" s="49">
        <f t="shared" si="3"/>
        <v>0.29444693779952308</v>
      </c>
      <c r="X13" s="44">
        <f t="shared" si="4"/>
        <v>73920.727066407562</v>
      </c>
      <c r="Y13" s="44">
        <f t="shared" si="5"/>
        <v>351341</v>
      </c>
      <c r="Z13" s="44">
        <f t="shared" si="6"/>
        <v>1048061.3175174976</v>
      </c>
      <c r="AA13" s="50">
        <f t="shared" si="7"/>
        <v>782643.72706640756</v>
      </c>
      <c r="AB13" s="51">
        <f t="shared" si="8"/>
        <v>979771.26065017993</v>
      </c>
      <c r="AC13" s="44">
        <f t="shared" si="8"/>
        <v>731647.8704930424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0.63925175868680806</v>
      </c>
      <c r="AP13" s="47">
        <f t="shared" si="16"/>
        <v>0.9416449899120044</v>
      </c>
    </row>
    <row r="14" spans="1:42" ht="13.5" customHeight="1">
      <c r="A14" s="55">
        <f>SUM(Y5:Y1000)</f>
        <v>3854331.24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14.215213850717516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3559423.39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7079022.0899999999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2.1350642698085474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1.1808915645325804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1007</v>
      </c>
      <c r="F5" s="39" t="s">
        <v>1008</v>
      </c>
      <c r="G5" s="39">
        <v>10</v>
      </c>
      <c r="H5" s="39"/>
      <c r="I5" s="40" t="s">
        <v>270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0.90808148238567687</v>
      </c>
      <c r="V5" s="48">
        <f t="shared" ref="V5:V24" si="2">N5-M5</f>
        <v>0</v>
      </c>
      <c r="W5" s="49">
        <f t="shared" ref="W5:W24" si="3">(O5/A$10)</f>
        <v>9.0808148238567685E-2</v>
      </c>
      <c r="X5" s="44">
        <f t="shared" ref="X5:X24" si="4">W5*A$8</f>
        <v>18417.531549857238</v>
      </c>
      <c r="Y5" s="44">
        <f t="shared" ref="Y5:Y24" si="5">Q5-P5</f>
        <v>0</v>
      </c>
      <c r="Z5" s="44">
        <f t="shared" ref="Z5:Z24" si="6">X5+(A$6*W5)</f>
        <v>181442.99366662948</v>
      </c>
      <c r="AA5" s="50">
        <f t="shared" ref="AA5:AA24" si="7">Q5+X5</f>
        <v>141402.53154985723</v>
      </c>
      <c r="AB5" s="51">
        <f t="shared" ref="AB5:AC20" si="8">Z5/(1+ElecDiscountRate)^1</f>
        <v>169620.44841229267</v>
      </c>
      <c r="AC5" s="44">
        <f t="shared" si="8"/>
        <v>132188.96097023203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2.0940511110927176</v>
      </c>
      <c r="AP5" s="47">
        <f>AN5/AC5</f>
        <v>2.9557178938411721</v>
      </c>
    </row>
    <row r="6" spans="1:42" ht="13.5" customHeight="1">
      <c r="A6" s="53">
        <f>SUMIF('Program Costs'!D:D,C2,'Program Costs'!L:L)</f>
        <v>1795273.5</v>
      </c>
      <c r="B6" s="97" t="s">
        <v>133</v>
      </c>
      <c r="C6" s="98">
        <v>18230721</v>
      </c>
      <c r="D6" s="61" t="s">
        <v>135</v>
      </c>
      <c r="E6" s="38" t="s">
        <v>1007</v>
      </c>
      <c r="F6" s="39" t="s">
        <v>1008</v>
      </c>
      <c r="G6" s="39">
        <v>7</v>
      </c>
      <c r="H6" s="39"/>
      <c r="I6" s="40" t="s">
        <v>270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1.518788080091481</v>
      </c>
      <c r="V6" s="48">
        <f t="shared" si="2"/>
        <v>0</v>
      </c>
      <c r="W6" s="49">
        <f t="shared" si="3"/>
        <v>0.21696972572735443</v>
      </c>
      <c r="X6" s="44">
        <f t="shared" si="4"/>
        <v>44005.37668105687</v>
      </c>
      <c r="Y6" s="44">
        <f t="shared" si="5"/>
        <v>0</v>
      </c>
      <c r="Z6" s="44">
        <f t="shared" si="6"/>
        <v>433525.37558164448</v>
      </c>
      <c r="AA6" s="50">
        <f t="shared" si="7"/>
        <v>201802.37668105686</v>
      </c>
      <c r="AB6" s="51">
        <f t="shared" si="8"/>
        <v>405277.53162722674</v>
      </c>
      <c r="AC6" s="44">
        <f t="shared" si="8"/>
        <v>188653.24547168071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1.4774540915987291</v>
      </c>
      <c r="AP6" s="47">
        <f t="shared" ref="AP6:AP24" si="16">AN6/AC6</f>
        <v>3.4913623692104481</v>
      </c>
    </row>
    <row r="7" spans="1:42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1007</v>
      </c>
      <c r="F7" s="39" t="s">
        <v>1008</v>
      </c>
      <c r="G7" s="39">
        <v>10</v>
      </c>
      <c r="H7" s="39"/>
      <c r="I7" s="40" t="s">
        <v>270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0.70430669738730867</v>
      </c>
      <c r="V7" s="48">
        <f t="shared" si="2"/>
        <v>80895</v>
      </c>
      <c r="W7" s="49">
        <f t="shared" si="3"/>
        <v>7.0430669738730869E-2</v>
      </c>
      <c r="X7" s="44">
        <f t="shared" si="4"/>
        <v>14284.611096603408</v>
      </c>
      <c r="Y7" s="44">
        <f t="shared" si="5"/>
        <v>80895</v>
      </c>
      <c r="Z7" s="44">
        <f t="shared" si="6"/>
        <v>140726.92606579888</v>
      </c>
      <c r="AA7" s="50">
        <f t="shared" si="7"/>
        <v>244435.61109660342</v>
      </c>
      <c r="AB7" s="51">
        <f t="shared" si="8"/>
        <v>131557.37689613804</v>
      </c>
      <c r="AC7" s="44">
        <f t="shared" si="8"/>
        <v>228508.56417369674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2.0940511110927171</v>
      </c>
      <c r="AP7" s="47">
        <f t="shared" si="16"/>
        <v>1.3261501138208256</v>
      </c>
    </row>
    <row r="8" spans="1:42" ht="13.5" customHeight="1">
      <c r="A8" s="53">
        <f>SUMIF('Program Costs'!D:D,C2,'Program Costs'!O:O)</f>
        <v>202818.05000000005</v>
      </c>
      <c r="B8" s="97" t="s">
        <v>133</v>
      </c>
      <c r="C8" s="98">
        <v>18230721</v>
      </c>
      <c r="D8" s="61" t="s">
        <v>135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4.2798717614830233</v>
      </c>
      <c r="V8" s="48">
        <f t="shared" si="2"/>
        <v>9831</v>
      </c>
      <c r="W8" s="49">
        <f t="shared" si="3"/>
        <v>0.21399358807415117</v>
      </c>
      <c r="X8" s="44">
        <f t="shared" si="4"/>
        <v>43401.762245702608</v>
      </c>
      <c r="Y8" s="44">
        <f t="shared" si="5"/>
        <v>9831</v>
      </c>
      <c r="Z8" s="44">
        <f t="shared" si="6"/>
        <v>427578.78008514224</v>
      </c>
      <c r="AA8" s="50">
        <f t="shared" si="7"/>
        <v>237973.19224570261</v>
      </c>
      <c r="AB8" s="51">
        <f t="shared" si="8"/>
        <v>399718.40710960288</v>
      </c>
      <c r="AC8" s="44">
        <f t="shared" si="8"/>
        <v>222467.22655483088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3.8997653062578168</v>
      </c>
      <c r="AP8" s="47">
        <f t="shared" si="16"/>
        <v>7.707601701628259</v>
      </c>
    </row>
    <row r="9" spans="1:42" ht="13.5" customHeight="1">
      <c r="A9" s="36" t="s">
        <v>251</v>
      </c>
      <c r="B9" s="97" t="s">
        <v>133</v>
      </c>
      <c r="C9" s="98">
        <v>18230721</v>
      </c>
      <c r="D9" s="61" t="s">
        <v>135</v>
      </c>
      <c r="E9" s="38" t="s">
        <v>1011</v>
      </c>
      <c r="F9" s="39" t="s">
        <v>1012</v>
      </c>
      <c r="G9" s="39">
        <v>15</v>
      </c>
      <c r="H9" s="39"/>
      <c r="I9" s="40" t="s">
        <v>271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0.92711134083576707</v>
      </c>
      <c r="V9" s="48">
        <f t="shared" si="2"/>
        <v>288876</v>
      </c>
      <c r="W9" s="49">
        <f t="shared" si="3"/>
        <v>6.1807422722384472E-2</v>
      </c>
      <c r="X9" s="44">
        <f t="shared" si="4"/>
        <v>12535.660952079714</v>
      </c>
      <c r="Y9" s="44">
        <f t="shared" si="5"/>
        <v>288876</v>
      </c>
      <c r="Z9" s="44">
        <f t="shared" si="6"/>
        <v>123496.88906887441</v>
      </c>
      <c r="AA9" s="50">
        <f t="shared" si="7"/>
        <v>472049.66095207969</v>
      </c>
      <c r="AB9" s="51">
        <f t="shared" si="8"/>
        <v>115450.02250058371</v>
      </c>
      <c r="AC9" s="44">
        <f t="shared" si="8"/>
        <v>441291.63405822159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3.1174127412031409</v>
      </c>
      <c r="AP9" s="47">
        <f t="shared" si="16"/>
        <v>0.89712987437878222</v>
      </c>
    </row>
    <row r="10" spans="1:42" ht="13.5" customHeight="1">
      <c r="A10" s="54">
        <f>SUM(O5:O999)</f>
        <v>5521586</v>
      </c>
      <c r="B10" s="97" t="s">
        <v>133</v>
      </c>
      <c r="C10" s="98">
        <v>18230721</v>
      </c>
      <c r="D10" s="61" t="s">
        <v>135</v>
      </c>
      <c r="E10" s="38" t="s">
        <v>1025</v>
      </c>
      <c r="F10" s="39" t="s">
        <v>1026</v>
      </c>
      <c r="G10" s="39">
        <v>15</v>
      </c>
      <c r="H10" s="39"/>
      <c r="I10" s="40" t="s">
        <v>270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2.5896445332917031</v>
      </c>
      <c r="V10" s="48">
        <f t="shared" si="2"/>
        <v>0</v>
      </c>
      <c r="W10" s="49">
        <f t="shared" si="3"/>
        <v>0.17264296888611352</v>
      </c>
      <c r="X10" s="44">
        <f t="shared" si="4"/>
        <v>35015.110295692226</v>
      </c>
      <c r="Y10" s="44">
        <f t="shared" si="5"/>
        <v>0</v>
      </c>
      <c r="Z10" s="44">
        <f t="shared" si="6"/>
        <v>344956.45729825634</v>
      </c>
      <c r="AA10" s="50">
        <f t="shared" si="7"/>
        <v>397982.11029569223</v>
      </c>
      <c r="AB10" s="51">
        <f t="shared" si="8"/>
        <v>322479.62727704621</v>
      </c>
      <c r="AC10" s="44">
        <f t="shared" si="8"/>
        <v>372050.21061577281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3.0429379171076452</v>
      </c>
      <c r="AP10" s="47">
        <f t="shared" si="16"/>
        <v>2.9012590319009757</v>
      </c>
    </row>
    <row r="11" spans="1:42" ht="13.5" customHeight="1">
      <c r="A11" s="36" t="s">
        <v>252</v>
      </c>
      <c r="B11" s="97" t="s">
        <v>133</v>
      </c>
      <c r="C11" s="98">
        <v>18230721</v>
      </c>
      <c r="D11" s="61" t="s">
        <v>135</v>
      </c>
      <c r="E11" s="38" t="s">
        <v>1057</v>
      </c>
      <c r="F11" s="39" t="s">
        <v>1058</v>
      </c>
      <c r="G11" s="39">
        <v>15</v>
      </c>
      <c r="H11" s="39"/>
      <c r="I11" s="40" t="s">
        <v>270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0.73908655955010039</v>
      </c>
      <c r="V11" s="48">
        <f t="shared" si="2"/>
        <v>87119</v>
      </c>
      <c r="W11" s="49">
        <f t="shared" si="3"/>
        <v>4.9272437303340022E-2</v>
      </c>
      <c r="X11" s="44">
        <f t="shared" si="4"/>
        <v>9993.3396526106844</v>
      </c>
      <c r="Y11" s="44">
        <f t="shared" si="5"/>
        <v>87119</v>
      </c>
      <c r="Z11" s="44">
        <f t="shared" si="6"/>
        <v>98450.840623708486</v>
      </c>
      <c r="AA11" s="50">
        <f t="shared" si="7"/>
        <v>232665.33965261068</v>
      </c>
      <c r="AB11" s="51">
        <f t="shared" si="8"/>
        <v>92035.935892033725</v>
      </c>
      <c r="AC11" s="44">
        <f t="shared" si="8"/>
        <v>217505.22543947896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3.0429379171076447</v>
      </c>
      <c r="AP11" s="47">
        <f t="shared" si="16"/>
        <v>1.4163595488160499</v>
      </c>
    </row>
    <row r="12" spans="1:42" ht="13.5" customHeight="1">
      <c r="A12" s="55">
        <f>SUM(P5:P1000)</f>
        <v>1524849.43</v>
      </c>
      <c r="B12" s="97" t="s">
        <v>133</v>
      </c>
      <c r="C12" s="98">
        <v>18230721</v>
      </c>
      <c r="D12" s="61" t="s">
        <v>135</v>
      </c>
      <c r="E12" s="38" t="s">
        <v>1037</v>
      </c>
      <c r="F12" s="39" t="s">
        <v>1038</v>
      </c>
      <c r="G12" s="39">
        <v>15</v>
      </c>
      <c r="H12" s="39"/>
      <c r="I12" s="40" t="s">
        <v>270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1.8611255896403678</v>
      </c>
      <c r="V12" s="48">
        <f t="shared" si="2"/>
        <v>31301</v>
      </c>
      <c r="W12" s="49">
        <f t="shared" si="3"/>
        <v>0.12407503930935786</v>
      </c>
      <c r="X12" s="44">
        <f t="shared" si="4"/>
        <v>25164.657526397314</v>
      </c>
      <c r="Y12" s="44">
        <f t="shared" si="5"/>
        <v>31301</v>
      </c>
      <c r="Z12" s="44">
        <f t="shared" si="6"/>
        <v>247913.28760994578</v>
      </c>
      <c r="AA12" s="50">
        <f t="shared" si="7"/>
        <v>282986.65752639732</v>
      </c>
      <c r="AB12" s="51">
        <f t="shared" si="8"/>
        <v>231759.64065620807</v>
      </c>
      <c r="AC12" s="44">
        <f t="shared" si="8"/>
        <v>264547.68395475112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3.0429379171076452</v>
      </c>
      <c r="AP12" s="47">
        <f t="shared" si="16"/>
        <v>2.9323757684512812</v>
      </c>
    </row>
    <row r="13" spans="1:42" ht="13.5" customHeight="1">
      <c r="A13" s="56" t="s">
        <v>255</v>
      </c>
      <c r="B13" s="97" t="s">
        <v>133</v>
      </c>
      <c r="C13" s="98">
        <v>18230721</v>
      </c>
      <c r="D13" s="61" t="s">
        <v>135</v>
      </c>
      <c r="E13" s="38" t="s">
        <v>1093</v>
      </c>
      <c r="F13" s="39" t="s">
        <v>1094</v>
      </c>
      <c r="G13" s="39">
        <v>5</v>
      </c>
      <c r="H13" s="39"/>
      <c r="I13" s="40" t="s">
        <v>270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498022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13.528016044665428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1998091.55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2225689.48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2.7382365981597627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2.704048432466934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24" sqref="F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1097</v>
      </c>
      <c r="F5" s="39" t="s">
        <v>1098</v>
      </c>
      <c r="G5" s="39">
        <v>12</v>
      </c>
      <c r="H5" s="39"/>
      <c r="I5" s="40" t="s">
        <v>271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0.57144669314897789</v>
      </c>
      <c r="V5" s="48">
        <f t="shared" ref="V5:V24" si="2">N5-M5</f>
        <v>0</v>
      </c>
      <c r="W5" s="49">
        <f t="shared" ref="W5:W24" si="3">(O5/A$10)</f>
        <v>4.762055776241482E-2</v>
      </c>
      <c r="X5" s="44">
        <f t="shared" ref="X5:X24" si="4">W5*A$8</f>
        <v>18696.446235130345</v>
      </c>
      <c r="Y5" s="44">
        <f t="shared" ref="Y5:Y24" si="5">Q5-P5</f>
        <v>1933.4400000000023</v>
      </c>
      <c r="Z5" s="44">
        <f t="shared" ref="Z5:Z24" si="6">X5+(A$6*W5)</f>
        <v>105226.0445479014</v>
      </c>
      <c r="AA5" s="50">
        <f t="shared" ref="AA5:AA24" si="7">Q5+X5</f>
        <v>57372.446235130345</v>
      </c>
      <c r="AB5" s="51">
        <f t="shared" ref="AB5:AC20" si="8">Z5/(1+ElecDiscountRate)^1</f>
        <v>98369.677991868186</v>
      </c>
      <c r="AC5" s="44">
        <f t="shared" si="8"/>
        <v>53634.146242058836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6.2458572108070518</v>
      </c>
      <c r="AP5" s="47">
        <f>AN5/AC5</f>
        <v>12.600988478890386</v>
      </c>
    </row>
    <row r="6" spans="1:42" ht="13.5" customHeight="1">
      <c r="A6" s="53">
        <f>SUMIF('Program Costs'!C:C,D2,'Program Costs'!L:L)</f>
        <v>1817063.94</v>
      </c>
      <c r="B6" s="97" t="s">
        <v>70</v>
      </c>
      <c r="C6" s="98">
        <v>18230714</v>
      </c>
      <c r="D6" s="61" t="s">
        <v>128</v>
      </c>
      <c r="E6" s="38" t="s">
        <v>1099</v>
      </c>
      <c r="F6" s="39" t="s">
        <v>1100</v>
      </c>
      <c r="G6" s="39">
        <v>3</v>
      </c>
      <c r="H6" s="39"/>
      <c r="I6" s="40" t="s">
        <v>271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1.3551569888726005E-3</v>
      </c>
      <c r="V6" s="48">
        <f t="shared" si="2"/>
        <v>0</v>
      </c>
      <c r="W6" s="49">
        <f t="shared" si="3"/>
        <v>4.5171899629086685E-4</v>
      </c>
      <c r="X6" s="44">
        <f t="shared" si="4"/>
        <v>177.35071415322636</v>
      </c>
      <c r="Y6" s="44">
        <f t="shared" si="5"/>
        <v>0</v>
      </c>
      <c r="Z6" s="44">
        <f t="shared" si="6"/>
        <v>998.1530133263542</v>
      </c>
      <c r="AA6" s="50">
        <f t="shared" si="7"/>
        <v>413.35071415322636</v>
      </c>
      <c r="AB6" s="51">
        <f t="shared" si="8"/>
        <v>933.11490448383108</v>
      </c>
      <c r="AC6" s="44">
        <f t="shared" si="8"/>
        <v>386.41741998057989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1.6432692488229721</v>
      </c>
      <c r="AP6" s="47">
        <f t="shared" ref="AP6:AP24" si="16">AN6/AC6</f>
        <v>4.3649557285929266</v>
      </c>
    </row>
    <row r="7" spans="1:42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1101</v>
      </c>
      <c r="F7" s="39" t="s">
        <v>1102</v>
      </c>
      <c r="G7" s="39">
        <v>5</v>
      </c>
      <c r="H7" s="39"/>
      <c r="I7" s="40" t="s">
        <v>271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3.5680495057155856E-2</v>
      </c>
      <c r="V7" s="48">
        <f t="shared" si="2"/>
        <v>0</v>
      </c>
      <c r="W7" s="49">
        <f t="shared" si="3"/>
        <v>7.136099011431171E-3</v>
      </c>
      <c r="X7" s="44">
        <f t="shared" si="4"/>
        <v>2801.7246702871048</v>
      </c>
      <c r="Y7" s="44">
        <f t="shared" si="5"/>
        <v>7.9800000000000182</v>
      </c>
      <c r="Z7" s="44">
        <f t="shared" si="6"/>
        <v>15768.472856228334</v>
      </c>
      <c r="AA7" s="50">
        <f t="shared" si="7"/>
        <v>5491.7246702871053</v>
      </c>
      <c r="AB7" s="51">
        <f t="shared" si="8"/>
        <v>14741.023517087346</v>
      </c>
      <c r="AC7" s="44">
        <f t="shared" si="8"/>
        <v>5133.8923719613958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2.6630678123403593</v>
      </c>
      <c r="AP7" s="47">
        <f t="shared" si="16"/>
        <v>8.4111579763680826</v>
      </c>
    </row>
    <row r="8" spans="1:42" ht="13.5" customHeight="1">
      <c r="A8" s="53">
        <f>SUMIF('Program Costs'!C:C,D2,'Program Costs'!O:O)</f>
        <v>392612.91999999993</v>
      </c>
      <c r="B8" s="97" t="s">
        <v>70</v>
      </c>
      <c r="C8" s="98">
        <v>18230714</v>
      </c>
      <c r="D8" s="61" t="s">
        <v>128</v>
      </c>
      <c r="E8" s="38" t="s">
        <v>1103</v>
      </c>
      <c r="F8" s="39" t="s">
        <v>1104</v>
      </c>
      <c r="G8" s="39">
        <v>5</v>
      </c>
      <c r="H8" s="39"/>
      <c r="I8" s="40" t="s">
        <v>271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1.0970606310453926E-3</v>
      </c>
      <c r="V8" s="48">
        <f t="shared" si="2"/>
        <v>0</v>
      </c>
      <c r="W8" s="49">
        <f t="shared" si="3"/>
        <v>2.194121262090785E-4</v>
      </c>
      <c r="X8" s="44">
        <f t="shared" si="4"/>
        <v>86.144035554354829</v>
      </c>
      <c r="Y8" s="44">
        <f t="shared" si="5"/>
        <v>0</v>
      </c>
      <c r="Z8" s="44">
        <f t="shared" si="6"/>
        <v>484.82989808760027</v>
      </c>
      <c r="AA8" s="50">
        <f t="shared" si="7"/>
        <v>218.14403555435484</v>
      </c>
      <c r="AB8" s="51">
        <f t="shared" si="8"/>
        <v>453.23913067925611</v>
      </c>
      <c r="AC8" s="44">
        <f t="shared" si="8"/>
        <v>203.93010709016997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2.6630678123403597</v>
      </c>
      <c r="AP8" s="47">
        <f t="shared" si="16"/>
        <v>6.5105992105349006</v>
      </c>
    </row>
    <row r="9" spans="1:42" ht="13.5" customHeight="1">
      <c r="A9" s="36" t="s">
        <v>251</v>
      </c>
      <c r="B9" s="97" t="s">
        <v>70</v>
      </c>
      <c r="C9" s="98">
        <v>18230714</v>
      </c>
      <c r="D9" s="61" t="s">
        <v>128</v>
      </c>
      <c r="E9" s="38" t="s">
        <v>1105</v>
      </c>
      <c r="F9" s="39" t="s">
        <v>1106</v>
      </c>
      <c r="G9" s="39">
        <v>5</v>
      </c>
      <c r="H9" s="39"/>
      <c r="I9" s="40" t="s">
        <v>271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6.0005892092028286E-2</v>
      </c>
      <c r="V9" s="48">
        <f t="shared" si="2"/>
        <v>0</v>
      </c>
      <c r="W9" s="49">
        <f t="shared" si="3"/>
        <v>1.2001178418405657E-2</v>
      </c>
      <c r="X9" s="44">
        <f t="shared" si="4"/>
        <v>4711.8177022912259</v>
      </c>
      <c r="Y9" s="44">
        <f t="shared" si="5"/>
        <v>221.19999999999982</v>
      </c>
      <c r="Z9" s="44">
        <f t="shared" si="6"/>
        <v>26518.726243882375</v>
      </c>
      <c r="AA9" s="50">
        <f t="shared" si="7"/>
        <v>11931.817702291226</v>
      </c>
      <c r="AB9" s="51">
        <f t="shared" si="8"/>
        <v>24790.806996244155</v>
      </c>
      <c r="AC9" s="44">
        <f t="shared" si="8"/>
        <v>11154.358887810811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2.6630678123403602</v>
      </c>
      <c r="AP9" s="47">
        <f t="shared" si="16"/>
        <v>6.5105992105349006</v>
      </c>
    </row>
    <row r="10" spans="1:42" ht="13.5" customHeight="1">
      <c r="A10" s="54">
        <f>SUM(O5:O999)</f>
        <v>14889787.800000012</v>
      </c>
      <c r="B10" s="97" t="s">
        <v>70</v>
      </c>
      <c r="C10" s="98">
        <v>18230714</v>
      </c>
      <c r="D10" s="61" t="s">
        <v>128</v>
      </c>
      <c r="E10" s="38" t="s">
        <v>1107</v>
      </c>
      <c r="F10" s="39" t="s">
        <v>1108</v>
      </c>
      <c r="G10" s="39">
        <v>5</v>
      </c>
      <c r="H10" s="39"/>
      <c r="I10" s="40" t="s">
        <v>271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1.7107026871128399E-2</v>
      </c>
      <c r="V10" s="48">
        <f t="shared" si="2"/>
        <v>0</v>
      </c>
      <c r="W10" s="49">
        <f t="shared" si="3"/>
        <v>3.4214053742256797E-3</v>
      </c>
      <c r="X10" s="44">
        <f t="shared" si="4"/>
        <v>1343.2879544784366</v>
      </c>
      <c r="Y10" s="44">
        <f t="shared" si="5"/>
        <v>0</v>
      </c>
      <c r="Z10" s="44">
        <f t="shared" si="6"/>
        <v>7560.2002841061239</v>
      </c>
      <c r="AA10" s="50">
        <f t="shared" si="7"/>
        <v>2935.2879544784364</v>
      </c>
      <c r="AB10" s="51">
        <f t="shared" si="8"/>
        <v>7067.589309251307</v>
      </c>
      <c r="AC10" s="44">
        <f t="shared" si="8"/>
        <v>2744.0291245007347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2.6630678123403602</v>
      </c>
      <c r="AP10" s="47">
        <f t="shared" si="16"/>
        <v>7.5449696854459365</v>
      </c>
    </row>
    <row r="11" spans="1:42" ht="13.5" customHeight="1">
      <c r="A11" s="36" t="s">
        <v>252</v>
      </c>
      <c r="B11" s="97" t="s">
        <v>70</v>
      </c>
      <c r="C11" s="98">
        <v>18230714</v>
      </c>
      <c r="D11" s="61" t="s">
        <v>128</v>
      </c>
      <c r="E11" s="38" t="s">
        <v>1109</v>
      </c>
      <c r="F11" s="39" t="s">
        <v>1110</v>
      </c>
      <c r="G11" s="39">
        <v>5</v>
      </c>
      <c r="H11" s="39"/>
      <c r="I11" s="40" t="s">
        <v>271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3.0618300685252187E-3</v>
      </c>
      <c r="V11" s="48">
        <f t="shared" si="2"/>
        <v>0</v>
      </c>
      <c r="W11" s="49">
        <f t="shared" si="3"/>
        <v>6.1236601370504376E-4</v>
      </c>
      <c r="X11" s="44">
        <f t="shared" si="4"/>
        <v>240.42280874949719</v>
      </c>
      <c r="Y11" s="44">
        <f t="shared" si="5"/>
        <v>0</v>
      </c>
      <c r="Z11" s="44">
        <f t="shared" si="6"/>
        <v>1353.1310103344779</v>
      </c>
      <c r="AA11" s="50">
        <f t="shared" si="7"/>
        <v>531.42280874949722</v>
      </c>
      <c r="AB11" s="51">
        <f t="shared" si="8"/>
        <v>1264.9630834200971</v>
      </c>
      <c r="AC11" s="44">
        <f t="shared" si="8"/>
        <v>496.79611923856891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2.6630678123403602</v>
      </c>
      <c r="AP11" s="47">
        <f t="shared" si="16"/>
        <v>7.4588962652522275</v>
      </c>
    </row>
    <row r="12" spans="1:42" ht="13.5" customHeight="1">
      <c r="A12" s="55">
        <f>SUM(P5:P1000)</f>
        <v>1315131.1400000001</v>
      </c>
      <c r="B12" s="97" t="s">
        <v>70</v>
      </c>
      <c r="C12" s="98">
        <v>18230714</v>
      </c>
      <c r="D12" s="61" t="s">
        <v>128</v>
      </c>
      <c r="E12" s="38" t="s">
        <v>1111</v>
      </c>
      <c r="F12" s="39" t="s">
        <v>1046</v>
      </c>
      <c r="G12" s="39">
        <v>12</v>
      </c>
      <c r="H12" s="39"/>
      <c r="I12" s="40" t="s">
        <v>271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1.5569194344059076</v>
      </c>
      <c r="V12" s="48">
        <f t="shared" si="2"/>
        <v>0</v>
      </c>
      <c r="W12" s="49">
        <f t="shared" si="3"/>
        <v>0.1297432862004923</v>
      </c>
      <c r="X12" s="44">
        <f t="shared" si="4"/>
        <v>50938.890445570978</v>
      </c>
      <c r="Y12" s="44">
        <f t="shared" si="5"/>
        <v>-100343.67999999999</v>
      </c>
      <c r="Z12" s="44">
        <f t="shared" si="6"/>
        <v>286690.73725758516</v>
      </c>
      <c r="AA12" s="50">
        <f t="shared" si="7"/>
        <v>172438.89044557099</v>
      </c>
      <c r="AB12" s="51">
        <f t="shared" si="8"/>
        <v>268010.4115710808</v>
      </c>
      <c r="AC12" s="44">
        <f t="shared" si="8"/>
        <v>161203.03865155741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6.2458572108070527</v>
      </c>
      <c r="AP12" s="47">
        <f t="shared" si="16"/>
        <v>11.422552907522823</v>
      </c>
    </row>
    <row r="13" spans="1:42" ht="13.5" customHeight="1">
      <c r="A13" s="56" t="s">
        <v>255</v>
      </c>
      <c r="B13" s="97" t="s">
        <v>70</v>
      </c>
      <c r="C13" s="98">
        <v>18230714</v>
      </c>
      <c r="D13" s="61" t="s">
        <v>128</v>
      </c>
      <c r="E13" s="38" t="s">
        <v>1045</v>
      </c>
      <c r="F13" s="39" t="s">
        <v>1046</v>
      </c>
      <c r="G13" s="39">
        <v>12</v>
      </c>
      <c r="H13" s="39"/>
      <c r="I13" s="40" t="s">
        <v>271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6.2664741535134603</v>
      </c>
      <c r="V13" s="48">
        <f t="shared" si="2"/>
        <v>0</v>
      </c>
      <c r="W13" s="49">
        <f t="shared" si="3"/>
        <v>0.52220617945945502</v>
      </c>
      <c r="X13" s="44">
        <f t="shared" si="4"/>
        <v>205024.89295962063</v>
      </c>
      <c r="Y13" s="44">
        <f t="shared" si="5"/>
        <v>1497.9099999999744</v>
      </c>
      <c r="Z13" s="44">
        <f t="shared" si="6"/>
        <v>1153906.9109005651</v>
      </c>
      <c r="AA13" s="50">
        <f t="shared" si="7"/>
        <v>597728.89295962057</v>
      </c>
      <c r="AB13" s="51">
        <f t="shared" si="8"/>
        <v>1078720.1186319201</v>
      </c>
      <c r="AC13" s="44">
        <f t="shared" si="8"/>
        <v>558781.80140190758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6.2458572108070447</v>
      </c>
      <c r="AP13" s="47">
        <f t="shared" si="16"/>
        <v>13.263289885149952</v>
      </c>
    </row>
    <row r="14" spans="1:42" ht="13.5" customHeight="1">
      <c r="A14" s="55">
        <f>SUM(Y5:Y1000)</f>
        <v>985543.97</v>
      </c>
      <c r="B14" s="97" t="s">
        <v>70</v>
      </c>
      <c r="C14" s="98">
        <v>18230714</v>
      </c>
      <c r="D14" s="61" t="s">
        <v>128</v>
      </c>
      <c r="E14" s="38" t="s">
        <v>1112</v>
      </c>
      <c r="F14" s="39" t="s">
        <v>1113</v>
      </c>
      <c r="G14" s="39">
        <v>10</v>
      </c>
      <c r="H14" s="39"/>
      <c r="I14" s="40" t="s">
        <v>271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0.20438598863040866</v>
      </c>
      <c r="V14" s="48">
        <f t="shared" si="2"/>
        <v>56.889999999999986</v>
      </c>
      <c r="W14" s="49">
        <f t="shared" si="3"/>
        <v>2.0438598863040867E-2</v>
      </c>
      <c r="X14" s="44">
        <f t="shared" si="4"/>
        <v>8024.4579803271536</v>
      </c>
      <c r="Y14" s="44">
        <f t="shared" si="5"/>
        <v>26066.029999999897</v>
      </c>
      <c r="Z14" s="44">
        <f t="shared" si="6"/>
        <v>45162.698958483714</v>
      </c>
      <c r="AA14" s="50">
        <f t="shared" si="7"/>
        <v>100711.17798032705</v>
      </c>
      <c r="AB14" s="51">
        <f t="shared" si="8"/>
        <v>42219.967241734797</v>
      </c>
      <c r="AC14" s="44">
        <f t="shared" si="8"/>
        <v>94148.993157265621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5.2465885815341222</v>
      </c>
      <c r="AP14" s="47">
        <f t="shared" si="16"/>
        <v>2.5880454976352532</v>
      </c>
    </row>
    <row r="15" spans="1:42" ht="13.5" customHeight="1">
      <c r="A15" s="57" t="s">
        <v>258</v>
      </c>
      <c r="B15" s="97" t="s">
        <v>70</v>
      </c>
      <c r="C15" s="98">
        <v>18230714</v>
      </c>
      <c r="D15" s="61" t="s">
        <v>128</v>
      </c>
      <c r="E15" s="38" t="s">
        <v>1114</v>
      </c>
      <c r="F15" s="39" t="s">
        <v>1115</v>
      </c>
      <c r="G15" s="39">
        <v>10</v>
      </c>
      <c r="H15" s="39"/>
      <c r="I15" s="40" t="s">
        <v>271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0.16653454255405831</v>
      </c>
      <c r="V15" s="48">
        <f t="shared" si="2"/>
        <v>393.27</v>
      </c>
      <c r="W15" s="49">
        <f t="shared" si="3"/>
        <v>1.665345425540583E-2</v>
      </c>
      <c r="X15" s="44">
        <f t="shared" si="4"/>
        <v>6538.3613033013071</v>
      </c>
      <c r="Y15" s="44">
        <f t="shared" si="5"/>
        <v>34687.460000000006</v>
      </c>
      <c r="Z15" s="44">
        <f t="shared" si="6"/>
        <v>36798.752507238794</v>
      </c>
      <c r="AA15" s="50">
        <f t="shared" si="7"/>
        <v>67546.121303301305</v>
      </c>
      <c r="AB15" s="51">
        <f t="shared" si="8"/>
        <v>34401.002624323446</v>
      </c>
      <c r="AC15" s="44">
        <f t="shared" si="8"/>
        <v>63144.920354586611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5.246588581534124</v>
      </c>
      <c r="AP15" s="47">
        <f t="shared" si="16"/>
        <v>3.1441436176249757</v>
      </c>
    </row>
    <row r="16" spans="1:42" ht="13.5" customHeight="1">
      <c r="A16" s="54">
        <f>SUM(U5:U999)</f>
        <v>12.134488081824781</v>
      </c>
      <c r="B16" s="97" t="s">
        <v>70</v>
      </c>
      <c r="C16" s="98">
        <v>18230714</v>
      </c>
      <c r="D16" s="61" t="s">
        <v>128</v>
      </c>
      <c r="E16" s="38" t="s">
        <v>1116</v>
      </c>
      <c r="F16" s="39" t="s">
        <v>1117</v>
      </c>
      <c r="G16" s="39">
        <v>10</v>
      </c>
      <c r="H16" s="39"/>
      <c r="I16" s="40" t="s">
        <v>271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4.0563371897079656E-3</v>
      </c>
      <c r="V16" s="48">
        <f t="shared" si="2"/>
        <v>91.18</v>
      </c>
      <c r="W16" s="49">
        <f t="shared" si="3"/>
        <v>4.0563371897079655E-4</v>
      </c>
      <c r="X16" s="44">
        <f t="shared" si="4"/>
        <v>159.2570388555838</v>
      </c>
      <c r="Y16" s="44">
        <f t="shared" si="5"/>
        <v>2397.9299999999998</v>
      </c>
      <c r="Z16" s="44">
        <f t="shared" si="6"/>
        <v>896.3194424455121</v>
      </c>
      <c r="AA16" s="50">
        <f t="shared" si="7"/>
        <v>3569.9370388555835</v>
      </c>
      <c r="AB16" s="51">
        <f t="shared" si="8"/>
        <v>837.9166518140712</v>
      </c>
      <c r="AC16" s="44">
        <f t="shared" si="8"/>
        <v>3337.3254546654043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5.2465885815341258</v>
      </c>
      <c r="AP16" s="47">
        <f t="shared" si="16"/>
        <v>1.4490119100291183</v>
      </c>
    </row>
    <row r="17" spans="1:42" ht="13.5" customHeight="1">
      <c r="A17" s="58" t="s">
        <v>261</v>
      </c>
      <c r="B17" s="97" t="s">
        <v>70</v>
      </c>
      <c r="C17" s="98">
        <v>18230714</v>
      </c>
      <c r="D17" s="61" t="s">
        <v>128</v>
      </c>
      <c r="E17" s="38" t="s">
        <v>1118</v>
      </c>
      <c r="F17" s="39" t="s">
        <v>1119</v>
      </c>
      <c r="G17" s="39">
        <v>10</v>
      </c>
      <c r="H17" s="39"/>
      <c r="I17" s="40" t="s">
        <v>271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0.21628138985298351</v>
      </c>
      <c r="V17" s="48">
        <f t="shared" si="2"/>
        <v>125.58000000000001</v>
      </c>
      <c r="W17" s="49">
        <f t="shared" si="3"/>
        <v>2.1628138985298351E-2</v>
      </c>
      <c r="X17" s="44">
        <f t="shared" si="4"/>
        <v>8491.4868011838207</v>
      </c>
      <c r="Y17" s="44">
        <f t="shared" si="5"/>
        <v>95853.2</v>
      </c>
      <c r="Z17" s="44">
        <f t="shared" si="6"/>
        <v>47791.198240677644</v>
      </c>
      <c r="AA17" s="50">
        <f t="shared" si="7"/>
        <v>146678.26680118381</v>
      </c>
      <c r="AB17" s="51">
        <f t="shared" si="8"/>
        <v>44677.197570045471</v>
      </c>
      <c r="AC17" s="44">
        <f t="shared" si="8"/>
        <v>137120.93746020735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5.246588581534124</v>
      </c>
      <c r="AP17" s="47">
        <f t="shared" si="16"/>
        <v>1.8804069375865049</v>
      </c>
    </row>
    <row r="18" spans="1:42" ht="13.5" customHeight="1">
      <c r="A18" s="59">
        <f>A6+A8</f>
        <v>2209676.86</v>
      </c>
      <c r="B18" s="97" t="s">
        <v>70</v>
      </c>
      <c r="C18" s="98">
        <v>18230714</v>
      </c>
      <c r="D18" s="61" t="s">
        <v>128</v>
      </c>
      <c r="E18" s="38" t="s">
        <v>1120</v>
      </c>
      <c r="F18" s="39" t="s">
        <v>1121</v>
      </c>
      <c r="G18" s="39">
        <v>10</v>
      </c>
      <c r="H18" s="39"/>
      <c r="I18" s="40" t="s">
        <v>271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0.24915600207546254</v>
      </c>
      <c r="V18" s="48">
        <f t="shared" si="2"/>
        <v>141.93</v>
      </c>
      <c r="W18" s="49">
        <f t="shared" si="3"/>
        <v>2.4915600207546254E-2</v>
      </c>
      <c r="X18" s="44">
        <f t="shared" si="4"/>
        <v>9782.1865510373391</v>
      </c>
      <c r="Y18" s="44">
        <f t="shared" si="5"/>
        <v>83566.650000000023</v>
      </c>
      <c r="Z18" s="44">
        <f t="shared" si="6"/>
        <v>55055.425231626148</v>
      </c>
      <c r="AA18" s="50">
        <f t="shared" si="7"/>
        <v>147440.35655103734</v>
      </c>
      <c r="AB18" s="51">
        <f t="shared" si="8"/>
        <v>51468.098748832519</v>
      </c>
      <c r="AC18" s="44">
        <f t="shared" si="8"/>
        <v>137833.37061889999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5.2465885815341249</v>
      </c>
      <c r="AP18" s="47">
        <f t="shared" si="16"/>
        <v>2.1550306126595951</v>
      </c>
    </row>
    <row r="19" spans="1:42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1122</v>
      </c>
      <c r="F19" s="39" t="s">
        <v>1123</v>
      </c>
      <c r="G19" s="39">
        <v>10</v>
      </c>
      <c r="H19" s="39"/>
      <c r="I19" s="40" t="s">
        <v>271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8.6205392396525554E-2</v>
      </c>
      <c r="V19" s="48">
        <f t="shared" si="2"/>
        <v>17</v>
      </c>
      <c r="W19" s="49">
        <f t="shared" si="3"/>
        <v>8.6205392396525547E-3</v>
      </c>
      <c r="X19" s="44">
        <f t="shared" si="4"/>
        <v>3384.5350828545688</v>
      </c>
      <c r="Y19" s="44">
        <f t="shared" si="5"/>
        <v>40431</v>
      </c>
      <c r="Z19" s="44">
        <f t="shared" si="6"/>
        <v>19048.606078582241</v>
      </c>
      <c r="AA19" s="50">
        <f t="shared" si="7"/>
        <v>50924.535082854571</v>
      </c>
      <c r="AB19" s="51">
        <f t="shared" si="8"/>
        <v>17807.428324373413</v>
      </c>
      <c r="AC19" s="44">
        <f t="shared" si="8"/>
        <v>47606.371022580694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5.2465885815341249</v>
      </c>
      <c r="AP19" s="47">
        <f t="shared" si="16"/>
        <v>2.1587672598634531</v>
      </c>
    </row>
    <row r="20" spans="1:42" ht="13.5" customHeight="1">
      <c r="A20" s="59">
        <f>A8+SUM(Q5:Q906)</f>
        <v>2693288.03</v>
      </c>
      <c r="B20" s="97" t="s">
        <v>70</v>
      </c>
      <c r="C20" s="98">
        <v>18230714</v>
      </c>
      <c r="D20" s="61" t="s">
        <v>128</v>
      </c>
      <c r="E20" s="38" t="s">
        <v>1124</v>
      </c>
      <c r="F20" s="39" t="s">
        <v>1125</v>
      </c>
      <c r="G20" s="39">
        <v>12</v>
      </c>
      <c r="H20" s="39"/>
      <c r="I20" s="40" t="s">
        <v>271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0.25666713665321655</v>
      </c>
      <c r="V20" s="48">
        <f t="shared" si="2"/>
        <v>16</v>
      </c>
      <c r="W20" s="49">
        <f t="shared" si="3"/>
        <v>2.1388928054434712E-2</v>
      </c>
      <c r="X20" s="44">
        <f t="shared" si="4"/>
        <v>8397.5694991215296</v>
      </c>
      <c r="Y20" s="44">
        <f t="shared" si="5"/>
        <v>72176</v>
      </c>
      <c r="Z20" s="44">
        <f t="shared" si="6"/>
        <v>47262.6193820892</v>
      </c>
      <c r="AA20" s="50">
        <f t="shared" si="7"/>
        <v>98617.569499121528</v>
      </c>
      <c r="AB20" s="51">
        <f t="shared" si="8"/>
        <v>44183.060093567539</v>
      </c>
      <c r="AC20" s="44">
        <f t="shared" si="8"/>
        <v>92191.800971413963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6.2458572108070518</v>
      </c>
      <c r="AP20" s="47">
        <f t="shared" si="16"/>
        <v>3.2926701694779514</v>
      </c>
    </row>
    <row r="21" spans="1:42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1126</v>
      </c>
      <c r="F21" s="39" t="s">
        <v>1127</v>
      </c>
      <c r="G21" s="39">
        <v>15</v>
      </c>
      <c r="H21" s="39"/>
      <c r="I21" s="40" t="s">
        <v>271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3.4594180046004386E-3</v>
      </c>
      <c r="V21" s="48">
        <f t="shared" si="2"/>
        <v>215</v>
      </c>
      <c r="W21" s="49">
        <f t="shared" si="3"/>
        <v>2.3062786697336258E-4</v>
      </c>
      <c r="X21" s="44">
        <f t="shared" si="4"/>
        <v>90.547480285783422</v>
      </c>
      <c r="Y21" s="44">
        <f t="shared" si="5"/>
        <v>3655</v>
      </c>
      <c r="Z21" s="44">
        <f t="shared" si="6"/>
        <v>509.61306092219752</v>
      </c>
      <c r="AA21" s="50">
        <f t="shared" si="7"/>
        <v>4425.5474802857834</v>
      </c>
      <c r="AB21" s="51">
        <f t="shared" ref="AB21:AC24" si="18">Z21/(1+ElecDiscountRate)^1</f>
        <v>476.40746089763246</v>
      </c>
      <c r="AC21" s="44">
        <f t="shared" si="18"/>
        <v>4137.1856411010403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7.6016100846663948</v>
      </c>
      <c r="AP21" s="47">
        <f t="shared" si="16"/>
        <v>0.962879232566069</v>
      </c>
    </row>
    <row r="22" spans="1:42" ht="13.5" customHeight="1">
      <c r="A22" s="60">
        <f>(SUM(AM5:AM110)/(SUM(AB5:AB110)))</f>
        <v>6.2877407176510145</v>
      </c>
      <c r="B22" s="97" t="s">
        <v>70</v>
      </c>
      <c r="C22" s="98">
        <v>18230714</v>
      </c>
      <c r="D22" s="61" t="s">
        <v>128</v>
      </c>
      <c r="E22" s="38" t="s">
        <v>1128</v>
      </c>
      <c r="F22" s="39" t="s">
        <v>1129</v>
      </c>
      <c r="G22" s="39">
        <v>15</v>
      </c>
      <c r="H22" s="39"/>
      <c r="I22" s="40" t="s">
        <v>271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7.3874793568246763E-2</v>
      </c>
      <c r="V22" s="48">
        <f t="shared" si="2"/>
        <v>279</v>
      </c>
      <c r="W22" s="49">
        <f t="shared" si="3"/>
        <v>4.9249862378831178E-3</v>
      </c>
      <c r="X22" s="44">
        <f t="shared" si="4"/>
        <v>1933.6132278151051</v>
      </c>
      <c r="Y22" s="44">
        <f t="shared" si="5"/>
        <v>81499</v>
      </c>
      <c r="Z22" s="44">
        <f t="shared" si="6"/>
        <v>10882.62812566878</v>
      </c>
      <c r="AA22" s="50">
        <f t="shared" si="7"/>
        <v>97672.613227815105</v>
      </c>
      <c r="AB22" s="51">
        <f t="shared" si="18"/>
        <v>10173.532883676526</v>
      </c>
      <c r="AC22" s="44">
        <f t="shared" si="18"/>
        <v>91308.416591394867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7.6016100846663939</v>
      </c>
      <c r="AP22" s="47">
        <f t="shared" si="16"/>
        <v>0.93166387456314548</v>
      </c>
    </row>
    <row r="23" spans="1:42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1130</v>
      </c>
      <c r="F23" s="39" t="s">
        <v>1131</v>
      </c>
      <c r="G23" s="39">
        <v>15</v>
      </c>
      <c r="H23" s="39"/>
      <c r="I23" s="40" t="s">
        <v>271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1.9148694650974123E-2</v>
      </c>
      <c r="V23" s="48">
        <f t="shared" si="2"/>
        <v>295</v>
      </c>
      <c r="W23" s="49">
        <f t="shared" si="3"/>
        <v>1.2765796433982749E-3</v>
      </c>
      <c r="X23" s="44">
        <f t="shared" si="4"/>
        <v>501.20166140715531</v>
      </c>
      <c r="Y23" s="44">
        <f t="shared" si="5"/>
        <v>15930</v>
      </c>
      <c r="Z23" s="44">
        <f t="shared" si="6"/>
        <v>2820.8284979642199</v>
      </c>
      <c r="AA23" s="50">
        <f t="shared" si="7"/>
        <v>20211.201661407154</v>
      </c>
      <c r="AB23" s="51">
        <f t="shared" si="18"/>
        <v>2637.027669406581</v>
      </c>
      <c r="AC23" s="44">
        <f t="shared" si="18"/>
        <v>18894.270974485513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7.601610084666393</v>
      </c>
      <c r="AP23" s="47">
        <f t="shared" si="16"/>
        <v>1.1670321531649539</v>
      </c>
    </row>
    <row r="24" spans="1:42" ht="13.5" customHeight="1">
      <c r="A24" s="60">
        <f>(SUM(AN5:AN110)/SUM(AC5:AC110))</f>
        <v>5.6745741679996122</v>
      </c>
      <c r="B24" s="97" t="s">
        <v>70</v>
      </c>
      <c r="C24" s="98">
        <v>18230714</v>
      </c>
      <c r="D24" s="61" t="s">
        <v>128</v>
      </c>
      <c r="E24" s="38" t="s">
        <v>1132</v>
      </c>
      <c r="F24" s="39" t="s">
        <v>1133</v>
      </c>
      <c r="G24" s="39">
        <v>15</v>
      </c>
      <c r="H24" s="39"/>
      <c r="I24" s="40" t="s">
        <v>271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6.5507313677096141E-2</v>
      </c>
      <c r="V24" s="48">
        <f t="shared" si="2"/>
        <v>278</v>
      </c>
      <c r="W24" s="49">
        <f t="shared" si="3"/>
        <v>4.3671542451397425E-3</v>
      </c>
      <c r="X24" s="44">
        <f t="shared" si="4"/>
        <v>1714.6011802747098</v>
      </c>
      <c r="Y24" s="44">
        <f t="shared" si="5"/>
        <v>34163.71</v>
      </c>
      <c r="Z24" s="44">
        <f t="shared" si="6"/>
        <v>9649.9996795360566</v>
      </c>
      <c r="AA24" s="50">
        <f t="shared" si="7"/>
        <v>49050.601180274709</v>
      </c>
      <c r="AB24" s="51">
        <f t="shared" si="18"/>
        <v>9021.2206034739229</v>
      </c>
      <c r="AC24" s="44">
        <f t="shared" si="18"/>
        <v>45854.539759067688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7.6016100846663939</v>
      </c>
      <c r="AP24" s="47">
        <f t="shared" si="16"/>
        <v>1.6450580915925017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 t="s">
        <v>1134</v>
      </c>
      <c r="F25" s="39" t="s">
        <v>1135</v>
      </c>
      <c r="G25" s="39">
        <v>15</v>
      </c>
      <c r="H25" s="39"/>
      <c r="I25" s="40" t="s">
        <v>271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0.35656082351959345</v>
      </c>
      <c r="V25" s="48">
        <f t="shared" ref="V25:V48" si="21">N25-M25</f>
        <v>341</v>
      </c>
      <c r="W25" s="49">
        <f t="shared" ref="W25:W48" si="22">(O25/A$10)</f>
        <v>2.3770721567972896E-2</v>
      </c>
      <c r="X25" s="44">
        <f t="shared" ref="X25:X48" si="23">W25*A$8</f>
        <v>9332.6924053088151</v>
      </c>
      <c r="Y25" s="44">
        <f t="shared" ref="Y25:Y48" si="24">Q25-P25</f>
        <v>143800.74</v>
      </c>
      <c r="Z25" s="44">
        <f t="shared" ref="Z25:Z48" si="25">X25+(A$6*W25)</f>
        <v>52525.613394252621</v>
      </c>
      <c r="AA25" s="50">
        <f t="shared" ref="AA25:AA48" si="26">Q25+X25</f>
        <v>222440.69240530883</v>
      </c>
      <c r="AB25" s="51">
        <f t="shared" ref="AB25:AB48" si="27">Z25/(1+ElecDiscountRate)^1</f>
        <v>49103.125543846516</v>
      </c>
      <c r="AC25" s="44">
        <f t="shared" ref="AC25:AC48" si="28">AA25/(1+ElecDiscountRate)^1</f>
        <v>207946.80041629318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7.6016100846663948</v>
      </c>
      <c r="AP25" s="47">
        <f t="shared" ref="AP25:AP48" si="37">AN25/AC25</f>
        <v>1.974491047388327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 t="s">
        <v>1136</v>
      </c>
      <c r="F26" s="39" t="s">
        <v>1137</v>
      </c>
      <c r="G26" s="39">
        <v>15</v>
      </c>
      <c r="H26" s="39"/>
      <c r="I26" s="40" t="s">
        <v>271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4.1988509735511444E-2</v>
      </c>
      <c r="V26" s="48">
        <f t="shared" si="21"/>
        <v>261</v>
      </c>
      <c r="W26" s="49">
        <f t="shared" si="22"/>
        <v>2.7992339823674295E-3</v>
      </c>
      <c r="X26" s="44">
        <f t="shared" si="23"/>
        <v>1099.0154275805048</v>
      </c>
      <c r="Y26" s="44">
        <f t="shared" si="24"/>
        <v>10440</v>
      </c>
      <c r="Z26" s="44">
        <f t="shared" si="25"/>
        <v>6185.4025565629563</v>
      </c>
      <c r="AA26" s="50">
        <f t="shared" si="26"/>
        <v>19939.015427580503</v>
      </c>
      <c r="AB26" s="51">
        <f t="shared" si="27"/>
        <v>5782.3712784546651</v>
      </c>
      <c r="AC26" s="44">
        <f t="shared" si="28"/>
        <v>18639.819975301954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7.6016100846663965</v>
      </c>
      <c r="AP26" s="47">
        <f t="shared" si="37"/>
        <v>2.5939555784342643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 t="s">
        <v>1138</v>
      </c>
      <c r="F27" s="39" t="s">
        <v>1139</v>
      </c>
      <c r="G27" s="39">
        <v>15</v>
      </c>
      <c r="H27" s="39"/>
      <c r="I27" s="40" t="s">
        <v>271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0.32836263791482617</v>
      </c>
      <c r="V27" s="48">
        <f t="shared" si="21"/>
        <v>427</v>
      </c>
      <c r="W27" s="49">
        <f t="shared" si="22"/>
        <v>2.1890842527655077E-2</v>
      </c>
      <c r="X27" s="44">
        <f t="shared" si="23"/>
        <v>8594.627606042839</v>
      </c>
      <c r="Y27" s="44">
        <f t="shared" si="24"/>
        <v>113585</v>
      </c>
      <c r="Z27" s="44">
        <f t="shared" si="25"/>
        <v>48371.688179263336</v>
      </c>
      <c r="AA27" s="50">
        <f t="shared" si="26"/>
        <v>187999.62760604284</v>
      </c>
      <c r="AB27" s="51">
        <f t="shared" si="27"/>
        <v>45219.863680717332</v>
      </c>
      <c r="AC27" s="44">
        <f t="shared" si="28"/>
        <v>175749.86221000543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7.6016100846663957</v>
      </c>
      <c r="AP27" s="47">
        <f t="shared" si="37"/>
        <v>2.1514563038975307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 t="s">
        <v>1140</v>
      </c>
      <c r="F28" s="39" t="s">
        <v>1141</v>
      </c>
      <c r="G28" s="39">
        <v>15</v>
      </c>
      <c r="H28" s="39"/>
      <c r="I28" s="40" t="s">
        <v>271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1.1426113137757401</v>
      </c>
      <c r="V28" s="48">
        <f t="shared" si="21"/>
        <v>558</v>
      </c>
      <c r="W28" s="49">
        <f t="shared" si="22"/>
        <v>7.6174087585049344E-2</v>
      </c>
      <c r="X28" s="44">
        <f t="shared" si="23"/>
        <v>29906.930955101965</v>
      </c>
      <c r="Y28" s="44">
        <f t="shared" si="24"/>
        <v>213987.17</v>
      </c>
      <c r="Z28" s="44">
        <f t="shared" si="25"/>
        <v>168320.11866829681</v>
      </c>
      <c r="AA28" s="50">
        <f t="shared" si="26"/>
        <v>455768.93095510197</v>
      </c>
      <c r="AB28" s="51">
        <f t="shared" si="27"/>
        <v>157352.63968243133</v>
      </c>
      <c r="AC28" s="44">
        <f t="shared" si="28"/>
        <v>426071.73128456756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7.6016100846663939</v>
      </c>
      <c r="AP28" s="47">
        <f t="shared" si="37"/>
        <v>3.0880874212374416</v>
      </c>
    </row>
    <row r="29" spans="1:42">
      <c r="B29" s="97" t="s">
        <v>70</v>
      </c>
      <c r="C29" s="98">
        <v>18230714</v>
      </c>
      <c r="D29" s="61" t="s">
        <v>128</v>
      </c>
      <c r="E29" s="38" t="s">
        <v>1142</v>
      </c>
      <c r="F29" s="39" t="s">
        <v>1143</v>
      </c>
      <c r="G29" s="39">
        <v>15</v>
      </c>
      <c r="H29" s="39"/>
      <c r="I29" s="40" t="s">
        <v>271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3.7717125827676307E-2</v>
      </c>
      <c r="V29" s="48">
        <f t="shared" si="21"/>
        <v>78</v>
      </c>
      <c r="W29" s="49">
        <f t="shared" si="22"/>
        <v>2.5144750551784204E-3</v>
      </c>
      <c r="X29" s="44">
        <f t="shared" si="23"/>
        <v>987.2153936807606</v>
      </c>
      <c r="Y29" s="44">
        <f t="shared" si="24"/>
        <v>12480</v>
      </c>
      <c r="Z29" s="44">
        <f t="shared" si="25"/>
        <v>5556.1773444749788</v>
      </c>
      <c r="AA29" s="50">
        <f t="shared" si="26"/>
        <v>16667.215393680759</v>
      </c>
      <c r="AB29" s="51">
        <f t="shared" si="27"/>
        <v>5194.1454094372048</v>
      </c>
      <c r="AC29" s="44">
        <f t="shared" si="28"/>
        <v>15581.205378779805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7.6016100846663939</v>
      </c>
      <c r="AP29" s="47">
        <f t="shared" si="37"/>
        <v>2.7874772125982288</v>
      </c>
    </row>
    <row r="30" spans="1:42">
      <c r="B30" s="97" t="s">
        <v>70</v>
      </c>
      <c r="C30" s="98">
        <v>18230714</v>
      </c>
      <c r="D30" s="61" t="s">
        <v>128</v>
      </c>
      <c r="E30" s="38" t="s">
        <v>1144</v>
      </c>
      <c r="F30" s="39" t="s">
        <v>1145</v>
      </c>
      <c r="G30" s="39">
        <v>15</v>
      </c>
      <c r="H30" s="39"/>
      <c r="I30" s="40" t="s">
        <v>271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2.273706009430166E-2</v>
      </c>
      <c r="V30" s="48">
        <f t="shared" si="21"/>
        <v>74</v>
      </c>
      <c r="W30" s="49">
        <f t="shared" si="22"/>
        <v>1.5158040062867775E-3</v>
      </c>
      <c r="X30" s="44">
        <f t="shared" si="23"/>
        <v>595.12423705594995</v>
      </c>
      <c r="Y30" s="44">
        <f t="shared" si="24"/>
        <v>5476</v>
      </c>
      <c r="Z30" s="44">
        <f t="shared" si="25"/>
        <v>3349.4370369871863</v>
      </c>
      <c r="AA30" s="50">
        <f t="shared" si="26"/>
        <v>7181.1242370559503</v>
      </c>
      <c r="AB30" s="51">
        <f t="shared" si="27"/>
        <v>3131.192892387759</v>
      </c>
      <c r="AC30" s="44">
        <f t="shared" si="28"/>
        <v>6713.2132719977089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7.6016100846663957</v>
      </c>
      <c r="AP30" s="47">
        <f t="shared" si="37"/>
        <v>3.9001171501289553</v>
      </c>
    </row>
    <row r="31" spans="1:42">
      <c r="B31" s="97" t="s">
        <v>70</v>
      </c>
      <c r="C31" s="98">
        <v>18230714</v>
      </c>
      <c r="D31" s="61" t="s">
        <v>128</v>
      </c>
      <c r="E31" s="38" t="s">
        <v>1146</v>
      </c>
      <c r="F31" s="39" t="s">
        <v>1147</v>
      </c>
      <c r="G31" s="39">
        <v>15</v>
      </c>
      <c r="H31" s="39"/>
      <c r="I31" s="40" t="s">
        <v>271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4.829081580329838E-2</v>
      </c>
      <c r="V31" s="48">
        <f t="shared" si="21"/>
        <v>36</v>
      </c>
      <c r="W31" s="49">
        <f t="shared" si="22"/>
        <v>3.2193877202198922E-3</v>
      </c>
      <c r="X31" s="44">
        <f t="shared" si="23"/>
        <v>1263.9732134476747</v>
      </c>
      <c r="Y31" s="44">
        <f t="shared" si="24"/>
        <v>24881.06</v>
      </c>
      <c r="Z31" s="44">
        <f t="shared" si="25"/>
        <v>7113.8065487380491</v>
      </c>
      <c r="AA31" s="50">
        <f t="shared" si="26"/>
        <v>30831.973213447676</v>
      </c>
      <c r="AB31" s="51">
        <f t="shared" si="27"/>
        <v>6650.2819002879769</v>
      </c>
      <c r="AC31" s="44">
        <f t="shared" si="28"/>
        <v>28823.009454471041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7.6016100846663948</v>
      </c>
      <c r="AP31" s="47">
        <f t="shared" si="37"/>
        <v>1.9292966281974373</v>
      </c>
    </row>
    <row r="32" spans="1:42">
      <c r="B32" s="97" t="s">
        <v>70</v>
      </c>
      <c r="C32" s="98">
        <v>18230714</v>
      </c>
      <c r="D32" s="61" t="s">
        <v>128</v>
      </c>
      <c r="E32" s="38" t="s">
        <v>1148</v>
      </c>
      <c r="F32" s="39" t="s">
        <v>1149</v>
      </c>
      <c r="G32" s="39">
        <v>15</v>
      </c>
      <c r="H32" s="39"/>
      <c r="I32" s="40" t="s">
        <v>271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1.2088822380665483E-4</v>
      </c>
      <c r="V32" s="48">
        <f t="shared" si="21"/>
        <v>15</v>
      </c>
      <c r="W32" s="49">
        <f t="shared" si="22"/>
        <v>8.0592149204436553E-6</v>
      </c>
      <c r="X32" s="44">
        <f t="shared" si="23"/>
        <v>3.1641519028229506</v>
      </c>
      <c r="Y32" s="44">
        <f t="shared" si="24"/>
        <v>30</v>
      </c>
      <c r="Z32" s="44">
        <f t="shared" si="25"/>
        <v>17.808260719471086</v>
      </c>
      <c r="AA32" s="50">
        <f t="shared" si="26"/>
        <v>93.164151902822951</v>
      </c>
      <c r="AB32" s="51">
        <f t="shared" si="27"/>
        <v>16.647901953324375</v>
      </c>
      <c r="AC32" s="44">
        <f t="shared" si="28"/>
        <v>87.093719643659853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7.601610084666393</v>
      </c>
      <c r="AP32" s="47">
        <f t="shared" si="37"/>
        <v>1.5983465384665594</v>
      </c>
    </row>
    <row r="33" spans="2:42">
      <c r="B33" s="97" t="s">
        <v>70</v>
      </c>
      <c r="C33" s="98">
        <v>18230714</v>
      </c>
      <c r="D33" s="61" t="s">
        <v>128</v>
      </c>
      <c r="E33" s="38" t="s">
        <v>1150</v>
      </c>
      <c r="F33" s="39" t="s">
        <v>1151</v>
      </c>
      <c r="G33" s="39">
        <v>15</v>
      </c>
      <c r="H33" s="39"/>
      <c r="I33" s="40" t="s">
        <v>271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1.0618015657684516E-2</v>
      </c>
      <c r="V33" s="48">
        <f t="shared" si="21"/>
        <v>121</v>
      </c>
      <c r="W33" s="49">
        <f t="shared" si="22"/>
        <v>7.0786771051230106E-4</v>
      </c>
      <c r="X33" s="44">
        <f t="shared" si="23"/>
        <v>277.91800879794914</v>
      </c>
      <c r="Y33" s="44">
        <f t="shared" si="24"/>
        <v>2057</v>
      </c>
      <c r="Z33" s="44">
        <f t="shared" si="25"/>
        <v>1564.1588998602103</v>
      </c>
      <c r="AA33" s="50">
        <f t="shared" si="26"/>
        <v>3694.9180087979494</v>
      </c>
      <c r="AB33" s="51">
        <f t="shared" si="27"/>
        <v>1462.2407215669909</v>
      </c>
      <c r="AC33" s="44">
        <f t="shared" si="28"/>
        <v>3454.1628576217154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7.6016100846663939</v>
      </c>
      <c r="AP33" s="47">
        <f t="shared" si="37"/>
        <v>3.5397642499171043</v>
      </c>
    </row>
    <row r="34" spans="2:42">
      <c r="B34" s="97" t="s">
        <v>70</v>
      </c>
      <c r="C34" s="98">
        <v>18230714</v>
      </c>
      <c r="D34" s="61" t="s">
        <v>128</v>
      </c>
      <c r="E34" s="38" t="s">
        <v>1152</v>
      </c>
      <c r="F34" s="39" t="s">
        <v>1153</v>
      </c>
      <c r="G34" s="39">
        <v>15</v>
      </c>
      <c r="H34" s="39"/>
      <c r="I34" s="40" t="s">
        <v>271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0.28705613924195728</v>
      </c>
      <c r="V34" s="48">
        <f t="shared" si="21"/>
        <v>212</v>
      </c>
      <c r="W34" s="49">
        <f t="shared" si="22"/>
        <v>1.9137075949463817E-2</v>
      </c>
      <c r="X34" s="44">
        <f t="shared" si="23"/>
        <v>7513.4632687807598</v>
      </c>
      <c r="Y34" s="44">
        <f t="shared" si="24"/>
        <v>65064.17</v>
      </c>
      <c r="Z34" s="44">
        <f t="shared" si="25"/>
        <v>42286.753893592722</v>
      </c>
      <c r="AA34" s="50">
        <f t="shared" si="26"/>
        <v>112761.46326878076</v>
      </c>
      <c r="AB34" s="51">
        <f t="shared" si="27"/>
        <v>39531.414315782669</v>
      </c>
      <c r="AC34" s="44">
        <f t="shared" si="28"/>
        <v>105414.10046628097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7.6016100846663948</v>
      </c>
      <c r="AP34" s="47">
        <f t="shared" si="37"/>
        <v>3.1357535285529616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48 R5:S48">
    <cfRule type="expression" dxfId="197" priority="2">
      <formula>ISTEXT(M5)</formula>
    </cfRule>
  </conditionalFormatting>
  <conditionalFormatting sqref="M5:N48 R5:S48">
    <cfRule type="notContainsBlanks" dxfId="196" priority="3">
      <formula>LEN(TRIM(M5))&gt;0</formula>
    </cfRule>
  </conditionalFormatting>
  <conditionalFormatting sqref="R5:S48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G25" sqref="G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1154</v>
      </c>
      <c r="F5" s="39" t="s">
        <v>1155</v>
      </c>
      <c r="G5" s="39">
        <v>15</v>
      </c>
      <c r="H5" s="39"/>
      <c r="I5" s="40" t="s">
        <v>269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0.60514540902579128</v>
      </c>
      <c r="V5" s="48">
        <f t="shared" ref="V5:V13" si="2">N5-M5</f>
        <v>1909</v>
      </c>
      <c r="W5" s="49">
        <f t="shared" ref="W5:W13" si="3">(O5/A$10)</f>
        <v>4.0343027268386088E-2</v>
      </c>
      <c r="X5" s="44">
        <f t="shared" ref="X5:X13" si="4">W5*A$8</f>
        <v>2682.9069263223009</v>
      </c>
      <c r="Y5" s="44">
        <f t="shared" ref="Y5:Y13" si="5">Q5-P5</f>
        <v>3818</v>
      </c>
      <c r="Z5" s="44">
        <f t="shared" ref="Z5:Z13" si="6">X5+(A$6*W5)</f>
        <v>8694.8728580596453</v>
      </c>
      <c r="AA5" s="50">
        <f t="shared" ref="AA5:AA13" si="7">Q5+X5</f>
        <v>8000.9069263223009</v>
      </c>
      <c r="AB5" s="51">
        <f t="shared" ref="AB5:AC11" si="8">Z5/(1+ElecDiscountRate)^1</f>
        <v>8128.3283706269467</v>
      </c>
      <c r="AC5" s="44">
        <f t="shared" si="8"/>
        <v>7479.5801872696084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2.554609141525912</v>
      </c>
      <c r="AP5" s="47">
        <f t="shared" ref="AP5:AP13" si="17">AN5/AC5</f>
        <v>13.236021761971379</v>
      </c>
    </row>
    <row r="6" spans="1:42" ht="13.5" customHeight="1">
      <c r="A6" s="53">
        <f>SUMIF('Program Costs'!C:C,D2,'Program Costs'!L:L)</f>
        <v>149021.19</v>
      </c>
      <c r="B6" s="97" t="s">
        <v>70</v>
      </c>
      <c r="C6" s="98">
        <v>18230716</v>
      </c>
      <c r="D6" s="61" t="s">
        <v>131</v>
      </c>
      <c r="E6" s="38" t="s">
        <v>1156</v>
      </c>
      <c r="F6" s="39" t="s">
        <v>1157</v>
      </c>
      <c r="G6" s="39">
        <v>15</v>
      </c>
      <c r="H6" s="39"/>
      <c r="I6" s="40" t="s">
        <v>269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0.42532229777508801</v>
      </c>
      <c r="V6" s="48">
        <f t="shared" si="2"/>
        <v>1909</v>
      </c>
      <c r="W6" s="49">
        <f t="shared" si="3"/>
        <v>2.8354819851672534E-2</v>
      </c>
      <c r="X6" s="44">
        <f t="shared" si="4"/>
        <v>1885.6627210592719</v>
      </c>
      <c r="Y6" s="44">
        <f t="shared" si="5"/>
        <v>1909</v>
      </c>
      <c r="Z6" s="44">
        <f t="shared" si="6"/>
        <v>6111.1317175911372</v>
      </c>
      <c r="AA6" s="50">
        <f t="shared" si="7"/>
        <v>4544.6627210592724</v>
      </c>
      <c r="AB6" s="51">
        <f t="shared" si="8"/>
        <v>5712.9398126494689</v>
      </c>
      <c r="AC6" s="44">
        <f t="shared" si="8"/>
        <v>4248.5395167423312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2.554609141525912</v>
      </c>
      <c r="AP6" s="47">
        <f t="shared" si="17"/>
        <v>24.393310718806511</v>
      </c>
    </row>
    <row r="7" spans="1:42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1158</v>
      </c>
      <c r="F7" s="39" t="s">
        <v>1159</v>
      </c>
      <c r="G7" s="39">
        <v>20</v>
      </c>
      <c r="H7" s="39"/>
      <c r="I7" s="40" t="s">
        <v>269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0.29035114036982573</v>
      </c>
      <c r="V7" s="48">
        <f t="shared" si="2"/>
        <v>4882</v>
      </c>
      <c r="W7" s="49">
        <f t="shared" si="3"/>
        <v>1.4517557018491287E-2</v>
      </c>
      <c r="X7" s="44">
        <f t="shared" si="4"/>
        <v>965.45194833980429</v>
      </c>
      <c r="Y7" s="44">
        <f t="shared" si="5"/>
        <v>4882</v>
      </c>
      <c r="Z7" s="44">
        <f t="shared" si="6"/>
        <v>3128.8755711282279</v>
      </c>
      <c r="AA7" s="50">
        <f t="shared" si="7"/>
        <v>6847.4519483398044</v>
      </c>
      <c r="AB7" s="51">
        <f t="shared" si="8"/>
        <v>2925.0028710182551</v>
      </c>
      <c r="AC7" s="44">
        <f t="shared" si="8"/>
        <v>6401.282554304762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3.1960705080595577</v>
      </c>
      <c r="AP7" s="47">
        <f t="shared" si="17"/>
        <v>4.6206491038577671</v>
      </c>
    </row>
    <row r="8" spans="1:42" ht="13.5" customHeight="1">
      <c r="A8" s="53">
        <f>SUMIF('Program Costs'!C:C,D2,'Program Costs'!O:O)</f>
        <v>66502.37</v>
      </c>
      <c r="B8" s="97" t="s">
        <v>70</v>
      </c>
      <c r="C8" s="98">
        <v>18230716</v>
      </c>
      <c r="D8" s="61" t="s">
        <v>131</v>
      </c>
      <c r="E8" s="38" t="s">
        <v>1160</v>
      </c>
      <c r="F8" s="39" t="s">
        <v>1161</v>
      </c>
      <c r="G8" s="39">
        <v>10</v>
      </c>
      <c r="H8" s="39"/>
      <c r="I8" s="40" t="s">
        <v>269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2.6677815580908249E-2</v>
      </c>
      <c r="V8" s="48">
        <f t="shared" si="2"/>
        <v>25</v>
      </c>
      <c r="W8" s="49">
        <f t="shared" si="3"/>
        <v>2.667781558090825E-3</v>
      </c>
      <c r="X8" s="44">
        <f t="shared" si="4"/>
        <v>177.41379625533253</v>
      </c>
      <c r="Y8" s="44">
        <f t="shared" si="5"/>
        <v>25</v>
      </c>
      <c r="Z8" s="44">
        <f t="shared" si="6"/>
        <v>574.96977870208138</v>
      </c>
      <c r="AA8" s="50">
        <f t="shared" si="7"/>
        <v>352.4137962553325</v>
      </c>
      <c r="AB8" s="51">
        <f t="shared" si="8"/>
        <v>537.50563588116415</v>
      </c>
      <c r="AC8" s="44">
        <f t="shared" si="8"/>
        <v>329.45105754448207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1.760646925569449</v>
      </c>
      <c r="AP8" s="47">
        <f t="shared" si="17"/>
        <v>13.400297024569934</v>
      </c>
    </row>
    <row r="9" spans="1:42" ht="13.5" customHeight="1">
      <c r="A9" s="36" t="s">
        <v>251</v>
      </c>
      <c r="B9" s="97" t="s">
        <v>70</v>
      </c>
      <c r="C9" s="98">
        <v>18230716</v>
      </c>
      <c r="D9" s="61" t="s">
        <v>131</v>
      </c>
      <c r="E9" s="38" t="s">
        <v>1162</v>
      </c>
      <c r="F9" s="39" t="s">
        <v>1163</v>
      </c>
      <c r="G9" s="39">
        <v>10</v>
      </c>
      <c r="H9" s="39"/>
      <c r="I9" s="40" t="s">
        <v>269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8.9150179865629647E-2</v>
      </c>
      <c r="V9" s="48">
        <f t="shared" si="2"/>
        <v>82</v>
      </c>
      <c r="W9" s="49">
        <f t="shared" si="3"/>
        <v>8.915017986562964E-3</v>
      </c>
      <c r="X9" s="44">
        <f t="shared" si="4"/>
        <v>592.86982469906525</v>
      </c>
      <c r="Y9" s="44">
        <f t="shared" si="5"/>
        <v>164</v>
      </c>
      <c r="Z9" s="44">
        <f t="shared" si="6"/>
        <v>1921.3964139280822</v>
      </c>
      <c r="AA9" s="50">
        <f t="shared" si="7"/>
        <v>1056.8698246990652</v>
      </c>
      <c r="AB9" s="51">
        <f t="shared" si="8"/>
        <v>1796.2011909208957</v>
      </c>
      <c r="AC9" s="44">
        <f t="shared" si="8"/>
        <v>988.00581910728727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1.760646925569449</v>
      </c>
      <c r="AP9" s="47">
        <f t="shared" si="17"/>
        <v>19.555290709001191</v>
      </c>
    </row>
    <row r="10" spans="1:42" ht="13.5" customHeight="1">
      <c r="A10" s="54">
        <f>SUM(O5:O971)</f>
        <v>505663.58999999997</v>
      </c>
      <c r="B10" s="97" t="s">
        <v>70</v>
      </c>
      <c r="C10" s="98">
        <v>18230716</v>
      </c>
      <c r="D10" s="61" t="s">
        <v>131</v>
      </c>
      <c r="E10" s="38" t="s">
        <v>1164</v>
      </c>
      <c r="F10" s="39" t="s">
        <v>1165</v>
      </c>
      <c r="G10" s="39">
        <v>12</v>
      </c>
      <c r="H10" s="39"/>
      <c r="I10" s="40" t="s">
        <v>272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3.1894722734535821E-2</v>
      </c>
      <c r="V10" s="48">
        <f t="shared" si="2"/>
        <v>21</v>
      </c>
      <c r="W10" s="49">
        <f t="shared" si="3"/>
        <v>2.6578935612113185E-3</v>
      </c>
      <c r="X10" s="44">
        <f t="shared" si="4"/>
        <v>176.75622102829274</v>
      </c>
      <c r="Y10" s="44">
        <f t="shared" si="5"/>
        <v>21</v>
      </c>
      <c r="Z10" s="44">
        <f t="shared" si="6"/>
        <v>572.8386824133413</v>
      </c>
      <c r="AA10" s="50">
        <f t="shared" si="7"/>
        <v>1047.7562210282927</v>
      </c>
      <c r="AB10" s="51">
        <f t="shared" si="8"/>
        <v>535.51339853542231</v>
      </c>
      <c r="AC10" s="44">
        <f t="shared" si="8"/>
        <v>979.48604377703339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2.0759032952858556</v>
      </c>
      <c r="AP10" s="47">
        <f t="shared" si="17"/>
        <v>12.27002725430083</v>
      </c>
    </row>
    <row r="11" spans="1:42" ht="13.5" customHeight="1">
      <c r="A11" s="36" t="s">
        <v>252</v>
      </c>
      <c r="B11" s="97" t="s">
        <v>70</v>
      </c>
      <c r="C11" s="98">
        <v>18230716</v>
      </c>
      <c r="D11" s="61" t="s">
        <v>131</v>
      </c>
      <c r="E11" s="38" t="s">
        <v>1166</v>
      </c>
      <c r="F11" s="39" t="s">
        <v>1167</v>
      </c>
      <c r="G11" s="39">
        <v>12</v>
      </c>
      <c r="H11" s="39"/>
      <c r="I11" s="40" t="s">
        <v>272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0.50094174271080116</v>
      </c>
      <c r="V11" s="48">
        <f t="shared" si="2"/>
        <v>131</v>
      </c>
      <c r="W11" s="49">
        <f t="shared" si="3"/>
        <v>4.1745145225900095E-2</v>
      </c>
      <c r="X11" s="44">
        <f t="shared" si="4"/>
        <v>2776.1510935165416</v>
      </c>
      <c r="Y11" s="44">
        <f t="shared" si="5"/>
        <v>131</v>
      </c>
      <c r="Z11" s="44">
        <f t="shared" si="6"/>
        <v>8997.0623118029926</v>
      </c>
      <c r="AA11" s="50">
        <f t="shared" si="7"/>
        <v>4907.1510935165416</v>
      </c>
      <c r="AB11" s="51">
        <f t="shared" si="8"/>
        <v>8410.8276262531472</v>
      </c>
      <c r="AC11" s="44">
        <f t="shared" si="8"/>
        <v>4587.4087066621869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2.0759032952858556</v>
      </c>
      <c r="AP11" s="47">
        <f t="shared" si="17"/>
        <v>22.121757585410048</v>
      </c>
    </row>
    <row r="12" spans="1:42" ht="13.5" customHeight="1">
      <c r="A12" s="55">
        <f>SUM(P5:P972)</f>
        <v>87875</v>
      </c>
      <c r="B12" s="97" t="s">
        <v>70</v>
      </c>
      <c r="C12" s="98">
        <v>18230716</v>
      </c>
      <c r="D12" s="61" t="s">
        <v>131</v>
      </c>
      <c r="E12" s="38" t="s">
        <v>1168</v>
      </c>
      <c r="F12" s="39" t="s">
        <v>1169</v>
      </c>
      <c r="G12" s="39">
        <v>7</v>
      </c>
      <c r="H12" s="39"/>
      <c r="I12" s="40" t="s">
        <v>270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0.18100795036478701</v>
      </c>
      <c r="V12" s="48">
        <f t="shared" si="2"/>
        <v>-0.37999999999999545</v>
      </c>
      <c r="W12" s="49">
        <f t="shared" si="3"/>
        <v>2.5858278623541002E-2</v>
      </c>
      <c r="X12" s="44">
        <f t="shared" si="4"/>
        <v>1719.6368125858144</v>
      </c>
      <c r="Y12" s="44">
        <f t="shared" si="5"/>
        <v>-4.180000000000291</v>
      </c>
      <c r="Z12" s="44">
        <f t="shared" si="6"/>
        <v>5573.0682644174567</v>
      </c>
      <c r="AA12" s="50">
        <f t="shared" si="7"/>
        <v>6115.4568125858141</v>
      </c>
      <c r="AB12" s="51">
        <f>Z12/(1+ElecDiscountRate)^1</f>
        <v>5209.9357431218623</v>
      </c>
      <c r="AC12" s="44">
        <f>AA12/(1+ElecDiscountRate)^1</f>
        <v>5716.9830911337885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1.25438967034962</v>
      </c>
      <c r="AP12" s="47">
        <f t="shared" si="17"/>
        <v>5.296232977349991</v>
      </c>
    </row>
    <row r="13" spans="1:42" ht="13.5" customHeight="1">
      <c r="A13" s="56" t="s">
        <v>255</v>
      </c>
      <c r="B13" s="97" t="s">
        <v>70</v>
      </c>
      <c r="C13" s="98">
        <v>18230716</v>
      </c>
      <c r="D13" s="61" t="s">
        <v>131</v>
      </c>
      <c r="E13" s="38" t="s">
        <v>1170</v>
      </c>
      <c r="F13" s="39" t="s">
        <v>1171</v>
      </c>
      <c r="G13" s="39">
        <v>12</v>
      </c>
      <c r="H13" s="39"/>
      <c r="I13" s="40" t="s">
        <v>272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0.3240968961202052</v>
      </c>
      <c r="V13" s="48">
        <f t="shared" si="2"/>
        <v>507</v>
      </c>
      <c r="W13" s="49">
        <f t="shared" si="3"/>
        <v>2.7008074676683765E-2</v>
      </c>
      <c r="X13" s="44">
        <f t="shared" si="4"/>
        <v>1796.1009751364541</v>
      </c>
      <c r="Y13" s="44">
        <f t="shared" si="5"/>
        <v>3549</v>
      </c>
      <c r="Z13" s="44">
        <f t="shared" si="6"/>
        <v>5820.8764030647344</v>
      </c>
      <c r="AA13" s="50">
        <f t="shared" si="7"/>
        <v>8845.1009751364545</v>
      </c>
      <c r="AB13" s="51">
        <f>Z13/(1+ElecDiscountRate)^1</f>
        <v>5441.5970861594224</v>
      </c>
      <c r="AC13" s="44">
        <f>AA13/(1+ElecDiscountRate)^1</f>
        <v>8268.7678556010596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2.0759032952858547</v>
      </c>
      <c r="AP13" s="47">
        <f t="shared" si="17"/>
        <v>1.5027453270001903</v>
      </c>
    </row>
    <row r="14" spans="1:42" ht="13.5" customHeight="1">
      <c r="A14" s="55">
        <f>SUM(Y5:Y972)</f>
        <v>13597.800000000001</v>
      </c>
      <c r="B14" s="97" t="s">
        <v>70</v>
      </c>
      <c r="C14" s="98">
        <v>18230716</v>
      </c>
      <c r="D14" s="61" t="s">
        <v>131</v>
      </c>
      <c r="E14" s="38" t="s">
        <v>1172</v>
      </c>
      <c r="F14" s="39" t="s">
        <v>1173</v>
      </c>
      <c r="G14" s="39">
        <v>12</v>
      </c>
      <c r="H14" s="39"/>
      <c r="I14" s="40" t="s">
        <v>272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8.2584549937637391E-2</v>
      </c>
      <c r="V14" s="48">
        <f t="shared" ref="V14:V60" si="20">N14-M14</f>
        <v>343</v>
      </c>
      <c r="W14" s="49">
        <f t="shared" ref="W14:W60" si="21">(O14/A$10)</f>
        <v>6.8820458281364499E-3</v>
      </c>
      <c r="X14" s="44">
        <f t="shared" ref="X14:X60" si="22">W14*A$8</f>
        <v>457.67235801968656</v>
      </c>
      <c r="Y14" s="44">
        <f t="shared" ref="Y14:Y60" si="23">Q14-P14</f>
        <v>686</v>
      </c>
      <c r="Z14" s="44">
        <f t="shared" ref="Z14:Z60" si="24">X14+(A$6*W14)</f>
        <v>1483.2430169631157</v>
      </c>
      <c r="AA14" s="50">
        <f t="shared" ref="AA14:AA60" si="25">Q14+X14</f>
        <v>2043.6723580196865</v>
      </c>
      <c r="AB14" s="51">
        <f t="shared" ref="AB14:AB60" si="26">Z14/(1+ElecDiscountRate)^1</f>
        <v>1386.5971926363611</v>
      </c>
      <c r="AC14" s="44">
        <f t="shared" ref="AC14:AC60" si="27">AA14/(1+ElecDiscountRate)^1</f>
        <v>1910.5098233333517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2.0759032952858556</v>
      </c>
      <c r="AP14" s="47">
        <f t="shared" ref="AP14:AP60" si="36">AN14/AC14</f>
        <v>1.6572989109505714</v>
      </c>
    </row>
    <row r="15" spans="1:42" ht="13.5" customHeight="1">
      <c r="A15" s="57" t="s">
        <v>258</v>
      </c>
      <c r="B15" s="97" t="s">
        <v>70</v>
      </c>
      <c r="C15" s="98">
        <v>18230716</v>
      </c>
      <c r="D15" s="61" t="s">
        <v>131</v>
      </c>
      <c r="E15" s="38" t="s">
        <v>1174</v>
      </c>
      <c r="F15" s="39" t="s">
        <v>1175</v>
      </c>
      <c r="G15" s="39">
        <v>10</v>
      </c>
      <c r="H15" s="39"/>
      <c r="I15" s="40" t="s">
        <v>274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2.6341623687005031E-2</v>
      </c>
      <c r="V15" s="48">
        <f t="shared" si="20"/>
        <v>22.879999999999995</v>
      </c>
      <c r="W15" s="49">
        <f t="shared" si="21"/>
        <v>2.6341623687005031E-3</v>
      </c>
      <c r="X15" s="44">
        <f t="shared" si="22"/>
        <v>175.17804048339727</v>
      </c>
      <c r="Y15" s="44">
        <f t="shared" si="23"/>
        <v>45.759999999999991</v>
      </c>
      <c r="Z15" s="44">
        <f t="shared" si="24"/>
        <v>567.72405132036499</v>
      </c>
      <c r="AA15" s="50">
        <f t="shared" si="25"/>
        <v>720.93804048339723</v>
      </c>
      <c r="AB15" s="51">
        <f t="shared" si="26"/>
        <v>530.73202890564176</v>
      </c>
      <c r="AC15" s="44">
        <f t="shared" si="27"/>
        <v>673.9628311520961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1.7248601277238782</v>
      </c>
      <c r="AP15" s="47">
        <f t="shared" si="36"/>
        <v>113.75959337238612</v>
      </c>
    </row>
    <row r="16" spans="1:42" ht="13.5" customHeight="1">
      <c r="A16" s="54">
        <f>SUM(U5:U971)</f>
        <v>12.785051678330255</v>
      </c>
      <c r="B16" s="97" t="s">
        <v>70</v>
      </c>
      <c r="C16" s="98">
        <v>18230716</v>
      </c>
      <c r="D16" s="61" t="s">
        <v>131</v>
      </c>
      <c r="E16" s="38" t="s">
        <v>1176</v>
      </c>
      <c r="F16" s="39" t="s">
        <v>1175</v>
      </c>
      <c r="G16" s="39">
        <v>10</v>
      </c>
      <c r="H16" s="39"/>
      <c r="I16" s="40" t="s">
        <v>274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9.2195682904517601E-2</v>
      </c>
      <c r="V16" s="48">
        <f t="shared" si="20"/>
        <v>22.879999999999995</v>
      </c>
      <c r="W16" s="49">
        <f t="shared" si="21"/>
        <v>9.2195682904517608E-3</v>
      </c>
      <c r="X16" s="44">
        <f t="shared" si="22"/>
        <v>613.1231416918904</v>
      </c>
      <c r="Y16" s="44">
        <f t="shared" si="23"/>
        <v>160.16000000000008</v>
      </c>
      <c r="Z16" s="44">
        <f t="shared" si="24"/>
        <v>1987.0341796212774</v>
      </c>
      <c r="AA16" s="50">
        <f t="shared" si="25"/>
        <v>2523.2831416918907</v>
      </c>
      <c r="AB16" s="51">
        <f t="shared" si="26"/>
        <v>1857.562101169746</v>
      </c>
      <c r="AC16" s="44">
        <f t="shared" si="27"/>
        <v>2358.8699090323366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1.7248601277238782</v>
      </c>
      <c r="AP16" s="47">
        <f t="shared" si="36"/>
        <v>19.819987776363352</v>
      </c>
    </row>
    <row r="17" spans="1:42" ht="13.5" customHeight="1">
      <c r="A17" s="58" t="s">
        <v>261</v>
      </c>
      <c r="B17" s="97" t="s">
        <v>70</v>
      </c>
      <c r="C17" s="98">
        <v>18230716</v>
      </c>
      <c r="D17" s="61" t="s">
        <v>131</v>
      </c>
      <c r="E17" s="38" t="s">
        <v>1177</v>
      </c>
      <c r="F17" s="39" t="s">
        <v>1178</v>
      </c>
      <c r="G17" s="39">
        <v>10</v>
      </c>
      <c r="H17" s="39"/>
      <c r="I17" s="40" t="s">
        <v>274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8.3968869500768289E-2</v>
      </c>
      <c r="V17" s="48">
        <f t="shared" si="20"/>
        <v>13.350000000000023</v>
      </c>
      <c r="W17" s="49">
        <f t="shared" si="21"/>
        <v>8.3968869500768289E-3</v>
      </c>
      <c r="X17" s="44">
        <f t="shared" si="22"/>
        <v>558.41288280218077</v>
      </c>
      <c r="Y17" s="44">
        <f t="shared" si="23"/>
        <v>26.700000000000045</v>
      </c>
      <c r="Z17" s="44">
        <f t="shared" si="24"/>
        <v>1809.7269683981003</v>
      </c>
      <c r="AA17" s="50">
        <f t="shared" si="25"/>
        <v>1585.1128828021808</v>
      </c>
      <c r="AB17" s="51">
        <f t="shared" si="26"/>
        <v>1691.8079540040201</v>
      </c>
      <c r="AC17" s="44">
        <f t="shared" si="27"/>
        <v>1481.8293753409187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1.7248601277238782</v>
      </c>
      <c r="AP17" s="47">
        <f t="shared" si="36"/>
        <v>10.501140184838277</v>
      </c>
    </row>
    <row r="18" spans="1:42" ht="13.5" customHeight="1">
      <c r="A18" s="59">
        <f>A6+A8</f>
        <v>215523.56</v>
      </c>
      <c r="B18" s="97" t="s">
        <v>70</v>
      </c>
      <c r="C18" s="98">
        <v>18230716</v>
      </c>
      <c r="D18" s="61" t="s">
        <v>131</v>
      </c>
      <c r="E18" s="38" t="s">
        <v>1179</v>
      </c>
      <c r="F18" s="39" t="s">
        <v>1180</v>
      </c>
      <c r="G18" s="39">
        <v>10</v>
      </c>
      <c r="H18" s="39"/>
      <c r="I18" s="40" t="s">
        <v>274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5.216907153627573E-2</v>
      </c>
      <c r="V18" s="48">
        <f t="shared" si="20"/>
        <v>24.560000000000002</v>
      </c>
      <c r="W18" s="49">
        <f t="shared" si="21"/>
        <v>5.2169071536275731E-3</v>
      </c>
      <c r="X18" s="44">
        <f t="shared" si="22"/>
        <v>346.93668978618769</v>
      </c>
      <c r="Y18" s="44">
        <f t="shared" si="23"/>
        <v>49.120000000000005</v>
      </c>
      <c r="Z18" s="44">
        <f t="shared" si="24"/>
        <v>1124.3664019392813</v>
      </c>
      <c r="AA18" s="50">
        <f t="shared" si="25"/>
        <v>1146.0566897861877</v>
      </c>
      <c r="AB18" s="51">
        <f t="shared" si="26"/>
        <v>1051.1044236134255</v>
      </c>
      <c r="AC18" s="44">
        <f t="shared" si="27"/>
        <v>1071.381405801802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1.7248601277238784</v>
      </c>
      <c r="AP18" s="47">
        <f t="shared" si="36"/>
        <v>13.389500277113422</v>
      </c>
    </row>
    <row r="19" spans="1:42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1181</v>
      </c>
      <c r="F19" s="39" t="s">
        <v>1182</v>
      </c>
      <c r="G19" s="39">
        <v>10</v>
      </c>
      <c r="H19" s="39"/>
      <c r="I19" s="40" t="s">
        <v>274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5.8932461401858108E-2</v>
      </c>
      <c r="V19" s="48">
        <f t="shared" si="20"/>
        <v>24.47999999999999</v>
      </c>
      <c r="W19" s="49">
        <f t="shared" si="21"/>
        <v>5.8932461401858104E-3</v>
      </c>
      <c r="X19" s="44">
        <f t="shared" si="22"/>
        <v>391.91483531570861</v>
      </c>
      <c r="Y19" s="44">
        <f t="shared" si="23"/>
        <v>97.919999999999959</v>
      </c>
      <c r="Z19" s="44">
        <f t="shared" si="24"/>
        <v>1270.1333880891048</v>
      </c>
      <c r="AA19" s="50">
        <f t="shared" si="25"/>
        <v>1289.8348353157085</v>
      </c>
      <c r="AB19" s="51">
        <f t="shared" si="26"/>
        <v>1187.3734580621713</v>
      </c>
      <c r="AC19" s="44">
        <f t="shared" si="27"/>
        <v>1205.7911894135816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1.7248601277238786</v>
      </c>
      <c r="AP19" s="47">
        <f t="shared" si="36"/>
        <v>22.354420982328481</v>
      </c>
    </row>
    <row r="20" spans="1:42" ht="13.5" customHeight="1">
      <c r="A20" s="59">
        <f>A8+SUM(Q5:Q878)</f>
        <v>167975.16999999998</v>
      </c>
      <c r="B20" s="97" t="s">
        <v>70</v>
      </c>
      <c r="C20" s="98">
        <v>18230716</v>
      </c>
      <c r="D20" s="61" t="s">
        <v>131</v>
      </c>
      <c r="E20" s="38" t="s">
        <v>1183</v>
      </c>
      <c r="F20" s="39" t="s">
        <v>1184</v>
      </c>
      <c r="G20" s="39">
        <v>10</v>
      </c>
      <c r="H20" s="39"/>
      <c r="I20" s="40" t="s">
        <v>274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2.0408825559301194E-2</v>
      </c>
      <c r="V20" s="48">
        <f t="shared" si="20"/>
        <v>1.8199999999999932</v>
      </c>
      <c r="W20" s="49">
        <f t="shared" si="21"/>
        <v>2.0408825559301196E-3</v>
      </c>
      <c r="X20" s="44">
        <f t="shared" si="22"/>
        <v>135.7235268610105</v>
      </c>
      <c r="Y20" s="44">
        <f t="shared" si="23"/>
        <v>5.4599999999999795</v>
      </c>
      <c r="Z20" s="44">
        <f t="shared" si="24"/>
        <v>439.85827399595848</v>
      </c>
      <c r="AA20" s="50">
        <f t="shared" si="25"/>
        <v>591.18352686101048</v>
      </c>
      <c r="AB20" s="51">
        <f t="shared" si="26"/>
        <v>411.19778816112785</v>
      </c>
      <c r="AC20" s="44">
        <f t="shared" si="27"/>
        <v>552.66292124989286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1.7248601277238782</v>
      </c>
      <c r="AP20" s="47">
        <f t="shared" si="36"/>
        <v>34.933795731037073</v>
      </c>
    </row>
    <row r="21" spans="1:42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1185</v>
      </c>
      <c r="F21" s="39" t="s">
        <v>1186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</row>
    <row r="22" spans="1:42" ht="13.5" customHeight="1">
      <c r="A22" s="60">
        <f>(SUM(AM5:AM972)/(SUM(AB5:AB972)))</f>
        <v>2.1865814196037672</v>
      </c>
      <c r="B22" s="97" t="s">
        <v>70</v>
      </c>
      <c r="C22" s="98">
        <v>18230716</v>
      </c>
      <c r="D22" s="61" t="s">
        <v>131</v>
      </c>
      <c r="E22" s="38" t="s">
        <v>1187</v>
      </c>
      <c r="F22" s="39" t="s">
        <v>1188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</row>
    <row r="23" spans="1:42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1189</v>
      </c>
      <c r="F23" s="39" t="s">
        <v>1188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8.1454961589368118</v>
      </c>
      <c r="B24" s="97" t="s">
        <v>70</v>
      </c>
      <c r="C24" s="98">
        <v>18230716</v>
      </c>
      <c r="D24" s="61" t="s">
        <v>131</v>
      </c>
      <c r="E24" s="38" t="s">
        <v>1190</v>
      </c>
      <c r="F24" s="39" t="s">
        <v>1191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 t="s">
        <v>1192</v>
      </c>
      <c r="F25" s="39" t="s">
        <v>1193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 t="s">
        <v>1194</v>
      </c>
      <c r="F26" s="39" t="s">
        <v>1195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 t="s">
        <v>1196</v>
      </c>
      <c r="F27" s="39" t="s">
        <v>1195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 t="s">
        <v>1197</v>
      </c>
      <c r="F28" s="39" t="s">
        <v>1198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70</v>
      </c>
      <c r="C29" s="98">
        <v>18230716</v>
      </c>
      <c r="D29" s="61" t="s">
        <v>131</v>
      </c>
      <c r="E29" s="38" t="s">
        <v>1199</v>
      </c>
      <c r="F29" s="39" t="s">
        <v>1198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 t="s">
        <v>1200</v>
      </c>
      <c r="F30" s="39" t="s">
        <v>1201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70</v>
      </c>
      <c r="C31" s="98">
        <v>18230716</v>
      </c>
      <c r="D31" s="61" t="s">
        <v>131</v>
      </c>
      <c r="E31" s="38" t="s">
        <v>1202</v>
      </c>
      <c r="F31" s="39" t="s">
        <v>1201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 t="s">
        <v>1203</v>
      </c>
      <c r="F32" s="39" t="s">
        <v>1204</v>
      </c>
      <c r="G32" s="39">
        <v>10</v>
      </c>
      <c r="H32" s="39"/>
      <c r="I32" s="40" t="s">
        <v>272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0.11232764455119262</v>
      </c>
      <c r="V32" s="48">
        <f t="shared" si="20"/>
        <v>47.409999999999968</v>
      </c>
      <c r="W32" s="49">
        <f t="shared" si="21"/>
        <v>1.1232764455119263E-2</v>
      </c>
      <c r="X32" s="44">
        <f t="shared" si="22"/>
        <v>747.00545791718957</v>
      </c>
      <c r="Y32" s="44">
        <f t="shared" si="23"/>
        <v>94.819999999999936</v>
      </c>
      <c r="Z32" s="44">
        <f t="shared" si="24"/>
        <v>2420.9253840087636</v>
      </c>
      <c r="AA32" s="50">
        <f t="shared" si="25"/>
        <v>1941.8254579171894</v>
      </c>
      <c r="AB32" s="51">
        <f t="shared" si="26"/>
        <v>2263.1816247627962</v>
      </c>
      <c r="AC32" s="44">
        <f t="shared" si="27"/>
        <v>1815.2991099534347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1.7393313780894553</v>
      </c>
      <c r="AP32" s="47">
        <f t="shared" si="36"/>
        <v>2.3853176988573641</v>
      </c>
    </row>
    <row r="33" spans="2:42">
      <c r="B33" s="97" t="s">
        <v>70</v>
      </c>
      <c r="C33" s="98">
        <v>18230716</v>
      </c>
      <c r="D33" s="61" t="s">
        <v>131</v>
      </c>
      <c r="E33" s="38" t="s">
        <v>1205</v>
      </c>
      <c r="F33" s="39" t="s">
        <v>1206</v>
      </c>
      <c r="G33" s="39">
        <v>10</v>
      </c>
      <c r="H33" s="39"/>
      <c r="I33" s="40" t="s">
        <v>272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6.3480939966431046E-2</v>
      </c>
      <c r="V33" s="48">
        <f t="shared" si="20"/>
        <v>30.589999999999975</v>
      </c>
      <c r="W33" s="49">
        <f t="shared" si="21"/>
        <v>6.3480939966431048E-3</v>
      </c>
      <c r="X33" s="44">
        <f t="shared" si="22"/>
        <v>422.16329575953847</v>
      </c>
      <c r="Y33" s="44">
        <f t="shared" si="23"/>
        <v>61.17999999999995</v>
      </c>
      <c r="Z33" s="44">
        <f t="shared" si="24"/>
        <v>1368.1638173711499</v>
      </c>
      <c r="AA33" s="50">
        <f t="shared" si="25"/>
        <v>983.34329575953848</v>
      </c>
      <c r="AB33" s="51">
        <f t="shared" si="26"/>
        <v>1279.0163759662987</v>
      </c>
      <c r="AC33" s="44">
        <f t="shared" si="27"/>
        <v>919.27016524215981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1.7393313780894553</v>
      </c>
      <c r="AP33" s="47">
        <f t="shared" si="36"/>
        <v>2.6619994207520685</v>
      </c>
    </row>
    <row r="34" spans="2:42">
      <c r="B34" s="97" t="s">
        <v>70</v>
      </c>
      <c r="C34" s="98">
        <v>18230716</v>
      </c>
      <c r="D34" s="61" t="s">
        <v>131</v>
      </c>
      <c r="E34" s="38" t="s">
        <v>1207</v>
      </c>
      <c r="F34" s="39" t="s">
        <v>1208</v>
      </c>
      <c r="G34" s="39">
        <v>12</v>
      </c>
      <c r="H34" s="39"/>
      <c r="I34" s="40" t="s">
        <v>274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0.44757029075397736</v>
      </c>
      <c r="V34" s="48">
        <f t="shared" si="20"/>
        <v>276</v>
      </c>
      <c r="W34" s="49">
        <f t="shared" si="21"/>
        <v>3.7297524229498114E-2</v>
      </c>
      <c r="X34" s="44">
        <f t="shared" si="22"/>
        <v>2480.3737563940481</v>
      </c>
      <c r="Y34" s="44">
        <f t="shared" si="23"/>
        <v>1380</v>
      </c>
      <c r="Z34" s="44">
        <f t="shared" si="24"/>
        <v>8038.495201127691</v>
      </c>
      <c r="AA34" s="50">
        <f t="shared" si="25"/>
        <v>9860.3737563940485</v>
      </c>
      <c r="AB34" s="51">
        <f t="shared" si="26"/>
        <v>7514.7192681384413</v>
      </c>
      <c r="AC34" s="44">
        <f t="shared" si="27"/>
        <v>9217.8870303767853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2.0596350656770683</v>
      </c>
      <c r="AP34" s="47">
        <f t="shared" si="36"/>
        <v>1.8469891406359358</v>
      </c>
    </row>
    <row r="35" spans="2:42">
      <c r="B35" s="97" t="s">
        <v>70</v>
      </c>
      <c r="C35" s="98">
        <v>18230716</v>
      </c>
      <c r="D35" s="61" t="s">
        <v>131</v>
      </c>
      <c r="E35" s="38" t="s">
        <v>1209</v>
      </c>
      <c r="F35" s="39" t="s">
        <v>1210</v>
      </c>
      <c r="G35" s="39">
        <v>12</v>
      </c>
      <c r="H35" s="39"/>
      <c r="I35" s="40" t="s">
        <v>272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0.49265955652452653</v>
      </c>
      <c r="V35" s="48">
        <f t="shared" si="20"/>
        <v>191</v>
      </c>
      <c r="W35" s="49">
        <f t="shared" si="21"/>
        <v>4.1054963043710542E-2</v>
      </c>
      <c r="X35" s="44">
        <f t="shared" si="22"/>
        <v>2730.2523426691646</v>
      </c>
      <c r="Y35" s="44">
        <f t="shared" si="23"/>
        <v>1528</v>
      </c>
      <c r="Z35" s="44">
        <f t="shared" si="24"/>
        <v>8848.3117908489312</v>
      </c>
      <c r="AA35" s="50">
        <f t="shared" si="25"/>
        <v>12258.252342669164</v>
      </c>
      <c r="AB35" s="51">
        <f t="shared" si="26"/>
        <v>8271.7694595203611</v>
      </c>
      <c r="AC35" s="44">
        <f t="shared" si="27"/>
        <v>11459.523551153747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2.0759032952858556</v>
      </c>
      <c r="AP35" s="47">
        <f t="shared" si="36"/>
        <v>1.6482825610012244</v>
      </c>
    </row>
    <row r="36" spans="2:42">
      <c r="B36" s="97" t="s">
        <v>70</v>
      </c>
      <c r="C36" s="98">
        <v>18230716</v>
      </c>
      <c r="D36" s="61" t="s">
        <v>131</v>
      </c>
      <c r="E36" s="38" t="s">
        <v>1211</v>
      </c>
      <c r="F36" s="39" t="s">
        <v>1212</v>
      </c>
      <c r="G36" s="39">
        <v>12</v>
      </c>
      <c r="H36" s="39"/>
      <c r="I36" s="40" t="s">
        <v>272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5.192574770906484</v>
      </c>
      <c r="V36" s="48">
        <f t="shared" si="20"/>
        <v>93</v>
      </c>
      <c r="W36" s="49">
        <f t="shared" si="21"/>
        <v>0.432714564242207</v>
      </c>
      <c r="X36" s="44">
        <f t="shared" si="22"/>
        <v>28776.544055624017</v>
      </c>
      <c r="Y36" s="44">
        <f t="shared" si="23"/>
        <v>558</v>
      </c>
      <c r="Z36" s="44">
        <f t="shared" si="24"/>
        <v>93260.183349329149</v>
      </c>
      <c r="AA36" s="50">
        <f t="shared" si="25"/>
        <v>43134.544055624021</v>
      </c>
      <c r="AB36" s="51">
        <f t="shared" si="26"/>
        <v>87183.493829418658</v>
      </c>
      <c r="AC36" s="44">
        <f t="shared" si="27"/>
        <v>40323.963780147722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2.0759032952858556</v>
      </c>
      <c r="AP36" s="47">
        <f t="shared" si="36"/>
        <v>7.1709389842576172</v>
      </c>
    </row>
    <row r="37" spans="2:42">
      <c r="B37" s="97" t="s">
        <v>70</v>
      </c>
      <c r="C37" s="98">
        <v>18230716</v>
      </c>
      <c r="D37" s="61" t="s">
        <v>131</v>
      </c>
      <c r="E37" s="38" t="s">
        <v>1213</v>
      </c>
      <c r="F37" s="39" t="s">
        <v>1214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 t="s">
        <v>1215</v>
      </c>
      <c r="F38" s="39" t="s">
        <v>1216</v>
      </c>
      <c r="G38" s="39">
        <v>15</v>
      </c>
      <c r="H38" s="39"/>
      <c r="I38" s="40" t="s">
        <v>272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0.31672242804746931</v>
      </c>
      <c r="V38" s="48">
        <f t="shared" si="20"/>
        <v>159</v>
      </c>
      <c r="W38" s="49">
        <f t="shared" si="21"/>
        <v>2.1114828536497952E-2</v>
      </c>
      <c r="X38" s="44">
        <f t="shared" si="22"/>
        <v>1404.1861398207452</v>
      </c>
      <c r="Y38" s="44">
        <f t="shared" si="23"/>
        <v>159</v>
      </c>
      <c r="Z38" s="44">
        <f t="shared" si="24"/>
        <v>4550.7430149756292</v>
      </c>
      <c r="AA38" s="50">
        <f t="shared" si="25"/>
        <v>4063.1861398207452</v>
      </c>
      <c r="AB38" s="51">
        <f t="shared" si="26"/>
        <v>4254.2236280972502</v>
      </c>
      <c r="AC38" s="44">
        <f t="shared" si="27"/>
        <v>3798.4352059649855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2.5338730516489525</v>
      </c>
      <c r="AP38" s="47">
        <f t="shared" si="36"/>
        <v>4.9550488285886187</v>
      </c>
    </row>
    <row r="39" spans="2:42">
      <c r="B39" s="97" t="s">
        <v>70</v>
      </c>
      <c r="C39" s="98">
        <v>18230716</v>
      </c>
      <c r="D39" s="61" t="s">
        <v>131</v>
      </c>
      <c r="E39" s="38" t="s">
        <v>1217</v>
      </c>
      <c r="F39" s="39" t="s">
        <v>1218</v>
      </c>
      <c r="G39" s="39">
        <v>15</v>
      </c>
      <c r="H39" s="39"/>
      <c r="I39" s="40" t="s">
        <v>272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0.12921634322138956</v>
      </c>
      <c r="V39" s="48">
        <f t="shared" si="20"/>
        <v>99.860000000000127</v>
      </c>
      <c r="W39" s="49">
        <f t="shared" si="21"/>
        <v>8.6144228814259705E-3</v>
      </c>
      <c r="X39" s="44">
        <f t="shared" si="22"/>
        <v>572.87953779705595</v>
      </c>
      <c r="Y39" s="44">
        <f t="shared" si="23"/>
        <v>99.860000000000127</v>
      </c>
      <c r="Z39" s="44">
        <f t="shared" si="24"/>
        <v>1856.611086750383</v>
      </c>
      <c r="AA39" s="50">
        <f t="shared" si="25"/>
        <v>2972.7395377970561</v>
      </c>
      <c r="AB39" s="51">
        <f t="shared" si="26"/>
        <v>1735.637175610342</v>
      </c>
      <c r="AC39" s="44">
        <f t="shared" si="27"/>
        <v>2779.0404204889742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2.5338730516489525</v>
      </c>
      <c r="AP39" s="47">
        <f t="shared" si="36"/>
        <v>4.2466009693680196</v>
      </c>
    </row>
    <row r="40" spans="2:42">
      <c r="B40" s="97" t="s">
        <v>70</v>
      </c>
      <c r="C40" s="98">
        <v>18230716</v>
      </c>
      <c r="D40" s="61" t="s">
        <v>131</v>
      </c>
      <c r="E40" s="38" t="s">
        <v>1219</v>
      </c>
      <c r="F40" s="39" t="s">
        <v>1220</v>
      </c>
      <c r="G40" s="39">
        <v>15</v>
      </c>
      <c r="H40" s="39"/>
      <c r="I40" s="40" t="s">
        <v>272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2.1561271595607669</v>
      </c>
      <c r="V40" s="48">
        <f t="shared" si="20"/>
        <v>159</v>
      </c>
      <c r="W40" s="49">
        <f t="shared" si="21"/>
        <v>0.14374181063738445</v>
      </c>
      <c r="X40" s="44">
        <f t="shared" si="22"/>
        <v>9559.1710754772757</v>
      </c>
      <c r="Y40" s="44">
        <f t="shared" si="23"/>
        <v>795</v>
      </c>
      <c r="Z40" s="44">
        <f t="shared" si="24"/>
        <v>30979.746749414964</v>
      </c>
      <c r="AA40" s="50">
        <f t="shared" si="25"/>
        <v>22854.171075477276</v>
      </c>
      <c r="AB40" s="51">
        <f t="shared" si="26"/>
        <v>28961.154295049979</v>
      </c>
      <c r="AC40" s="44">
        <f t="shared" si="27"/>
        <v>21365.028583226394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2.5338730516489525</v>
      </c>
      <c r="AP40" s="47">
        <f t="shared" si="36"/>
        <v>7.526616531899248</v>
      </c>
    </row>
    <row r="41" spans="2:42">
      <c r="B41" s="97" t="s">
        <v>70</v>
      </c>
      <c r="C41" s="98">
        <v>18230716</v>
      </c>
      <c r="D41" s="61" t="s">
        <v>131</v>
      </c>
      <c r="E41" s="38" t="s">
        <v>1221</v>
      </c>
      <c r="F41" s="39" t="s">
        <v>1222</v>
      </c>
      <c r="G41" s="39">
        <v>20</v>
      </c>
      <c r="H41" s="39"/>
      <c r="I41" s="40" t="s">
        <v>272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0.65577195304886393</v>
      </c>
      <c r="V41" s="48">
        <f t="shared" si="20"/>
        <v>82</v>
      </c>
      <c r="W41" s="49">
        <f t="shared" si="21"/>
        <v>3.2788597652443199E-2</v>
      </c>
      <c r="X41" s="44">
        <f t="shared" si="22"/>
        <v>2180.519452863909</v>
      </c>
      <c r="Y41" s="44">
        <f t="shared" si="23"/>
        <v>164</v>
      </c>
      <c r="Z41" s="44">
        <f t="shared" si="24"/>
        <v>7066.7152934622009</v>
      </c>
      <c r="AA41" s="50">
        <f t="shared" si="25"/>
        <v>13944.519452863909</v>
      </c>
      <c r="AB41" s="51">
        <f t="shared" si="26"/>
        <v>6606.2590384801351</v>
      </c>
      <c r="AC41" s="44">
        <f t="shared" si="27"/>
        <v>13035.916100648694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3.1814433558875939</v>
      </c>
      <c r="AP41" s="47">
        <f t="shared" si="36"/>
        <v>9.403546494381736</v>
      </c>
    </row>
    <row r="42" spans="2:42">
      <c r="B42" s="97" t="s">
        <v>70</v>
      </c>
      <c r="C42" s="98">
        <v>18230716</v>
      </c>
      <c r="D42" s="61" t="s">
        <v>131</v>
      </c>
      <c r="E42" s="38" t="s">
        <v>1223</v>
      </c>
      <c r="F42" s="39" t="s">
        <v>1224</v>
      </c>
      <c r="G42" s="39">
        <v>10</v>
      </c>
      <c r="H42" s="39"/>
      <c r="I42" s="40" t="s">
        <v>272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0.2822034309411125</v>
      </c>
      <c r="V42" s="48">
        <f t="shared" si="20"/>
        <v>32</v>
      </c>
      <c r="W42" s="49">
        <f t="shared" si="21"/>
        <v>2.8220343094111248E-2</v>
      </c>
      <c r="X42" s="44">
        <f t="shared" si="22"/>
        <v>1876.7196979715309</v>
      </c>
      <c r="Y42" s="44">
        <f t="shared" si="23"/>
        <v>160</v>
      </c>
      <c r="Z42" s="44">
        <f t="shared" si="24"/>
        <v>6082.1488080642712</v>
      </c>
      <c r="AA42" s="50">
        <f t="shared" si="25"/>
        <v>3036.7196979715309</v>
      </c>
      <c r="AB42" s="51">
        <f t="shared" si="26"/>
        <v>5685.8453847473784</v>
      </c>
      <c r="AC42" s="44">
        <f t="shared" si="27"/>
        <v>2838.8517322347675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1.7393313780894548</v>
      </c>
      <c r="AP42" s="47">
        <f t="shared" si="36"/>
        <v>5.1965143371586997</v>
      </c>
    </row>
    <row r="43" spans="2:42">
      <c r="B43" s="97" t="s">
        <v>70</v>
      </c>
      <c r="C43" s="98">
        <v>18230716</v>
      </c>
      <c r="D43" s="61" t="s">
        <v>131</v>
      </c>
      <c r="E43" s="38" t="s">
        <v>1225</v>
      </c>
      <c r="F43" s="39" t="s">
        <v>1226</v>
      </c>
      <c r="G43" s="39">
        <v>10</v>
      </c>
      <c r="H43" s="39"/>
      <c r="I43" s="40" t="s">
        <v>272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4.5207921733103229E-2</v>
      </c>
      <c r="V43" s="48">
        <f t="shared" si="20"/>
        <v>32</v>
      </c>
      <c r="W43" s="49">
        <f t="shared" si="21"/>
        <v>4.5207921733103227E-3</v>
      </c>
      <c r="X43" s="44">
        <f t="shared" si="22"/>
        <v>300.64339380258718</v>
      </c>
      <c r="Y43" s="44">
        <f t="shared" si="23"/>
        <v>32</v>
      </c>
      <c r="Z43" s="44">
        <f t="shared" si="24"/>
        <v>974.33722321197774</v>
      </c>
      <c r="AA43" s="50">
        <f t="shared" si="25"/>
        <v>532.64339380258718</v>
      </c>
      <c r="AB43" s="51">
        <f t="shared" si="26"/>
        <v>910.85091447319587</v>
      </c>
      <c r="AC43" s="44">
        <f t="shared" si="27"/>
        <v>497.93717285462009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1.7393313780894553</v>
      </c>
      <c r="AP43" s="47">
        <f t="shared" si="36"/>
        <v>7.1529693734872728</v>
      </c>
    </row>
    <row r="44" spans="2:42">
      <c r="B44" s="97" t="s">
        <v>70</v>
      </c>
      <c r="C44" s="98">
        <v>18230716</v>
      </c>
      <c r="D44" s="61" t="s">
        <v>131</v>
      </c>
      <c r="E44" s="38" t="s">
        <v>1227</v>
      </c>
      <c r="F44" s="39" t="s">
        <v>1228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 t="s">
        <v>1229</v>
      </c>
      <c r="F45" s="39" t="s">
        <v>1230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 t="s">
        <v>1231</v>
      </c>
      <c r="F46" s="39" t="s">
        <v>1232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 t="s">
        <v>1233</v>
      </c>
      <c r="F47" s="39" t="s">
        <v>1234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83 R5:S83">
    <cfRule type="expression" dxfId="192" priority="2">
      <formula>ISTEXT(M5)</formula>
    </cfRule>
  </conditionalFormatting>
  <conditionalFormatting sqref="M5:N83 R5:S83">
    <cfRule type="notContainsBlanks" dxfId="191" priority="3">
      <formula>LEN(TRIM(M5))&gt;0</formula>
    </cfRule>
  </conditionalFormatting>
  <conditionalFormatting sqref="R5:S83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85" zoomScaleNormal="85" workbookViewId="0">
      <selection activeCell="A26" sqref="A26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16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1803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344</v>
      </c>
      <c r="C2" s="279">
        <f>GasDiscountRate</f>
        <v>6.9699999999999998E-2</v>
      </c>
      <c r="D2" s="279"/>
      <c r="E2" s="280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5" t="s">
        <v>347</v>
      </c>
      <c r="V2" s="115" t="s">
        <v>347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448</v>
      </c>
      <c r="C3" s="283" t="s">
        <v>350</v>
      </c>
      <c r="D3" s="283" t="s">
        <v>351</v>
      </c>
      <c r="E3" s="283" t="s">
        <v>449</v>
      </c>
      <c r="F3" s="283" t="s">
        <v>352</v>
      </c>
      <c r="G3" s="283" t="s">
        <v>353</v>
      </c>
      <c r="H3" s="283" t="s">
        <v>450</v>
      </c>
      <c r="I3" s="283" t="s">
        <v>355</v>
      </c>
      <c r="J3" s="283" t="s">
        <v>451</v>
      </c>
      <c r="K3" s="283" t="s">
        <v>452</v>
      </c>
      <c r="L3" s="283" t="s">
        <v>453</v>
      </c>
      <c r="M3" s="283" t="s">
        <v>359</v>
      </c>
      <c r="N3" s="283" t="s">
        <v>454</v>
      </c>
      <c r="O3" s="283" t="s">
        <v>455</v>
      </c>
      <c r="P3" s="283" t="s">
        <v>1834</v>
      </c>
      <c r="Q3" s="283" t="s">
        <v>456</v>
      </c>
      <c r="R3" s="283" t="s">
        <v>457</v>
      </c>
      <c r="S3" s="283" t="s">
        <v>458</v>
      </c>
      <c r="T3" s="284" t="s">
        <v>1833</v>
      </c>
      <c r="U3" s="283" t="s">
        <v>365</v>
      </c>
      <c r="V3" s="283" t="s">
        <v>366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15" t="s">
        <v>369</v>
      </c>
      <c r="B5" s="291" t="s">
        <v>459</v>
      </c>
      <c r="C5" s="292" t="s">
        <v>371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378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15"/>
      <c r="B6" s="302" t="s">
        <v>460</v>
      </c>
      <c r="C6" s="131" t="s">
        <v>480</v>
      </c>
      <c r="D6" s="131"/>
      <c r="E6" s="303"/>
      <c r="F6" s="144">
        <f>'G201 LIW {G}'!A16</f>
        <v>29.793510634793638</v>
      </c>
      <c r="G6" s="304" t="s">
        <v>380</v>
      </c>
      <c r="H6" s="258">
        <f>'G201 LIW {G}'!A$10</f>
        <v>9411.0899999999965</v>
      </c>
      <c r="I6" s="259">
        <f>'G201 LIW {G}'!A$8</f>
        <v>53445.739999999991</v>
      </c>
      <c r="J6" s="259">
        <f>'G201 LIW {G}'!A$12</f>
        <v>508780.75000000017</v>
      </c>
      <c r="K6" s="259">
        <f>'G201 LIW {G}'!A$14</f>
        <v>0</v>
      </c>
      <c r="L6" s="259">
        <f>SUM('G201 LIW {G}'!Q$6:Q$998)</f>
        <v>508780.75000000017</v>
      </c>
      <c r="M6" s="259"/>
      <c r="N6" s="260">
        <f>'G201 LIW {G}'!A$18</f>
        <v>496004.1</v>
      </c>
      <c r="O6" s="259">
        <f>'G201 LIW {G}'!A$20</f>
        <v>562226.49000000022</v>
      </c>
      <c r="P6" s="259">
        <f>SUM('G201 LIW {G}'!R$6:R$998)</f>
        <v>30.06</v>
      </c>
      <c r="Q6" s="266">
        <f t="shared" ref="Q6:Q20" si="0">N6/(1+ElecDiscountRate)^1</f>
        <v>463685.23885201453</v>
      </c>
      <c r="R6" s="266">
        <f>O6/(1+ElecDiscountRate)^1</f>
        <v>525592.68019070779</v>
      </c>
      <c r="S6" s="259">
        <f>SUM('G201 LIW {G}'!AM$6:AM$998)</f>
        <v>179593.77180266901</v>
      </c>
      <c r="T6" s="259">
        <f>SUM('G201 LIW {G}'!AD$6:AD$998)</f>
        <v>1276.7998264378712</v>
      </c>
      <c r="U6" s="133">
        <f>IFERROR(S6/Q6,0)</f>
        <v>0.387318285670048</v>
      </c>
      <c r="V6" s="133">
        <f>IFERROR(((S6*1.1)+(T6))/R6,0)</f>
        <v>0.37829664739096003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381</v>
      </c>
      <c r="D7" s="306"/>
      <c r="E7" s="307"/>
      <c r="F7" s="306"/>
      <c r="G7" s="306"/>
      <c r="H7" s="262">
        <f t="shared" ref="H7:P7" si="1">SUM(H8:H16)</f>
        <v>837216.60000000009</v>
      </c>
      <c r="I7" s="262">
        <f t="shared" si="1"/>
        <v>1133146.5600000003</v>
      </c>
      <c r="J7" s="262">
        <f t="shared" si="1"/>
        <v>5381488.6799999988</v>
      </c>
      <c r="K7" s="262">
        <f t="shared" si="1"/>
        <v>9490261.9999999888</v>
      </c>
      <c r="L7" s="262">
        <f t="shared" si="1"/>
        <v>14871750.679999989</v>
      </c>
      <c r="M7" s="262">
        <f t="shared" si="1"/>
        <v>0</v>
      </c>
      <c r="N7" s="262">
        <f t="shared" si="1"/>
        <v>6803705.6000000006</v>
      </c>
      <c r="O7" s="262">
        <f t="shared" si="1"/>
        <v>16004897.239999987</v>
      </c>
      <c r="P7" s="262">
        <f t="shared" si="1"/>
        <v>296.47000000000003</v>
      </c>
      <c r="Q7" s="263">
        <f t="shared" si="0"/>
        <v>6360386.6504627466</v>
      </c>
      <c r="R7" s="263">
        <f>O7/(1+ElecDiscountRate)^1</f>
        <v>14962042.853136379</v>
      </c>
      <c r="S7" s="262">
        <f>SUM(S8:S16)</f>
        <v>16860390.680691257</v>
      </c>
      <c r="T7" s="262">
        <f>SUM(T8:T16)</f>
        <v>1335223.1671939795</v>
      </c>
      <c r="U7" s="142">
        <f>S7/Q7</f>
        <v>2.6508436683585246</v>
      </c>
      <c r="V7" s="142">
        <f>((S7*1.1)+(T7))/R7</f>
        <v>1.3288060401315267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384</v>
      </c>
      <c r="D8" s="174"/>
      <c r="E8" s="310"/>
      <c r="F8" s="144">
        <f>'SF Existing Space Heat {G}'!A$16</f>
        <v>19.985668548284611</v>
      </c>
      <c r="G8" s="145" t="s">
        <v>380</v>
      </c>
      <c r="H8" s="258">
        <f>'SF Existing Space Heat {G}'!A$10</f>
        <v>487878</v>
      </c>
      <c r="I8" s="259">
        <f>'SF Existing Space Heat {G}'!A$8</f>
        <v>127453.3600000001</v>
      </c>
      <c r="J8" s="259">
        <f>'SF Existing Space Heat {G}'!A$12</f>
        <v>1572300</v>
      </c>
      <c r="K8" s="259">
        <f>'SF Existing Space Heat {G}'!A$14</f>
        <v>1136691</v>
      </c>
      <c r="L8" s="259">
        <f>SUM('SF Existing Space Heat {G}'!Q$5:Q$1000)</f>
        <v>2708991</v>
      </c>
      <c r="M8" s="259"/>
      <c r="N8" s="260">
        <f>'SF Existing Space Heat {G}'!A$18</f>
        <v>1700453.36</v>
      </c>
      <c r="O8" s="259">
        <f>'SF Existing Space Heat {G}'!A$20</f>
        <v>2836444.3600000003</v>
      </c>
      <c r="P8" s="259">
        <f>SUM('SF Existing Space Heat {G}'!R$5:R$1000)</f>
        <v>0</v>
      </c>
      <c r="Q8" s="261">
        <f t="shared" si="0"/>
        <v>1589654.4451715434</v>
      </c>
      <c r="R8" s="261">
        <f>O8/(1+ElecDiscountRate)^1</f>
        <v>2651626.0259885951</v>
      </c>
      <c r="S8" s="259">
        <f>SUM('SF Existing Space Heat {G}'!AM$5:AM$1000)</f>
        <v>6711796.1199219935</v>
      </c>
      <c r="T8" s="259">
        <f>SUM('SF Existing Space Heat {G}'!AD$5:AD$1000)</f>
        <v>0</v>
      </c>
      <c r="U8" s="133">
        <f t="shared" ref="U8:U20" si="2">IFERROR(S8/Q8,0)</f>
        <v>4.2221730265395561</v>
      </c>
      <c r="V8" s="133">
        <f t="shared" ref="V8:V20" si="3">IFERROR(((S8*1.1)+(T8))/R8,0)</f>
        <v>2.7843201339682238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385</v>
      </c>
      <c r="D9" s="131"/>
      <c r="E9" s="311"/>
      <c r="F9" s="144">
        <f>'SF Existing Water Heat {G}'!A$16</f>
        <v>19.791782766882601</v>
      </c>
      <c r="G9" s="312" t="s">
        <v>279</v>
      </c>
      <c r="H9" s="258">
        <f>'SF Existing Water Heat {G}'!A$10</f>
        <v>56345</v>
      </c>
      <c r="I9" s="259">
        <f>'SF Existing Water Heat {G}'!A$8</f>
        <v>73166.200000000012</v>
      </c>
      <c r="J9" s="259">
        <f>'SF Existing Water Heat {G}'!A$12</f>
        <v>322399</v>
      </c>
      <c r="K9" s="259">
        <f>'SF Existing Water Heat {G}'!A$14</f>
        <v>846181.82999997993</v>
      </c>
      <c r="L9" s="259">
        <f>SUM('SF Existing Water Heat {G}'!Q$5:Q$1000)</f>
        <v>1168580.8299999801</v>
      </c>
      <c r="M9" s="259"/>
      <c r="N9" s="260">
        <f>'SF Existing Water Heat {G}'!A$18</f>
        <v>395565.2</v>
      </c>
      <c r="O9" s="259">
        <f>'SF Existing Water Heat {G}'!A$20</f>
        <v>1241747.02999998</v>
      </c>
      <c r="P9" s="259">
        <f>SUM('SF Existing Water Heat {G}'!R$5:R$1000)</f>
        <v>53.08</v>
      </c>
      <c r="Q9" s="261">
        <f t="shared" si="0"/>
        <v>369790.78246237262</v>
      </c>
      <c r="R9" s="261">
        <f t="shared" ref="R9:R20" si="4">O9/(1+ElecDiscountRate)^1</f>
        <v>1160836.7112274282</v>
      </c>
      <c r="S9" s="259">
        <f>SUM('SF Existing Water Heat {G}'!AM$5:AM$1000)</f>
        <v>732196.25076162955</v>
      </c>
      <c r="T9" s="259">
        <f>SUM('SF Existing Water Heat {G}'!AD$5:AD$1000)</f>
        <v>195502.32791535632</v>
      </c>
      <c r="U9" s="133">
        <f t="shared" si="2"/>
        <v>1.9800283984529357</v>
      </c>
      <c r="V9" s="133">
        <f t="shared" si="3"/>
        <v>0.86223858538623666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386</v>
      </c>
      <c r="D10" s="174"/>
      <c r="E10" s="311"/>
      <c r="F10" s="144">
        <v>0</v>
      </c>
      <c r="G10" s="304" t="s">
        <v>380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387</v>
      </c>
      <c r="D11" s="174"/>
      <c r="E11" s="310"/>
      <c r="F11" s="144">
        <f>'Home Appliances {G}'!A$16</f>
        <v>14.000000000000002</v>
      </c>
      <c r="G11" s="304" t="s">
        <v>380</v>
      </c>
      <c r="H11" s="258">
        <f>'Home Appliances {G}'!A$10</f>
        <v>7752.2000000001335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0</v>
      </c>
      <c r="S11" s="259">
        <f>SUM('Home Appliances {G}'!AM$5:AM$1000)</f>
        <v>74467.072895193924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461</v>
      </c>
      <c r="D12" s="174"/>
      <c r="E12" s="310"/>
      <c r="F12" s="144">
        <f>'Web Enabled Thermostats {G}'!A$16</f>
        <v>11.037914561449398</v>
      </c>
      <c r="G12" s="304" t="s">
        <v>380</v>
      </c>
      <c r="H12" s="258">
        <f>'Web Enabled Thermostats {G}'!A$10</f>
        <v>435822</v>
      </c>
      <c r="I12" s="259">
        <f>'Web Enabled Thermostats {G}'!A$8</f>
        <v>210514.55000000005</v>
      </c>
      <c r="J12" s="259">
        <f>'Web Enabled Thermostats {G}'!A$12</f>
        <v>987346.38999999908</v>
      </c>
      <c r="K12" s="259">
        <f>'Web Enabled Thermostats {G}'!A$14</f>
        <v>1446984.1400000076</v>
      </c>
      <c r="L12" s="259">
        <f>SUM('Web Enabled Thermostats {G}'!Q$5:Q$1000)</f>
        <v>2434330.5300000068</v>
      </c>
      <c r="M12" s="259"/>
      <c r="N12" s="260">
        <f>'Web Enabled Thermostats {G}'!A$18</f>
        <v>1290608.46</v>
      </c>
      <c r="O12" s="259">
        <f>'Web Enabled Thermostats {G}'!A$20</f>
        <v>2644845.0800000066</v>
      </c>
      <c r="P12" s="259">
        <f>SUM('Web Enabled Thermostats {G}'!R$5:R$1000)</f>
        <v>0</v>
      </c>
      <c r="Q12" s="261">
        <f t="shared" si="0"/>
        <v>1206514.4059081983</v>
      </c>
      <c r="R12" s="261">
        <f t="shared" si="4"/>
        <v>2472511.0591754755</v>
      </c>
      <c r="S12" s="259">
        <f>SUM('Web Enabled Thermostats {G}'!AM$5:AM$1000)</f>
        <v>3605242.6558914101</v>
      </c>
      <c r="T12" s="259">
        <f>SUM('Web Enabled Thermostats {G}'!AD$5:AD$1000)</f>
        <v>0</v>
      </c>
      <c r="U12" s="133">
        <f t="shared" si="2"/>
        <v>2.9881472100431159</v>
      </c>
      <c r="V12" s="133">
        <f t="shared" si="3"/>
        <v>1.6039430467918885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390</v>
      </c>
      <c r="D13" s="174"/>
      <c r="E13" s="310"/>
      <c r="F13" s="144">
        <f>'Residential Showerheads {G}'!A$16</f>
        <v>10</v>
      </c>
      <c r="G13" s="312" t="s">
        <v>462</v>
      </c>
      <c r="H13" s="258">
        <f>'Residential Showerheads {G}'!A$10</f>
        <v>2473.200000000003</v>
      </c>
      <c r="I13" s="259">
        <f>'Residential Showerheads {G}'!A$8</f>
        <v>22457.300000000003</v>
      </c>
      <c r="J13" s="259">
        <f>'Residential Showerheads {G}'!A$12</f>
        <v>7621.5</v>
      </c>
      <c r="K13" s="259">
        <f>'Residential Showerheads {G}'!A$14</f>
        <v>3895.1200000000204</v>
      </c>
      <c r="L13" s="259">
        <f>SUM('Residential Showerheads {G}'!Q$5:Q$1000)</f>
        <v>11516.620000000021</v>
      </c>
      <c r="M13" s="259"/>
      <c r="N13" s="260">
        <f>'Residential Showerheads {G}'!A$18</f>
        <v>30169.97</v>
      </c>
      <c r="O13" s="259">
        <f>'Residential Showerheads {G}'!A$20</f>
        <v>33973.920000000027</v>
      </c>
      <c r="P13" s="259">
        <f>SUM('Residential Showerheads {G}'!R$5:R$1000)</f>
        <v>108.74999999999999</v>
      </c>
      <c r="Q13" s="261">
        <f t="shared" si="0"/>
        <v>28204.141348041507</v>
      </c>
      <c r="R13" s="261">
        <f t="shared" si="4"/>
        <v>31760.231840703025</v>
      </c>
      <c r="S13" s="259">
        <f>SUM('Residential Showerheads {G}'!AM$5:AM$1000)</f>
        <v>17658.760499406038</v>
      </c>
      <c r="T13" s="259">
        <f>SUM('Residential Showerheads {G}'!AD$5:AD$1000)</f>
        <v>92553.653330250658</v>
      </c>
      <c r="U13" s="133">
        <f t="shared" si="2"/>
        <v>0.6261052333235545</v>
      </c>
      <c r="V13" s="133">
        <f t="shared" si="3"/>
        <v>3.5257390576125789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391</v>
      </c>
      <c r="D14" s="174"/>
      <c r="E14" s="310"/>
      <c r="F14" s="144">
        <f>'SF Existing Weatherization {G}'!A$16</f>
        <v>36.957792128777776</v>
      </c>
      <c r="G14" s="304" t="s">
        <v>380</v>
      </c>
      <c r="H14" s="258">
        <f>'SF Existing Weatherization {G}'!A$10</f>
        <v>284347.2</v>
      </c>
      <c r="I14" s="259">
        <f>'SF Existing Weatherization {G}'!A$8</f>
        <v>137157.45000000019</v>
      </c>
      <c r="J14" s="259">
        <f>'SF Existing Weatherization {G}'!A$12</f>
        <v>2116094.2899999996</v>
      </c>
      <c r="K14" s="259">
        <f>'SF Existing Weatherization {G}'!A$14</f>
        <v>6056509.9100000011</v>
      </c>
      <c r="L14" s="259">
        <f>SUM('SF Existing Weatherization {G}'!Q$5:Q$1000)</f>
        <v>8172604.200000002</v>
      </c>
      <c r="M14" s="259"/>
      <c r="N14" s="260">
        <f>'SF Existing Weatherization {G}'!A$18</f>
        <v>2347358.6</v>
      </c>
      <c r="O14" s="259">
        <f>'SF Existing Weatherization {G}'!A$20</f>
        <v>8309761.6500000022</v>
      </c>
      <c r="P14" s="259">
        <f>SUM('SF Existing Weatherization {G}'!R$5:R$1000)</f>
        <v>0.24</v>
      </c>
      <c r="Q14" s="261">
        <f t="shared" si="0"/>
        <v>2194408.3387865755</v>
      </c>
      <c r="R14" s="261">
        <f t="shared" si="4"/>
        <v>7768310.4141348051</v>
      </c>
      <c r="S14" s="259">
        <f>SUM('SF Existing Weatherization {G}'!AM$5:AM$1000)</f>
        <v>6407469.0601825491</v>
      </c>
      <c r="T14" s="259">
        <f>SUM('SF Existing Weatherization {G}'!AD$5:AD$1000)</f>
        <v>122.47385074939528</v>
      </c>
      <c r="U14" s="133">
        <f t="shared" si="2"/>
        <v>2.9199073604166288</v>
      </c>
      <c r="V14" s="133">
        <f t="shared" si="3"/>
        <v>0.90731936087759457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392</v>
      </c>
      <c r="D15" s="174"/>
      <c r="E15" s="310"/>
      <c r="F15" s="144">
        <f>'Home Energy Reports {G}'!A$16</f>
        <v>2</v>
      </c>
      <c r="G15" s="304" t="s">
        <v>380</v>
      </c>
      <c r="H15" s="258">
        <f>'Home Energy Reports {G}'!A$10</f>
        <v>-437401</v>
      </c>
      <c r="I15" s="259">
        <f>'Home Energy Reports {G}'!A$8</f>
        <v>505405.25000000006</v>
      </c>
      <c r="J15" s="259">
        <f>'Home Energy Reports {G}'!A$12</f>
        <v>375727.5</v>
      </c>
      <c r="K15" s="259">
        <f>'Home Energy Reports {G}'!A$14</f>
        <v>0</v>
      </c>
      <c r="L15" s="259">
        <f>SUM('Home Energy Reports {G}'!Q$5:Q$1000)</f>
        <v>375727.5</v>
      </c>
      <c r="M15" s="259"/>
      <c r="N15" s="260">
        <f>'Home Energy Reports {G}'!A$18</f>
        <v>982557.56</v>
      </c>
      <c r="O15" s="259">
        <f>'Home Energy Reports {G}'!A$20</f>
        <v>881132.75</v>
      </c>
      <c r="P15" s="259">
        <f>SUM('Home Energy Reports {G}'!R$5:R$1000)</f>
        <v>0</v>
      </c>
      <c r="Q15" s="261">
        <f t="shared" si="0"/>
        <v>918535.62681125547</v>
      </c>
      <c r="R15" s="261">
        <f t="shared" si="4"/>
        <v>823719.50079461525</v>
      </c>
      <c r="S15" s="259">
        <f>SUM('Home Energy Reports {G}'!AM$5:AM$1000)</f>
        <v>-688439.23946092557</v>
      </c>
      <c r="T15" s="259">
        <f>SUM('Home Energy Reports {G}'!AD$5:AD$1000)</f>
        <v>0</v>
      </c>
      <c r="U15" s="133">
        <f t="shared" si="2"/>
        <v>-0.74949650222156161</v>
      </c>
      <c r="V15" s="133">
        <f t="shared" si="3"/>
        <v>-0.91934592136824722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1837</v>
      </c>
      <c r="D16" s="174"/>
      <c r="E16" s="310"/>
      <c r="F16" s="144">
        <f>IFERROR('Efficiency Boost {G}'!A$16,)</f>
        <v>0</v>
      </c>
      <c r="G16" s="304" t="s">
        <v>380</v>
      </c>
      <c r="H16" s="258">
        <f>IFERROR('Efficiency Boost {G}'!A$10,0)</f>
        <v>0</v>
      </c>
      <c r="I16" s="259">
        <f>'Efficiency Boost {G}'!A$8</f>
        <v>56992.450000000004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56992.450000000004</v>
      </c>
      <c r="O16" s="259">
        <f>'Efficiency Boost {G}'!A$20</f>
        <v>56992.450000000004</v>
      </c>
      <c r="P16" s="259">
        <f>SUM('Efficiency Boost {G}'!R$5:R$1000)</f>
        <v>0</v>
      </c>
      <c r="Q16" s="261">
        <f t="shared" si="0"/>
        <v>53278.909974759277</v>
      </c>
      <c r="R16" s="261">
        <f>O16/(1+ElecDiscountRate)^1</f>
        <v>53278.909974759277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393</v>
      </c>
      <c r="D17" s="174"/>
      <c r="E17" s="310"/>
      <c r="F17" s="144">
        <f>'SF New Construction {G}'!A$16</f>
        <v>27</v>
      </c>
      <c r="G17" s="304" t="s">
        <v>380</v>
      </c>
      <c r="H17" s="258">
        <f>'SF New Construction {G}'!A$10</f>
        <v>1027</v>
      </c>
      <c r="I17" s="259">
        <f>'SF New Construction {G}'!A$8</f>
        <v>18436.23</v>
      </c>
      <c r="J17" s="259">
        <f>'SF New Construction {G}'!A$12</f>
        <v>6250</v>
      </c>
      <c r="K17" s="259">
        <f>'SF New Construction {G}'!A$14</f>
        <v>13489.02</v>
      </c>
      <c r="L17" s="259">
        <f>SUM('SF New Construction {G}'!Q$5:Q$1000)</f>
        <v>19739.02</v>
      </c>
      <c r="M17" s="259"/>
      <c r="N17" s="260">
        <f>'SF New Construction {G}'!A$18</f>
        <v>23936.23</v>
      </c>
      <c r="O17" s="259">
        <f>'SF New Construction {G}'!A$20</f>
        <v>38175.25</v>
      </c>
      <c r="P17" s="259">
        <f>SUM('SF New Construction {G}'!R$5:R$1000)</f>
        <v>23.590000000000003</v>
      </c>
      <c r="Q17" s="261">
        <f t="shared" si="0"/>
        <v>22376.582219313823</v>
      </c>
      <c r="R17" s="261">
        <f t="shared" si="4"/>
        <v>35687.809666261564</v>
      </c>
      <c r="S17" s="259">
        <f>SUM('SF New Construction {G}'!AM$5:AM$1000)</f>
        <v>17960.898143030714</v>
      </c>
      <c r="T17" s="259">
        <f>SUM('SF New Construction {G}'!AD$5:AD$1000)</f>
        <v>906.00425714286951</v>
      </c>
      <c r="U17" s="133">
        <f t="shared" si="2"/>
        <v>0.80266494529840149</v>
      </c>
      <c r="V17" s="133">
        <f t="shared" si="3"/>
        <v>0.57899300651143559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463</v>
      </c>
      <c r="D18" s="174"/>
      <c r="E18" s="310"/>
      <c r="F18" s="144">
        <f>IFERROR('MH New Construction {G}'!A$16,0)</f>
        <v>0</v>
      </c>
      <c r="G18" s="304" t="s">
        <v>380</v>
      </c>
      <c r="H18" s="258">
        <f>'MH New Construction {G}'!A$10</f>
        <v>0</v>
      </c>
      <c r="I18" s="259">
        <f>'MH New Construction {G}'!A$8</f>
        <v>0</v>
      </c>
      <c r="J18" s="259">
        <f>'MH New Construction {G}'!A$12</f>
        <v>0</v>
      </c>
      <c r="K18" s="259">
        <f>'MH New Construction {G}'!A$14</f>
        <v>0</v>
      </c>
      <c r="L18" s="259">
        <f>SUM('MH New Construction {G}'!Q$5:Q$1000)</f>
        <v>0</v>
      </c>
      <c r="M18" s="259"/>
      <c r="N18" s="260">
        <f>'MH New Construction {G}'!A$18</f>
        <v>0</v>
      </c>
      <c r="O18" s="259">
        <f>'MH New Construction {G}'!A$20</f>
        <v>0</v>
      </c>
      <c r="P18" s="259">
        <f>SUM('MH New Construction {G}'!R$5:R$1000)</f>
        <v>0</v>
      </c>
      <c r="Q18" s="261">
        <f t="shared" si="0"/>
        <v>0</v>
      </c>
      <c r="R18" s="261">
        <f>O18/(1+ElecDiscountRate)^1</f>
        <v>0</v>
      </c>
      <c r="S18" s="259">
        <f>SUM('MH New Construction {G}'!AM$5:AM$1000)</f>
        <v>0</v>
      </c>
      <c r="T18" s="259">
        <f>SUM('MH New Construction {G}'!AD$5:AD$1000)</f>
        <v>0</v>
      </c>
      <c r="U18" s="133">
        <f t="shared" si="2"/>
        <v>0</v>
      </c>
      <c r="V18" s="133">
        <f t="shared" si="3"/>
        <v>0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145</v>
      </c>
      <c r="C19" s="147" t="s">
        <v>464</v>
      </c>
      <c r="D19" s="147"/>
      <c r="E19" s="310"/>
      <c r="F19" s="144">
        <f>'Multi Family Retrofit {G}'!A$16</f>
        <v>40.685877917011005</v>
      </c>
      <c r="G19" s="304" t="s">
        <v>380</v>
      </c>
      <c r="H19" s="258">
        <f>'Multi Family Retrofit {G}'!A$10</f>
        <v>34509.64</v>
      </c>
      <c r="I19" s="259">
        <f>'Multi Family Retrofit {G}'!A$8</f>
        <v>104074.83999999997</v>
      </c>
      <c r="J19" s="259">
        <f>'Multi Family Retrofit {G}'!A$12</f>
        <v>248159</v>
      </c>
      <c r="K19" s="259">
        <f>'Multi Family Retrofit {G}'!A$14</f>
        <v>463450.8</v>
      </c>
      <c r="L19" s="259">
        <f>SUM('Multi Family Retrofit {G}'!Q$5:Q$1000)</f>
        <v>711609.79999999993</v>
      </c>
      <c r="M19" s="259"/>
      <c r="N19" s="260">
        <f>'Multi Family Retrofit {G}'!A$18</f>
        <v>352233.83999999997</v>
      </c>
      <c r="O19" s="259">
        <f>'Multi Family Retrofit {G}'!A$20</f>
        <v>815684.6399999999</v>
      </c>
      <c r="P19" s="259">
        <f>SUM('Multi Family Retrofit {G}'!R$5:R$1000)</f>
        <v>56.64</v>
      </c>
      <c r="Q19" s="261">
        <f t="shared" si="0"/>
        <v>329282.82696083008</v>
      </c>
      <c r="R19" s="261">
        <f t="shared" si="4"/>
        <v>762535.8885668877</v>
      </c>
      <c r="S19" s="259">
        <f>SUM('Multi Family Retrofit {G}'!AM$5:AM$1000)</f>
        <v>866681.60773440613</v>
      </c>
      <c r="T19" s="259">
        <f>SUM('Multi Family Retrofit {G}'!AD$5:AD$1000)</f>
        <v>11452.962815341227</v>
      </c>
      <c r="U19" s="133">
        <f t="shared" si="2"/>
        <v>2.6320279612926867</v>
      </c>
      <c r="V19" s="133">
        <f t="shared" si="3"/>
        <v>1.2652555057263486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102</v>
      </c>
      <c r="C20" s="174" t="s">
        <v>396</v>
      </c>
      <c r="D20" s="174"/>
      <c r="E20" s="314"/>
      <c r="F20" s="144">
        <f>'MF New Construction {G}'!A$16</f>
        <v>15</v>
      </c>
      <c r="G20" s="304" t="s">
        <v>380</v>
      </c>
      <c r="H20" s="258">
        <f>'MF New Construction {G}'!A$10</f>
        <v>15716</v>
      </c>
      <c r="I20" s="259">
        <f>'MF New Construction {G}'!A$8</f>
        <v>130451</v>
      </c>
      <c r="J20" s="259">
        <f>'MF New Construction {G}'!A$12</f>
        <v>68202.69</v>
      </c>
      <c r="K20" s="259">
        <f>'MF New Construction {G}'!A$14</f>
        <v>0</v>
      </c>
      <c r="L20" s="259">
        <f>SUM('MF New Construction {G}'!Q$5:Q$1000)</f>
        <v>68202.69</v>
      </c>
      <c r="M20" s="259"/>
      <c r="N20" s="260">
        <f>'MF New Construction {G}'!A$18</f>
        <v>198653.69</v>
      </c>
      <c r="O20" s="259">
        <f>'MF New Construction {G}'!A$20</f>
        <v>198653.69</v>
      </c>
      <c r="P20" s="259">
        <f>SUM('MF New Construction {G}'!R$5:R$1000)</f>
        <v>0</v>
      </c>
      <c r="Q20" s="261">
        <f t="shared" si="0"/>
        <v>185709.7223520613</v>
      </c>
      <c r="R20" s="261">
        <f t="shared" si="4"/>
        <v>185709.7223520613</v>
      </c>
      <c r="S20" s="259">
        <f>SUM('MF New Construction {G}'!AM$5:AM$1000)</f>
        <v>151596.7559048222</v>
      </c>
      <c r="T20" s="259">
        <f>SUM('MF New Construction {G}'!AD$5:AD$1000)</f>
        <v>0</v>
      </c>
      <c r="U20" s="133">
        <f t="shared" si="2"/>
        <v>0.81631028243869186</v>
      </c>
      <c r="V20" s="133">
        <f t="shared" si="3"/>
        <v>0.897941310682561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16" t="s">
        <v>465</v>
      </c>
      <c r="C21" s="317"/>
      <c r="D21" s="316"/>
      <c r="E21" s="316"/>
      <c r="F21" s="317"/>
      <c r="G21" s="318"/>
      <c r="H21" s="319">
        <f>SUM(H8:H20,H6)</f>
        <v>897880.33000000007</v>
      </c>
      <c r="I21" s="319">
        <f>SUM(I8:I20,I6)</f>
        <v>1439554.3700000003</v>
      </c>
      <c r="J21" s="319">
        <f>SUM(J8:J20,J6)</f>
        <v>6212881.1199999992</v>
      </c>
      <c r="K21" s="319">
        <f>SUM(K8:K20,K6)</f>
        <v>9967201.8199999891</v>
      </c>
      <c r="L21" s="319">
        <f>SUM(L8:L20,L6)</f>
        <v>16180082.939999988</v>
      </c>
      <c r="M21" s="320"/>
      <c r="N21" s="319">
        <f t="shared" ref="N21:T21" si="5">SUM(N8:N20,N6)</f>
        <v>7874533.4600000009</v>
      </c>
      <c r="O21" s="319">
        <f t="shared" si="5"/>
        <v>17619637.309999987</v>
      </c>
      <c r="P21" s="319">
        <f t="shared" si="5"/>
        <v>406.76000000000005</v>
      </c>
      <c r="Q21" s="319">
        <f t="shared" si="5"/>
        <v>7361441.0208469667</v>
      </c>
      <c r="R21" s="319">
        <f t="shared" si="5"/>
        <v>16471568.953912299</v>
      </c>
      <c r="S21" s="319">
        <f t="shared" si="5"/>
        <v>18076223.714276183</v>
      </c>
      <c r="T21" s="319">
        <f t="shared" si="5"/>
        <v>1348858.9340929014</v>
      </c>
      <c r="U21" s="506">
        <f>S21/Q21</f>
        <v>2.4555278868751209</v>
      </c>
      <c r="V21" s="506">
        <f>(S21*1.1+T21)/R21</f>
        <v>1.289051764237283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23" t="s">
        <v>466</v>
      </c>
      <c r="C22" s="504"/>
      <c r="D22" s="157"/>
      <c r="E22" s="316"/>
      <c r="F22" s="317"/>
      <c r="G22" s="318"/>
      <c r="H22" s="319">
        <f t="shared" ref="H22:T22" si="6">H21-H6</f>
        <v>888469.24000000011</v>
      </c>
      <c r="I22" s="319">
        <f t="shared" si="6"/>
        <v>1386108.6300000004</v>
      </c>
      <c r="J22" s="319">
        <f t="shared" si="6"/>
        <v>5704100.3699999992</v>
      </c>
      <c r="K22" s="319">
        <f t="shared" si="6"/>
        <v>9967201.8199999891</v>
      </c>
      <c r="L22" s="319">
        <f t="shared" si="6"/>
        <v>15671302.189999988</v>
      </c>
      <c r="M22" s="320">
        <f t="shared" si="6"/>
        <v>0</v>
      </c>
      <c r="N22" s="319">
        <f t="shared" si="6"/>
        <v>7378529.3600000013</v>
      </c>
      <c r="O22" s="319">
        <f t="shared" si="6"/>
        <v>17057410.819999985</v>
      </c>
      <c r="P22" s="319">
        <f t="shared" si="6"/>
        <v>376.70000000000005</v>
      </c>
      <c r="Q22" s="319">
        <f t="shared" si="6"/>
        <v>6897755.7819949519</v>
      </c>
      <c r="R22" s="319">
        <f t="shared" si="6"/>
        <v>15945976.273721591</v>
      </c>
      <c r="S22" s="319">
        <f t="shared" si="6"/>
        <v>17896629.942473516</v>
      </c>
      <c r="T22" s="319">
        <f t="shared" si="6"/>
        <v>1347582.1342664636</v>
      </c>
      <c r="U22" s="506">
        <f>S22/Q22</f>
        <v>2.5945583618933949</v>
      </c>
      <c r="V22" s="506">
        <f>(S22*1.1+T22)/R22</f>
        <v>1.3190710126447649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501" t="s">
        <v>1830</v>
      </c>
      <c r="D23" s="508"/>
      <c r="E23" s="324"/>
      <c r="F23" s="144"/>
      <c r="G23" s="325"/>
      <c r="H23" s="258">
        <f t="shared" ref="H23:T23" si="7">SUM(H24:H26)</f>
        <v>309586</v>
      </c>
      <c r="I23" s="259">
        <f t="shared" si="7"/>
        <v>483122.43000000005</v>
      </c>
      <c r="J23" s="259">
        <f t="shared" si="7"/>
        <v>1090356.1299999999</v>
      </c>
      <c r="K23" s="259">
        <f t="shared" si="7"/>
        <v>1167670.97</v>
      </c>
      <c r="L23" s="259">
        <f t="shared" si="7"/>
        <v>2258027.1</v>
      </c>
      <c r="M23" s="259">
        <f t="shared" si="7"/>
        <v>0</v>
      </c>
      <c r="N23" s="260">
        <f t="shared" si="7"/>
        <v>1576838.88</v>
      </c>
      <c r="O23" s="259">
        <f t="shared" si="7"/>
        <v>2741149.5300000003</v>
      </c>
      <c r="P23" s="259">
        <f t="shared" si="7"/>
        <v>0</v>
      </c>
      <c r="Q23" s="261">
        <f t="shared" si="7"/>
        <v>1474094.4937833038</v>
      </c>
      <c r="R23" s="261">
        <f t="shared" si="7"/>
        <v>2562540.45994204</v>
      </c>
      <c r="S23" s="259">
        <f t="shared" si="7"/>
        <v>3285549.9076733878</v>
      </c>
      <c r="T23" s="259">
        <f t="shared" si="7"/>
        <v>0</v>
      </c>
      <c r="U23" s="133">
        <f>IFERROR(S23/Q23,0)</f>
        <v>2.2288597654556961</v>
      </c>
      <c r="V23" s="133">
        <f>IFERROR(((S23*1.1)+(T23))/R23,0)</f>
        <v>1.410360130868908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399</v>
      </c>
      <c r="D24" s="508"/>
      <c r="E24" s="324"/>
      <c r="F24" s="144">
        <f>'CI Retrofit {G}'!A$16</f>
        <v>16.702426477060452</v>
      </c>
      <c r="G24" s="325" t="s">
        <v>380</v>
      </c>
      <c r="H24" s="258">
        <f>'CI Retrofit {G}'!A$10</f>
        <v>306741</v>
      </c>
      <c r="I24" s="259">
        <f>'CI Retrofit {G}'!A$8</f>
        <v>439910.05000000005</v>
      </c>
      <c r="J24" s="259">
        <f>'CI Retrofit {G}'!A$12</f>
        <v>1090356.1299999999</v>
      </c>
      <c r="K24" s="259">
        <f>'CI Retrofit {G}'!A$14</f>
        <v>1167670.97</v>
      </c>
      <c r="L24" s="259">
        <f>SUM('CI Retrofit {G}'!Q$5:Q$1000)</f>
        <v>2258027.1</v>
      </c>
      <c r="M24" s="259"/>
      <c r="N24" s="260">
        <f>'CI Retrofit {G}'!A$18</f>
        <v>1533626.5</v>
      </c>
      <c r="O24" s="259">
        <f>'CI Retrofit {G}'!A$20</f>
        <v>2697937.1500000004</v>
      </c>
      <c r="P24" s="259">
        <f>SUM('CI Retrofit {G}'!R$5:R$1000)</f>
        <v>0</v>
      </c>
      <c r="Q24" s="261">
        <f t="shared" ref="Q24:Q29" si="8">N24/(1+ElecDiscountRate)^1</f>
        <v>1433697.7657287088</v>
      </c>
      <c r="R24" s="261">
        <f t="shared" ref="R24:R29" si="9">O24/(1+ElecDiscountRate)^1</f>
        <v>2522143.7318874453</v>
      </c>
      <c r="S24" s="259">
        <f>SUM('CI Retrofit {G}'!AM$5:AM$1000)</f>
        <v>3275611.9680142319</v>
      </c>
      <c r="T24" s="259">
        <f>SUM('CI Retrofit {G}'!AD$5:AD$1000)</f>
        <v>0</v>
      </c>
      <c r="U24" s="133">
        <f t="shared" ref="U24:U29" si="10">IFERROR(S24/Q24,0)</f>
        <v>2.2847297710262731</v>
      </c>
      <c r="V24" s="133">
        <f t="shared" ref="V24:V29" si="11">IFERROR(((S24*1.1)+(T24))/R24,0)</f>
        <v>1.4286153161141304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1829</v>
      </c>
      <c r="D25" s="508"/>
      <c r="E25" s="324"/>
      <c r="F25" s="144">
        <f>'CBA {G}'!A$16</f>
        <v>5</v>
      </c>
      <c r="G25" s="325" t="s">
        <v>380</v>
      </c>
      <c r="H25" s="258">
        <f>'CBA {G}'!A$10</f>
        <v>2845</v>
      </c>
      <c r="I25" s="259">
        <f>'CBA {G}'!A$8</f>
        <v>42645</v>
      </c>
      <c r="J25" s="259">
        <f>'CBA {G}'!A$12</f>
        <v>0</v>
      </c>
      <c r="K25" s="259">
        <f>'CBA {G}'!A$14</f>
        <v>0</v>
      </c>
      <c r="L25" s="259">
        <f>SUM('CBA {G}'!Q$5:Q$1000)</f>
        <v>0</v>
      </c>
      <c r="M25" s="259"/>
      <c r="N25" s="260">
        <f>'CBA {G}'!A$18</f>
        <v>42645</v>
      </c>
      <c r="O25" s="259">
        <f>'CBA {G}'!A$20</f>
        <v>42645</v>
      </c>
      <c r="P25" s="259">
        <f>SUM('CBA {G}'!R$5:R$1000)</f>
        <v>0</v>
      </c>
      <c r="Q25" s="261">
        <f t="shared" si="8"/>
        <v>39866.317659156768</v>
      </c>
      <c r="R25" s="261">
        <f t="shared" si="9"/>
        <v>39866.317659156768</v>
      </c>
      <c r="S25" s="259">
        <f>SUM('CBA {G}'!AM$5:AM$1000)</f>
        <v>9937.9396591560362</v>
      </c>
      <c r="T25" s="259">
        <f>SUM('CBA {G}'!AD$5:AD$1000)</f>
        <v>0</v>
      </c>
      <c r="U25" s="133">
        <f>IFERROR(S25/Q25,0)</f>
        <v>0.24928160519168047</v>
      </c>
      <c r="V25" s="133">
        <f>IFERROR(((S25*1.1)+(T25))/R25,0)</f>
        <v>0.27420976571084849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141</v>
      </c>
      <c r="C26" s="146" t="s">
        <v>1823</v>
      </c>
      <c r="D26" s="508"/>
      <c r="E26" s="324"/>
      <c r="F26" s="144">
        <f>IFERROR('Industrial EM {G}'!A$16,0)</f>
        <v>0</v>
      </c>
      <c r="G26" s="325" t="s">
        <v>380</v>
      </c>
      <c r="H26" s="258">
        <f>'Industrial EM {G}'!A$10</f>
        <v>0</v>
      </c>
      <c r="I26" s="259">
        <f>'Industrial EM {G}'!A$8</f>
        <v>567.38</v>
      </c>
      <c r="J26" s="259">
        <f>'Industrial EM {G}'!A$12</f>
        <v>0</v>
      </c>
      <c r="K26" s="259">
        <f>'Industrial EM {G}'!A$14</f>
        <v>0</v>
      </c>
      <c r="L26" s="259">
        <f>SUM('Industrial EM {G}'!Q$5:Q$1000)</f>
        <v>0</v>
      </c>
      <c r="M26" s="259"/>
      <c r="N26" s="260">
        <f>'Industrial EM {G}'!A$18</f>
        <v>567.38</v>
      </c>
      <c r="O26" s="259">
        <f>'Industrial EM {G}'!A$20</f>
        <v>567.38</v>
      </c>
      <c r="P26" s="259">
        <f>SUM('Industrial EM {G}'!R$5:R$1000)</f>
        <v>0</v>
      </c>
      <c r="Q26" s="261">
        <f t="shared" si="8"/>
        <v>530.41039543797319</v>
      </c>
      <c r="R26" s="261">
        <f t="shared" si="9"/>
        <v>530.41039543797319</v>
      </c>
      <c r="S26" s="259">
        <f>SUM('Industrial EM {G}'!AM$5:AM$1000)</f>
        <v>0</v>
      </c>
      <c r="T26" s="259">
        <f>SUM('Industrial EM {G}'!AD$5:AD$1000)</f>
        <v>0</v>
      </c>
      <c r="U26" s="133">
        <f>IFERROR(S26/Q26,0)</f>
        <v>0</v>
      </c>
      <c r="V26" s="133">
        <f>IFERROR(((S26*1.1)+(T26))/R26,0)</f>
        <v>0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123</v>
      </c>
      <c r="C27" s="174" t="s">
        <v>400</v>
      </c>
      <c r="D27" s="174"/>
      <c r="E27" s="324"/>
      <c r="F27" s="144">
        <f>'CI New Construction {G}'!A$16</f>
        <v>15</v>
      </c>
      <c r="G27" s="325" t="s">
        <v>380</v>
      </c>
      <c r="H27" s="258">
        <f>'CI New Construction {G}'!A$10</f>
        <v>52324</v>
      </c>
      <c r="I27" s="259">
        <f>'CI New Construction {G}'!A$8</f>
        <v>58065.160000000033</v>
      </c>
      <c r="J27" s="259">
        <f>'CI New Construction {G}'!A$12</f>
        <v>260123</v>
      </c>
      <c r="K27" s="259">
        <f>'CI New Construction {G}'!A$14</f>
        <v>599</v>
      </c>
      <c r="L27" s="259">
        <f>SUM('CI New Construction {G}'!Q$5:Q$1000)</f>
        <v>260722</v>
      </c>
      <c r="M27" s="259"/>
      <c r="N27" s="260">
        <f>'CI New Construction {G}'!A$18</f>
        <v>318188.16000000003</v>
      </c>
      <c r="O27" s="259">
        <f>'CI New Construction {G}'!A$20</f>
        <v>318787.16000000003</v>
      </c>
      <c r="P27" s="259">
        <f>SUM('CI New Construction {G}'!R$5:R$1000)</f>
        <v>0</v>
      </c>
      <c r="Q27" s="261">
        <f t="shared" si="8"/>
        <v>297455.510890904</v>
      </c>
      <c r="R27" s="261">
        <f t="shared" si="9"/>
        <v>298015.48097597458</v>
      </c>
      <c r="S27" s="259">
        <f>SUM('CI New Construction {G}'!AM$5:AM$1000)</f>
        <v>507504.63244377449</v>
      </c>
      <c r="T27" s="259">
        <f>SUM('CI New Construction {G}'!AD$5:AD$1000)</f>
        <v>0</v>
      </c>
      <c r="U27" s="133">
        <f t="shared" si="10"/>
        <v>1.7061530678109003</v>
      </c>
      <c r="V27" s="133">
        <f t="shared" si="11"/>
        <v>1.873241933136881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112</v>
      </c>
      <c r="C28" s="174" t="s">
        <v>401</v>
      </c>
      <c r="D28" s="174"/>
      <c r="E28" s="324"/>
      <c r="F28" s="144">
        <f>'Com SEM {G}'!A$16</f>
        <v>3</v>
      </c>
      <c r="G28" s="325" t="s">
        <v>467</v>
      </c>
      <c r="H28" s="258">
        <f>'Com SEM {G}'!A$10</f>
        <v>355433</v>
      </c>
      <c r="I28" s="259">
        <f>'Com SEM {G}'!A$8</f>
        <v>436621.99</v>
      </c>
      <c r="J28" s="259">
        <f>'Com SEM {G}'!A$12</f>
        <v>60278</v>
      </c>
      <c r="K28" s="259">
        <f>'Com SEM {G}'!A$14</f>
        <v>39561</v>
      </c>
      <c r="L28" s="259">
        <f>SUM('Com SEM {G}'!Q$5:Q$1000)</f>
        <v>99839</v>
      </c>
      <c r="M28" s="259"/>
      <c r="N28" s="260">
        <f>'Com SEM {G}'!A$18</f>
        <v>550400.99</v>
      </c>
      <c r="O28" s="259">
        <f>'Com SEM {G}'!A$20</f>
        <v>536460.99</v>
      </c>
      <c r="P28" s="259">
        <f>SUM('Com SEM {G}'!R$5:R$1000)</f>
        <v>0</v>
      </c>
      <c r="Q28" s="261">
        <f t="shared" si="8"/>
        <v>514537.71150789934</v>
      </c>
      <c r="R28" s="261">
        <f t="shared" si="9"/>
        <v>501506.02037954563</v>
      </c>
      <c r="S28" s="259">
        <f>SUM('Com SEM {G}'!AM$5:AM$1000)</f>
        <v>765541.55720257736</v>
      </c>
      <c r="T28" s="259">
        <f>SUM('Com SEM {G}'!AD$5:AD$1000)</f>
        <v>0</v>
      </c>
      <c r="U28" s="133">
        <f t="shared" si="10"/>
        <v>1.4878240021690317</v>
      </c>
      <c r="V28" s="133">
        <f t="shared" si="11"/>
        <v>1.6791338063808829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13" t="s">
        <v>112</v>
      </c>
      <c r="C29" s="174" t="s">
        <v>402</v>
      </c>
      <c r="D29" s="174"/>
      <c r="E29" s="324"/>
      <c r="F29" s="144">
        <f>IFERROR('P4P {G}'!A$16,0)</f>
        <v>0</v>
      </c>
      <c r="G29" s="325" t="s">
        <v>467</v>
      </c>
      <c r="H29" s="258">
        <f>'P4P {G}'!A$10</f>
        <v>0</v>
      </c>
      <c r="I29" s="259">
        <f>'P4P {G}'!A$8</f>
        <v>2854.83</v>
      </c>
      <c r="J29" s="259">
        <f>'P4P {G}'!A$12</f>
        <v>0</v>
      </c>
      <c r="K29" s="259">
        <f>'P4P {G}'!A$14</f>
        <v>0</v>
      </c>
      <c r="L29" s="259">
        <f>SUM('P4P {G}'!Q$5:Q$1000)</f>
        <v>0</v>
      </c>
      <c r="M29" s="259"/>
      <c r="N29" s="260">
        <f>'P4P {G}'!A$18</f>
        <v>2854.83</v>
      </c>
      <c r="O29" s="259">
        <f>'P4P {G}'!A$20</f>
        <v>2854.83</v>
      </c>
      <c r="P29" s="259">
        <f>SUM('P4P {G}'!R$5:R$1000)</f>
        <v>0</v>
      </c>
      <c r="Q29" s="261">
        <f t="shared" si="8"/>
        <v>2668.8136860802092</v>
      </c>
      <c r="R29" s="261">
        <f t="shared" si="9"/>
        <v>2668.8136860802092</v>
      </c>
      <c r="S29" s="259">
        <f>SUM('P4P {G}'!AM$5:AM$1000)</f>
        <v>0</v>
      </c>
      <c r="T29" s="259">
        <f>SUM('P4P {G}'!AD$5:AD$1000)</f>
        <v>0</v>
      </c>
      <c r="U29" s="133">
        <f t="shared" si="10"/>
        <v>0</v>
      </c>
      <c r="V29" s="133">
        <f t="shared" si="11"/>
        <v>0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>
      <c r="B30" s="305" t="s">
        <v>31</v>
      </c>
      <c r="C30" s="503" t="s">
        <v>468</v>
      </c>
      <c r="D30" s="306"/>
      <c r="E30" s="326"/>
      <c r="F30" s="305"/>
      <c r="G30" s="305"/>
      <c r="H30" s="327">
        <f>SUM(H31:H34)</f>
        <v>749249.7</v>
      </c>
      <c r="I30" s="328">
        <f>SUM(I31:I34)</f>
        <v>741435.21000000008</v>
      </c>
      <c r="J30" s="305">
        <f>SUM(J31:J34)</f>
        <v>1289256.92</v>
      </c>
      <c r="K30" s="327">
        <f>SUM(K31:K34)</f>
        <v>538288.49999999895</v>
      </c>
      <c r="L30" s="327">
        <f>SUM(L31:L34)</f>
        <v>1827545.419999999</v>
      </c>
      <c r="M30" s="305"/>
      <c r="N30" s="327">
        <f t="shared" ref="N30:T30" si="12">SUM(N31:N34)</f>
        <v>3017769.58</v>
      </c>
      <c r="O30" s="305">
        <f t="shared" si="12"/>
        <v>2568980.629999999</v>
      </c>
      <c r="P30" s="330">
        <f>SUM(P31:P34)</f>
        <v>43201.439999999995</v>
      </c>
      <c r="Q30" s="329">
        <f t="shared" si="12"/>
        <v>2821136.3746844907</v>
      </c>
      <c r="R30" s="329">
        <f t="shared" si="12"/>
        <v>2401589.8195755808</v>
      </c>
      <c r="S30" s="305">
        <f t="shared" si="12"/>
        <v>5902209.8715016991</v>
      </c>
      <c r="T30" s="330">
        <f t="shared" si="12"/>
        <v>3042685.2449130323</v>
      </c>
      <c r="U30" s="505">
        <f>S30/Q30</f>
        <v>2.0921391551522523</v>
      </c>
      <c r="V30" s="505">
        <f>(S30*1.1+T30)/R30</f>
        <v>3.9703349946953015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3.5" customHeight="1">
      <c r="A31" s="331"/>
      <c r="B31" s="309" t="s">
        <v>31</v>
      </c>
      <c r="C31" s="146" t="s">
        <v>469</v>
      </c>
      <c r="D31" s="146"/>
      <c r="E31" s="324"/>
      <c r="F31" s="144">
        <f>'Commercial Kitchen Laundry {G}'!A$16</f>
        <v>12.113661225133086</v>
      </c>
      <c r="G31" s="325" t="s">
        <v>467</v>
      </c>
      <c r="H31" s="258">
        <f>'Commercial Kitchen Laundry {G}'!A$10</f>
        <v>154309.44</v>
      </c>
      <c r="I31" s="259">
        <f>'Commercial Kitchen Laundry {G}'!A$8</f>
        <v>313558.82000000007</v>
      </c>
      <c r="J31" s="259">
        <f>'Commercial Kitchen Laundry {G}'!A$12</f>
        <v>337200</v>
      </c>
      <c r="K31" s="259">
        <f>'Commercial Kitchen Laundry {G}'!A$14</f>
        <v>19201.379999999997</v>
      </c>
      <c r="L31" s="259">
        <f>SUM('Commercial Kitchen Laundry {G}'!Q$5:Q$999)</f>
        <v>356401.38</v>
      </c>
      <c r="M31" s="259"/>
      <c r="N31" s="260">
        <f>'Commercial Kitchen Laundry {G}'!A$18</f>
        <v>868723.08000000007</v>
      </c>
      <c r="O31" s="259">
        <f>'Commercial Kitchen Laundry {G}'!A$20</f>
        <v>669960.20000000007</v>
      </c>
      <c r="P31" s="259">
        <f>SUM('Commercial Kitchen Laundry {G}'!R$5:R$999)</f>
        <v>43068.749999999993</v>
      </c>
      <c r="Q31" s="261">
        <f t="shared" ref="Q31:R34" si="13">N31/(1+ElecDiscountRate)^1</f>
        <v>812118.42572683934</v>
      </c>
      <c r="R31" s="261">
        <f t="shared" si="13"/>
        <v>626306.62802654947</v>
      </c>
      <c r="S31" s="259">
        <f>SUM('Commercial Kitchen Laundry {G}'!AM$5:AM$999)</f>
        <v>1295505.6461027805</v>
      </c>
      <c r="T31" s="259">
        <f>SUM('Commercial Kitchen Laundry {G}'!AD$5:AD$999)</f>
        <v>3035219.2224997315</v>
      </c>
      <c r="U31" s="133">
        <f>IFERROR(S31/Q31,0)</f>
        <v>1.595217649375845</v>
      </c>
      <c r="V31" s="133">
        <f>IFERROR(((S31*1.1)+(T31))/R31,0)</f>
        <v>7.1215523413297124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470</v>
      </c>
      <c r="D32" s="146"/>
      <c r="E32" s="324"/>
      <c r="F32" s="144">
        <f>'Commercial HVAC {G}'!A$16</f>
        <v>13.952340556798024</v>
      </c>
      <c r="G32" s="325" t="s">
        <v>380</v>
      </c>
      <c r="H32" s="258">
        <f>'Commercial HVAC {G}'!A$10</f>
        <v>14782.380000000001</v>
      </c>
      <c r="I32" s="259">
        <f>'Commercial HVAC {G}'!A$8</f>
        <v>14240.98</v>
      </c>
      <c r="J32" s="259">
        <f>'Commercial HVAC {G}'!A$12</f>
        <v>1500</v>
      </c>
      <c r="K32" s="259">
        <f>'Commercial HVAC {G}'!A$14</f>
        <v>10137.299999999999</v>
      </c>
      <c r="L32" s="259">
        <f>SUM('Commercial HVAC {G}'!Q$5:Q$999)</f>
        <v>11637.3</v>
      </c>
      <c r="M32" s="259"/>
      <c r="N32" s="260">
        <f>'Commercial HVAC {G}'!A$18</f>
        <v>15740.98</v>
      </c>
      <c r="O32" s="259">
        <f>'Commercial HVAC {G}'!A$20</f>
        <v>25878.28</v>
      </c>
      <c r="P32" s="259">
        <f>SUM('Commercial HVAC {G}'!R$5:R$999)</f>
        <v>0</v>
      </c>
      <c r="Q32" s="261">
        <f t="shared" si="13"/>
        <v>14715.32205291203</v>
      </c>
      <c r="R32" s="261">
        <f t="shared" si="13"/>
        <v>24192.091240534726</v>
      </c>
      <c r="S32" s="259">
        <f>SUM('Commercial HVAC {G}'!AM$5:AM$999)</f>
        <v>137651.91810703478</v>
      </c>
      <c r="T32" s="259">
        <f>SUM('Commercial HVAC {G}'!AD$5:AD$999)</f>
        <v>0</v>
      </c>
      <c r="U32" s="133">
        <f>IFERROR(S32/Q32,0)</f>
        <v>9.3543258932477595</v>
      </c>
      <c r="V32" s="133">
        <f>IFERROR(((S32*1.1)+(T32))/R32,0)</f>
        <v>6.2589508452263694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409</v>
      </c>
      <c r="D33" s="146"/>
      <c r="E33" s="324"/>
      <c r="F33" s="144">
        <f>'Commercial Midstream {G}'!A$16</f>
        <v>10.954164884823973</v>
      </c>
      <c r="G33" s="325" t="s">
        <v>380</v>
      </c>
      <c r="H33" s="258">
        <f>'Commercial Midstream {G}'!A$10</f>
        <v>578333.87999999989</v>
      </c>
      <c r="I33" s="259">
        <f>'Commercial Midstream {G}'!A$8</f>
        <v>408375.27</v>
      </c>
      <c r="J33" s="259">
        <f>'Commercial Midstream {G}'!A$12</f>
        <v>945172.2</v>
      </c>
      <c r="K33" s="259">
        <f>'Commercial Midstream {G}'!A$14</f>
        <v>487829.81999999896</v>
      </c>
      <c r="L33" s="259">
        <f>SUM('Commercial Midstream {G}'!Q$5:Q$1000)</f>
        <v>1433002.0199999991</v>
      </c>
      <c r="M33" s="259"/>
      <c r="N33" s="260">
        <f>'Commercial Midstream {G}'!A$18</f>
        <v>2118170.92</v>
      </c>
      <c r="O33" s="259">
        <f>'Commercial Midstream {G}'!A$20</f>
        <v>1841377.2899999991</v>
      </c>
      <c r="P33" s="259">
        <f>SUM('Commercial Midstream {G}'!R$5:R$1000)</f>
        <v>0</v>
      </c>
      <c r="Q33" s="261">
        <f t="shared" si="13"/>
        <v>1980154.1740674954</v>
      </c>
      <c r="R33" s="261">
        <f t="shared" si="13"/>
        <v>1721395.9895297738</v>
      </c>
      <c r="S33" s="259">
        <f>SUM('Commercial Midstream {G}'!AM$5:AM$1000)</f>
        <v>4451448.8567682831</v>
      </c>
      <c r="T33" s="259">
        <f>SUM('Commercial Midstream {G}'!AD$5:AD$1000)</f>
        <v>0</v>
      </c>
      <c r="U33" s="133">
        <f>IFERROR(S33/Q33,0)</f>
        <v>2.2480314487959419</v>
      </c>
      <c r="V33" s="133">
        <f>IFERROR(((S33*1.1)+(T33))/R33,0)</f>
        <v>2.8445481296739241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410</v>
      </c>
      <c r="D34" s="146"/>
      <c r="E34" s="324"/>
      <c r="F34" s="144">
        <f>'SBDI {G}'!A$16</f>
        <v>14.857456140350877</v>
      </c>
      <c r="G34" s="325" t="s">
        <v>275</v>
      </c>
      <c r="H34" s="258">
        <f>'SBDI {G}'!A$10</f>
        <v>1824</v>
      </c>
      <c r="I34" s="259">
        <f>'SBDI {G}'!A$8</f>
        <v>5260.1399999999994</v>
      </c>
      <c r="J34" s="259">
        <f>'SBDI {G}'!A$12</f>
        <v>5384.72</v>
      </c>
      <c r="K34" s="259">
        <f>'SBDI {G}'!A$14</f>
        <v>21120</v>
      </c>
      <c r="L34" s="259">
        <f>SUM('SBDI {G}'!Q$5:Q$999)</f>
        <v>26504.720000000001</v>
      </c>
      <c r="M34" s="259"/>
      <c r="N34" s="260">
        <f>'SBDI {G}'!A$18</f>
        <v>15134.599999999999</v>
      </c>
      <c r="O34" s="259">
        <f>'SBDI {G}'!A$20</f>
        <v>31764.86</v>
      </c>
      <c r="P34" s="259">
        <f>SUM('SBDI {G}'!R$5:R$999)</f>
        <v>132.69</v>
      </c>
      <c r="Q34" s="261">
        <f t="shared" si="13"/>
        <v>14148.452837244084</v>
      </c>
      <c r="R34" s="261">
        <f t="shared" si="13"/>
        <v>29695.110778723003</v>
      </c>
      <c r="S34" s="259">
        <f>SUM('SBDI {G}'!AM$5:AM$999)</f>
        <v>17603.450523600499</v>
      </c>
      <c r="T34" s="259">
        <f>SUM('SBDI {G}'!AD$5:AD$999)</f>
        <v>7466.022413300997</v>
      </c>
      <c r="U34" s="133">
        <f>IFERROR(S34/Q34,0)</f>
        <v>1.2441961482361912</v>
      </c>
      <c r="V34" s="133">
        <f>IFERROR(((S34*1.1)+(T34))/R34,0)</f>
        <v>0.90350961103285454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B35" s="316" t="s">
        <v>471</v>
      </c>
      <c r="C35" s="317"/>
      <c r="D35" s="316"/>
      <c r="E35" s="316"/>
      <c r="F35" s="332"/>
      <c r="G35" s="332"/>
      <c r="H35" s="333">
        <f>SUM(H24:H29,H31:H34)</f>
        <v>1466592.6999999997</v>
      </c>
      <c r="I35" s="334">
        <f>SUM(I24:I29,I31:I34)</f>
        <v>1722099.6199999999</v>
      </c>
      <c r="J35" s="334">
        <f>SUM(J24:J29,J31:J34)</f>
        <v>2700014.0500000003</v>
      </c>
      <c r="K35" s="334">
        <f>SUM(K24:K29,K31:K34)</f>
        <v>1746119.4699999988</v>
      </c>
      <c r="L35" s="334">
        <f>SUM(L24:L29,L31:L34)</f>
        <v>4446133.5199999986</v>
      </c>
      <c r="M35" s="335"/>
      <c r="N35" s="333">
        <f>SUM(N24:N29,N31:N34)</f>
        <v>5466052.4399999995</v>
      </c>
      <c r="O35" s="334">
        <f>SUM(O24:O29,O31:O34)</f>
        <v>6168233.1400000006</v>
      </c>
      <c r="P35" s="334">
        <f t="shared" ref="N35:T35" si="14">SUM(P24:P28,P31:P34)</f>
        <v>43201.439999999995</v>
      </c>
      <c r="Q35" s="334">
        <f>SUM(Q24:Q29,Q31:Q34)</f>
        <v>5109892.9045526776</v>
      </c>
      <c r="R35" s="334">
        <f>SUM(R24:R29,R31:R34)</f>
        <v>5766320.5945592206</v>
      </c>
      <c r="S35" s="334">
        <f>SUM(S24:S29,S31:S34)</f>
        <v>10460805.968821438</v>
      </c>
      <c r="T35" s="334">
        <f t="shared" si="14"/>
        <v>3042685.2449130323</v>
      </c>
      <c r="U35" s="506">
        <f>S35/Q35</f>
        <v>2.0471673602985585</v>
      </c>
      <c r="V35" s="506">
        <f>(S35*1.1+T35)/R35</f>
        <v>2.5231985582530361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09" t="s">
        <v>472</v>
      </c>
      <c r="C36" s="336" t="s">
        <v>473</v>
      </c>
      <c r="D36" s="336"/>
      <c r="E36" s="337"/>
      <c r="F36" s="325">
        <v>5</v>
      </c>
      <c r="G36" s="338" t="s">
        <v>270</v>
      </c>
      <c r="H36" s="339">
        <f>'G245 NEEA GAS'!A$10</f>
        <v>0</v>
      </c>
      <c r="I36" s="259">
        <f>'G245 NEEA GAS'!A$8</f>
        <v>182666.71999999997</v>
      </c>
      <c r="J36" s="259">
        <f>'G245 NEEA GAS'!A$12</f>
        <v>0</v>
      </c>
      <c r="K36" s="259">
        <f>'G245 NEEA GAS'!A$14</f>
        <v>0</v>
      </c>
      <c r="L36" s="259">
        <f>SUM('G245 NEEA GAS'!Q$5:Q$999)</f>
        <v>0</v>
      </c>
      <c r="M36" s="342"/>
      <c r="N36" s="260">
        <f>'G245 NEEA GAS'!A$18</f>
        <v>608889</v>
      </c>
      <c r="O36" s="259">
        <f>'G245 NEEA GAS'!A$20</f>
        <v>182666.71999999997</v>
      </c>
      <c r="P36" s="259">
        <f>SUM('SBDI {G}'!R$5:R$999)</f>
        <v>132.69</v>
      </c>
      <c r="Q36" s="261">
        <f>N36/(1+ElecDiscountRate)^1</f>
        <v>569214.73310273909</v>
      </c>
      <c r="R36" s="261">
        <f>O36/(1+ElecDiscountRate)^1</f>
        <v>170764.43862765256</v>
      </c>
      <c r="S36" s="259">
        <f>SUM('G245 NEEA GAS'!AM$5:AM$999)</f>
        <v>0</v>
      </c>
      <c r="T36" s="259">
        <f>SUM('G245 NEEA GAS'!AD$5:AD$999)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18230660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322" customFormat="1">
      <c r="A37" s="308"/>
      <c r="B37" s="313" t="s">
        <v>177</v>
      </c>
      <c r="C37" s="336" t="s">
        <v>421</v>
      </c>
      <c r="D37" s="336"/>
      <c r="E37" s="337"/>
      <c r="F37" s="325">
        <f>IFERROR('TDSM {G}'!A$16,0)</f>
        <v>0</v>
      </c>
      <c r="G37" s="338" t="s">
        <v>275</v>
      </c>
      <c r="H37" s="339">
        <f>'TDSM {G}'!A$10</f>
        <v>0</v>
      </c>
      <c r="I37" s="223">
        <f>'TDSM {G}'!A$8</f>
        <v>10978.16</v>
      </c>
      <c r="J37" s="223">
        <f>'TDSM {G}'!A$12</f>
        <v>0</v>
      </c>
      <c r="K37" s="340">
        <f>'TDSM {G}'!A$14</f>
        <v>0</v>
      </c>
      <c r="L37" s="341">
        <f>SUM('TDSM {G}'!Q$5:Q$999)</f>
        <v>0</v>
      </c>
      <c r="M37" s="342"/>
      <c r="N37" s="343">
        <f>'TDSM {G}'!A$18</f>
        <v>10978.16</v>
      </c>
      <c r="O37" s="342">
        <f>'TDSM {G}'!A$20</f>
        <v>10978.16</v>
      </c>
      <c r="P37" s="345">
        <f>SUM('TDSM {G}'!R$5:R$999)</f>
        <v>0</v>
      </c>
      <c r="Q37" s="344">
        <f>N37/(1+ElecDiscountRate)^1</f>
        <v>10262.840048611759</v>
      </c>
      <c r="R37" s="344">
        <f>O37/(1+ElecDiscountRate)^1</f>
        <v>10262.840048611759</v>
      </c>
      <c r="S37" s="344">
        <f>SUM('TDSM {G}'!AM$5:AM$999)</f>
        <v>0</v>
      </c>
      <c r="T37" s="345">
        <f>SUM('TDSM {G}'!AD$5:AD$999)</f>
        <v>0</v>
      </c>
      <c r="U37" s="507">
        <f>S37/Q37</f>
        <v>0</v>
      </c>
      <c r="V37" s="507">
        <f>((S37*1.1)+(T37))/R37</f>
        <v>0</v>
      </c>
      <c r="W37" s="21"/>
      <c r="X37" s="161">
        <v>18230218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 ht="12.75">
      <c r="B38" s="316" t="s">
        <v>474</v>
      </c>
      <c r="C38" s="317"/>
      <c r="D38" s="316"/>
      <c r="E38" s="316"/>
      <c r="F38" s="332"/>
      <c r="G38" s="332"/>
      <c r="H38" s="346">
        <v>0</v>
      </c>
      <c r="I38" s="347">
        <f t="shared" ref="I38:N38" si="15">SUM(I36:I37)</f>
        <v>193644.87999999998</v>
      </c>
      <c r="J38" s="347">
        <f t="shared" si="15"/>
        <v>0</v>
      </c>
      <c r="K38" s="347">
        <f t="shared" si="15"/>
        <v>0</v>
      </c>
      <c r="L38" s="347">
        <f t="shared" si="15"/>
        <v>0</v>
      </c>
      <c r="M38" s="347">
        <f t="shared" si="15"/>
        <v>0</v>
      </c>
      <c r="N38" s="347">
        <f t="shared" si="15"/>
        <v>619867.16</v>
      </c>
      <c r="O38" s="347">
        <f t="shared" ref="O38:T38" si="16">SUM(O36:O37)</f>
        <v>193644.87999999998</v>
      </c>
      <c r="P38" s="347">
        <f>SUM(P36:P37)</f>
        <v>132.69</v>
      </c>
      <c r="Q38" s="347">
        <f t="shared" si="16"/>
        <v>579477.57315135084</v>
      </c>
      <c r="R38" s="347">
        <f t="shared" si="16"/>
        <v>181027.27867626431</v>
      </c>
      <c r="S38" s="347">
        <f t="shared" si="16"/>
        <v>0</v>
      </c>
      <c r="T38" s="347">
        <f t="shared" si="16"/>
        <v>0</v>
      </c>
      <c r="U38" s="506">
        <f>S38/Q38</f>
        <v>0</v>
      </c>
      <c r="V38" s="506">
        <f>(S38*1.1+T38)/R38</f>
        <v>0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21" customFormat="1">
      <c r="A39" s="308"/>
      <c r="B39" s="309" t="s">
        <v>337</v>
      </c>
      <c r="C39" s="131" t="s">
        <v>414</v>
      </c>
      <c r="D39" s="348"/>
      <c r="E39" s="337"/>
      <c r="F39" s="170"/>
      <c r="G39" s="325"/>
      <c r="H39" s="325">
        <f>'G249 Res Gas Pilot'!A10</f>
        <v>0</v>
      </c>
      <c r="I39" s="223">
        <f>'G249 Res Gas Pilot'!A8</f>
        <v>0</v>
      </c>
      <c r="J39" s="223">
        <v>0</v>
      </c>
      <c r="K39" s="223">
        <v>0</v>
      </c>
      <c r="L39" s="349">
        <v>0</v>
      </c>
      <c r="M39" s="342"/>
      <c r="N39" s="350">
        <f>I39</f>
        <v>0</v>
      </c>
      <c r="O39" s="342">
        <f>SUM(I39:K39)</f>
        <v>0</v>
      </c>
      <c r="P39" s="259">
        <f>SUM('G249 Res Gas Pilot'!R$5:R$1000)</f>
        <v>0</v>
      </c>
      <c r="Q39" s="344">
        <f>N39/(1+GasDiscountRate)^1</f>
        <v>0</v>
      </c>
      <c r="R39" s="344">
        <f>O39/(1+GasDiscountRate)^1</f>
        <v>0</v>
      </c>
      <c r="S39" s="259">
        <f>SUM('G249 Res Gas Pilot'!AM$5:AM$1000)</f>
        <v>0</v>
      </c>
      <c r="T39" s="259">
        <f>SUM('G249 Res Gas Pilot'!AD$5:AD$1000)</f>
        <v>0</v>
      </c>
      <c r="U39" s="507">
        <f>IFERROR(S39/Q39,0)</f>
        <v>0</v>
      </c>
      <c r="V39" s="507">
        <f>IFERROR(((S39*1.1)+(T39))/R39,0)</f>
        <v>0</v>
      </c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352" customFormat="1">
      <c r="A40" s="21"/>
      <c r="B40" s="313" t="s">
        <v>337</v>
      </c>
      <c r="C40" s="131" t="s">
        <v>475</v>
      </c>
      <c r="D40" s="348"/>
      <c r="E40" s="337"/>
      <c r="F40" s="170"/>
      <c r="G40" s="351"/>
      <c r="H40" s="325">
        <f>'G249 Com Gas Pilot'!A10</f>
        <v>0</v>
      </c>
      <c r="I40" s="223">
        <f>'G249 Com Gas Pilot'!A8</f>
        <v>828.63</v>
      </c>
      <c r="J40" s="223">
        <v>0</v>
      </c>
      <c r="K40" s="223">
        <v>0</v>
      </c>
      <c r="L40" s="349">
        <v>0</v>
      </c>
      <c r="M40" s="342"/>
      <c r="N40" s="350">
        <f>I40</f>
        <v>828.63</v>
      </c>
      <c r="O40" s="342">
        <f>SUM(I40:K40)</f>
        <v>828.63</v>
      </c>
      <c r="P40" s="259">
        <f>SUM('G249 Com Gas Pilot'!R$5:R$1000)</f>
        <v>0</v>
      </c>
      <c r="Q40" s="344">
        <f>N40/(1+GasDiscountRate)^1</f>
        <v>774.63774890156117</v>
      </c>
      <c r="R40" s="344">
        <f>O40/(1+GasDiscountRate)^1</f>
        <v>774.63774890156117</v>
      </c>
      <c r="S40" s="259">
        <f>SUM('G249 Com Gas Pilot'!AM$5:AM$1000)</f>
        <v>0</v>
      </c>
      <c r="T40" s="259">
        <f>SUM('G249 Com Gas Pilot'!AD$5:AD$1000)</f>
        <v>0</v>
      </c>
      <c r="U40" s="507">
        <f>IFERROR(S40/Q40,0)</f>
        <v>0</v>
      </c>
      <c r="V40" s="507">
        <f>IFERROR(((S40*1.1)+(T40))/R40,0)</f>
        <v>0</v>
      </c>
      <c r="W40" s="2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 ht="12.75">
      <c r="B41" s="316" t="s">
        <v>416</v>
      </c>
      <c r="C41" s="316"/>
      <c r="D41" s="316"/>
      <c r="E41" s="353"/>
      <c r="F41" s="316"/>
      <c r="G41" s="332"/>
      <c r="H41" s="334">
        <f>SUM(H39:H40)</f>
        <v>0</v>
      </c>
      <c r="I41" s="354">
        <f t="shared" ref="I41:T41" si="17">SUM(I39:I40)</f>
        <v>828.63</v>
      </c>
      <c r="J41" s="355">
        <f t="shared" si="17"/>
        <v>0</v>
      </c>
      <c r="K41" s="355">
        <f t="shared" si="17"/>
        <v>0</v>
      </c>
      <c r="L41" s="355">
        <f t="shared" si="17"/>
        <v>0</v>
      </c>
      <c r="M41" s="355">
        <f t="shared" si="17"/>
        <v>0</v>
      </c>
      <c r="N41" s="356">
        <f t="shared" si="17"/>
        <v>828.63</v>
      </c>
      <c r="O41" s="354">
        <f t="shared" si="17"/>
        <v>828.63</v>
      </c>
      <c r="P41" s="355">
        <f>SUM(P39:P40)</f>
        <v>0</v>
      </c>
      <c r="Q41" s="354">
        <f t="shared" si="17"/>
        <v>774.63774890156117</v>
      </c>
      <c r="R41" s="354">
        <f t="shared" si="17"/>
        <v>774.63774890156117</v>
      </c>
      <c r="S41" s="355">
        <f t="shared" si="17"/>
        <v>0</v>
      </c>
      <c r="T41" s="355">
        <f t="shared" si="17"/>
        <v>0</v>
      </c>
      <c r="U41" s="506">
        <f>S41/Q41</f>
        <v>0</v>
      </c>
      <c r="V41" s="506">
        <f>(S41*1.1+T41)/R41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102" customFormat="1">
      <c r="B42" s="191"/>
      <c r="C42" s="357" t="s">
        <v>423</v>
      </c>
      <c r="D42" s="357"/>
      <c r="E42" s="358"/>
      <c r="F42" s="358"/>
      <c r="G42" s="359"/>
      <c r="H42" s="360"/>
      <c r="I42" s="361"/>
      <c r="J42" s="362"/>
      <c r="K42" s="363"/>
      <c r="L42" s="363"/>
      <c r="M42" s="363"/>
      <c r="N42" s="364"/>
      <c r="O42" s="365"/>
      <c r="P42" s="365"/>
      <c r="Q42" s="365"/>
      <c r="R42" s="365"/>
      <c r="S42" s="366"/>
      <c r="T42" s="367"/>
      <c r="U42" s="368"/>
      <c r="V42" s="368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2" t="s">
        <v>424</v>
      </c>
      <c r="D43" s="191">
        <v>18231005</v>
      </c>
      <c r="E43" s="191"/>
      <c r="F43" s="191"/>
      <c r="G43" s="193"/>
      <c r="H43" s="191"/>
      <c r="I43" s="194">
        <f>SUMIF('Program Costs'!D:D,'Gas CE'!D43,'Program Costs'!N:N)</f>
        <v>138727.09</v>
      </c>
      <c r="J43" s="194"/>
      <c r="K43" s="191"/>
      <c r="L43" s="191"/>
      <c r="M43" s="191"/>
      <c r="N43" s="350">
        <f>I43</f>
        <v>138727.09</v>
      </c>
      <c r="O43" s="194">
        <f t="shared" ref="O43:O54" si="18">I43</f>
        <v>138727.09</v>
      </c>
      <c r="P43" s="195"/>
      <c r="Q43" s="196">
        <f t="shared" ref="Q43:Q54" si="19">N43/(1+ElecDiscountRate)^1</f>
        <v>129687.84705992333</v>
      </c>
      <c r="R43" s="196">
        <f t="shared" ref="R43:R54" si="20">O43/(1+ElecDiscountRate)^1</f>
        <v>129687.84705992333</v>
      </c>
      <c r="S43" s="191"/>
      <c r="T43" s="197"/>
      <c r="U43" s="191"/>
      <c r="V43" s="198"/>
      <c r="W43" s="106"/>
      <c r="X43">
        <v>18231005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199" t="s">
        <v>425</v>
      </c>
      <c r="D44" s="200">
        <v>18230659</v>
      </c>
      <c r="E44" s="201"/>
      <c r="F44" s="201"/>
      <c r="G44" s="202"/>
      <c r="H44" s="203"/>
      <c r="I44" s="194">
        <f>SUMIF('Program Costs'!D:D,'Gas CE'!D44,'Program Costs'!N:N)</f>
        <v>55121.670000000006</v>
      </c>
      <c r="J44" s="194"/>
      <c r="K44" s="204"/>
      <c r="L44" s="204"/>
      <c r="M44" s="204"/>
      <c r="N44" s="350">
        <f t="shared" ref="N44:N54" si="21">I44</f>
        <v>55121.670000000006</v>
      </c>
      <c r="O44" s="194">
        <f t="shared" si="18"/>
        <v>55121.670000000006</v>
      </c>
      <c r="P44" s="205"/>
      <c r="Q44" s="196">
        <f t="shared" si="19"/>
        <v>51530.027110404786</v>
      </c>
      <c r="R44" s="196">
        <f t="shared" si="20"/>
        <v>51530.027110404786</v>
      </c>
      <c r="S44" s="206"/>
      <c r="T44" s="206"/>
      <c r="U44" s="207"/>
      <c r="V44" s="207"/>
      <c r="W44" s="106"/>
      <c r="X44">
        <v>18230659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208" t="s">
        <v>426</v>
      </c>
      <c r="D45" s="209">
        <v>18230668</v>
      </c>
      <c r="E45" s="201"/>
      <c r="F45" s="201"/>
      <c r="G45" s="202"/>
      <c r="H45" s="203"/>
      <c r="I45" s="194">
        <f>SUMIF('Program Costs'!D:D,'Gas CE'!D45,'Program Costs'!N:N)</f>
        <v>59203.16</v>
      </c>
      <c r="J45" s="194"/>
      <c r="K45" s="204"/>
      <c r="L45" s="204"/>
      <c r="M45" s="204"/>
      <c r="N45" s="350">
        <f t="shared" si="21"/>
        <v>59203.16</v>
      </c>
      <c r="O45" s="194">
        <f t="shared" si="18"/>
        <v>59203.16</v>
      </c>
      <c r="P45" s="196"/>
      <c r="Q45" s="196">
        <f t="shared" si="19"/>
        <v>55345.573525287466</v>
      </c>
      <c r="R45" s="196">
        <f t="shared" si="20"/>
        <v>55345.573525287466</v>
      </c>
      <c r="S45" s="206"/>
      <c r="T45" s="206"/>
      <c r="U45" s="207"/>
      <c r="V45" s="207"/>
      <c r="W45" s="106"/>
      <c r="X45">
        <v>18230668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2" t="s">
        <v>427</v>
      </c>
      <c r="D46" s="191">
        <v>18230688</v>
      </c>
      <c r="E46" s="191"/>
      <c r="F46" s="191"/>
      <c r="G46" s="191"/>
      <c r="H46" s="191"/>
      <c r="I46" s="194">
        <f>SUMIF('Program Costs'!D:D,'Gas CE'!D46,'Program Costs'!N:N)</f>
        <v>107566.63999999998</v>
      </c>
      <c r="J46" s="194"/>
      <c r="K46" s="191"/>
      <c r="L46" s="191"/>
      <c r="M46" s="191"/>
      <c r="N46" s="350">
        <f t="shared" si="21"/>
        <v>107566.63999999998</v>
      </c>
      <c r="O46" s="194">
        <f t="shared" si="18"/>
        <v>107566.63999999998</v>
      </c>
      <c r="P46" s="195"/>
      <c r="Q46" s="196">
        <f t="shared" si="19"/>
        <v>100557.76385902587</v>
      </c>
      <c r="R46" s="196">
        <f t="shared" si="20"/>
        <v>100557.76385902587</v>
      </c>
      <c r="S46" s="191"/>
      <c r="T46" s="197"/>
      <c r="U46" s="191"/>
      <c r="V46" s="198"/>
      <c r="W46" s="106"/>
      <c r="X46">
        <v>18230688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214" customFormat="1">
      <c r="A47" s="210"/>
      <c r="B47" s="191"/>
      <c r="C47" s="211" t="s">
        <v>428</v>
      </c>
      <c r="D47" s="212">
        <v>18230698</v>
      </c>
      <c r="E47" s="191"/>
      <c r="F47" s="191"/>
      <c r="G47" s="191"/>
      <c r="H47" s="191"/>
      <c r="I47" s="194">
        <f>SUMIF('Program Costs'!D:D,'Gas CE'!D47,'Program Costs'!N:N)</f>
        <v>24509.88</v>
      </c>
      <c r="J47" s="194"/>
      <c r="K47" s="191"/>
      <c r="L47" s="191"/>
      <c r="M47" s="191"/>
      <c r="N47" s="350">
        <f t="shared" si="21"/>
        <v>24509.88</v>
      </c>
      <c r="O47" s="194">
        <f t="shared" si="18"/>
        <v>24509.88</v>
      </c>
      <c r="P47" s="195"/>
      <c r="Q47" s="196">
        <f t="shared" si="19"/>
        <v>22912.854071234924</v>
      </c>
      <c r="R47" s="196">
        <f t="shared" si="20"/>
        <v>22912.854071234924</v>
      </c>
      <c r="S47" s="191"/>
      <c r="T47" s="197"/>
      <c r="U47" s="191"/>
      <c r="V47" s="198"/>
      <c r="W47" s="213"/>
      <c r="X47">
        <v>18230698</v>
      </c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  <c r="IW47" s="213"/>
      <c r="IX47" s="213"/>
      <c r="IY47" s="213"/>
      <c r="IZ47" s="213"/>
      <c r="JA47" s="213"/>
      <c r="JB47" s="213"/>
      <c r="JC47" s="213"/>
      <c r="JD47" s="213"/>
      <c r="JE47" s="213"/>
      <c r="JF47" s="213"/>
      <c r="JG47" s="213"/>
      <c r="JH47" s="213"/>
      <c r="JI47" s="213"/>
      <c r="JJ47" s="213"/>
      <c r="JK47" s="213"/>
      <c r="JL47" s="213"/>
      <c r="JM47" s="213"/>
      <c r="JN47" s="213"/>
      <c r="JO47" s="213"/>
      <c r="JP47" s="213"/>
      <c r="JQ47" s="213"/>
      <c r="JR47" s="213"/>
      <c r="JS47" s="213"/>
      <c r="JT47" s="213"/>
      <c r="JU47" s="213"/>
      <c r="JV47" s="213"/>
      <c r="JW47" s="213"/>
      <c r="JX47" s="213"/>
      <c r="JY47" s="213"/>
      <c r="JZ47" s="213"/>
      <c r="KA47" s="213"/>
      <c r="KB47" s="213"/>
      <c r="KC47" s="213"/>
      <c r="KD47" s="213"/>
      <c r="KE47" s="213"/>
      <c r="KF47" s="213"/>
      <c r="KG47" s="213"/>
      <c r="KH47" s="213"/>
      <c r="KI47" s="213"/>
      <c r="KJ47" s="213"/>
      <c r="KK47" s="213"/>
      <c r="KL47" s="213"/>
      <c r="KM47" s="213"/>
      <c r="KN47" s="213"/>
      <c r="KO47" s="213"/>
      <c r="KP47" s="213"/>
      <c r="KQ47" s="213"/>
      <c r="KR47" s="213"/>
      <c r="KS47" s="213"/>
      <c r="KT47" s="213"/>
      <c r="KU47" s="213"/>
      <c r="KV47" s="213"/>
      <c r="KW47" s="213"/>
      <c r="KX47" s="213"/>
      <c r="KY47" s="213"/>
      <c r="KZ47" s="213"/>
      <c r="LA47" s="213"/>
      <c r="LB47" s="213"/>
      <c r="LC47" s="213"/>
      <c r="LD47" s="213"/>
      <c r="LE47" s="213"/>
      <c r="LF47" s="213"/>
      <c r="LG47" s="213"/>
      <c r="LH47" s="213"/>
      <c r="LI47" s="213"/>
      <c r="LJ47" s="213"/>
      <c r="LK47" s="213"/>
      <c r="LL47" s="213"/>
      <c r="LM47" s="213"/>
      <c r="LN47" s="213"/>
      <c r="LO47" s="213"/>
      <c r="LP47" s="213"/>
      <c r="LQ47" s="213"/>
      <c r="LR47" s="213"/>
      <c r="LS47" s="213"/>
      <c r="LT47" s="213"/>
      <c r="LU47" s="213"/>
      <c r="LV47" s="213"/>
      <c r="LW47" s="213"/>
      <c r="LX47" s="213"/>
      <c r="LY47" s="213"/>
      <c r="LZ47" s="213"/>
      <c r="MA47" s="213"/>
      <c r="MB47" s="213"/>
      <c r="MC47" s="213"/>
      <c r="MD47" s="213"/>
      <c r="ME47" s="213"/>
      <c r="MF47" s="213"/>
      <c r="MG47" s="213"/>
      <c r="MH47" s="213"/>
      <c r="MI47" s="213"/>
      <c r="MJ47" s="213"/>
      <c r="MK47" s="213"/>
      <c r="ML47" s="213"/>
      <c r="MM47" s="213"/>
      <c r="MN47" s="213"/>
      <c r="MO47" s="213"/>
      <c r="MP47" s="213"/>
      <c r="MQ47" s="213"/>
      <c r="MR47" s="213"/>
      <c r="MS47" s="213"/>
      <c r="MT47" s="213"/>
      <c r="MU47" s="213"/>
      <c r="MV47" s="213"/>
      <c r="MW47" s="213"/>
      <c r="MX47" s="213"/>
      <c r="MY47" s="213"/>
      <c r="MZ47" s="213"/>
      <c r="NA47" s="213"/>
      <c r="NB47" s="213"/>
      <c r="NC47" s="213"/>
      <c r="ND47" s="213"/>
      <c r="NE47" s="213"/>
      <c r="NF47" s="213"/>
      <c r="NG47" s="213"/>
      <c r="NH47" s="213"/>
      <c r="NI47" s="213"/>
      <c r="NJ47" s="213"/>
      <c r="NK47" s="213"/>
      <c r="NL47" s="213"/>
      <c r="NM47" s="213"/>
      <c r="NN47" s="213"/>
      <c r="NO47" s="213"/>
      <c r="NP47" s="213"/>
      <c r="NQ47" s="213"/>
      <c r="NR47" s="213"/>
      <c r="NS47" s="213"/>
      <c r="NT47" s="213"/>
      <c r="NU47" s="213"/>
      <c r="NV47" s="213"/>
      <c r="NW47" s="213"/>
      <c r="NX47" s="213"/>
      <c r="NY47" s="213"/>
      <c r="NZ47" s="213"/>
      <c r="OA47" s="213"/>
      <c r="OB47" s="213"/>
      <c r="OC47" s="213"/>
      <c r="OD47" s="213"/>
      <c r="OE47" s="213"/>
      <c r="OF47" s="213"/>
      <c r="OG47" s="213"/>
      <c r="OH47" s="213"/>
      <c r="OI47" s="213"/>
      <c r="OJ47" s="213"/>
      <c r="OK47" s="213"/>
      <c r="OL47" s="213"/>
      <c r="OM47" s="213"/>
      <c r="ON47" s="213"/>
      <c r="OO47" s="213"/>
      <c r="OP47" s="213"/>
      <c r="OQ47" s="213"/>
      <c r="OR47" s="213"/>
      <c r="OS47" s="213"/>
      <c r="OT47" s="213"/>
      <c r="OU47" s="213"/>
      <c r="OV47" s="213"/>
      <c r="OW47" s="213"/>
      <c r="OX47" s="213"/>
      <c r="OY47" s="213"/>
      <c r="OZ47" s="213"/>
      <c r="PA47" s="213"/>
      <c r="PB47" s="213"/>
      <c r="PC47" s="213"/>
      <c r="PD47" s="213"/>
      <c r="PE47" s="213"/>
      <c r="PF47" s="213"/>
      <c r="PG47" s="213"/>
      <c r="PH47" s="213"/>
      <c r="PI47" s="213"/>
    </row>
    <row r="48" spans="1:916" s="102" customFormat="1">
      <c r="B48" s="191"/>
      <c r="C48" s="211" t="s">
        <v>429</v>
      </c>
      <c r="D48" s="212">
        <v>18231031</v>
      </c>
      <c r="E48" s="191"/>
      <c r="F48" s="191"/>
      <c r="G48" s="191"/>
      <c r="H48" s="191"/>
      <c r="I48" s="194">
        <f>SUMIF('Program Costs'!D:D,'Gas CE'!D48,'Program Costs'!N:N)</f>
        <v>-139466.37</v>
      </c>
      <c r="J48" s="194"/>
      <c r="K48" s="191"/>
      <c r="L48" s="191"/>
      <c r="M48" s="191"/>
      <c r="N48" s="350">
        <f t="shared" si="21"/>
        <v>-139466.37</v>
      </c>
      <c r="O48" s="194">
        <f t="shared" si="18"/>
        <v>-139466.37</v>
      </c>
      <c r="P48" s="195"/>
      <c r="Q48" s="196">
        <f t="shared" si="19"/>
        <v>-130378.95671683647</v>
      </c>
      <c r="R48" s="196">
        <f t="shared" si="20"/>
        <v>-130378.95671683647</v>
      </c>
      <c r="S48" s="191"/>
      <c r="T48" s="197"/>
      <c r="U48" s="191"/>
      <c r="V48" s="198"/>
      <c r="W48" s="106"/>
      <c r="X48">
        <v>18231031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1" t="s">
        <v>430</v>
      </c>
      <c r="D49" s="212">
        <v>18230667</v>
      </c>
      <c r="E49" s="191"/>
      <c r="F49" s="191"/>
      <c r="G49" s="191"/>
      <c r="H49" s="191"/>
      <c r="I49" s="194">
        <f>SUMIF('Program Costs'!D:D,'Gas CE'!D49,'Program Costs'!N:N)</f>
        <v>279758.03999999998</v>
      </c>
      <c r="J49" s="194"/>
      <c r="K49" s="191"/>
      <c r="L49" s="191"/>
      <c r="M49" s="191"/>
      <c r="N49" s="350">
        <f t="shared" si="21"/>
        <v>279758.03999999998</v>
      </c>
      <c r="O49" s="194">
        <f t="shared" si="18"/>
        <v>279758.03999999998</v>
      </c>
      <c r="P49" s="195"/>
      <c r="Q49" s="196">
        <f t="shared" si="19"/>
        <v>261529.4381602318</v>
      </c>
      <c r="R49" s="196">
        <f t="shared" si="20"/>
        <v>261529.4381602318</v>
      </c>
      <c r="S49" s="191"/>
      <c r="T49" s="197"/>
      <c r="U49" s="191"/>
      <c r="V49" s="198"/>
      <c r="W49" s="106"/>
      <c r="X49">
        <v>18230667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B50" s="191"/>
      <c r="C50" s="215" t="s">
        <v>431</v>
      </c>
      <c r="D50" s="216">
        <v>18230704</v>
      </c>
      <c r="E50" s="201"/>
      <c r="F50" s="201"/>
      <c r="G50" s="202"/>
      <c r="H50" s="203"/>
      <c r="I50" s="194">
        <f>SUMIF('Program Costs'!D:D,'Gas CE'!D50,'Program Costs'!N:N)</f>
        <v>79775.81</v>
      </c>
      <c r="J50" s="194"/>
      <c r="K50" s="204"/>
      <c r="L50" s="204"/>
      <c r="M50" s="204"/>
      <c r="N50" s="350">
        <f t="shared" si="21"/>
        <v>79775.81</v>
      </c>
      <c r="O50" s="194">
        <f t="shared" si="18"/>
        <v>79775.81</v>
      </c>
      <c r="P50" s="196"/>
      <c r="Q50" s="196">
        <f t="shared" si="19"/>
        <v>74577.741422828825</v>
      </c>
      <c r="R50" s="196">
        <f t="shared" si="20"/>
        <v>74577.741422828825</v>
      </c>
      <c r="S50" s="206"/>
      <c r="T50" s="206"/>
      <c r="U50" s="207"/>
      <c r="V50" s="207"/>
      <c r="W50" s="106"/>
      <c r="X50">
        <v>18230704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A51" s="134"/>
      <c r="B51" s="191"/>
      <c r="C51" s="192" t="s">
        <v>432</v>
      </c>
      <c r="D51" s="191">
        <v>18230657</v>
      </c>
      <c r="E51" s="191"/>
      <c r="F51" s="191"/>
      <c r="G51" s="191"/>
      <c r="H51" s="191"/>
      <c r="I51" s="194">
        <f>SUMIF('Program Costs'!D:D,'Gas CE'!D51,'Program Costs'!N:N)</f>
        <v>177579.93000000002</v>
      </c>
      <c r="J51" s="194"/>
      <c r="K51" s="191"/>
      <c r="L51" s="191"/>
      <c r="M51" s="191"/>
      <c r="N51" s="350">
        <f t="shared" si="21"/>
        <v>177579.93000000002</v>
      </c>
      <c r="O51" s="194">
        <f t="shared" si="18"/>
        <v>177579.93000000002</v>
      </c>
      <c r="P51" s="195"/>
      <c r="Q51" s="196">
        <f t="shared" si="19"/>
        <v>166009.09600822662</v>
      </c>
      <c r="R51" s="196">
        <f t="shared" si="20"/>
        <v>166009.09600822662</v>
      </c>
      <c r="S51" s="191"/>
      <c r="T51" s="197"/>
      <c r="U51" s="191"/>
      <c r="V51" s="198"/>
      <c r="W51" s="106"/>
      <c r="X51">
        <v>18230657</v>
      </c>
      <c r="Y51"/>
      <c r="Z51"/>
      <c r="AA51"/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433</v>
      </c>
      <c r="D52" s="369" t="s">
        <v>476</v>
      </c>
      <c r="E52" s="201"/>
      <c r="F52" s="201"/>
      <c r="G52" s="202"/>
      <c r="H52" s="203"/>
      <c r="I52" s="194">
        <f>SUMIF('Program Costs'!D:D,'Gas CE'!X52,'Program Costs'!N:N)+SUMIF('Program Costs'!D:D,'Gas CE'!Y52,'Program Costs'!N:N)+SUMIF('Program Costs'!D:D,'Gas CE'!Z52,'Program Costs'!N:N)+SUMIF('Program Costs'!D:D,'Gas CE'!AA52,'Program Costs'!N:N)</f>
        <v>293680.52</v>
      </c>
      <c r="J52" s="194"/>
      <c r="K52" s="204"/>
      <c r="L52" s="204"/>
      <c r="M52" s="204"/>
      <c r="N52" s="350">
        <f t="shared" si="21"/>
        <v>293680.52</v>
      </c>
      <c r="O52" s="194">
        <f t="shared" si="18"/>
        <v>293680.52</v>
      </c>
      <c r="P52" s="196"/>
      <c r="Q52" s="196">
        <f t="shared" si="19"/>
        <v>274544.75086472841</v>
      </c>
      <c r="R52" s="196">
        <f t="shared" si="20"/>
        <v>274544.75086472841</v>
      </c>
      <c r="S52" s="206"/>
      <c r="T52" s="206"/>
      <c r="U52" s="207"/>
      <c r="V52" s="207"/>
      <c r="W52" s="106"/>
      <c r="X52">
        <v>18230665</v>
      </c>
      <c r="Y52">
        <v>18230737</v>
      </c>
      <c r="Z52">
        <v>18230690</v>
      </c>
      <c r="AA52">
        <v>18230662</v>
      </c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</row>
    <row r="53" spans="1:916" s="102" customFormat="1">
      <c r="B53" s="191"/>
      <c r="C53" s="192" t="s">
        <v>434</v>
      </c>
      <c r="D53" s="191">
        <v>18230732</v>
      </c>
      <c r="E53" s="201"/>
      <c r="F53" s="201"/>
      <c r="G53" s="202"/>
      <c r="H53" s="203"/>
      <c r="I53" s="194">
        <f>SUMIF('Program Costs'!D:D,'Gas CE'!D53,'Program Costs'!N:N)</f>
        <v>202264.84000000003</v>
      </c>
      <c r="J53" s="194"/>
      <c r="K53" s="218"/>
      <c r="L53" s="218"/>
      <c r="M53" s="218"/>
      <c r="N53" s="350">
        <f t="shared" si="21"/>
        <v>202264.84000000003</v>
      </c>
      <c r="O53" s="194">
        <f t="shared" si="18"/>
        <v>202264.84000000003</v>
      </c>
      <c r="P53" s="219"/>
      <c r="Q53" s="196">
        <f t="shared" si="19"/>
        <v>189085.57539497057</v>
      </c>
      <c r="R53" s="196">
        <f t="shared" si="20"/>
        <v>189085.57539497057</v>
      </c>
      <c r="S53" s="219"/>
      <c r="T53" s="194"/>
      <c r="U53" s="207"/>
      <c r="V53" s="207"/>
      <c r="W53" s="106"/>
      <c r="X53">
        <v>18230732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435</v>
      </c>
      <c r="D54" s="216">
        <v>18230675</v>
      </c>
      <c r="E54" s="201"/>
      <c r="F54" s="201"/>
      <c r="G54" s="202"/>
      <c r="H54" s="203"/>
      <c r="I54" s="194">
        <f>SUMIF('Program Costs'!D:D,'Gas CE'!D54,'Program Costs'!N:N)</f>
        <v>37716.060000000005</v>
      </c>
      <c r="J54" s="194"/>
      <c r="K54" s="204"/>
      <c r="L54" s="204"/>
      <c r="M54" s="204"/>
      <c r="N54" s="350">
        <f t="shared" si="21"/>
        <v>37716.060000000005</v>
      </c>
      <c r="O54" s="194">
        <f t="shared" si="18"/>
        <v>37716.060000000005</v>
      </c>
      <c r="P54" s="196"/>
      <c r="Q54" s="196">
        <f t="shared" si="19"/>
        <v>35258.539777507714</v>
      </c>
      <c r="R54" s="196">
        <f t="shared" si="20"/>
        <v>35258.539777507714</v>
      </c>
      <c r="S54" s="206"/>
      <c r="T54" s="206"/>
      <c r="U54" s="207"/>
      <c r="V54" s="207"/>
      <c r="W54" s="106"/>
      <c r="X54">
        <v>18230675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436</v>
      </c>
      <c r="D55" s="137"/>
      <c r="E55" s="137"/>
      <c r="F55" s="137"/>
      <c r="G55" s="137"/>
      <c r="H55" s="137">
        <f>SUM(H50:H54)</f>
        <v>0</v>
      </c>
      <c r="I55" s="221">
        <f>SUM(I43:I54)</f>
        <v>1316437.2700000003</v>
      </c>
      <c r="J55" s="137">
        <f>SUM(J43:J54)</f>
        <v>0</v>
      </c>
      <c r="K55" s="137">
        <f>SUM(K50:K54)</f>
        <v>0</v>
      </c>
      <c r="L55" s="137">
        <f>SUM(L50:L54)</f>
        <v>0</v>
      </c>
      <c r="M55" s="137">
        <f>SUM(M50:M54)</f>
        <v>0</v>
      </c>
      <c r="N55" s="370">
        <f>SUM(N43:N54)</f>
        <v>1316437.2700000003</v>
      </c>
      <c r="O55" s="221">
        <f>SUM(O43:O54)</f>
        <v>1316437.2700000003</v>
      </c>
      <c r="P55" s="221">
        <f>SUM(P43:P54)</f>
        <v>0</v>
      </c>
      <c r="Q55" s="221">
        <f>SUM(Q43:Q54)</f>
        <v>1230660.250537534</v>
      </c>
      <c r="R55" s="221">
        <f>SUM(R43:R54)</f>
        <v>1230660.250537534</v>
      </c>
      <c r="S55" s="137">
        <f>SUM(S50:S54)</f>
        <v>0</v>
      </c>
      <c r="T55" s="137">
        <f>SUM(T50:T54)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437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25331.01</v>
      </c>
      <c r="J56" s="265"/>
      <c r="K56" s="375"/>
      <c r="L56" s="375"/>
      <c r="M56" s="375"/>
      <c r="N56" s="376">
        <f>I56</f>
        <v>25331.01</v>
      </c>
      <c r="O56" s="222">
        <f>I56</f>
        <v>25331.01</v>
      </c>
      <c r="P56" s="268"/>
      <c r="Q56" s="377">
        <f t="shared" ref="Q56:R60" si="22">N56/(1+ElecDiscountRate)^1</f>
        <v>23680.480508553796</v>
      </c>
      <c r="R56" s="377">
        <f t="shared" si="22"/>
        <v>23680.480508553796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438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42896.54</v>
      </c>
      <c r="J57" s="265"/>
      <c r="K57" s="375"/>
      <c r="L57" s="375"/>
      <c r="M57" s="375"/>
      <c r="N57" s="376">
        <f>I57</f>
        <v>42896.54</v>
      </c>
      <c r="O57" s="222">
        <f>I57</f>
        <v>42896.54</v>
      </c>
      <c r="P57" s="268"/>
      <c r="Q57" s="377">
        <f t="shared" si="22"/>
        <v>40101.467701224639</v>
      </c>
      <c r="R57" s="377">
        <f t="shared" si="22"/>
        <v>40101.467701224639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439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22816.83</v>
      </c>
      <c r="J58" s="265"/>
      <c r="K58" s="375"/>
      <c r="L58" s="375"/>
      <c r="M58" s="375"/>
      <c r="N58" s="376">
        <f>I58</f>
        <v>22816.83</v>
      </c>
      <c r="O58" s="222">
        <f>I58</f>
        <v>22816.83</v>
      </c>
      <c r="P58" s="268"/>
      <c r="Q58" s="377">
        <f t="shared" si="22"/>
        <v>21330.120594559223</v>
      </c>
      <c r="R58" s="377">
        <f t="shared" si="22"/>
        <v>21330.120594559223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440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477104.13</v>
      </c>
      <c r="J59" s="265"/>
      <c r="K59" s="375"/>
      <c r="L59" s="375"/>
      <c r="M59" s="375"/>
      <c r="N59" s="376">
        <f>I59</f>
        <v>477104.13</v>
      </c>
      <c r="O59" s="222">
        <f>I59</f>
        <v>477104.13</v>
      </c>
      <c r="P59" s="268"/>
      <c r="Q59" s="377">
        <f t="shared" si="22"/>
        <v>446016.76170889032</v>
      </c>
      <c r="R59" s="377">
        <f t="shared" si="22"/>
        <v>446016.76170889032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442</v>
      </c>
      <c r="D60" s="137"/>
      <c r="E60" s="137"/>
      <c r="F60" s="137"/>
      <c r="G60" s="137"/>
      <c r="H60" s="137">
        <f t="shared" ref="H60:P60" si="23">SUM(H56:H59)</f>
        <v>0</v>
      </c>
      <c r="I60" s="221">
        <f t="shared" si="23"/>
        <v>568148.51</v>
      </c>
      <c r="J60" s="137">
        <f t="shared" si="23"/>
        <v>0</v>
      </c>
      <c r="K60" s="137">
        <f t="shared" si="23"/>
        <v>0</v>
      </c>
      <c r="L60" s="137">
        <f t="shared" si="23"/>
        <v>0</v>
      </c>
      <c r="M60" s="137">
        <f t="shared" si="23"/>
        <v>0</v>
      </c>
      <c r="N60" s="370">
        <f t="shared" si="23"/>
        <v>568148.51</v>
      </c>
      <c r="O60" s="221">
        <f t="shared" si="23"/>
        <v>568148.51</v>
      </c>
      <c r="P60" s="221">
        <f t="shared" si="23"/>
        <v>0</v>
      </c>
      <c r="Q60" s="221">
        <f t="shared" si="22"/>
        <v>531128.83051322796</v>
      </c>
      <c r="R60" s="221">
        <f t="shared" si="22"/>
        <v>531128.83051322796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477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1884585.7800000003</v>
      </c>
      <c r="J61" s="321">
        <f t="shared" ref="J61:T61" si="24">J55+J60</f>
        <v>0</v>
      </c>
      <c r="K61" s="321">
        <f t="shared" si="24"/>
        <v>0</v>
      </c>
      <c r="L61" s="321">
        <f t="shared" si="24"/>
        <v>0</v>
      </c>
      <c r="M61" s="321">
        <f t="shared" si="24"/>
        <v>0</v>
      </c>
      <c r="N61" s="347">
        <f t="shared" si="24"/>
        <v>1884585.7800000003</v>
      </c>
      <c r="O61" s="321">
        <f t="shared" si="24"/>
        <v>1884585.7800000003</v>
      </c>
      <c r="P61" s="321">
        <f t="shared" si="24"/>
        <v>0</v>
      </c>
      <c r="Q61" s="321">
        <f t="shared" si="24"/>
        <v>1761789.081050762</v>
      </c>
      <c r="R61" s="321">
        <f t="shared" si="24"/>
        <v>1761789.081050762</v>
      </c>
      <c r="S61" s="321">
        <f t="shared" si="24"/>
        <v>0</v>
      </c>
      <c r="T61" s="321">
        <f t="shared" si="24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478</v>
      </c>
      <c r="C62" s="382"/>
      <c r="D62" s="382"/>
      <c r="E62" s="382"/>
      <c r="F62" s="382"/>
      <c r="G62" s="382"/>
      <c r="H62" s="383">
        <f t="shared" ref="H62:T62" si="25">SUM(H22,H35,H38,H41,H61)</f>
        <v>2355061.94</v>
      </c>
      <c r="I62" s="383">
        <f t="shared" si="25"/>
        <v>5187267.54</v>
      </c>
      <c r="J62" s="383">
        <f t="shared" si="25"/>
        <v>8404114.4199999999</v>
      </c>
      <c r="K62" s="383">
        <f t="shared" si="25"/>
        <v>11713321.289999988</v>
      </c>
      <c r="L62" s="383">
        <f t="shared" si="25"/>
        <v>20117435.709999986</v>
      </c>
      <c r="M62" s="383">
        <f t="shared" si="25"/>
        <v>0</v>
      </c>
      <c r="N62" s="384">
        <f t="shared" si="25"/>
        <v>15349863.370000001</v>
      </c>
      <c r="O62" s="383">
        <f t="shared" si="25"/>
        <v>25304703.249999985</v>
      </c>
      <c r="P62" s="383">
        <f t="shared" si="25"/>
        <v>43710.829999999994</v>
      </c>
      <c r="Q62" s="383">
        <f t="shared" si="25"/>
        <v>14349689.978498641</v>
      </c>
      <c r="R62" s="383">
        <f t="shared" si="25"/>
        <v>23655887.865756739</v>
      </c>
      <c r="S62" s="383">
        <f t="shared" si="25"/>
        <v>28357435.911294952</v>
      </c>
      <c r="T62" s="383">
        <f t="shared" si="25"/>
        <v>4390267.3791794963</v>
      </c>
      <c r="U62" s="385">
        <f>S62/Q62</f>
        <v>1.9761706318244718</v>
      </c>
      <c r="V62" s="385">
        <f>(S62*1.1+T62)/R62</f>
        <v>1.5042110058829383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444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445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312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446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479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40">
    <cfRule type="containsBlanks" dxfId="317" priority="3">
      <formula>LEN(TRIM(G40))=0</formula>
    </cfRule>
    <cfRule type="notContainsBlanks" dxfId="316" priority="4">
      <formula>LEN(TRIM(G40))&gt;0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H New Construction {G}'!A1" display="Manufactured Home New Construction"/>
    <hyperlink ref="C19" location="'Multi Family Retrofit {G}'!A1" display="Multi-Family Retrofit"/>
    <hyperlink ref="C20" location="'MF New Construction {G}'!A1" display="Multi-Family New Construction"/>
    <hyperlink ref="C24" location="'CI Retrofit {G}'!A1" display="Commercial/Industrial Retrofit"/>
    <hyperlink ref="C25" location="'CBA {G}'!A1" display="Clean Buildiings Accellerator"/>
    <hyperlink ref="C26" location="'Industrial EM {G}'!A1" display="Industrial Energy Management"/>
    <hyperlink ref="C27" location="'CI New Construction {G}'!A1" display="Commercial/Industrial New Construction"/>
    <hyperlink ref="C28" location="'Com SEM {G}'!A1" display="Commercial Strategic Energy Management"/>
    <hyperlink ref="C29" location="'P4P {G}'!A1" display="Pay for Performance"/>
    <hyperlink ref="C31" location="'Commercial Kitchen Laundry {G}'!A1" display="Commercial Kitchen &amp; Laundry"/>
    <hyperlink ref="C32" location="'Commercial HVAC {G}'!A1" display="Commercial HVAC"/>
    <hyperlink ref="C33" location="'Commercial Midstream {G}'!A1" display="Commercial Midstream"/>
    <hyperlink ref="C34" location="'SBDI {G}'!A1" display="Small Business Direct Install"/>
    <hyperlink ref="C36" location="'G245 NEEA GAS'!A1" display="NEEA Gas Market Transformation Study"/>
    <hyperlink ref="C37" location="'TDSM {G}'!A1" display="Targeted DSM Pilot"/>
    <hyperlink ref="C39" location="'G249 Res Gas Pilot'!A1" display="Residential Pilots"/>
    <hyperlink ref="C40" location="'G249 Com Gas Pilot'!A1" display="Commercial"/>
  </hyperlinks>
  <pageMargins left="0.7" right="0.7" top="0.75" bottom="0.75" header="0.3" footer="0.3"/>
  <pageSetup orientation="portrait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: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0.21119297865749423</v>
      </c>
      <c r="V5" s="48">
        <f t="shared" ref="V5:V24" si="2">N5-M5</f>
        <v>-225</v>
      </c>
      <c r="W5" s="49">
        <f t="shared" ref="W5:W24" si="3">(O5/A$10)</f>
        <v>1.4079531910499616E-2</v>
      </c>
      <c r="X5" s="44">
        <f t="shared" ref="X5:X24" si="4">W5*A$8</f>
        <v>814.81052992911452</v>
      </c>
      <c r="Y5" s="44">
        <f t="shared" ref="Y5:Y24" si="5">Q5-P5</f>
        <v>-6750</v>
      </c>
      <c r="Z5" s="44">
        <f t="shared" ref="Z5:Z24" si="6">X5+(A$6*W5)</f>
        <v>3512.3484569183192</v>
      </c>
      <c r="AA5" s="50">
        <f t="shared" ref="AA5:AA24" si="7">Q5+X5</f>
        <v>814.81052992911452</v>
      </c>
      <c r="AB5" s="51">
        <f t="shared" ref="AB5:AC20" si="8">Z5/(1+ElecDiscountRate)^1</f>
        <v>3283.489255789772</v>
      </c>
      <c r="AC5" s="44">
        <f t="shared" si="8"/>
        <v>761.71873415828213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4.8530860877388831</v>
      </c>
      <c r="AP5" s="47">
        <f>AN5/AC5</f>
        <v>23.011855745591287</v>
      </c>
    </row>
    <row r="6" spans="1:42" ht="13.5" customHeight="1">
      <c r="A6" s="53">
        <f>SUMIF('Program Costs'!D:D,C2,'Program Costs'!L:L)</f>
        <v>191592.87</v>
      </c>
      <c r="B6" s="97" t="s">
        <v>70</v>
      </c>
      <c r="C6" s="98">
        <v>18230718</v>
      </c>
      <c r="D6" s="61" t="s">
        <v>132</v>
      </c>
      <c r="E6" s="38" t="s">
        <v>1237</v>
      </c>
      <c r="F6" s="39" t="s">
        <v>1238</v>
      </c>
      <c r="G6" s="39">
        <v>10</v>
      </c>
      <c r="H6" s="39"/>
      <c r="I6" s="40" t="s">
        <v>275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5.3662298625289234E-3</v>
      </c>
      <c r="V6" s="48">
        <f t="shared" si="2"/>
        <v>-130.4</v>
      </c>
      <c r="W6" s="49">
        <f t="shared" si="3"/>
        <v>5.3662298625289234E-4</v>
      </c>
      <c r="X6" s="44">
        <f t="shared" si="4"/>
        <v>31.055440094197518</v>
      </c>
      <c r="Y6" s="44">
        <f t="shared" si="5"/>
        <v>-30.79000000000002</v>
      </c>
      <c r="Z6" s="44">
        <f t="shared" si="6"/>
        <v>133.86857813835971</v>
      </c>
      <c r="AA6" s="50">
        <f t="shared" si="7"/>
        <v>170.2554400941975</v>
      </c>
      <c r="AB6" s="51">
        <f t="shared" si="8"/>
        <v>125.14590832790473</v>
      </c>
      <c r="AC6" s="44">
        <f t="shared" si="8"/>
        <v>159.16185855304991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4.5888503015228279</v>
      </c>
      <c r="AP6" s="47">
        <f t="shared" ref="AP6:AP24" si="16">AN6/AC6</f>
        <v>3.9689372116171127</v>
      </c>
    </row>
    <row r="7" spans="1:42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1239</v>
      </c>
      <c r="F7" s="39" t="s">
        <v>1240</v>
      </c>
      <c r="G7" s="39">
        <v>10</v>
      </c>
      <c r="H7" s="39"/>
      <c r="I7" s="40" t="s">
        <v>275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3.5861331781650074E-2</v>
      </c>
      <c r="V7" s="48">
        <f t="shared" si="2"/>
        <v>-130.4</v>
      </c>
      <c r="W7" s="49">
        <f t="shared" si="3"/>
        <v>3.5861331781650071E-3</v>
      </c>
      <c r="X7" s="44">
        <f t="shared" si="4"/>
        <v>207.53666342543349</v>
      </c>
      <c r="Y7" s="44">
        <f t="shared" si="5"/>
        <v>694.22999999999979</v>
      </c>
      <c r="Z7" s="44">
        <f t="shared" si="6"/>
        <v>894.61421123228854</v>
      </c>
      <c r="AA7" s="50">
        <f t="shared" si="7"/>
        <v>2573.2366634254331</v>
      </c>
      <c r="AB7" s="51">
        <f t="shared" si="8"/>
        <v>836.32253083321348</v>
      </c>
      <c r="AC7" s="44">
        <f t="shared" si="8"/>
        <v>2405.5685364358537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4.5888503015228279</v>
      </c>
      <c r="AP7" s="47">
        <f t="shared" si="16"/>
        <v>1.754901065432741</v>
      </c>
    </row>
    <row r="8" spans="1:42" ht="13.5" customHeight="1">
      <c r="A8" s="53">
        <f>SUMIF('Program Costs'!D:D,C2,'Program Costs'!O:O)</f>
        <v>57871.989999999991</v>
      </c>
      <c r="B8" s="97" t="s">
        <v>70</v>
      </c>
      <c r="C8" s="98">
        <v>18230718</v>
      </c>
      <c r="D8" s="61" t="s">
        <v>132</v>
      </c>
      <c r="E8" s="38" t="s">
        <v>1241</v>
      </c>
      <c r="F8" s="39" t="s">
        <v>1242</v>
      </c>
      <c r="G8" s="39">
        <v>10</v>
      </c>
      <c r="H8" s="39"/>
      <c r="I8" s="40" t="s">
        <v>275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0.21622859418866228</v>
      </c>
      <c r="V8" s="48">
        <f t="shared" si="2"/>
        <v>-130.4</v>
      </c>
      <c r="W8" s="49">
        <f t="shared" si="3"/>
        <v>2.1622859418866228E-2</v>
      </c>
      <c r="X8" s="44">
        <f t="shared" si="4"/>
        <v>1251.3579040600318</v>
      </c>
      <c r="Y8" s="44">
        <f t="shared" si="5"/>
        <v>25538.63</v>
      </c>
      <c r="Z8" s="44">
        <f t="shared" si="6"/>
        <v>5394.143597727144</v>
      </c>
      <c r="AA8" s="50">
        <f t="shared" si="7"/>
        <v>33695.397904060032</v>
      </c>
      <c r="AB8" s="51">
        <f t="shared" si="8"/>
        <v>5042.6695313893088</v>
      </c>
      <c r="AC8" s="44">
        <f t="shared" si="8"/>
        <v>31499.857814396586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4.5888503015228279</v>
      </c>
      <c r="AP8" s="47">
        <f t="shared" si="16"/>
        <v>0.80806908112207265</v>
      </c>
    </row>
    <row r="9" spans="1:42" ht="13.5" customHeight="1">
      <c r="A9" s="36" t="s">
        <v>251</v>
      </c>
      <c r="B9" s="97" t="s">
        <v>70</v>
      </c>
      <c r="C9" s="98">
        <v>18230718</v>
      </c>
      <c r="D9" s="61" t="s">
        <v>132</v>
      </c>
      <c r="E9" s="38" t="s">
        <v>1243</v>
      </c>
      <c r="F9" s="39" t="s">
        <v>1244</v>
      </c>
      <c r="G9" s="39">
        <v>10</v>
      </c>
      <c r="H9" s="39"/>
      <c r="I9" s="40" t="s">
        <v>275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1.5280112150929817E-3</v>
      </c>
      <c r="V9" s="48">
        <f t="shared" si="2"/>
        <v>-130.4</v>
      </c>
      <c r="W9" s="49">
        <f t="shared" si="3"/>
        <v>1.5280112150929816E-4</v>
      </c>
      <c r="X9" s="44">
        <f t="shared" si="4"/>
        <v>8.8429049759748874</v>
      </c>
      <c r="Y9" s="44">
        <f t="shared" si="5"/>
        <v>-95.6</v>
      </c>
      <c r="Z9" s="44">
        <f t="shared" si="6"/>
        <v>38.11851038516005</v>
      </c>
      <c r="AA9" s="50">
        <f t="shared" si="7"/>
        <v>113.24290497597489</v>
      </c>
      <c r="AB9" s="51">
        <f t="shared" si="8"/>
        <v>35.634767117098299</v>
      </c>
      <c r="AC9" s="44">
        <f t="shared" si="8"/>
        <v>105.86417217535279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4.588850301522827</v>
      </c>
      <c r="AP9" s="47">
        <f t="shared" si="16"/>
        <v>1.6991099945980572</v>
      </c>
    </row>
    <row r="10" spans="1:42" ht="13.5" customHeight="1">
      <c r="A10" s="54">
        <f>SUM(O5:O999)</f>
        <v>1099468.3700000001</v>
      </c>
      <c r="B10" s="97" t="s">
        <v>70</v>
      </c>
      <c r="C10" s="98">
        <v>18230718</v>
      </c>
      <c r="D10" s="61" t="s">
        <v>132</v>
      </c>
      <c r="E10" s="38" t="s">
        <v>1245</v>
      </c>
      <c r="F10" s="39" t="s">
        <v>1246</v>
      </c>
      <c r="G10" s="39">
        <v>10</v>
      </c>
      <c r="H10" s="39"/>
      <c r="I10" s="40" t="s">
        <v>275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2.140816474784081E-2</v>
      </c>
      <c r="V10" s="48">
        <f t="shared" si="2"/>
        <v>-130.4</v>
      </c>
      <c r="W10" s="49">
        <f t="shared" si="3"/>
        <v>2.1408164747840812E-3</v>
      </c>
      <c r="X10" s="44">
        <f t="shared" si="4"/>
        <v>123.89330962053958</v>
      </c>
      <c r="Y10" s="44">
        <f t="shared" si="5"/>
        <v>2429.5700000000002</v>
      </c>
      <c r="Z10" s="44">
        <f t="shared" si="6"/>
        <v>534.05848216770437</v>
      </c>
      <c r="AA10" s="50">
        <f t="shared" si="7"/>
        <v>3609.4633096205398</v>
      </c>
      <c r="AB10" s="51">
        <f t="shared" si="8"/>
        <v>499.26005624726963</v>
      </c>
      <c r="AC10" s="44">
        <f t="shared" si="8"/>
        <v>3374.2762546700378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4.588850301522827</v>
      </c>
      <c r="AP10" s="47">
        <f t="shared" si="16"/>
        <v>0.74686612340218228</v>
      </c>
    </row>
    <row r="11" spans="1:42" ht="13.5" customHeight="1">
      <c r="A11" s="36" t="s">
        <v>252</v>
      </c>
      <c r="B11" s="97" t="s">
        <v>70</v>
      </c>
      <c r="C11" s="98">
        <v>18230718</v>
      </c>
      <c r="D11" s="61" t="s">
        <v>132</v>
      </c>
      <c r="E11" s="38" t="s">
        <v>1247</v>
      </c>
      <c r="F11" s="39" t="s">
        <v>1248</v>
      </c>
      <c r="G11" s="39">
        <v>15</v>
      </c>
      <c r="H11" s="39"/>
      <c r="I11" s="40" t="s">
        <v>275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1.1398638962210434</v>
      </c>
      <c r="V11" s="48">
        <f t="shared" si="2"/>
        <v>1615.35</v>
      </c>
      <c r="W11" s="49">
        <f t="shared" si="3"/>
        <v>7.5990926414736232E-2</v>
      </c>
      <c r="X11" s="44">
        <f t="shared" si="4"/>
        <v>4397.7461335643502</v>
      </c>
      <c r="Y11" s="44">
        <f t="shared" si="5"/>
        <v>84935.07</v>
      </c>
      <c r="Z11" s="44">
        <f t="shared" si="6"/>
        <v>18957.065819322474</v>
      </c>
      <c r="AA11" s="50">
        <f t="shared" si="7"/>
        <v>115622.81613356435</v>
      </c>
      <c r="AB11" s="51">
        <f t="shared" si="8"/>
        <v>17721.852687036058</v>
      </c>
      <c r="AC11" s="44">
        <f t="shared" si="8"/>
        <v>108089.01199734911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6.500267220929782</v>
      </c>
      <c r="AP11" s="47">
        <f t="shared" si="16"/>
        <v>1.1723342973138038</v>
      </c>
    </row>
    <row r="12" spans="1:42" ht="13.5" customHeight="1">
      <c r="A12" s="55">
        <f>SUM(P5:P1000)</f>
        <v>191592.87</v>
      </c>
      <c r="B12" s="97" t="s">
        <v>70</v>
      </c>
      <c r="C12" s="98">
        <v>18230718</v>
      </c>
      <c r="D12" s="61" t="s">
        <v>132</v>
      </c>
      <c r="E12" s="38" t="s">
        <v>1249</v>
      </c>
      <c r="F12" s="39" t="s">
        <v>1250</v>
      </c>
      <c r="G12" s="39">
        <v>15</v>
      </c>
      <c r="H12" s="39"/>
      <c r="I12" s="40" t="s">
        <v>270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0.38901528381393996</v>
      </c>
      <c r="V12" s="48">
        <f t="shared" si="2"/>
        <v>75.199999999999989</v>
      </c>
      <c r="W12" s="49">
        <f t="shared" si="3"/>
        <v>2.5934352254262664E-2</v>
      </c>
      <c r="X12" s="44">
        <f t="shared" si="4"/>
        <v>1500.872574315166</v>
      </c>
      <c r="Y12" s="44">
        <f t="shared" si="5"/>
        <v>3985.6000000000004</v>
      </c>
      <c r="Z12" s="44">
        <f t="shared" si="6"/>
        <v>6469.7095543003197</v>
      </c>
      <c r="AA12" s="50">
        <f t="shared" si="7"/>
        <v>13436.472574315167</v>
      </c>
      <c r="AB12" s="51">
        <f t="shared" si="8"/>
        <v>6048.1532712913149</v>
      </c>
      <c r="AC12" s="44">
        <f t="shared" si="8"/>
        <v>12560.972772099809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4.8530860877388831</v>
      </c>
      <c r="AP12" s="47">
        <f t="shared" si="16"/>
        <v>2.5704561209522043</v>
      </c>
    </row>
    <row r="13" spans="1:42" ht="13.5" customHeight="1">
      <c r="A13" s="56" t="s">
        <v>255</v>
      </c>
      <c r="B13" s="97" t="s">
        <v>70</v>
      </c>
      <c r="C13" s="98">
        <v>18230718</v>
      </c>
      <c r="D13" s="61" t="s">
        <v>132</v>
      </c>
      <c r="E13" s="38" t="s">
        <v>1251</v>
      </c>
      <c r="F13" s="39" t="s">
        <v>1252</v>
      </c>
      <c r="G13" s="39">
        <v>15</v>
      </c>
      <c r="H13" s="39"/>
      <c r="I13" s="40" t="s">
        <v>270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1.482034449067416</v>
      </c>
      <c r="V13" s="48">
        <f t="shared" si="2"/>
        <v>75.199999999999989</v>
      </c>
      <c r="W13" s="49">
        <f t="shared" si="3"/>
        <v>9.8802296604494397E-2</v>
      </c>
      <c r="X13" s="44">
        <f t="shared" si="4"/>
        <v>5717.8855210723332</v>
      </c>
      <c r="Y13" s="44">
        <f t="shared" si="5"/>
        <v>12784</v>
      </c>
      <c r="Z13" s="44">
        <f t="shared" si="6"/>
        <v>24647.70109011867</v>
      </c>
      <c r="AA13" s="50">
        <f t="shared" si="7"/>
        <v>44001.885521072334</v>
      </c>
      <c r="AB13" s="51">
        <f t="shared" si="8"/>
        <v>23041.694951966594</v>
      </c>
      <c r="AC13" s="44">
        <f t="shared" si="8"/>
        <v>41134.790615193357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4.8530860877388839</v>
      </c>
      <c r="AP13" s="47">
        <f t="shared" si="16"/>
        <v>2.9903072384866056</v>
      </c>
    </row>
    <row r="14" spans="1:42" ht="13.5" customHeight="1">
      <c r="A14" s="55">
        <f>SUM(Y5:Y1000)</f>
        <v>371240.10000000003</v>
      </c>
      <c r="B14" s="97" t="s">
        <v>70</v>
      </c>
      <c r="C14" s="98">
        <v>18230718</v>
      </c>
      <c r="D14" s="61" t="s">
        <v>132</v>
      </c>
      <c r="E14" s="38" t="s">
        <v>1253</v>
      </c>
      <c r="F14" s="39" t="s">
        <v>1254</v>
      </c>
      <c r="G14" s="39">
        <v>15</v>
      </c>
      <c r="H14" s="39"/>
      <c r="I14" s="40" t="s">
        <v>270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8.5708741216448079</v>
      </c>
      <c r="V14" s="48">
        <f t="shared" si="2"/>
        <v>-774.8</v>
      </c>
      <c r="W14" s="49">
        <f t="shared" si="3"/>
        <v>0.57139160810965384</v>
      </c>
      <c r="X14" s="44">
        <f t="shared" si="4"/>
        <v>33067.569430605799</v>
      </c>
      <c r="Y14" s="44">
        <f t="shared" si="5"/>
        <v>194028.2</v>
      </c>
      <c r="Z14" s="44">
        <f t="shared" si="6"/>
        <v>142542.12752224965</v>
      </c>
      <c r="AA14" s="50">
        <f t="shared" si="7"/>
        <v>304095.76943060581</v>
      </c>
      <c r="AB14" s="51">
        <f t="shared" si="8"/>
        <v>133254.30262900778</v>
      </c>
      <c r="AC14" s="44">
        <f t="shared" si="8"/>
        <v>284281.35872731212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4.8530860877388839</v>
      </c>
      <c r="AP14" s="47">
        <f t="shared" si="16"/>
        <v>2.502323985036798</v>
      </c>
    </row>
    <row r="15" spans="1:42" ht="13.5" customHeight="1">
      <c r="A15" s="57" t="s">
        <v>258</v>
      </c>
      <c r="B15" s="97" t="s">
        <v>70</v>
      </c>
      <c r="C15" s="98">
        <v>18230718</v>
      </c>
      <c r="D15" s="61" t="s">
        <v>132</v>
      </c>
      <c r="E15" s="38" t="s">
        <v>1255</v>
      </c>
      <c r="F15" s="39" t="s">
        <v>1256</v>
      </c>
      <c r="G15" s="39">
        <v>15</v>
      </c>
      <c r="H15" s="39"/>
      <c r="I15" s="40" t="s">
        <v>270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0.99047869835491487</v>
      </c>
      <c r="V15" s="48">
        <f t="shared" si="2"/>
        <v>-774.8</v>
      </c>
      <c r="W15" s="49">
        <f t="shared" si="3"/>
        <v>6.603191322366099E-2</v>
      </c>
      <c r="X15" s="44">
        <f t="shared" si="4"/>
        <v>3821.3982217605758</v>
      </c>
      <c r="Y15" s="44">
        <f t="shared" si="5"/>
        <v>26158</v>
      </c>
      <c r="Z15" s="44">
        <f t="shared" si="6"/>
        <v>16472.641987872736</v>
      </c>
      <c r="AA15" s="50">
        <f t="shared" si="7"/>
        <v>40979.398221760574</v>
      </c>
      <c r="AB15" s="51">
        <f t="shared" si="8"/>
        <v>15399.310075603191</v>
      </c>
      <c r="AC15" s="44">
        <f t="shared" si="8"/>
        <v>38309.243920501605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4.8530860877388839</v>
      </c>
      <c r="AP15" s="47">
        <f t="shared" si="16"/>
        <v>2.1458944845831716</v>
      </c>
    </row>
    <row r="16" spans="1:42" ht="13.5" customHeight="1">
      <c r="A16" s="54">
        <f>SUM(U5:U999)</f>
        <v>14.859803834102109</v>
      </c>
      <c r="B16" s="97" t="s">
        <v>70</v>
      </c>
      <c r="C16" s="98">
        <v>18230718</v>
      </c>
      <c r="D16" s="61" t="s">
        <v>132</v>
      </c>
      <c r="E16" s="38" t="s">
        <v>1257</v>
      </c>
      <c r="F16" s="39" t="s">
        <v>1258</v>
      </c>
      <c r="G16" s="39">
        <v>15</v>
      </c>
      <c r="H16" s="39"/>
      <c r="I16" s="40" t="s">
        <v>270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0.38812849159089491</v>
      </c>
      <c r="V16" s="48">
        <f t="shared" si="2"/>
        <v>-574.79999999999995</v>
      </c>
      <c r="W16" s="49">
        <f t="shared" si="3"/>
        <v>2.5875232772726329E-2</v>
      </c>
      <c r="X16" s="44">
        <f t="shared" si="4"/>
        <v>1497.4512122708902</v>
      </c>
      <c r="Y16" s="44">
        <f t="shared" si="5"/>
        <v>6673.4</v>
      </c>
      <c r="Z16" s="44">
        <f t="shared" si="6"/>
        <v>6454.9613211155847</v>
      </c>
      <c r="AA16" s="50">
        <f t="shared" si="7"/>
        <v>13770.851212270889</v>
      </c>
      <c r="AB16" s="51">
        <f t="shared" si="8"/>
        <v>6034.3660102043414</v>
      </c>
      <c r="AC16" s="44">
        <f t="shared" si="8"/>
        <v>12873.563814406738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4.8530860877388839</v>
      </c>
      <c r="AP16" s="47">
        <f t="shared" si="16"/>
        <v>2.5023239850367984</v>
      </c>
    </row>
    <row r="17" spans="1:42" ht="13.5" customHeight="1">
      <c r="A17" s="58" t="s">
        <v>261</v>
      </c>
      <c r="B17" s="97" t="s">
        <v>70</v>
      </c>
      <c r="C17" s="98">
        <v>18230718</v>
      </c>
      <c r="D17" s="61" t="s">
        <v>132</v>
      </c>
      <c r="E17" s="38" t="s">
        <v>1259</v>
      </c>
      <c r="F17" s="39" t="s">
        <v>1260</v>
      </c>
      <c r="G17" s="39">
        <v>15</v>
      </c>
      <c r="H17" s="39"/>
      <c r="I17" s="40" t="s">
        <v>270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0.71216236989155035</v>
      </c>
      <c r="V17" s="48">
        <f t="shared" si="2"/>
        <v>-1774.8</v>
      </c>
      <c r="W17" s="49">
        <f t="shared" si="3"/>
        <v>4.7477491326103356E-2</v>
      </c>
      <c r="X17" s="44">
        <f t="shared" si="4"/>
        <v>2747.6169032493399</v>
      </c>
      <c r="Y17" s="44">
        <f t="shared" si="5"/>
        <v>14520</v>
      </c>
      <c r="Z17" s="44">
        <f t="shared" si="6"/>
        <v>11843.965726817587</v>
      </c>
      <c r="AA17" s="50">
        <f t="shared" si="7"/>
        <v>25267.616903249342</v>
      </c>
      <c r="AB17" s="51">
        <f t="shared" si="8"/>
        <v>11072.231211384113</v>
      </c>
      <c r="AC17" s="44">
        <f t="shared" si="8"/>
        <v>23621.218008085762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4.8530860877388831</v>
      </c>
      <c r="AP17" s="47">
        <f t="shared" si="16"/>
        <v>2.5023239850367975</v>
      </c>
    </row>
    <row r="18" spans="1:42" ht="13.5" customHeight="1">
      <c r="A18" s="59">
        <f>A6+A8</f>
        <v>249464.86</v>
      </c>
      <c r="B18" s="97" t="s">
        <v>70</v>
      </c>
      <c r="C18" s="98">
        <v>18230718</v>
      </c>
      <c r="D18" s="61" t="s">
        <v>132</v>
      </c>
      <c r="E18" s="38" t="s">
        <v>1261</v>
      </c>
      <c r="F18" s="39" t="s">
        <v>1262</v>
      </c>
      <c r="G18" s="39">
        <v>15</v>
      </c>
      <c r="H18" s="39"/>
      <c r="I18" s="40" t="s">
        <v>270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0.38343531428739508</v>
      </c>
      <c r="V18" s="48">
        <f t="shared" si="2"/>
        <v>-2187.09</v>
      </c>
      <c r="W18" s="49">
        <f t="shared" si="3"/>
        <v>2.5562354285826337E-2</v>
      </c>
      <c r="X18" s="44">
        <f t="shared" si="4"/>
        <v>1479.3443116057988</v>
      </c>
      <c r="Y18" s="44">
        <f t="shared" si="5"/>
        <v>3451.8500000000004</v>
      </c>
      <c r="Z18" s="44">
        <f t="shared" si="6"/>
        <v>6376.9091331840673</v>
      </c>
      <c r="AA18" s="50">
        <f t="shared" si="7"/>
        <v>12431.194311605799</v>
      </c>
      <c r="AB18" s="51">
        <f t="shared" si="8"/>
        <v>5961.3995822979032</v>
      </c>
      <c r="AC18" s="44">
        <f t="shared" si="8"/>
        <v>11621.196888478824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4.8530860877388831</v>
      </c>
      <c r="AP18" s="47">
        <f t="shared" si="16"/>
        <v>2.7384704191255018</v>
      </c>
    </row>
    <row r="19" spans="1:42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1263</v>
      </c>
      <c r="F19" s="39" t="s">
        <v>1264</v>
      </c>
      <c r="G19" s="39">
        <v>15</v>
      </c>
      <c r="H19" s="39"/>
      <c r="I19" s="40" t="s">
        <v>270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0.31222589877687879</v>
      </c>
      <c r="V19" s="48">
        <f t="shared" si="2"/>
        <v>-1187.0899999999999</v>
      </c>
      <c r="W19" s="49">
        <f t="shared" si="3"/>
        <v>2.0815059918458587E-2</v>
      </c>
      <c r="X19" s="44">
        <f t="shared" si="4"/>
        <v>1204.6089394504361</v>
      </c>
      <c r="Y19" s="44">
        <f t="shared" si="5"/>
        <v>2917.9400000000005</v>
      </c>
      <c r="Z19" s="44">
        <f t="shared" si="6"/>
        <v>5192.6260084498826</v>
      </c>
      <c r="AA19" s="50">
        <f t="shared" si="7"/>
        <v>10122.548939450437</v>
      </c>
      <c r="AB19" s="51">
        <f t="shared" si="8"/>
        <v>4854.2825170140059</v>
      </c>
      <c r="AC19" s="44">
        <f t="shared" si="8"/>
        <v>9462.9792833976207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4.8530860877388839</v>
      </c>
      <c r="AP19" s="47">
        <f t="shared" si="16"/>
        <v>2.7384690664669784</v>
      </c>
    </row>
    <row r="20" spans="1:42" ht="13.5" customHeight="1">
      <c r="A20" s="59">
        <f>A8+SUM(Q5:Q906)</f>
        <v>620704.96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4.9708479391988343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2.1975933199516851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4 R5:S24">
    <cfRule type="expression" dxfId="187" priority="2">
      <formula>ISTEXT(M5)</formula>
    </cfRule>
  </conditionalFormatting>
  <conditionalFormatting sqref="M5:N24 R5:S24">
    <cfRule type="notContainsBlanks" dxfId="186" priority="3">
      <formula>LEN(TRIM(M5))&gt;0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1265</v>
      </c>
      <c r="F5" s="39" t="s">
        <v>1266</v>
      </c>
      <c r="G5" s="39">
        <v>15</v>
      </c>
      <c r="H5" s="39"/>
      <c r="I5" s="40" t="s">
        <v>275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-1.3211920791765889E-2</v>
      </c>
      <c r="V5" s="48">
        <f t="shared" ref="V5:V24" si="2">N5-M5</f>
        <v>161</v>
      </c>
      <c r="W5" s="49">
        <f t="shared" ref="W5:W24" si="3">(O5/A$10)</f>
        <v>-8.8079471945105923E-4</v>
      </c>
      <c r="X5" s="44">
        <f t="shared" ref="X5:X24" si="4">W5*A$8</f>
        <v>-76.693306487554139</v>
      </c>
      <c r="Y5" s="44">
        <f t="shared" ref="Y5:Y24" si="5">Q5-P5</f>
        <v>-1139.8800000000001</v>
      </c>
      <c r="Z5" s="44">
        <f t="shared" ref="Z5:Z24" si="6">X5+(A$6*W5)</f>
        <v>-342.51857970532933</v>
      </c>
      <c r="AA5" s="50">
        <f t="shared" ref="AA5:AA24" si="7">Q5+X5</f>
        <v>-1216.5733064875542</v>
      </c>
      <c r="AB5" s="51">
        <f t="shared" ref="AB5:AC20" si="8">Z5/(1+ElecDiscountRate)^1</f>
        <v>-320.200598023118</v>
      </c>
      <c r="AC5" s="44">
        <f t="shared" si="8"/>
        <v>-1137.3032686618249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1.438202971817879</v>
      </c>
      <c r="AP5" s="47">
        <f>AN5/AC5</f>
        <v>0.44540872323018676</v>
      </c>
    </row>
    <row r="6" spans="1:42" ht="13.5" customHeight="1">
      <c r="A6" s="53">
        <f>SUMIF('Program Costs'!D:D,C2,'Program Costs'!L:L)</f>
        <v>301801.62</v>
      </c>
      <c r="B6" s="97" t="s">
        <v>70</v>
      </c>
      <c r="C6" s="98">
        <v>18230524</v>
      </c>
      <c r="D6" s="61" t="s">
        <v>71</v>
      </c>
      <c r="E6" s="38" t="s">
        <v>1267</v>
      </c>
      <c r="F6" s="39" t="s">
        <v>1268</v>
      </c>
      <c r="G6" s="39">
        <v>15</v>
      </c>
      <c r="H6" s="39"/>
      <c r="I6" s="40" t="s">
        <v>275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5.2689456570754974E-2</v>
      </c>
      <c r="V6" s="48">
        <f t="shared" si="2"/>
        <v>61</v>
      </c>
      <c r="W6" s="49">
        <f t="shared" si="3"/>
        <v>3.5126304380503318E-3</v>
      </c>
      <c r="X6" s="44">
        <f t="shared" si="4"/>
        <v>305.85474323779073</v>
      </c>
      <c r="Y6" s="44">
        <f t="shared" si="5"/>
        <v>1514.6299999999999</v>
      </c>
      <c r="Z6" s="44">
        <f t="shared" si="6"/>
        <v>1365.9722999026903</v>
      </c>
      <c r="AA6" s="50">
        <f t="shared" si="7"/>
        <v>2813.6847432377908</v>
      </c>
      <c r="AB6" s="51">
        <f t="shared" si="8"/>
        <v>1276.9676543915959</v>
      </c>
      <c r="AC6" s="44">
        <f t="shared" si="8"/>
        <v>2630.3493907056095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1.4382029718178795</v>
      </c>
      <c r="AP6" s="47">
        <f t="shared" ref="AP6:AP24" si="16">AN6/AC6</f>
        <v>0.76803201511777097</v>
      </c>
    </row>
    <row r="7" spans="1:42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1269</v>
      </c>
      <c r="F7" s="39" t="s">
        <v>1270</v>
      </c>
      <c r="G7" s="39">
        <v>15</v>
      </c>
      <c r="H7" s="39"/>
      <c r="I7" s="40" t="s">
        <v>275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0.18318684187625098</v>
      </c>
      <c r="V7" s="48">
        <f t="shared" si="2"/>
        <v>126</v>
      </c>
      <c r="W7" s="49">
        <f t="shared" si="3"/>
        <v>1.2212456125083399E-2</v>
      </c>
      <c r="X7" s="44">
        <f t="shared" si="4"/>
        <v>1063.3733603109677</v>
      </c>
      <c r="Y7" s="44">
        <f t="shared" si="5"/>
        <v>6554.5199999999995</v>
      </c>
      <c r="Z7" s="44">
        <f t="shared" si="6"/>
        <v>4749.1124030400597</v>
      </c>
      <c r="AA7" s="50">
        <f t="shared" si="7"/>
        <v>10999.193360310968</v>
      </c>
      <c r="AB7" s="51">
        <f t="shared" si="8"/>
        <v>4439.6675731887999</v>
      </c>
      <c r="AC7" s="44">
        <f t="shared" si="8"/>
        <v>10282.502907647908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1.4382029718178793</v>
      </c>
      <c r="AP7" s="47">
        <f t="shared" si="16"/>
        <v>0.6830688471951627</v>
      </c>
    </row>
    <row r="8" spans="1:42" ht="13.5" customHeight="1">
      <c r="A8" s="53">
        <f>SUMIF('Program Costs'!D:D,C2,'Program Costs'!O:O)</f>
        <v>87072.849999999977</v>
      </c>
      <c r="B8" s="97" t="s">
        <v>70</v>
      </c>
      <c r="C8" s="98">
        <v>18230524</v>
      </c>
      <c r="D8" s="61" t="s">
        <v>71</v>
      </c>
      <c r="E8" s="38" t="s">
        <v>1271</v>
      </c>
      <c r="F8" s="39" t="s">
        <v>1272</v>
      </c>
      <c r="G8" s="39">
        <v>15</v>
      </c>
      <c r="H8" s="39"/>
      <c r="I8" s="40" t="s">
        <v>275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-7.3338027389023813E-2</v>
      </c>
      <c r="V8" s="48">
        <f t="shared" si="2"/>
        <v>173</v>
      </c>
      <c r="W8" s="49">
        <f t="shared" si="3"/>
        <v>-4.8892018259349213E-3</v>
      </c>
      <c r="X8" s="44">
        <f t="shared" si="4"/>
        <v>-425.7167372093574</v>
      </c>
      <c r="Y8" s="44">
        <f t="shared" si="5"/>
        <v>-5731.09</v>
      </c>
      <c r="Z8" s="44">
        <f t="shared" si="6"/>
        <v>-1901.2857687834746</v>
      </c>
      <c r="AA8" s="50">
        <f t="shared" si="7"/>
        <v>-3280.5567372093574</v>
      </c>
      <c r="AB8" s="51">
        <f t="shared" si="8"/>
        <v>-1777.4009243558703</v>
      </c>
      <c r="AC8" s="44">
        <f t="shared" si="8"/>
        <v>-3066.8007265675956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1.4382029718178793</v>
      </c>
      <c r="AP8" s="47">
        <f t="shared" si="16"/>
        <v>0.91688044688172765</v>
      </c>
    </row>
    <row r="9" spans="1:42" ht="13.5" customHeight="1">
      <c r="A9" s="36" t="s">
        <v>251</v>
      </c>
      <c r="B9" s="97" t="s">
        <v>70</v>
      </c>
      <c r="C9" s="98">
        <v>18230524</v>
      </c>
      <c r="D9" s="61" t="s">
        <v>71</v>
      </c>
      <c r="E9" s="38" t="s">
        <v>1273</v>
      </c>
      <c r="F9" s="39" t="s">
        <v>1274</v>
      </c>
      <c r="G9" s="39">
        <v>15</v>
      </c>
      <c r="H9" s="39"/>
      <c r="I9" s="40" t="s">
        <v>275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0.51111146272576957</v>
      </c>
      <c r="V9" s="48">
        <f t="shared" si="2"/>
        <v>49</v>
      </c>
      <c r="W9" s="49">
        <f t="shared" si="3"/>
        <v>3.4074097515051305E-2</v>
      </c>
      <c r="X9" s="44">
        <f t="shared" si="4"/>
        <v>2966.9287818134344</v>
      </c>
      <c r="Y9" s="44">
        <f t="shared" si="5"/>
        <v>3829.24</v>
      </c>
      <c r="Z9" s="44">
        <f t="shared" si="6"/>
        <v>13250.546611893893</v>
      </c>
      <c r="AA9" s="50">
        <f t="shared" si="7"/>
        <v>16242.168781813434</v>
      </c>
      <c r="AB9" s="51">
        <f t="shared" si="8"/>
        <v>12387.161458253615</v>
      </c>
      <c r="AC9" s="44">
        <f t="shared" si="8"/>
        <v>15183.854147717522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1.438202971817879</v>
      </c>
      <c r="AP9" s="47">
        <f t="shared" si="16"/>
        <v>1.2906326333988731</v>
      </c>
    </row>
    <row r="10" spans="1:42" ht="13.5" customHeight="1">
      <c r="A10" s="54">
        <f>SUM(O5:O999)</f>
        <v>379203</v>
      </c>
      <c r="B10" s="97" t="s">
        <v>70</v>
      </c>
      <c r="C10" s="98">
        <v>18230524</v>
      </c>
      <c r="D10" s="61" t="s">
        <v>71</v>
      </c>
      <c r="E10" s="38" t="s">
        <v>1275</v>
      </c>
      <c r="F10" s="39" t="s">
        <v>1276</v>
      </c>
      <c r="G10" s="39">
        <v>15</v>
      </c>
      <c r="H10" s="39"/>
      <c r="I10" s="40" t="s">
        <v>275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0.6677953497203345</v>
      </c>
      <c r="V10" s="48">
        <f t="shared" si="2"/>
        <v>70</v>
      </c>
      <c r="W10" s="49">
        <f t="shared" si="3"/>
        <v>4.451968998135563E-2</v>
      </c>
      <c r="X10" s="44">
        <f t="shared" si="4"/>
        <v>3876.4562877930807</v>
      </c>
      <c r="Y10" s="44">
        <f t="shared" si="5"/>
        <v>13173.300000000001</v>
      </c>
      <c r="Z10" s="44">
        <f t="shared" si="6"/>
        <v>17312.57084606398</v>
      </c>
      <c r="AA10" s="50">
        <f t="shared" si="7"/>
        <v>29282.106287793082</v>
      </c>
      <c r="AB10" s="51">
        <f t="shared" si="8"/>
        <v>16184.51046654574</v>
      </c>
      <c r="AC10" s="44">
        <f t="shared" si="8"/>
        <v>27374.129464142356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1.438202971817879</v>
      </c>
      <c r="AP10" s="47">
        <f t="shared" si="16"/>
        <v>0.9353456221862072</v>
      </c>
    </row>
    <row r="11" spans="1:42" ht="13.5" customHeight="1">
      <c r="A11" s="36" t="s">
        <v>252</v>
      </c>
      <c r="B11" s="97" t="s">
        <v>70</v>
      </c>
      <c r="C11" s="98">
        <v>18230524</v>
      </c>
      <c r="D11" s="61" t="s">
        <v>71</v>
      </c>
      <c r="E11" s="38" t="s">
        <v>1277</v>
      </c>
      <c r="F11" s="39" t="s">
        <v>1278</v>
      </c>
      <c r="G11" s="39">
        <v>15</v>
      </c>
      <c r="H11" s="39"/>
      <c r="I11" s="40" t="s">
        <v>275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0.86379854589757987</v>
      </c>
      <c r="V11" s="48">
        <f t="shared" si="2"/>
        <v>10</v>
      </c>
      <c r="W11" s="49">
        <f t="shared" si="3"/>
        <v>5.7586569726505325E-2</v>
      </c>
      <c r="X11" s="44">
        <f t="shared" si="4"/>
        <v>5014.2267478105377</v>
      </c>
      <c r="Y11" s="44">
        <f t="shared" si="5"/>
        <v>-175.90000000000146</v>
      </c>
      <c r="Z11" s="44">
        <f t="shared" si="6"/>
        <v>22393.946781512801</v>
      </c>
      <c r="AA11" s="50">
        <f t="shared" si="7"/>
        <v>22134.726747810539</v>
      </c>
      <c r="AB11" s="51">
        <f t="shared" si="8"/>
        <v>20934.791793505468</v>
      </c>
      <c r="AC11" s="44">
        <f t="shared" si="8"/>
        <v>20692.462136870654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1.4382029718178793</v>
      </c>
      <c r="AP11" s="47">
        <f t="shared" si="16"/>
        <v>1.600550361282314</v>
      </c>
    </row>
    <row r="12" spans="1:42" ht="13.5" customHeight="1">
      <c r="A12" s="55">
        <f>SUM(P5:P1000)</f>
        <v>224435.5</v>
      </c>
      <c r="B12" s="97" t="s">
        <v>70</v>
      </c>
      <c r="C12" s="98">
        <v>18230524</v>
      </c>
      <c r="D12" s="61" t="s">
        <v>71</v>
      </c>
      <c r="E12" s="38" t="s">
        <v>1279</v>
      </c>
      <c r="F12" s="39" t="s">
        <v>1280</v>
      </c>
      <c r="G12" s="39">
        <v>15</v>
      </c>
      <c r="H12" s="39"/>
      <c r="I12" s="40" t="s">
        <v>275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0.52416515692122689</v>
      </c>
      <c r="V12" s="48">
        <f t="shared" si="2"/>
        <v>31</v>
      </c>
      <c r="W12" s="49">
        <f t="shared" si="3"/>
        <v>3.4944343794748457E-2</v>
      </c>
      <c r="X12" s="44">
        <f t="shared" si="4"/>
        <v>3042.7036055885624</v>
      </c>
      <c r="Y12" s="44">
        <f t="shared" si="5"/>
        <v>3807.7300000000005</v>
      </c>
      <c r="Z12" s="44">
        <f t="shared" si="6"/>
        <v>13588.963172680593</v>
      </c>
      <c r="AA12" s="50">
        <f t="shared" si="7"/>
        <v>14834.383605588562</v>
      </c>
      <c r="AB12" s="51">
        <f t="shared" si="8"/>
        <v>12703.527318575854</v>
      </c>
      <c r="AC12" s="44">
        <f t="shared" si="8"/>
        <v>13867.798079450837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1.4382029718178795</v>
      </c>
      <c r="AP12" s="47">
        <f t="shared" si="16"/>
        <v>1.4492045313336293</v>
      </c>
    </row>
    <row r="13" spans="1:42" ht="13.5" customHeight="1">
      <c r="A13" s="56" t="s">
        <v>255</v>
      </c>
      <c r="B13" s="97" t="s">
        <v>70</v>
      </c>
      <c r="C13" s="98">
        <v>18230524</v>
      </c>
      <c r="D13" s="61" t="s">
        <v>71</v>
      </c>
      <c r="E13" s="38" t="s">
        <v>1281</v>
      </c>
      <c r="F13" s="39" t="s">
        <v>1282</v>
      </c>
      <c r="G13" s="39">
        <v>15</v>
      </c>
      <c r="H13" s="39"/>
      <c r="I13" s="40" t="s">
        <v>275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1.9718989564955973</v>
      </c>
      <c r="V13" s="48">
        <f t="shared" si="2"/>
        <v>86</v>
      </c>
      <c r="W13" s="49">
        <f t="shared" si="3"/>
        <v>0.13145993043303983</v>
      </c>
      <c r="X13" s="44">
        <f t="shared" si="4"/>
        <v>11446.590803606508</v>
      </c>
      <c r="Y13" s="44">
        <f t="shared" si="5"/>
        <v>33238.14</v>
      </c>
      <c r="Z13" s="44">
        <f t="shared" si="6"/>
        <v>51121.410773385229</v>
      </c>
      <c r="AA13" s="50">
        <f t="shared" si="7"/>
        <v>83333.730803606508</v>
      </c>
      <c r="AB13" s="51">
        <f t="shared" si="8"/>
        <v>47790.418597162963</v>
      </c>
      <c r="AC13" s="44">
        <f t="shared" si="8"/>
        <v>77903.833601576611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1.438202971817879</v>
      </c>
      <c r="AP13" s="47">
        <f t="shared" si="16"/>
        <v>0.97049850771934454</v>
      </c>
    </row>
    <row r="14" spans="1:42" ht="13.5" customHeight="1">
      <c r="A14" s="55">
        <f>SUM(Y5:Y1000)</f>
        <v>166801.45000000001</v>
      </c>
      <c r="B14" s="97" t="s">
        <v>70</v>
      </c>
      <c r="C14" s="98">
        <v>18230524</v>
      </c>
      <c r="D14" s="61" t="s">
        <v>71</v>
      </c>
      <c r="E14" s="38" t="s">
        <v>1283</v>
      </c>
      <c r="F14" s="39" t="s">
        <v>1284</v>
      </c>
      <c r="G14" s="39">
        <v>15</v>
      </c>
      <c r="H14" s="39"/>
      <c r="I14" s="40" t="s">
        <v>275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2.8813458754282006</v>
      </c>
      <c r="V14" s="48">
        <f t="shared" si="2"/>
        <v>93</v>
      </c>
      <c r="W14" s="49">
        <f t="shared" si="3"/>
        <v>0.19208972502854671</v>
      </c>
      <c r="X14" s="44">
        <f t="shared" si="4"/>
        <v>16725.79981395189</v>
      </c>
      <c r="Y14" s="44">
        <f t="shared" si="5"/>
        <v>40580.550000000003</v>
      </c>
      <c r="Z14" s="44">
        <f t="shared" si="6"/>
        <v>74698.790012921832</v>
      </c>
      <c r="AA14" s="50">
        <f t="shared" si="7"/>
        <v>85669.099813951892</v>
      </c>
      <c r="AB14" s="51">
        <f t="shared" si="8"/>
        <v>69831.532217371059</v>
      </c>
      <c r="AC14" s="44">
        <f t="shared" si="8"/>
        <v>80087.033573854249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1.4382029718178793</v>
      </c>
      <c r="AP14" s="47">
        <f t="shared" si="16"/>
        <v>1.3794381430784748</v>
      </c>
    </row>
    <row r="15" spans="1:42" ht="13.5" customHeight="1">
      <c r="A15" s="57" t="s">
        <v>258</v>
      </c>
      <c r="B15" s="97" t="s">
        <v>70</v>
      </c>
      <c r="C15" s="98">
        <v>18230524</v>
      </c>
      <c r="D15" s="61" t="s">
        <v>71</v>
      </c>
      <c r="E15" s="38" t="s">
        <v>1285</v>
      </c>
      <c r="F15" s="39" t="s">
        <v>1286</v>
      </c>
      <c r="G15" s="39">
        <v>15</v>
      </c>
      <c r="H15" s="39"/>
      <c r="I15" s="40" t="s">
        <v>275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3.538104920056012</v>
      </c>
      <c r="V15" s="48">
        <f t="shared" si="2"/>
        <v>137</v>
      </c>
      <c r="W15" s="49">
        <f t="shared" si="3"/>
        <v>0.23587366133706747</v>
      </c>
      <c r="X15" s="44">
        <f t="shared" si="4"/>
        <v>20538.191932553269</v>
      </c>
      <c r="Y15" s="44">
        <f t="shared" si="5"/>
        <v>59764.880000000005</v>
      </c>
      <c r="Z15" s="44">
        <f t="shared" si="6"/>
        <v>91725.245039411588</v>
      </c>
      <c r="AA15" s="50">
        <f t="shared" si="7"/>
        <v>134833.07193255328</v>
      </c>
      <c r="AB15" s="51">
        <f t="shared" si="8"/>
        <v>85748.569729280716</v>
      </c>
      <c r="AC15" s="44">
        <f t="shared" si="8"/>
        <v>126047.55719599259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1.4382029718178793</v>
      </c>
      <c r="AP15" s="47">
        <f t="shared" si="16"/>
        <v>1.0762305562513155</v>
      </c>
    </row>
    <row r="16" spans="1:42" ht="13.5" customHeight="1">
      <c r="A16" s="54">
        <f>SUM(U5:U999)</f>
        <v>14.890222387481112</v>
      </c>
      <c r="B16" s="97" t="s">
        <v>70</v>
      </c>
      <c r="C16" s="98">
        <v>18230524</v>
      </c>
      <c r="D16" s="61" t="s">
        <v>71</v>
      </c>
      <c r="E16" s="38" t="s">
        <v>1287</v>
      </c>
      <c r="F16" s="39" t="s">
        <v>1288</v>
      </c>
      <c r="G16" s="39">
        <v>15</v>
      </c>
      <c r="H16" s="39"/>
      <c r="I16" s="40" t="s">
        <v>275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5.5537535304309299E-2</v>
      </c>
      <c r="V16" s="48">
        <f t="shared" si="2"/>
        <v>70</v>
      </c>
      <c r="W16" s="49">
        <f t="shared" si="3"/>
        <v>3.7025023536206201E-3</v>
      </c>
      <c r="X16" s="44">
        <f t="shared" si="4"/>
        <v>322.38743206145512</v>
      </c>
      <c r="Y16" s="44">
        <f t="shared" si="5"/>
        <v>554.40000000000009</v>
      </c>
      <c r="Z16" s="44">
        <f t="shared" si="6"/>
        <v>1439.808640437971</v>
      </c>
      <c r="AA16" s="50">
        <f t="shared" si="7"/>
        <v>1391.5874320614553</v>
      </c>
      <c r="AB16" s="51">
        <f t="shared" si="8"/>
        <v>1345.992933007358</v>
      </c>
      <c r="AC16" s="44">
        <f t="shared" si="8"/>
        <v>1300.9137440978359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1.4382029718178793</v>
      </c>
      <c r="AP16" s="47">
        <f t="shared" si="16"/>
        <v>1.6368434491430883</v>
      </c>
    </row>
    <row r="17" spans="1:42" ht="13.5" customHeight="1">
      <c r="A17" s="58" t="s">
        <v>261</v>
      </c>
      <c r="B17" s="97" t="s">
        <v>70</v>
      </c>
      <c r="C17" s="98">
        <v>18230524</v>
      </c>
      <c r="D17" s="61" t="s">
        <v>71</v>
      </c>
      <c r="E17" s="38" t="s">
        <v>1289</v>
      </c>
      <c r="F17" s="39" t="s">
        <v>1290</v>
      </c>
      <c r="G17" s="39">
        <v>15</v>
      </c>
      <c r="H17" s="39"/>
      <c r="I17" s="40" t="s">
        <v>275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0.15407314815547346</v>
      </c>
      <c r="V17" s="48">
        <f t="shared" si="2"/>
        <v>104</v>
      </c>
      <c r="W17" s="49">
        <f t="shared" si="3"/>
        <v>1.0271543210364897E-2</v>
      </c>
      <c r="X17" s="44">
        <f t="shared" si="4"/>
        <v>894.37254122462082</v>
      </c>
      <c r="Y17" s="44">
        <f t="shared" si="5"/>
        <v>1612</v>
      </c>
      <c r="Z17" s="44">
        <f t="shared" si="6"/>
        <v>3994.3409220127473</v>
      </c>
      <c r="AA17" s="50">
        <f t="shared" si="7"/>
        <v>4056.3725412246208</v>
      </c>
      <c r="AB17" s="51">
        <f t="shared" si="8"/>
        <v>3734.0758362276779</v>
      </c>
      <c r="AC17" s="44">
        <f t="shared" si="8"/>
        <v>3792.0655709307475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1.438202971817879</v>
      </c>
      <c r="AP17" s="47">
        <f t="shared" si="16"/>
        <v>1.55783035673395</v>
      </c>
    </row>
    <row r="18" spans="1:42" ht="13.5" customHeight="1">
      <c r="A18" s="59">
        <f>A6+A8</f>
        <v>388874.47</v>
      </c>
      <c r="B18" s="97" t="s">
        <v>70</v>
      </c>
      <c r="C18" s="98">
        <v>18230524</v>
      </c>
      <c r="D18" s="61" t="s">
        <v>71</v>
      </c>
      <c r="E18" s="38" t="s">
        <v>1291</v>
      </c>
      <c r="F18" s="39" t="s">
        <v>1292</v>
      </c>
      <c r="G18" s="39">
        <v>15</v>
      </c>
      <c r="H18" s="39"/>
      <c r="I18" s="40" t="s">
        <v>275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0.12962713902579884</v>
      </c>
      <c r="V18" s="48">
        <f t="shared" si="2"/>
        <v>86</v>
      </c>
      <c r="W18" s="49">
        <f t="shared" si="3"/>
        <v>8.6418092683865893E-3</v>
      </c>
      <c r="X18" s="44">
        <f t="shared" si="4"/>
        <v>752.46696215483507</v>
      </c>
      <c r="Y18" s="44">
        <f t="shared" si="5"/>
        <v>1017.3800000000001</v>
      </c>
      <c r="Z18" s="44">
        <f t="shared" si="6"/>
        <v>3360.5789990849225</v>
      </c>
      <c r="AA18" s="50">
        <f t="shared" si="7"/>
        <v>2952.8469621548352</v>
      </c>
      <c r="AB18" s="51">
        <f t="shared" si="8"/>
        <v>3141.6088614423879</v>
      </c>
      <c r="AC18" s="44">
        <f t="shared" si="8"/>
        <v>2760.4440143543375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1.438202971817879</v>
      </c>
      <c r="AP18" s="47">
        <f t="shared" si="16"/>
        <v>1.8004706109063784</v>
      </c>
    </row>
    <row r="19" spans="1:42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1293</v>
      </c>
      <c r="F19" s="39" t="s">
        <v>1294</v>
      </c>
      <c r="G19" s="39">
        <v>15</v>
      </c>
      <c r="H19" s="39"/>
      <c r="I19" s="40" t="s">
        <v>275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0.23021969762897446</v>
      </c>
      <c r="V19" s="48">
        <f t="shared" si="2"/>
        <v>113</v>
      </c>
      <c r="W19" s="49">
        <f t="shared" si="3"/>
        <v>1.534797984193163E-2</v>
      </c>
      <c r="X19" s="44">
        <f t="shared" si="4"/>
        <v>1336.3923465795363</v>
      </c>
      <c r="Y19" s="44">
        <f t="shared" si="5"/>
        <v>3169.6499999999996</v>
      </c>
      <c r="Z19" s="44">
        <f t="shared" si="6"/>
        <v>5968.437526601846</v>
      </c>
      <c r="AA19" s="50">
        <f t="shared" si="7"/>
        <v>5908.5423465795357</v>
      </c>
      <c r="AB19" s="51">
        <f t="shared" si="8"/>
        <v>5579.5433547740913</v>
      </c>
      <c r="AC19" s="44">
        <f t="shared" si="8"/>
        <v>5523.5508521824204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1.438202971817879</v>
      </c>
      <c r="AP19" s="47">
        <f t="shared" si="16"/>
        <v>1.5980603155228377</v>
      </c>
    </row>
    <row r="20" spans="1:42" ht="13.5" customHeight="1">
      <c r="A20" s="59">
        <f>A8+SUM(Q5:Q906)</f>
        <v>478309.8000000001</v>
      </c>
      <c r="B20" s="97" t="s">
        <v>70</v>
      </c>
      <c r="C20" s="98">
        <v>18230524</v>
      </c>
      <c r="D20" s="61" t="s">
        <v>71</v>
      </c>
      <c r="E20" s="38" t="s">
        <v>1295</v>
      </c>
      <c r="F20" s="39" t="s">
        <v>1296</v>
      </c>
      <c r="G20" s="39">
        <v>15</v>
      </c>
      <c r="H20" s="39"/>
      <c r="I20" s="40" t="s">
        <v>275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0.19382758047800255</v>
      </c>
      <c r="V20" s="48">
        <f t="shared" si="2"/>
        <v>170</v>
      </c>
      <c r="W20" s="49">
        <f t="shared" si="3"/>
        <v>1.2921838698533503E-2</v>
      </c>
      <c r="X20" s="44">
        <f t="shared" si="4"/>
        <v>1125.1413227216026</v>
      </c>
      <c r="Y20" s="44">
        <f t="shared" si="5"/>
        <v>4491.3999999999996</v>
      </c>
      <c r="Z20" s="44">
        <f t="shared" si="6"/>
        <v>5024.9731753177057</v>
      </c>
      <c r="AA20" s="50">
        <f t="shared" si="7"/>
        <v>7598.0413227216022</v>
      </c>
      <c r="AB20" s="51">
        <f t="shared" si="8"/>
        <v>4697.5536835726889</v>
      </c>
      <c r="AC20" s="44">
        <f t="shared" si="8"/>
        <v>7102.9646842307202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1.4382029718178788</v>
      </c>
      <c r="AP20" s="47">
        <f t="shared" si="16"/>
        <v>1.0462728684666083</v>
      </c>
    </row>
    <row r="21" spans="1:42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1297</v>
      </c>
      <c r="F21" s="39" t="s">
        <v>1298</v>
      </c>
      <c r="G21" s="39">
        <v>15</v>
      </c>
      <c r="H21" s="39"/>
      <c r="I21" s="40" t="s">
        <v>275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0.12009398659820729</v>
      </c>
      <c r="V21" s="48">
        <f t="shared" si="2"/>
        <v>202</v>
      </c>
      <c r="W21" s="49">
        <f t="shared" si="3"/>
        <v>8.0062657732138196E-3</v>
      </c>
      <c r="X21" s="44">
        <f t="shared" si="4"/>
        <v>697.12837873118076</v>
      </c>
      <c r="Y21" s="44">
        <f t="shared" si="5"/>
        <v>2242.1999999999998</v>
      </c>
      <c r="Z21" s="44">
        <f t="shared" si="6"/>
        <v>3113.4323592376641</v>
      </c>
      <c r="AA21" s="50">
        <f t="shared" si="7"/>
        <v>4326.8283787311802</v>
      </c>
      <c r="AB21" s="51">
        <f t="shared" ref="AB21:AC24" si="18">Z21/(1+ElecDiscountRate)^1</f>
        <v>2910.565914964629</v>
      </c>
      <c r="AC21" s="44">
        <f t="shared" si="18"/>
        <v>4044.8989237460783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1.4382029718178793</v>
      </c>
      <c r="AP21" s="47">
        <f t="shared" si="16"/>
        <v>1.1383678777236133</v>
      </c>
    </row>
    <row r="22" spans="1:42" ht="13.5" customHeight="1">
      <c r="A22" s="60">
        <f>(SUM(AM5:AM1000)/(SUM(AB5:AB1000)))</f>
        <v>1.4207834943931166</v>
      </c>
      <c r="B22" s="97" t="s">
        <v>70</v>
      </c>
      <c r="C22" s="98">
        <v>18230524</v>
      </c>
      <c r="D22" s="61" t="s">
        <v>71</v>
      </c>
      <c r="E22" s="38" t="s">
        <v>1299</v>
      </c>
      <c r="F22" s="39" t="s">
        <v>1300</v>
      </c>
      <c r="G22" s="39">
        <v>15</v>
      </c>
      <c r="H22" s="39"/>
      <c r="I22" s="40" t="s">
        <v>275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1.4200837018694472E-2</v>
      </c>
      <c r="V22" s="48">
        <f t="shared" si="2"/>
        <v>75</v>
      </c>
      <c r="W22" s="49">
        <f t="shared" si="3"/>
        <v>9.4672246791296477E-4</v>
      </c>
      <c r="X22" s="44">
        <f t="shared" si="4"/>
        <v>82.433823440215377</v>
      </c>
      <c r="Y22" s="44">
        <f t="shared" si="5"/>
        <v>129</v>
      </c>
      <c r="Z22" s="44">
        <f t="shared" si="6"/>
        <v>368.15619794674615</v>
      </c>
      <c r="AA22" s="50">
        <f t="shared" si="7"/>
        <v>426.43382344021541</v>
      </c>
      <c r="AB22" s="51">
        <f t="shared" si="18"/>
        <v>344.16770865359081</v>
      </c>
      <c r="AC22" s="44">
        <f t="shared" si="18"/>
        <v>398.64805407143626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1.4382029718178793</v>
      </c>
      <c r="AP22" s="47">
        <f t="shared" si="16"/>
        <v>1.3658195944202698</v>
      </c>
    </row>
    <row r="23" spans="1:42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1301</v>
      </c>
      <c r="F23" s="39" t="s">
        <v>1302</v>
      </c>
      <c r="G23" s="39">
        <v>15</v>
      </c>
      <c r="H23" s="39"/>
      <c r="I23" s="40" t="s">
        <v>275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0.79742248874613331</v>
      </c>
      <c r="V23" s="48">
        <f t="shared" si="2"/>
        <v>100</v>
      </c>
      <c r="W23" s="49">
        <f t="shared" si="3"/>
        <v>5.3161499249742221E-2</v>
      </c>
      <c r="X23" s="44">
        <f t="shared" si="4"/>
        <v>4628.9232499479158</v>
      </c>
      <c r="Y23" s="44">
        <f t="shared" si="5"/>
        <v>-1274.2399999999998</v>
      </c>
      <c r="Z23" s="44">
        <f t="shared" si="6"/>
        <v>20673.149845148902</v>
      </c>
      <c r="AA23" s="50">
        <f t="shared" si="7"/>
        <v>13754.683249947917</v>
      </c>
      <c r="AB23" s="51">
        <f t="shared" si="18"/>
        <v>19326.119327988126</v>
      </c>
      <c r="AC23" s="44">
        <f t="shared" si="18"/>
        <v>12858.449331539605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1.4382029718178793</v>
      </c>
      <c r="AP23" s="47">
        <f t="shared" si="16"/>
        <v>2.3777649767882711</v>
      </c>
    </row>
    <row r="24" spans="1:42" ht="13.5" customHeight="1">
      <c r="A24" s="60">
        <f>(SUM(AN5:AN1000)/SUM(AC5:AC1000))</f>
        <v>1.2706347877537911</v>
      </c>
      <c r="B24" s="97" t="s">
        <v>70</v>
      </c>
      <c r="C24" s="98">
        <v>18230524</v>
      </c>
      <c r="D24" s="61" t="s">
        <v>71</v>
      </c>
      <c r="E24" s="38" t="s">
        <v>1303</v>
      </c>
      <c r="F24" s="39" t="s">
        <v>1304</v>
      </c>
      <c r="G24" s="39">
        <v>15</v>
      </c>
      <c r="H24" s="39"/>
      <c r="I24" s="40" t="s">
        <v>275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1.6694883743008362</v>
      </c>
      <c r="V24" s="48">
        <f t="shared" si="2"/>
        <v>240</v>
      </c>
      <c r="W24" s="49">
        <f t="shared" si="3"/>
        <v>0.11129922495338908</v>
      </c>
      <c r="X24" s="44">
        <f t="shared" si="4"/>
        <v>9691.1407194827025</v>
      </c>
      <c r="Y24" s="44">
        <f t="shared" si="5"/>
        <v>1196.7000000000007</v>
      </c>
      <c r="Z24" s="44">
        <f t="shared" si="6"/>
        <v>43281.427115159953</v>
      </c>
      <c r="AA24" s="50">
        <f t="shared" si="7"/>
        <v>36087.840719482701</v>
      </c>
      <c r="AB24" s="51">
        <f t="shared" si="18"/>
        <v>40461.276166364354</v>
      </c>
      <c r="AC24" s="44">
        <f t="shared" si="18"/>
        <v>33736.412750755073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1.438202971817879</v>
      </c>
      <c r="AP24" s="47">
        <f t="shared" si="16"/>
        <v>1.8973766079257315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 t="s">
        <v>1305</v>
      </c>
      <c r="F25" s="39" t="s">
        <v>1306</v>
      </c>
      <c r="G25" s="39">
        <v>15</v>
      </c>
      <c r="H25" s="39"/>
      <c r="I25" s="40" t="s">
        <v>275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5.6961574671086465E-2</v>
      </c>
      <c r="V25" s="48">
        <f t="shared" ref="V25:V59" si="21">N25-M25</f>
        <v>150</v>
      </c>
      <c r="W25" s="49">
        <f t="shared" ref="W25:W59" si="22">(O25/A$10)</f>
        <v>3.7974383114057642E-3</v>
      </c>
      <c r="X25" s="44">
        <f t="shared" ref="X25:X59" si="23">W25*A$8</f>
        <v>330.65377647328734</v>
      </c>
      <c r="Y25" s="44">
        <f t="shared" ref="Y25:Y59" si="24">Q25-P25</f>
        <v>-300</v>
      </c>
      <c r="Z25" s="44">
        <f t="shared" ref="Z25:Z59" si="25">X25+(A$6*W25)</f>
        <v>1476.7268107056113</v>
      </c>
      <c r="AA25" s="50">
        <f t="shared" ref="AA25:AA59" si="26">Q25+X25</f>
        <v>330.65377647328734</v>
      </c>
      <c r="AB25" s="51">
        <f t="shared" ref="AB25:AB59" si="27">Z25/(1+ElecDiscountRate)^1</f>
        <v>1380.5055723152391</v>
      </c>
      <c r="AC25" s="44">
        <f t="shared" ref="AC25:AC59" si="28">AA25/(1+ElecDiscountRate)^1</f>
        <v>309.10888704616929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1.4382029718178793</v>
      </c>
      <c r="AP25" s="47">
        <f t="shared" ref="AP25:AP59" si="37">AN25/AC25</f>
        <v>7.0654453168802123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 t="s">
        <v>1307</v>
      </c>
      <c r="F26" s="39" t="s">
        <v>1308</v>
      </c>
      <c r="G26" s="39">
        <v>15</v>
      </c>
      <c r="H26" s="39"/>
      <c r="I26" s="40" t="s">
        <v>275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5.9334973615715068E-2</v>
      </c>
      <c r="V26" s="48">
        <f t="shared" si="21"/>
        <v>232</v>
      </c>
      <c r="W26" s="49">
        <f t="shared" si="22"/>
        <v>3.955664907714338E-3</v>
      </c>
      <c r="X26" s="44">
        <f t="shared" si="23"/>
        <v>344.4310171596743</v>
      </c>
      <c r="Y26" s="44">
        <f t="shared" si="24"/>
        <v>-500</v>
      </c>
      <c r="Z26" s="44">
        <f t="shared" si="25"/>
        <v>1538.2570944850117</v>
      </c>
      <c r="AA26" s="50">
        <f t="shared" si="26"/>
        <v>344.4310171596743</v>
      </c>
      <c r="AB26" s="51">
        <f t="shared" si="27"/>
        <v>1438.0266378283739</v>
      </c>
      <c r="AC26" s="44">
        <f t="shared" si="28"/>
        <v>321.98842400642633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1.4382029718178793</v>
      </c>
      <c r="AP26" s="47">
        <f t="shared" si="37"/>
        <v>7.0654453168802114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 t="s">
        <v>1309</v>
      </c>
      <c r="F27" s="39" t="s">
        <v>1310</v>
      </c>
      <c r="G27" s="39">
        <v>11</v>
      </c>
      <c r="H27" s="39"/>
      <c r="I27" s="40" t="s">
        <v>269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0.30188843442694285</v>
      </c>
      <c r="V27" s="48">
        <f t="shared" si="21"/>
        <v>251.55999999999995</v>
      </c>
      <c r="W27" s="49">
        <f t="shared" si="22"/>
        <v>2.7444403129722076E-2</v>
      </c>
      <c r="X27" s="44">
        <f t="shared" si="23"/>
        <v>2389.6623970538203</v>
      </c>
      <c r="Y27" s="44">
        <f t="shared" si="24"/>
        <v>251.55999999999995</v>
      </c>
      <c r="Z27" s="44">
        <f t="shared" si="25"/>
        <v>10672.427721537013</v>
      </c>
      <c r="AA27" s="50">
        <f t="shared" si="26"/>
        <v>3141.2223970538203</v>
      </c>
      <c r="AB27" s="51">
        <f t="shared" si="27"/>
        <v>9977.0288132532605</v>
      </c>
      <c r="AC27" s="44">
        <f t="shared" si="28"/>
        <v>2936.5451968344582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0.80348421541332538</v>
      </c>
      <c r="AP27" s="47">
        <f t="shared" si="37"/>
        <v>3.0028564499861599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 t="s">
        <v>1311</v>
      </c>
      <c r="F28" s="39" t="s">
        <v>1312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59 R5:S59">
    <cfRule type="expression" dxfId="182" priority="2">
      <formula>ISTEXT(M5)</formula>
    </cfRule>
  </conditionalFormatting>
  <conditionalFormatting sqref="M5:N59 R5:S59">
    <cfRule type="notContainsBlanks" dxfId="181" priority="3">
      <formula>LEN(TRIM(M5))&gt;0</formula>
    </cfRule>
  </conditionalFormatting>
  <conditionalFormatting sqref="R5:S5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8.8754039122209798E-3</v>
      </c>
      <c r="V5" s="48">
        <f t="shared" ref="V5:V23" si="2">N5-M5</f>
        <v>0</v>
      </c>
      <c r="W5" s="49">
        <f t="shared" ref="W5:W23" si="3">(O5/A$10)</f>
        <v>5.9169359414806529E-4</v>
      </c>
      <c r="X5" s="44">
        <f t="shared" ref="X5:X23" si="4">W5*A$8</f>
        <v>807.6969499470888</v>
      </c>
      <c r="Y5" s="44">
        <f t="shared" ref="Y5:Y23" si="5">Q5-P5</f>
        <v>0</v>
      </c>
      <c r="Z5" s="44">
        <f t="shared" ref="Z5:Z23" si="6">X5+(A$6*W5)</f>
        <v>4418.8956260834466</v>
      </c>
      <c r="AA5" s="50">
        <f t="shared" ref="AA5:AA23" si="7">Q5+X5</f>
        <v>807.6969499470888</v>
      </c>
      <c r="AB5" s="51">
        <f t="shared" ref="AB5:AC19" si="8">Z5/(1+ElecDiscountRate)^1</f>
        <v>4130.9672114456826</v>
      </c>
      <c r="AC5" s="44">
        <f t="shared" si="8"/>
        <v>755.06866406196946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2.2272616582300486</v>
      </c>
      <c r="AP5" s="47">
        <f>AN5/AC5</f>
        <v>13.403839745061505</v>
      </c>
    </row>
    <row r="6" spans="1:42" ht="13.5" customHeight="1">
      <c r="A6" s="53">
        <f>SUMIF('Program Costs'!D:D,C2,'Program Costs'!L:L)</f>
        <v>6103156.6200000001</v>
      </c>
      <c r="B6" s="97" t="s">
        <v>70</v>
      </c>
      <c r="C6" s="98">
        <v>18231134</v>
      </c>
      <c r="D6" s="61" t="s">
        <v>176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6.6014416209940778E-3</v>
      </c>
      <c r="V6" s="48">
        <f t="shared" si="2"/>
        <v>0</v>
      </c>
      <c r="W6" s="49">
        <f t="shared" si="3"/>
        <v>3.3007208104970389E-4</v>
      </c>
      <c r="X6" s="44">
        <f t="shared" si="4"/>
        <v>450.56802332022647</v>
      </c>
      <c r="Y6" s="44">
        <f t="shared" si="5"/>
        <v>0</v>
      </c>
      <c r="Z6" s="44">
        <f t="shared" si="6"/>
        <v>2465.0496298559033</v>
      </c>
      <c r="AA6" s="50">
        <f t="shared" si="7"/>
        <v>450.56802332022647</v>
      </c>
      <c r="AB6" s="51">
        <f t="shared" si="8"/>
        <v>2304.4308028941787</v>
      </c>
      <c r="AC6" s="44">
        <f t="shared" si="8"/>
        <v>421.20970675911605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2.8544117492149734</v>
      </c>
      <c r="AP6" s="47">
        <f t="shared" ref="AP6:AP23" si="16">AN6/AC6</f>
        <v>17.178079419417003</v>
      </c>
    </row>
    <row r="7" spans="1:42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1313</v>
      </c>
      <c r="F7" s="39" t="s">
        <v>1314</v>
      </c>
      <c r="G7" s="39">
        <v>12</v>
      </c>
      <c r="H7" s="39"/>
      <c r="I7" s="40" t="s">
        <v>274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7.4355587933218488E-4</v>
      </c>
      <c r="V7" s="48">
        <f t="shared" si="2"/>
        <v>0</v>
      </c>
      <c r="W7" s="49">
        <f t="shared" si="3"/>
        <v>6.1962989944348745E-5</v>
      </c>
      <c r="X7" s="44">
        <f t="shared" si="4"/>
        <v>84.58316683267789</v>
      </c>
      <c r="Y7" s="44">
        <f t="shared" si="5"/>
        <v>-3052.8</v>
      </c>
      <c r="Z7" s="44">
        <f t="shared" si="6"/>
        <v>462.75299910652336</v>
      </c>
      <c r="AA7" s="50">
        <f t="shared" si="7"/>
        <v>211.78316683267789</v>
      </c>
      <c r="AB7" s="51">
        <f t="shared" si="8"/>
        <v>432.6007283411455</v>
      </c>
      <c r="AC7" s="44">
        <f t="shared" si="8"/>
        <v>197.98370275093754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1.7756196896832079</v>
      </c>
      <c r="AP7" s="47">
        <f t="shared" si="16"/>
        <v>4.2677644491686166</v>
      </c>
    </row>
    <row r="8" spans="1:42" ht="13.5" customHeight="1">
      <c r="A8" s="53">
        <f>SUMIF('Program Costs'!D:D,C2,'Program Costs'!O:O)</f>
        <v>1365059.4799999995</v>
      </c>
      <c r="B8" s="97" t="s">
        <v>70</v>
      </c>
      <c r="C8" s="98">
        <v>18231134</v>
      </c>
      <c r="D8" s="61" t="s">
        <v>176</v>
      </c>
      <c r="E8" s="38" t="s">
        <v>1315</v>
      </c>
      <c r="F8" s="39" t="s">
        <v>1316</v>
      </c>
      <c r="G8" s="39">
        <v>12</v>
      </c>
      <c r="H8" s="39"/>
      <c r="I8" s="40" t="s">
        <v>274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5.2299146704951277E-3</v>
      </c>
      <c r="V8" s="48">
        <f t="shared" si="2"/>
        <v>0</v>
      </c>
      <c r="W8" s="49">
        <f t="shared" si="3"/>
        <v>4.3582622254126064E-4</v>
      </c>
      <c r="X8" s="44">
        <f t="shared" si="4"/>
        <v>594.92871671253738</v>
      </c>
      <c r="Y8" s="44">
        <f t="shared" si="5"/>
        <v>-1441.6</v>
      </c>
      <c r="Z8" s="44">
        <f t="shared" si="6"/>
        <v>3254.8444119848255</v>
      </c>
      <c r="AA8" s="50">
        <f t="shared" si="7"/>
        <v>1803.3287167125375</v>
      </c>
      <c r="AB8" s="51">
        <f t="shared" si="8"/>
        <v>3042.7637767456531</v>
      </c>
      <c r="AC8" s="44">
        <f t="shared" si="8"/>
        <v>1685.8266025170958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1.7756196896832079</v>
      </c>
      <c r="AP8" s="47">
        <f t="shared" si="16"/>
        <v>3.5253153506269914</v>
      </c>
    </row>
    <row r="9" spans="1:42" ht="13.5" customHeight="1">
      <c r="A9" s="36" t="s">
        <v>251</v>
      </c>
      <c r="B9" s="97" t="s">
        <v>70</v>
      </c>
      <c r="C9" s="98">
        <v>18231134</v>
      </c>
      <c r="D9" s="61" t="s">
        <v>176</v>
      </c>
      <c r="E9" s="38" t="s">
        <v>1317</v>
      </c>
      <c r="F9" s="39" t="s">
        <v>1318</v>
      </c>
      <c r="G9" s="39">
        <v>15</v>
      </c>
      <c r="H9" s="39"/>
      <c r="I9" s="40" t="s">
        <v>274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5.7891703746082239E-4</v>
      </c>
      <c r="V9" s="48">
        <f t="shared" si="2"/>
        <v>0</v>
      </c>
      <c r="W9" s="49">
        <f t="shared" si="3"/>
        <v>3.8594469164054825E-5</v>
      </c>
      <c r="X9" s="44">
        <f t="shared" si="4"/>
        <v>52.683746007960693</v>
      </c>
      <c r="Y9" s="44">
        <f t="shared" si="5"/>
        <v>-1102.92</v>
      </c>
      <c r="Z9" s="44">
        <f t="shared" si="6"/>
        <v>288.23183598194777</v>
      </c>
      <c r="AA9" s="50">
        <f t="shared" si="7"/>
        <v>328.4137460079607</v>
      </c>
      <c r="AB9" s="51">
        <f t="shared" si="8"/>
        <v>269.45109468257243</v>
      </c>
      <c r="AC9" s="44">
        <f t="shared" si="8"/>
        <v>307.01481350655388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2.1685897699686678</v>
      </c>
      <c r="AP9" s="47">
        <f t="shared" si="16"/>
        <v>2.0935855466964721</v>
      </c>
    </row>
    <row r="10" spans="1:42" ht="13.5" customHeight="1">
      <c r="A10" s="54">
        <f>SUM(O5:O997)</f>
        <v>15105791.390000002</v>
      </c>
      <c r="B10" s="97" t="s">
        <v>70</v>
      </c>
      <c r="C10" s="98">
        <v>18231134</v>
      </c>
      <c r="D10" s="61" t="s">
        <v>176</v>
      </c>
      <c r="E10" s="38" t="s">
        <v>1319</v>
      </c>
      <c r="F10" s="39" t="s">
        <v>1320</v>
      </c>
      <c r="G10" s="39">
        <v>15</v>
      </c>
      <c r="H10" s="39"/>
      <c r="I10" s="40" t="s">
        <v>274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1.7491635703040114E-2</v>
      </c>
      <c r="V10" s="48">
        <f t="shared" si="2"/>
        <v>0</v>
      </c>
      <c r="W10" s="49">
        <f t="shared" si="3"/>
        <v>1.1661090468693409E-3</v>
      </c>
      <c r="X10" s="44">
        <f t="shared" si="4"/>
        <v>1591.8082091427575</v>
      </c>
      <c r="Y10" s="44">
        <f t="shared" si="5"/>
        <v>-2481.5700000000006</v>
      </c>
      <c r="Z10" s="44">
        <f t="shared" si="6"/>
        <v>8708.754358185266</v>
      </c>
      <c r="AA10" s="50">
        <f t="shared" si="7"/>
        <v>5176.2982091427575</v>
      </c>
      <c r="AB10" s="51">
        <f t="shared" si="8"/>
        <v>8141.3053736423908</v>
      </c>
      <c r="AC10" s="44">
        <f t="shared" si="8"/>
        <v>4839.0186118937618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2.1685897699686674</v>
      </c>
      <c r="AP10" s="47">
        <f t="shared" si="16"/>
        <v>4.0133482137235852</v>
      </c>
    </row>
    <row r="11" spans="1:42" ht="13.5" customHeight="1">
      <c r="A11" s="36" t="s">
        <v>252</v>
      </c>
      <c r="B11" s="97" t="s">
        <v>70</v>
      </c>
      <c r="C11" s="98">
        <v>18231134</v>
      </c>
      <c r="D11" s="61" t="s">
        <v>176</v>
      </c>
      <c r="E11" s="38" t="s">
        <v>1321</v>
      </c>
      <c r="F11" s="39" t="s">
        <v>1322</v>
      </c>
      <c r="G11" s="39">
        <v>12</v>
      </c>
      <c r="H11" s="39"/>
      <c r="I11" s="40" t="s">
        <v>271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2.8312320020725504E-3</v>
      </c>
      <c r="V11" s="48">
        <f t="shared" si="2"/>
        <v>0</v>
      </c>
      <c r="W11" s="49">
        <f t="shared" si="3"/>
        <v>2.3593600017271252E-4</v>
      </c>
      <c r="X11" s="44">
        <f t="shared" si="4"/>
        <v>322.06667370904273</v>
      </c>
      <c r="Y11" s="44">
        <f t="shared" si="5"/>
        <v>0</v>
      </c>
      <c r="Z11" s="44">
        <f t="shared" si="6"/>
        <v>1762.0210350594543</v>
      </c>
      <c r="AA11" s="50">
        <f t="shared" si="7"/>
        <v>2764.0666737090428</v>
      </c>
      <c r="AB11" s="51">
        <f t="shared" si="8"/>
        <v>1647.2104656066692</v>
      </c>
      <c r="AC11" s="44">
        <f t="shared" si="8"/>
        <v>2583.9643579592807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1.8748171485930962</v>
      </c>
      <c r="AP11" s="47">
        <f t="shared" si="16"/>
        <v>1.3146622013665852</v>
      </c>
    </row>
    <row r="12" spans="1:42" ht="13.5" customHeight="1">
      <c r="A12" s="55">
        <f>SUM(P5:P998)</f>
        <v>5952507.8599999994</v>
      </c>
      <c r="B12" s="97" t="s">
        <v>70</v>
      </c>
      <c r="C12" s="98">
        <v>18231134</v>
      </c>
      <c r="D12" s="61" t="s">
        <v>176</v>
      </c>
      <c r="E12" s="38" t="s">
        <v>1323</v>
      </c>
      <c r="F12" s="39" t="s">
        <v>1324</v>
      </c>
      <c r="G12" s="39">
        <v>12</v>
      </c>
      <c r="H12" s="39"/>
      <c r="I12" s="40" t="s">
        <v>271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1.2511757584916573E-3</v>
      </c>
      <c r="V12" s="48">
        <f t="shared" si="2"/>
        <v>0</v>
      </c>
      <c r="W12" s="49">
        <f t="shared" si="3"/>
        <v>1.0426464654097144E-4</v>
      </c>
      <c r="X12" s="44">
        <f t="shared" si="4"/>
        <v>142.32744418960223</v>
      </c>
      <c r="Y12" s="44">
        <f t="shared" si="5"/>
        <v>0</v>
      </c>
      <c r="Z12" s="44">
        <f t="shared" si="6"/>
        <v>778.67091195809223</v>
      </c>
      <c r="AA12" s="50">
        <f t="shared" si="7"/>
        <v>697.32744418960226</v>
      </c>
      <c r="AB12" s="51">
        <f t="shared" si="8"/>
        <v>727.93391788173517</v>
      </c>
      <c r="AC12" s="44">
        <f t="shared" si="8"/>
        <v>651.89066484958607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1.874817148593096</v>
      </c>
      <c r="AP12" s="47">
        <f t="shared" si="16"/>
        <v>2.3028666806608475</v>
      </c>
    </row>
    <row r="13" spans="1:42" ht="13.5" customHeight="1">
      <c r="A13" s="56" t="s">
        <v>255</v>
      </c>
      <c r="B13" s="97" t="s">
        <v>70</v>
      </c>
      <c r="C13" s="98">
        <v>18231134</v>
      </c>
      <c r="D13" s="61" t="s">
        <v>176</v>
      </c>
      <c r="E13" s="38" t="s">
        <v>1325</v>
      </c>
      <c r="F13" s="39" t="s">
        <v>1326</v>
      </c>
      <c r="G13" s="39">
        <v>12</v>
      </c>
      <c r="H13" s="39"/>
      <c r="I13" s="40" t="s">
        <v>271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1.879544028311912E-3</v>
      </c>
      <c r="V13" s="48">
        <f t="shared" si="2"/>
        <v>0</v>
      </c>
      <c r="W13" s="49">
        <f t="shared" si="3"/>
        <v>1.5662866902599266E-4</v>
      </c>
      <c r="X13" s="44">
        <f t="shared" si="4"/>
        <v>213.80744949371359</v>
      </c>
      <c r="Y13" s="44">
        <f t="shared" si="5"/>
        <v>0</v>
      </c>
      <c r="Z13" s="44">
        <f t="shared" si="6"/>
        <v>1169.7367477414896</v>
      </c>
      <c r="AA13" s="50">
        <f t="shared" si="7"/>
        <v>1175.8074494937136</v>
      </c>
      <c r="AB13" s="51">
        <f t="shared" si="8"/>
        <v>1093.5185077512288</v>
      </c>
      <c r="AC13" s="44">
        <f t="shared" si="8"/>
        <v>1099.1936519526162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1.8748171485930964</v>
      </c>
      <c r="AP13" s="47">
        <f t="shared" si="16"/>
        <v>2.0516512005809373</v>
      </c>
    </row>
    <row r="14" spans="1:42" ht="13.5" customHeight="1">
      <c r="A14" s="55">
        <f>SUM(Y5:Y998)</f>
        <v>-205774.6400000001</v>
      </c>
      <c r="B14" s="97" t="s">
        <v>70</v>
      </c>
      <c r="C14" s="98">
        <v>18231134</v>
      </c>
      <c r="D14" s="61" t="s">
        <v>176</v>
      </c>
      <c r="E14" s="38" t="s">
        <v>1327</v>
      </c>
      <c r="F14" s="39" t="s">
        <v>1326</v>
      </c>
      <c r="G14" s="39">
        <v>12</v>
      </c>
      <c r="H14" s="39"/>
      <c r="I14" s="40" t="s">
        <v>271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1.1711005099481912E-2</v>
      </c>
      <c r="V14" s="48">
        <f t="shared" si="2"/>
        <v>0</v>
      </c>
      <c r="W14" s="49">
        <f t="shared" si="3"/>
        <v>9.7591709162349273E-4</v>
      </c>
      <c r="X14" s="44">
        <f t="shared" si="4"/>
        <v>1332.1848776146769</v>
      </c>
      <c r="Y14" s="44">
        <f t="shared" si="5"/>
        <v>0</v>
      </c>
      <c r="Z14" s="44">
        <f t="shared" si="6"/>
        <v>7288.3597359277437</v>
      </c>
      <c r="AA14" s="50">
        <f t="shared" si="7"/>
        <v>7326.1848776146771</v>
      </c>
      <c r="AB14" s="51">
        <f t="shared" si="8"/>
        <v>6813.4614713730416</v>
      </c>
      <c r="AC14" s="44">
        <f t="shared" si="8"/>
        <v>6848.8219852432239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1.874817148593096</v>
      </c>
      <c r="AP14" s="47">
        <f t="shared" si="16"/>
        <v>2.0516512005809373</v>
      </c>
    </row>
    <row r="15" spans="1:42" ht="13.5" customHeight="1">
      <c r="A15" s="57" t="s">
        <v>258</v>
      </c>
      <c r="B15" s="97" t="s">
        <v>70</v>
      </c>
      <c r="C15" s="98">
        <v>18231134</v>
      </c>
      <c r="D15" s="61" t="s">
        <v>176</v>
      </c>
      <c r="E15" s="38" t="s">
        <v>1328</v>
      </c>
      <c r="F15" s="39" t="s">
        <v>1329</v>
      </c>
      <c r="G15" s="39">
        <v>12</v>
      </c>
      <c r="H15" s="39"/>
      <c r="I15" s="40" t="s">
        <v>271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1.2940732130685142E-3</v>
      </c>
      <c r="V15" s="48">
        <f t="shared" si="2"/>
        <v>0</v>
      </c>
      <c r="W15" s="49">
        <f t="shared" si="3"/>
        <v>1.0783943442237619E-4</v>
      </c>
      <c r="X15" s="44">
        <f t="shared" si="4"/>
        <v>147.20724227610287</v>
      </c>
      <c r="Y15" s="44">
        <f t="shared" si="5"/>
        <v>0</v>
      </c>
      <c r="Z15" s="44">
        <f t="shared" si="6"/>
        <v>805.36820036808399</v>
      </c>
      <c r="AA15" s="50">
        <f t="shared" si="7"/>
        <v>732.20724227610287</v>
      </c>
      <c r="AB15" s="51">
        <f t="shared" si="8"/>
        <v>752.891652209109</v>
      </c>
      <c r="AC15" s="44">
        <f t="shared" si="8"/>
        <v>684.49774915967362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1.874817148593096</v>
      </c>
      <c r="AP15" s="47">
        <f t="shared" si="16"/>
        <v>2.2683604154430204</v>
      </c>
    </row>
    <row r="16" spans="1:42" ht="13.5" customHeight="1">
      <c r="A16" s="54">
        <f>SUM(U5:U997)</f>
        <v>13.335489971968956</v>
      </c>
      <c r="B16" s="97" t="s">
        <v>70</v>
      </c>
      <c r="C16" s="98">
        <v>18231134</v>
      </c>
      <c r="D16" s="61" t="s">
        <v>176</v>
      </c>
      <c r="E16" s="38" t="s">
        <v>1330</v>
      </c>
      <c r="F16" s="39" t="s">
        <v>1329</v>
      </c>
      <c r="G16" s="39">
        <v>12</v>
      </c>
      <c r="H16" s="39"/>
      <c r="I16" s="40" t="s">
        <v>271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0.23754227152742374</v>
      </c>
      <c r="V16" s="48">
        <f t="shared" si="2"/>
        <v>0</v>
      </c>
      <c r="W16" s="49">
        <f t="shared" si="3"/>
        <v>1.9795189293951979E-2</v>
      </c>
      <c r="X16" s="44">
        <f t="shared" si="4"/>
        <v>27021.610804103646</v>
      </c>
      <c r="Y16" s="44">
        <f t="shared" si="5"/>
        <v>0</v>
      </c>
      <c r="Z16" s="44">
        <f t="shared" si="6"/>
        <v>147834.75138763979</v>
      </c>
      <c r="AA16" s="50">
        <f t="shared" si="7"/>
        <v>133231.61080410364</v>
      </c>
      <c r="AB16" s="51">
        <f t="shared" si="8"/>
        <v>138202.06729703635</v>
      </c>
      <c r="AC16" s="44">
        <f t="shared" si="8"/>
        <v>124550.44480144304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1.8748171485930956</v>
      </c>
      <c r="AP16" s="47">
        <f t="shared" si="16"/>
        <v>2.2883416174692677</v>
      </c>
    </row>
    <row r="17" spans="1:42" ht="13.5" customHeight="1">
      <c r="A17" s="58" t="s">
        <v>261</v>
      </c>
      <c r="B17" s="97" t="s">
        <v>70</v>
      </c>
      <c r="C17" s="98">
        <v>18231134</v>
      </c>
      <c r="D17" s="61" t="s">
        <v>176</v>
      </c>
      <c r="E17" s="38" t="s">
        <v>1331</v>
      </c>
      <c r="F17" s="39" t="s">
        <v>1332</v>
      </c>
      <c r="G17" s="39">
        <v>12</v>
      </c>
      <c r="H17" s="39"/>
      <c r="I17" s="40" t="s">
        <v>271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1.1262965018345852E-2</v>
      </c>
      <c r="V17" s="48">
        <f t="shared" si="2"/>
        <v>0</v>
      </c>
      <c r="W17" s="49">
        <f t="shared" si="3"/>
        <v>9.3858041819548774E-4</v>
      </c>
      <c r="X17" s="44">
        <f t="shared" si="4"/>
        <v>1281.2180976001146</v>
      </c>
      <c r="Y17" s="44">
        <f t="shared" si="5"/>
        <v>0</v>
      </c>
      <c r="Z17" s="44">
        <f t="shared" si="6"/>
        <v>7009.521390312274</v>
      </c>
      <c r="AA17" s="50">
        <f t="shared" si="7"/>
        <v>3491.2180976001146</v>
      </c>
      <c r="AB17" s="51">
        <f t="shared" si="8"/>
        <v>6552.7918017315824</v>
      </c>
      <c r="AC17" s="44">
        <f t="shared" si="8"/>
        <v>3263.735718051897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1.8748171485930956</v>
      </c>
      <c r="AP17" s="47">
        <f t="shared" si="16"/>
        <v>4.1405972335338452</v>
      </c>
    </row>
    <row r="18" spans="1:42" ht="13.5" customHeight="1">
      <c r="A18" s="59">
        <f>A6+A8</f>
        <v>7468216.0999999996</v>
      </c>
      <c r="B18" s="97" t="s">
        <v>70</v>
      </c>
      <c r="C18" s="98">
        <v>18231134</v>
      </c>
      <c r="D18" s="61" t="s">
        <v>176</v>
      </c>
      <c r="E18" s="38" t="s">
        <v>1333</v>
      </c>
      <c r="F18" s="39" t="s">
        <v>1332</v>
      </c>
      <c r="G18" s="39">
        <v>12</v>
      </c>
      <c r="H18" s="39"/>
      <c r="I18" s="40" t="s">
        <v>271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1.668234344655543E-3</v>
      </c>
      <c r="V18" s="48">
        <f t="shared" si="2"/>
        <v>0</v>
      </c>
      <c r="W18" s="49">
        <f t="shared" si="3"/>
        <v>1.3901952872129525E-4</v>
      </c>
      <c r="X18" s="44">
        <f t="shared" si="4"/>
        <v>189.76992558613628</v>
      </c>
      <c r="Y18" s="44">
        <f t="shared" si="5"/>
        <v>0</v>
      </c>
      <c r="Z18" s="44">
        <f t="shared" si="6"/>
        <v>1038.2278826107895</v>
      </c>
      <c r="AA18" s="50">
        <f t="shared" si="7"/>
        <v>514.76992558613631</v>
      </c>
      <c r="AB18" s="51">
        <f t="shared" si="8"/>
        <v>970.57855717564678</v>
      </c>
      <c r="AC18" s="44">
        <f t="shared" si="8"/>
        <v>481.22831222411543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1.8748171485930962</v>
      </c>
      <c r="AP18" s="47">
        <f t="shared" si="16"/>
        <v>4.1594041840631055</v>
      </c>
    </row>
    <row r="19" spans="1:42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1334</v>
      </c>
      <c r="F19" s="39" t="s">
        <v>1335</v>
      </c>
      <c r="G19" s="39">
        <v>12</v>
      </c>
      <c r="H19" s="39"/>
      <c r="I19" s="40" t="s">
        <v>271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2.160760674982418E-4</v>
      </c>
      <c r="V19" s="48">
        <f t="shared" si="2"/>
        <v>0</v>
      </c>
      <c r="W19" s="49">
        <f t="shared" si="3"/>
        <v>1.8006338958186816E-5</v>
      </c>
      <c r="X19" s="44">
        <f t="shared" si="4"/>
        <v>24.579723694966226</v>
      </c>
      <c r="Y19" s="44">
        <f t="shared" si="5"/>
        <v>0</v>
      </c>
      <c r="Z19" s="44">
        <f t="shared" si="6"/>
        <v>134.47523050958799</v>
      </c>
      <c r="AA19" s="50">
        <f t="shared" si="7"/>
        <v>124.57972369496622</v>
      </c>
      <c r="AB19" s="51">
        <f t="shared" si="8"/>
        <v>125.71303216751237</v>
      </c>
      <c r="AC19" s="44">
        <f t="shared" si="8"/>
        <v>116.46230129472394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1.874817148593096</v>
      </c>
      <c r="AP19" s="47">
        <f t="shared" si="16"/>
        <v>2.2261095691740516</v>
      </c>
    </row>
    <row r="20" spans="1:42" ht="13.5" customHeight="1">
      <c r="A20" s="59">
        <f>A8+SUM(Q5:Q904)</f>
        <v>7111792.6999999983</v>
      </c>
      <c r="B20" s="97" t="s">
        <v>70</v>
      </c>
      <c r="C20" s="98">
        <v>18231134</v>
      </c>
      <c r="D20" s="61" t="s">
        <v>176</v>
      </c>
      <c r="E20" s="38" t="s">
        <v>1336</v>
      </c>
      <c r="F20" s="39" t="s">
        <v>1335</v>
      </c>
      <c r="G20" s="39">
        <v>12</v>
      </c>
      <c r="H20" s="39"/>
      <c r="I20" s="40" t="s">
        <v>271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1.9589837590097949E-2</v>
      </c>
      <c r="V20" s="48">
        <f t="shared" si="2"/>
        <v>0</v>
      </c>
      <c r="W20" s="49">
        <f t="shared" si="3"/>
        <v>1.6324864658414959E-3</v>
      </c>
      <c r="X20" s="44">
        <f t="shared" si="4"/>
        <v>2228.4411261686291</v>
      </c>
      <c r="Y20" s="44">
        <f t="shared" si="5"/>
        <v>0</v>
      </c>
      <c r="Z20" s="44">
        <f t="shared" si="6"/>
        <v>12191.761707229558</v>
      </c>
      <c r="AA20" s="50">
        <f t="shared" si="7"/>
        <v>11228.441126168629</v>
      </c>
      <c r="AB20" s="51">
        <f t="shared" ref="AB20:AC23" si="18">Z20/(1+ElecDiscountRate)^1</f>
        <v>11397.365342834026</v>
      </c>
      <c r="AC20" s="44">
        <f t="shared" si="18"/>
        <v>10496.813243122959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1.874817148593096</v>
      </c>
      <c r="AP20" s="47">
        <f t="shared" si="16"/>
        <v>2.2392294736002589</v>
      </c>
    </row>
    <row r="21" spans="1:42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1337</v>
      </c>
      <c r="F21" s="39" t="s">
        <v>1338</v>
      </c>
      <c r="G21" s="39">
        <v>12</v>
      </c>
      <c r="H21" s="39"/>
      <c r="I21" s="40" t="s">
        <v>271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5.1905920037996749E-3</v>
      </c>
      <c r="V21" s="48">
        <f t="shared" si="2"/>
        <v>0</v>
      </c>
      <c r="W21" s="49">
        <f t="shared" si="3"/>
        <v>4.3254933364997295E-4</v>
      </c>
      <c r="X21" s="44">
        <f t="shared" si="4"/>
        <v>590.45556846657837</v>
      </c>
      <c r="Y21" s="44">
        <f t="shared" si="5"/>
        <v>0</v>
      </c>
      <c r="Z21" s="44">
        <f t="shared" si="6"/>
        <v>3230.3718976089995</v>
      </c>
      <c r="AA21" s="50">
        <f t="shared" si="7"/>
        <v>2876.4555684665784</v>
      </c>
      <c r="AB21" s="51">
        <f t="shared" si="18"/>
        <v>3019.885853612227</v>
      </c>
      <c r="AC21" s="44">
        <f t="shared" si="18"/>
        <v>2689.0301659031302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1.874817148593096</v>
      </c>
      <c r="AP21" s="47">
        <f t="shared" si="16"/>
        <v>2.3160421339374624</v>
      </c>
    </row>
    <row r="22" spans="1:42" ht="13.5" customHeight="1">
      <c r="A22" s="60">
        <f>(SUM(AM5:AM998)/(SUM(AB5:AB998)))</f>
        <v>2.0550559099177725</v>
      </c>
      <c r="B22" s="97" t="s">
        <v>70</v>
      </c>
      <c r="C22" s="98">
        <v>18231134</v>
      </c>
      <c r="D22" s="61" t="s">
        <v>176</v>
      </c>
      <c r="E22" s="38" t="s">
        <v>1339</v>
      </c>
      <c r="F22" s="39" t="s">
        <v>1338</v>
      </c>
      <c r="G22" s="39">
        <v>12</v>
      </c>
      <c r="H22" s="39"/>
      <c r="I22" s="40" t="s">
        <v>271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0.40530468360982708</v>
      </c>
      <c r="V22" s="48">
        <f t="shared" si="2"/>
        <v>0</v>
      </c>
      <c r="W22" s="49">
        <f t="shared" si="3"/>
        <v>3.3775390300818921E-2</v>
      </c>
      <c r="X22" s="44">
        <f t="shared" si="4"/>
        <v>46105.416720832902</v>
      </c>
      <c r="Y22" s="44">
        <f t="shared" si="5"/>
        <v>0</v>
      </c>
      <c r="Z22" s="44">
        <f t="shared" si="6"/>
        <v>252241.9136283597</v>
      </c>
      <c r="AA22" s="50">
        <f t="shared" si="7"/>
        <v>223143.4167208329</v>
      </c>
      <c r="AB22" s="51">
        <f t="shared" si="18"/>
        <v>235806.22008821135</v>
      </c>
      <c r="AC22" s="44">
        <f t="shared" si="18"/>
        <v>208603.73630067578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1.8748171485930956</v>
      </c>
      <c r="AP22" s="47">
        <f t="shared" si="16"/>
        <v>2.3312281376493762</v>
      </c>
    </row>
    <row r="23" spans="1:42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1340</v>
      </c>
      <c r="F23" s="39" t="s">
        <v>1341</v>
      </c>
      <c r="G23" s="39">
        <v>12</v>
      </c>
      <c r="H23" s="39"/>
      <c r="I23" s="40" t="s">
        <v>271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2.0018812135866519E-3</v>
      </c>
      <c r="V23" s="48">
        <f t="shared" si="2"/>
        <v>0</v>
      </c>
      <c r="W23" s="49">
        <f t="shared" si="3"/>
        <v>1.6682343446555432E-4</v>
      </c>
      <c r="X23" s="44">
        <f t="shared" si="4"/>
        <v>227.72391070336357</v>
      </c>
      <c r="Y23" s="44">
        <f t="shared" si="5"/>
        <v>0</v>
      </c>
      <c r="Z23" s="44">
        <f t="shared" si="6"/>
        <v>1245.8734591329476</v>
      </c>
      <c r="AA23" s="50">
        <f t="shared" si="7"/>
        <v>608.72391070336357</v>
      </c>
      <c r="AB23" s="51">
        <f t="shared" si="18"/>
        <v>1164.6942686107764</v>
      </c>
      <c r="AC23" s="44">
        <f t="shared" si="18"/>
        <v>569.06040076971442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1.874817148593096</v>
      </c>
      <c r="AP23" s="47">
        <f t="shared" si="16"/>
        <v>4.220901090950357</v>
      </c>
    </row>
    <row r="24" spans="1:42" ht="13.5" customHeight="1">
      <c r="A24" s="60">
        <f>(SUM(AN5:AN998)/SUM(AC5:AC998))</f>
        <v>2.3743959924264679</v>
      </c>
      <c r="B24" s="97" t="s">
        <v>70</v>
      </c>
      <c r="C24" s="98">
        <v>18231134</v>
      </c>
      <c r="D24" s="61" t="s">
        <v>176</v>
      </c>
      <c r="E24" s="38" t="s">
        <v>1342</v>
      </c>
      <c r="F24" s="39" t="s">
        <v>1343</v>
      </c>
      <c r="G24" s="39">
        <v>9</v>
      </c>
      <c r="H24" s="39"/>
      <c r="I24" s="40" t="s">
        <v>270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8.2202247332901894E-4</v>
      </c>
      <c r="V24" s="48">
        <f t="shared" ref="V24:V86" si="21">N24-M24</f>
        <v>0</v>
      </c>
      <c r="W24" s="49">
        <f t="shared" ref="W24:W86" si="22">(O24/A$10)</f>
        <v>9.133583036989099E-5</v>
      </c>
      <c r="X24" s="44">
        <f t="shared" ref="X24:X86" si="23">W24*A$8</f>
        <v>124.67884111009155</v>
      </c>
      <c r="Y24" s="44">
        <f t="shared" ref="Y24:Y86" si="24">Q24-P24</f>
        <v>0</v>
      </c>
      <c r="Z24" s="44">
        <f t="shared" ref="Z24:Z86" si="25">X24+(A$6*W24)</f>
        <v>682.11571887528874</v>
      </c>
      <c r="AA24" s="50">
        <f t="shared" ref="AA24:AA86" si="26">Q24+X24</f>
        <v>664.67884111009153</v>
      </c>
      <c r="AB24" s="51">
        <f t="shared" ref="AB24:AB86" si="27">Z24/(1+ElecDiscountRate)^1</f>
        <v>637.67011206439997</v>
      </c>
      <c r="AC24" s="44">
        <f t="shared" ref="AC24:AC86" si="28">AA24/(1+ElecDiscountRate)^1</f>
        <v>621.36939432559734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1.3777583700064426</v>
      </c>
      <c r="AP24" s="47">
        <f t="shared" ref="AP24:AP86" si="37">AN24/AC24</f>
        <v>1.5552920315113585</v>
      </c>
    </row>
    <row r="25" spans="1:42" ht="13.5" customHeight="1">
      <c r="B25" s="97" t="s">
        <v>70</v>
      </c>
      <c r="C25" s="98">
        <v>18231134</v>
      </c>
      <c r="D25" s="61" t="s">
        <v>176</v>
      </c>
      <c r="E25" s="38" t="s">
        <v>1344</v>
      </c>
      <c r="F25" s="39" t="s">
        <v>1343</v>
      </c>
      <c r="G25" s="39">
        <v>9</v>
      </c>
      <c r="H25" s="39"/>
      <c r="I25" s="40" t="s">
        <v>270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7.4944236337689801E-3</v>
      </c>
      <c r="V25" s="48">
        <f t="shared" si="21"/>
        <v>0</v>
      </c>
      <c r="W25" s="49">
        <f t="shared" si="22"/>
        <v>8.3271373708544228E-4</v>
      </c>
      <c r="X25" s="44">
        <f t="shared" si="23"/>
        <v>1136.70378093471</v>
      </c>
      <c r="Y25" s="44">
        <f t="shared" si="24"/>
        <v>0</v>
      </c>
      <c r="Z25" s="44">
        <f t="shared" si="25"/>
        <v>6218.8861379926666</v>
      </c>
      <c r="AA25" s="50">
        <f t="shared" si="26"/>
        <v>6056.7037809347103</v>
      </c>
      <c r="AB25" s="51">
        <f t="shared" si="27"/>
        <v>5813.6731214290603</v>
      </c>
      <c r="AC25" s="44">
        <f t="shared" si="28"/>
        <v>5662.0583162893427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1.3777583700064422</v>
      </c>
      <c r="AP25" s="47">
        <f t="shared" si="37"/>
        <v>1.5561161668955785</v>
      </c>
    </row>
    <row r="26" spans="1:42" ht="13.5" customHeight="1">
      <c r="B26" s="97" t="s">
        <v>70</v>
      </c>
      <c r="C26" s="98">
        <v>18231134</v>
      </c>
      <c r="D26" s="61" t="s">
        <v>176</v>
      </c>
      <c r="E26" s="38" t="s">
        <v>1345</v>
      </c>
      <c r="F26" s="39" t="s">
        <v>1346</v>
      </c>
      <c r="G26" s="39">
        <v>16</v>
      </c>
      <c r="H26" s="39"/>
      <c r="I26" s="40" t="s">
        <v>271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4.4355968032469952E-4</v>
      </c>
      <c r="V26" s="48">
        <f t="shared" si="21"/>
        <v>0</v>
      </c>
      <c r="W26" s="49">
        <f t="shared" si="22"/>
        <v>2.772248002029372E-5</v>
      </c>
      <c r="X26" s="44">
        <f t="shared" si="23"/>
        <v>37.842834160812522</v>
      </c>
      <c r="Y26" s="44">
        <f t="shared" si="24"/>
        <v>0</v>
      </c>
      <c r="Z26" s="44">
        <f t="shared" si="25"/>
        <v>207.03747161948587</v>
      </c>
      <c r="AA26" s="50">
        <f t="shared" si="26"/>
        <v>429.7928341608125</v>
      </c>
      <c r="AB26" s="51">
        <f t="shared" si="27"/>
        <v>193.54722970878365</v>
      </c>
      <c r="AC26" s="44">
        <f t="shared" si="28"/>
        <v>401.78819684099511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2.4072881888248152</v>
      </c>
      <c r="AP26" s="47">
        <f t="shared" si="37"/>
        <v>1.2755883823693179</v>
      </c>
    </row>
    <row r="27" spans="1:42" ht="13.5" customHeight="1">
      <c r="B27" s="97" t="s">
        <v>70</v>
      </c>
      <c r="C27" s="98">
        <v>18231134</v>
      </c>
      <c r="D27" s="61" t="s">
        <v>176</v>
      </c>
      <c r="E27" s="38" t="s">
        <v>1347</v>
      </c>
      <c r="F27" s="39" t="s">
        <v>1348</v>
      </c>
      <c r="G27" s="39">
        <v>10</v>
      </c>
      <c r="H27" s="39"/>
      <c r="I27" s="40" t="s">
        <v>271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2.0099244863198123E-2</v>
      </c>
      <c r="V27" s="48">
        <f t="shared" si="21"/>
        <v>0</v>
      </c>
      <c r="W27" s="49">
        <f t="shared" si="22"/>
        <v>2.0099244863198123E-3</v>
      </c>
      <c r="X27" s="44">
        <f t="shared" si="23"/>
        <v>2743.6664741349891</v>
      </c>
      <c r="Y27" s="44">
        <f t="shared" si="24"/>
        <v>0</v>
      </c>
      <c r="Z27" s="44">
        <f t="shared" si="25"/>
        <v>15010.550408517851</v>
      </c>
      <c r="AA27" s="50">
        <f t="shared" si="26"/>
        <v>26271.666474134989</v>
      </c>
      <c r="AB27" s="51">
        <f t="shared" si="27"/>
        <v>14032.486125565905</v>
      </c>
      <c r="AC27" s="44">
        <f t="shared" si="28"/>
        <v>24559.84525954472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1.5748669737843561</v>
      </c>
      <c r="AP27" s="47">
        <f t="shared" si="37"/>
        <v>0.98979568471498069</v>
      </c>
    </row>
    <row r="28" spans="1:42" ht="13.5" customHeight="1">
      <c r="B28" s="97" t="s">
        <v>70</v>
      </c>
      <c r="C28" s="98">
        <v>18231134</v>
      </c>
      <c r="D28" s="61" t="s">
        <v>176</v>
      </c>
      <c r="E28" s="38" t="s">
        <v>1349</v>
      </c>
      <c r="F28" s="39" t="s">
        <v>1350</v>
      </c>
      <c r="G28" s="39">
        <v>10</v>
      </c>
      <c r="H28" s="39"/>
      <c r="I28" s="40" t="s">
        <v>271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2.4399913283854762E-4</v>
      </c>
      <c r="V28" s="48">
        <f t="shared" si="21"/>
        <v>0</v>
      </c>
      <c r="W28" s="49">
        <f t="shared" si="22"/>
        <v>2.4399913283854763E-5</v>
      </c>
      <c r="X28" s="44">
        <f t="shared" si="23"/>
        <v>33.307332939303862</v>
      </c>
      <c r="Y28" s="44">
        <f t="shared" si="24"/>
        <v>0</v>
      </c>
      <c r="Z28" s="44">
        <f t="shared" si="25"/>
        <v>182.22382522508798</v>
      </c>
      <c r="AA28" s="50">
        <f t="shared" si="26"/>
        <v>237.30733293930388</v>
      </c>
      <c r="AB28" s="51">
        <f t="shared" si="27"/>
        <v>170.35040219228566</v>
      </c>
      <c r="AC28" s="44">
        <f t="shared" si="28"/>
        <v>221.84475361251179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1.5748669737843564</v>
      </c>
      <c r="AP28" s="47">
        <f t="shared" si="37"/>
        <v>1.3302417109999238</v>
      </c>
    </row>
    <row r="29" spans="1:42">
      <c r="B29" s="97" t="s">
        <v>70</v>
      </c>
      <c r="C29" s="98">
        <v>18231134</v>
      </c>
      <c r="D29" s="61" t="s">
        <v>176</v>
      </c>
      <c r="E29" s="38" t="s">
        <v>1351</v>
      </c>
      <c r="F29" s="39" t="s">
        <v>1352</v>
      </c>
      <c r="G29" s="39">
        <v>4</v>
      </c>
      <c r="H29" s="39"/>
      <c r="I29" s="40" t="s">
        <v>269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3.9084347503358439E-4</v>
      </c>
      <c r="V29" s="48">
        <f t="shared" si="21"/>
        <v>0</v>
      </c>
      <c r="W29" s="49">
        <f t="shared" si="22"/>
        <v>9.7710868758396098E-5</v>
      </c>
      <c r="X29" s="44">
        <f t="shared" si="23"/>
        <v>133.38114769768438</v>
      </c>
      <c r="Y29" s="44">
        <f t="shared" si="24"/>
        <v>0</v>
      </c>
      <c r="Z29" s="44">
        <f t="shared" si="25"/>
        <v>729.7258832064407</v>
      </c>
      <c r="AA29" s="50">
        <f t="shared" si="26"/>
        <v>209.68114769768437</v>
      </c>
      <c r="AB29" s="51">
        <f t="shared" si="27"/>
        <v>682.17807161488327</v>
      </c>
      <c r="AC29" s="44">
        <f t="shared" si="28"/>
        <v>196.01864793650964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0.61074350384354792</v>
      </c>
      <c r="AP29" s="47">
        <f t="shared" si="37"/>
        <v>6.4175107821585229</v>
      </c>
    </row>
    <row r="30" spans="1:42">
      <c r="B30" s="97" t="s">
        <v>70</v>
      </c>
      <c r="C30" s="98">
        <v>18231134</v>
      </c>
      <c r="D30" s="61" t="s">
        <v>176</v>
      </c>
      <c r="E30" s="38" t="s">
        <v>1353</v>
      </c>
      <c r="F30" s="39" t="s">
        <v>1354</v>
      </c>
      <c r="G30" s="39">
        <v>10</v>
      </c>
      <c r="H30" s="39"/>
      <c r="I30" s="40" t="s">
        <v>269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2.0071771956331773E-4</v>
      </c>
      <c r="V30" s="48">
        <f t="shared" si="21"/>
        <v>0</v>
      </c>
      <c r="W30" s="49">
        <f t="shared" si="22"/>
        <v>2.0071771956331772E-5</v>
      </c>
      <c r="X30" s="44">
        <f t="shared" si="23"/>
        <v>27.399162589388823</v>
      </c>
      <c r="Y30" s="44">
        <f t="shared" si="24"/>
        <v>0</v>
      </c>
      <c r="Z30" s="44">
        <f t="shared" si="25"/>
        <v>149.90033047980543</v>
      </c>
      <c r="AA30" s="50">
        <f t="shared" si="26"/>
        <v>53.579162589388822</v>
      </c>
      <c r="AB30" s="51">
        <f t="shared" si="27"/>
        <v>140.13305644555055</v>
      </c>
      <c r="AC30" s="44">
        <f t="shared" si="28"/>
        <v>50.088027100485014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1.517860809285466</v>
      </c>
      <c r="AP30" s="47">
        <f t="shared" si="37"/>
        <v>41.935736878233079</v>
      </c>
    </row>
    <row r="31" spans="1:42">
      <c r="B31" s="97" t="s">
        <v>70</v>
      </c>
      <c r="C31" s="98">
        <v>18231134</v>
      </c>
      <c r="D31" s="61" t="s">
        <v>176</v>
      </c>
      <c r="E31" s="38" t="s">
        <v>1355</v>
      </c>
      <c r="F31" s="39" t="s">
        <v>1356</v>
      </c>
      <c r="G31" s="39">
        <v>10</v>
      </c>
      <c r="H31" s="39"/>
      <c r="I31" s="40" t="s">
        <v>269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1.0035885978165886E-4</v>
      </c>
      <c r="V31" s="48">
        <f t="shared" si="21"/>
        <v>0</v>
      </c>
      <c r="W31" s="49">
        <f t="shared" si="22"/>
        <v>1.0035885978165886E-5</v>
      </c>
      <c r="X31" s="44">
        <f t="shared" si="23"/>
        <v>13.699581294694411</v>
      </c>
      <c r="Y31" s="44">
        <f t="shared" si="24"/>
        <v>0</v>
      </c>
      <c r="Z31" s="44">
        <f t="shared" si="25"/>
        <v>74.950165239902717</v>
      </c>
      <c r="AA31" s="50">
        <f t="shared" si="26"/>
        <v>26.789581294694411</v>
      </c>
      <c r="AB31" s="51">
        <f t="shared" si="27"/>
        <v>70.066528222775275</v>
      </c>
      <c r="AC31" s="44">
        <f t="shared" si="28"/>
        <v>25.044013550242507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1.517860809285466</v>
      </c>
      <c r="AP31" s="47">
        <f t="shared" si="37"/>
        <v>41.935736878233079</v>
      </c>
    </row>
    <row r="32" spans="1:42">
      <c r="B32" s="97" t="s">
        <v>70</v>
      </c>
      <c r="C32" s="98">
        <v>18231134</v>
      </c>
      <c r="D32" s="61" t="s">
        <v>176</v>
      </c>
      <c r="E32" s="38" t="s">
        <v>1357</v>
      </c>
      <c r="F32" s="39" t="s">
        <v>1358</v>
      </c>
      <c r="G32" s="39">
        <v>15</v>
      </c>
      <c r="H32" s="39"/>
      <c r="I32" s="40" t="s">
        <v>271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1.6765755163788209E-2</v>
      </c>
      <c r="V32" s="48">
        <f t="shared" si="21"/>
        <v>0</v>
      </c>
      <c r="W32" s="49">
        <f t="shared" si="22"/>
        <v>1.1177170109192139E-3</v>
      </c>
      <c r="X32" s="44">
        <f t="shared" si="23"/>
        <v>1525.750201712536</v>
      </c>
      <c r="Y32" s="44">
        <f t="shared" si="24"/>
        <v>0</v>
      </c>
      <c r="Z32" s="44">
        <f t="shared" si="25"/>
        <v>8347.3521761907487</v>
      </c>
      <c r="AA32" s="50">
        <f t="shared" si="26"/>
        <v>4876.2302017125357</v>
      </c>
      <c r="AB32" s="51">
        <f t="shared" si="27"/>
        <v>7803.4515996922019</v>
      </c>
      <c r="AC32" s="44">
        <f t="shared" si="28"/>
        <v>4558.5025724151965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2.2817730957716305</v>
      </c>
      <c r="AP32" s="47">
        <f t="shared" si="37"/>
        <v>4.2966470227063818</v>
      </c>
    </row>
    <row r="33" spans="2:42">
      <c r="B33" s="97" t="s">
        <v>70</v>
      </c>
      <c r="C33" s="98">
        <v>18231134</v>
      </c>
      <c r="D33" s="61" t="s">
        <v>176</v>
      </c>
      <c r="E33" s="38" t="s">
        <v>1359</v>
      </c>
      <c r="F33" s="39" t="s">
        <v>1358</v>
      </c>
      <c r="G33" s="39">
        <v>15</v>
      </c>
      <c r="H33" s="39"/>
      <c r="I33" s="40" t="s">
        <v>271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1.180414818372518</v>
      </c>
      <c r="V33" s="48">
        <f t="shared" si="21"/>
        <v>0</v>
      </c>
      <c r="W33" s="49">
        <f t="shared" si="22"/>
        <v>7.8694321224834538E-2</v>
      </c>
      <c r="X33" s="44">
        <f t="shared" si="23"/>
        <v>107422.42921012556</v>
      </c>
      <c r="Y33" s="44">
        <f t="shared" si="24"/>
        <v>0</v>
      </c>
      <c r="Z33" s="44">
        <f t="shared" si="25"/>
        <v>587706.19674988103</v>
      </c>
      <c r="AA33" s="50">
        <f t="shared" si="26"/>
        <v>341956.02921012556</v>
      </c>
      <c r="AB33" s="51">
        <f t="shared" si="27"/>
        <v>549412.1685985612</v>
      </c>
      <c r="AC33" s="44">
        <f t="shared" si="28"/>
        <v>319674.70244940219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2.2817730957716305</v>
      </c>
      <c r="AP33" s="47">
        <f t="shared" si="37"/>
        <v>4.3137517129488367</v>
      </c>
    </row>
    <row r="34" spans="2:42">
      <c r="B34" s="97" t="s">
        <v>70</v>
      </c>
      <c r="C34" s="98">
        <v>18231134</v>
      </c>
      <c r="D34" s="61" t="s">
        <v>176</v>
      </c>
      <c r="E34" s="38" t="s">
        <v>1360</v>
      </c>
      <c r="F34" s="39" t="s">
        <v>1361</v>
      </c>
      <c r="G34" s="39">
        <v>15</v>
      </c>
      <c r="H34" s="39"/>
      <c r="I34" s="40" t="s">
        <v>271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0.21002236282040959</v>
      </c>
      <c r="V34" s="48">
        <f t="shared" si="21"/>
        <v>53.05</v>
      </c>
      <c r="W34" s="49">
        <f t="shared" si="22"/>
        <v>1.4001490854693974E-2</v>
      </c>
      <c r="X34" s="44">
        <f t="shared" si="23"/>
        <v>19112.867825333306</v>
      </c>
      <c r="Y34" s="44">
        <f t="shared" si="24"/>
        <v>2175.049999999901</v>
      </c>
      <c r="Z34" s="44">
        <f t="shared" si="25"/>
        <v>104566.15942502829</v>
      </c>
      <c r="AA34" s="50">
        <f t="shared" si="26"/>
        <v>100803.7078253333</v>
      </c>
      <c r="AB34" s="51">
        <f t="shared" si="27"/>
        <v>97752.789964502459</v>
      </c>
      <c r="AC34" s="44">
        <f t="shared" si="28"/>
        <v>94235.493900470494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2.2817730957716309</v>
      </c>
      <c r="AP34" s="47">
        <f t="shared" si="37"/>
        <v>2.6036331390645313</v>
      </c>
    </row>
    <row r="35" spans="2:42">
      <c r="B35" s="97" t="s">
        <v>70</v>
      </c>
      <c r="C35" s="98">
        <v>18231134</v>
      </c>
      <c r="D35" s="61" t="s">
        <v>176</v>
      </c>
      <c r="E35" s="38" t="s">
        <v>1362</v>
      </c>
      <c r="F35" s="39" t="s">
        <v>1363</v>
      </c>
      <c r="G35" s="39">
        <v>12</v>
      </c>
      <c r="H35" s="39"/>
      <c r="I35" s="40" t="s">
        <v>271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7.0065842475532819E-4</v>
      </c>
      <c r="V35" s="48">
        <f t="shared" si="21"/>
        <v>0</v>
      </c>
      <c r="W35" s="49">
        <f t="shared" si="22"/>
        <v>5.8388202062944011E-5</v>
      </c>
      <c r="X35" s="44">
        <f t="shared" si="23"/>
        <v>79.703368746177247</v>
      </c>
      <c r="Y35" s="44">
        <f t="shared" si="24"/>
        <v>0</v>
      </c>
      <c r="Z35" s="44">
        <f t="shared" si="25"/>
        <v>436.05571069653166</v>
      </c>
      <c r="AA35" s="50">
        <f t="shared" si="26"/>
        <v>856.70336874617726</v>
      </c>
      <c r="AB35" s="51">
        <f t="shared" si="27"/>
        <v>407.64299401377173</v>
      </c>
      <c r="AC35" s="44">
        <f t="shared" si="28"/>
        <v>800.88190029557552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1.8748171485930958</v>
      </c>
      <c r="AP35" s="47">
        <f t="shared" si="37"/>
        <v>1.0496949462070164</v>
      </c>
    </row>
    <row r="36" spans="2:42">
      <c r="B36" s="97" t="s">
        <v>70</v>
      </c>
      <c r="C36" s="98">
        <v>18231134</v>
      </c>
      <c r="D36" s="61" t="s">
        <v>176</v>
      </c>
      <c r="E36" s="38" t="s">
        <v>1364</v>
      </c>
      <c r="F36" s="39" t="s">
        <v>1365</v>
      </c>
      <c r="G36" s="39">
        <v>12</v>
      </c>
      <c r="H36" s="39"/>
      <c r="I36" s="40" t="s">
        <v>271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8.1346284234632197E-4</v>
      </c>
      <c r="V36" s="48">
        <f t="shared" si="21"/>
        <v>0</v>
      </c>
      <c r="W36" s="49">
        <f t="shared" si="22"/>
        <v>6.778857019552683E-5</v>
      </c>
      <c r="X36" s="44">
        <f t="shared" si="23"/>
        <v>92.535430381049324</v>
      </c>
      <c r="Y36" s="44">
        <f t="shared" si="24"/>
        <v>0</v>
      </c>
      <c r="Z36" s="44">
        <f t="shared" si="25"/>
        <v>506.25969133021357</v>
      </c>
      <c r="AA36" s="50">
        <f t="shared" si="26"/>
        <v>684.53543038104931</v>
      </c>
      <c r="AB36" s="51">
        <f t="shared" si="27"/>
        <v>473.2725916894583</v>
      </c>
      <c r="AC36" s="44">
        <f t="shared" si="28"/>
        <v>639.93215890534657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1.874817148593096</v>
      </c>
      <c r="AP36" s="47">
        <f t="shared" si="37"/>
        <v>1.5252078120498247</v>
      </c>
    </row>
    <row r="37" spans="2:42">
      <c r="B37" s="97" t="s">
        <v>70</v>
      </c>
      <c r="C37" s="98">
        <v>18231134</v>
      </c>
      <c r="D37" s="61" t="s">
        <v>176</v>
      </c>
      <c r="E37" s="38" t="s">
        <v>1366</v>
      </c>
      <c r="F37" s="39" t="s">
        <v>1365</v>
      </c>
      <c r="G37" s="39">
        <v>12</v>
      </c>
      <c r="H37" s="39"/>
      <c r="I37" s="40" t="s">
        <v>271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6.5432917381232275E-2</v>
      </c>
      <c r="V37" s="48">
        <f t="shared" si="21"/>
        <v>0</v>
      </c>
      <c r="W37" s="49">
        <f t="shared" si="22"/>
        <v>5.4527431151026899E-3</v>
      </c>
      <c r="X37" s="44">
        <f t="shared" si="23"/>
        <v>7443.3186812756558</v>
      </c>
      <c r="Y37" s="44">
        <f t="shared" si="24"/>
        <v>0</v>
      </c>
      <c r="Z37" s="44">
        <f t="shared" si="25"/>
        <v>40722.263921374055</v>
      </c>
      <c r="AA37" s="50">
        <f t="shared" si="26"/>
        <v>55062.318681275654</v>
      </c>
      <c r="AB37" s="51">
        <f t="shared" si="27"/>
        <v>38068.864094020799</v>
      </c>
      <c r="AC37" s="44">
        <f t="shared" si="28"/>
        <v>51474.543031948815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1.8748171485930962</v>
      </c>
      <c r="AP37" s="47">
        <f t="shared" si="37"/>
        <v>1.5252078120498247</v>
      </c>
    </row>
    <row r="38" spans="2:42">
      <c r="B38" s="97" t="s">
        <v>70</v>
      </c>
      <c r="C38" s="98">
        <v>18231134</v>
      </c>
      <c r="D38" s="61" t="s">
        <v>176</v>
      </c>
      <c r="E38" s="38" t="s">
        <v>1367</v>
      </c>
      <c r="F38" s="39" t="s">
        <v>1368</v>
      </c>
      <c r="G38" s="39">
        <v>12</v>
      </c>
      <c r="H38" s="39"/>
      <c r="I38" s="40" t="s">
        <v>271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1.4112468158478915E-2</v>
      </c>
      <c r="V38" s="48">
        <f t="shared" si="21"/>
        <v>0</v>
      </c>
      <c r="W38" s="49">
        <f t="shared" si="22"/>
        <v>1.1760390132065763E-3</v>
      </c>
      <c r="X38" s="44">
        <f t="shared" si="23"/>
        <v>1605.3632038274816</v>
      </c>
      <c r="Y38" s="44">
        <f t="shared" si="24"/>
        <v>0</v>
      </c>
      <c r="Z38" s="44">
        <f t="shared" si="25"/>
        <v>8782.9134926574643</v>
      </c>
      <c r="AA38" s="50">
        <f t="shared" si="26"/>
        <v>15190.363203827481</v>
      </c>
      <c r="AB38" s="51">
        <f t="shared" si="27"/>
        <v>8210.6324134406495</v>
      </c>
      <c r="AC38" s="44">
        <f t="shared" si="28"/>
        <v>14200.582596828532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1.8748171485930964</v>
      </c>
      <c r="AP38" s="47">
        <f t="shared" si="37"/>
        <v>1.1924002257657935</v>
      </c>
    </row>
    <row r="39" spans="2:42">
      <c r="B39" s="97" t="s">
        <v>70</v>
      </c>
      <c r="C39" s="98">
        <v>18231134</v>
      </c>
      <c r="D39" s="61" t="s">
        <v>176</v>
      </c>
      <c r="E39" s="38" t="s">
        <v>1369</v>
      </c>
      <c r="F39" s="39" t="s">
        <v>1370</v>
      </c>
      <c r="G39" s="39">
        <v>12</v>
      </c>
      <c r="H39" s="39"/>
      <c r="I39" s="40" t="s">
        <v>271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4.6570747724326934E-2</v>
      </c>
      <c r="V39" s="48">
        <f t="shared" si="21"/>
        <v>0</v>
      </c>
      <c r="W39" s="49">
        <f t="shared" si="22"/>
        <v>3.8808956436939112E-3</v>
      </c>
      <c r="X39" s="44">
        <f t="shared" si="23"/>
        <v>5297.6533893150736</v>
      </c>
      <c r="Y39" s="44">
        <f t="shared" si="24"/>
        <v>0</v>
      </c>
      <c r="Z39" s="44">
        <f t="shared" si="25"/>
        <v>28983.367328654731</v>
      </c>
      <c r="AA39" s="50">
        <f t="shared" si="26"/>
        <v>35067.653389315077</v>
      </c>
      <c r="AB39" s="51">
        <f t="shared" si="27"/>
        <v>27094.855874221492</v>
      </c>
      <c r="AC39" s="44">
        <f t="shared" si="28"/>
        <v>32782.699251486469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1.8748171485930958</v>
      </c>
      <c r="AP39" s="47">
        <f t="shared" si="37"/>
        <v>1.7044871761827254</v>
      </c>
    </row>
    <row r="40" spans="2:42">
      <c r="B40" s="97" t="s">
        <v>70</v>
      </c>
      <c r="C40" s="98">
        <v>18231134</v>
      </c>
      <c r="D40" s="61" t="s">
        <v>176</v>
      </c>
      <c r="E40" s="38" t="s">
        <v>1371</v>
      </c>
      <c r="F40" s="39" t="s">
        <v>1370</v>
      </c>
      <c r="G40" s="39">
        <v>12</v>
      </c>
      <c r="H40" s="39"/>
      <c r="I40" s="40" t="s">
        <v>271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1.3965599984364669</v>
      </c>
      <c r="V40" s="48">
        <f t="shared" si="21"/>
        <v>0</v>
      </c>
      <c r="W40" s="49">
        <f t="shared" si="22"/>
        <v>0.11637999986970558</v>
      </c>
      <c r="X40" s="44">
        <f t="shared" si="23"/>
        <v>158865.62210454032</v>
      </c>
      <c r="Y40" s="44">
        <f t="shared" si="24"/>
        <v>0</v>
      </c>
      <c r="Z40" s="44">
        <f t="shared" si="25"/>
        <v>869150.98874493316</v>
      </c>
      <c r="AA40" s="50">
        <f t="shared" si="26"/>
        <v>1044685.6221045404</v>
      </c>
      <c r="AB40" s="51">
        <f t="shared" si="27"/>
        <v>812518.45259879692</v>
      </c>
      <c r="AC40" s="44">
        <f t="shared" si="28"/>
        <v>976615.52033704799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1.8748171485930958</v>
      </c>
      <c r="AP40" s="47">
        <f t="shared" si="37"/>
        <v>1.7157784680201544</v>
      </c>
    </row>
    <row r="41" spans="2:42">
      <c r="B41" s="97" t="s">
        <v>70</v>
      </c>
      <c r="C41" s="98">
        <v>18231134</v>
      </c>
      <c r="D41" s="61" t="s">
        <v>176</v>
      </c>
      <c r="E41" s="38" t="s">
        <v>1372</v>
      </c>
      <c r="F41" s="39" t="s">
        <v>1373</v>
      </c>
      <c r="G41" s="39">
        <v>12</v>
      </c>
      <c r="H41" s="39"/>
      <c r="I41" s="40" t="s">
        <v>271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1.2409280332316305E-2</v>
      </c>
      <c r="V41" s="48">
        <f t="shared" si="21"/>
        <v>0</v>
      </c>
      <c r="W41" s="49">
        <f t="shared" si="22"/>
        <v>1.0341066943596921E-3</v>
      </c>
      <c r="X41" s="44">
        <f t="shared" si="23"/>
        <v>1411.6171464671597</v>
      </c>
      <c r="Y41" s="44">
        <f t="shared" si="24"/>
        <v>0</v>
      </c>
      <c r="Z41" s="44">
        <f t="shared" si="25"/>
        <v>7722.9322639348311</v>
      </c>
      <c r="AA41" s="50">
        <f t="shared" si="26"/>
        <v>11005.617146467161</v>
      </c>
      <c r="AB41" s="51">
        <f t="shared" si="27"/>
        <v>7219.7179245908483</v>
      </c>
      <c r="AC41" s="44">
        <f t="shared" si="28"/>
        <v>10288.508129818791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1.8748171485930958</v>
      </c>
      <c r="AP41" s="47">
        <f t="shared" si="37"/>
        <v>1.4471695878995148</v>
      </c>
    </row>
    <row r="42" spans="2:42">
      <c r="B42" s="97" t="s">
        <v>70</v>
      </c>
      <c r="C42" s="98">
        <v>18231134</v>
      </c>
      <c r="D42" s="61" t="s">
        <v>176</v>
      </c>
      <c r="E42" s="38" t="s">
        <v>1374</v>
      </c>
      <c r="F42" s="39" t="s">
        <v>1375</v>
      </c>
      <c r="G42" s="39">
        <v>12</v>
      </c>
      <c r="H42" s="39"/>
      <c r="I42" s="40" t="s">
        <v>271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2.0133205348071469E-2</v>
      </c>
      <c r="V42" s="48">
        <f t="shared" si="21"/>
        <v>0</v>
      </c>
      <c r="W42" s="49">
        <f t="shared" si="22"/>
        <v>1.6777671123392891E-3</v>
      </c>
      <c r="X42" s="44">
        <f t="shared" si="23"/>
        <v>2290.2519019309707</v>
      </c>
      <c r="Y42" s="44">
        <f t="shared" si="24"/>
        <v>0</v>
      </c>
      <c r="Z42" s="44">
        <f t="shared" si="25"/>
        <v>12529.927360422787</v>
      </c>
      <c r="AA42" s="50">
        <f t="shared" si="26"/>
        <v>12586.251901930971</v>
      </c>
      <c r="AB42" s="51">
        <f t="shared" si="27"/>
        <v>11713.496644314095</v>
      </c>
      <c r="AC42" s="44">
        <f t="shared" si="28"/>
        <v>11766.151165682873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1.8748171485930956</v>
      </c>
      <c r="AP42" s="47">
        <f t="shared" si="37"/>
        <v>2.0530699016580698</v>
      </c>
    </row>
    <row r="43" spans="2:42">
      <c r="B43" s="97" t="s">
        <v>70</v>
      </c>
      <c r="C43" s="98">
        <v>18231134</v>
      </c>
      <c r="D43" s="61" t="s">
        <v>176</v>
      </c>
      <c r="E43" s="38" t="s">
        <v>1376</v>
      </c>
      <c r="F43" s="39" t="s">
        <v>1375</v>
      </c>
      <c r="G43" s="39">
        <v>12</v>
      </c>
      <c r="H43" s="39"/>
      <c r="I43" s="40" t="s">
        <v>271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1.0042373556172879</v>
      </c>
      <c r="V43" s="48">
        <f t="shared" si="21"/>
        <v>0</v>
      </c>
      <c r="W43" s="49">
        <f t="shared" si="22"/>
        <v>8.3686446301440662E-2</v>
      </c>
      <c r="X43" s="44">
        <f t="shared" si="23"/>
        <v>114236.97687129247</v>
      </c>
      <c r="Y43" s="44">
        <f t="shared" si="24"/>
        <v>0</v>
      </c>
      <c r="Z43" s="44">
        <f t="shared" si="25"/>
        <v>624988.46562020457</v>
      </c>
      <c r="AA43" s="50">
        <f t="shared" si="26"/>
        <v>625136.97687129246</v>
      </c>
      <c r="AB43" s="51">
        <f t="shared" si="27"/>
        <v>584265.18240647332</v>
      </c>
      <c r="AC43" s="44">
        <f t="shared" si="28"/>
        <v>584404.01689379488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1.8748171485930962</v>
      </c>
      <c r="AP43" s="47">
        <f t="shared" si="37"/>
        <v>2.0618089314924357</v>
      </c>
    </row>
    <row r="44" spans="2:42">
      <c r="B44" s="97" t="s">
        <v>70</v>
      </c>
      <c r="C44" s="98">
        <v>18231134</v>
      </c>
      <c r="D44" s="61" t="s">
        <v>176</v>
      </c>
      <c r="E44" s="38" t="s">
        <v>1377</v>
      </c>
      <c r="F44" s="39" t="s">
        <v>1378</v>
      </c>
      <c r="G44" s="39">
        <v>12</v>
      </c>
      <c r="H44" s="39"/>
      <c r="I44" s="40" t="s">
        <v>271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1.0724363644214205E-3</v>
      </c>
      <c r="V44" s="48">
        <f t="shared" si="21"/>
        <v>0</v>
      </c>
      <c r="W44" s="49">
        <f t="shared" si="22"/>
        <v>8.9369697035118377E-5</v>
      </c>
      <c r="X44" s="44">
        <f t="shared" si="23"/>
        <v>121.99495216251619</v>
      </c>
      <c r="Y44" s="44">
        <f t="shared" si="24"/>
        <v>0</v>
      </c>
      <c r="Z44" s="44">
        <f t="shared" si="25"/>
        <v>667.43221024979323</v>
      </c>
      <c r="AA44" s="50">
        <f t="shared" si="26"/>
        <v>721.99495216251614</v>
      </c>
      <c r="AB44" s="51">
        <f t="shared" si="27"/>
        <v>623.94335818434433</v>
      </c>
      <c r="AC44" s="44">
        <f t="shared" si="28"/>
        <v>674.95087609845382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1.8748171485930962</v>
      </c>
      <c r="AP44" s="47">
        <f t="shared" si="37"/>
        <v>1.9064464155974425</v>
      </c>
    </row>
    <row r="45" spans="2:42">
      <c r="B45" s="97" t="s">
        <v>70</v>
      </c>
      <c r="C45" s="98">
        <v>18231134</v>
      </c>
      <c r="D45" s="61" t="s">
        <v>176</v>
      </c>
      <c r="E45" s="38" t="s">
        <v>1379</v>
      </c>
      <c r="F45" s="39" t="s">
        <v>1378</v>
      </c>
      <c r="G45" s="39">
        <v>12</v>
      </c>
      <c r="H45" s="39"/>
      <c r="I45" s="40" t="s">
        <v>271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6.041391519574002E-3</v>
      </c>
      <c r="V45" s="48">
        <f t="shared" si="21"/>
        <v>0</v>
      </c>
      <c r="W45" s="49">
        <f t="shared" si="22"/>
        <v>5.034492932978335E-4</v>
      </c>
      <c r="X45" s="44">
        <f t="shared" si="23"/>
        <v>687.23823051550789</v>
      </c>
      <c r="Y45" s="44">
        <f t="shared" si="24"/>
        <v>0</v>
      </c>
      <c r="Z45" s="44">
        <f t="shared" si="25"/>
        <v>3759.8681177405019</v>
      </c>
      <c r="AA45" s="50">
        <f t="shared" si="26"/>
        <v>5187.2382305155079</v>
      </c>
      <c r="AB45" s="51">
        <f t="shared" si="27"/>
        <v>3514.8809177718067</v>
      </c>
      <c r="AC45" s="44">
        <f t="shared" si="28"/>
        <v>4849.2457983691756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1.874817148593096</v>
      </c>
      <c r="AP45" s="47">
        <f t="shared" si="37"/>
        <v>1.494816972224656</v>
      </c>
    </row>
    <row r="46" spans="2:42">
      <c r="B46" s="97" t="s">
        <v>70</v>
      </c>
      <c r="C46" s="98">
        <v>18231134</v>
      </c>
      <c r="D46" s="61" t="s">
        <v>176</v>
      </c>
      <c r="E46" s="38" t="s">
        <v>1380</v>
      </c>
      <c r="F46" s="39" t="s">
        <v>1381</v>
      </c>
      <c r="G46" s="39">
        <v>12</v>
      </c>
      <c r="H46" s="39"/>
      <c r="I46" s="40" t="s">
        <v>271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0.13896392090980675</v>
      </c>
      <c r="V46" s="48">
        <f t="shared" si="21"/>
        <v>0</v>
      </c>
      <c r="W46" s="49">
        <f t="shared" si="22"/>
        <v>1.1580326742483896E-2</v>
      </c>
      <c r="X46" s="44">
        <f t="shared" si="23"/>
        <v>15807.834801325154</v>
      </c>
      <c r="Y46" s="44">
        <f t="shared" si="24"/>
        <v>0</v>
      </c>
      <c r="Z46" s="44">
        <f t="shared" si="25"/>
        <v>86484.382621478784</v>
      </c>
      <c r="AA46" s="50">
        <f t="shared" si="26"/>
        <v>84407.834801325153</v>
      </c>
      <c r="AB46" s="51">
        <f t="shared" si="27"/>
        <v>80849.193812731392</v>
      </c>
      <c r="AC46" s="44">
        <f t="shared" si="28"/>
        <v>78907.950641605261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1.8748171485930958</v>
      </c>
      <c r="AP46" s="47">
        <f t="shared" si="37"/>
        <v>2.1130342272902203</v>
      </c>
    </row>
    <row r="47" spans="2:42">
      <c r="B47" s="97" t="s">
        <v>70</v>
      </c>
      <c r="C47" s="98">
        <v>18231134</v>
      </c>
      <c r="D47" s="61" t="s">
        <v>176</v>
      </c>
      <c r="E47" s="38" t="s">
        <v>1382</v>
      </c>
      <c r="F47" s="39" t="s">
        <v>1381</v>
      </c>
      <c r="G47" s="39">
        <v>12</v>
      </c>
      <c r="H47" s="39"/>
      <c r="I47" s="40" t="s">
        <v>271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2.0372477816933494</v>
      </c>
      <c r="V47" s="48">
        <f t="shared" si="21"/>
        <v>0</v>
      </c>
      <c r="W47" s="49">
        <f t="shared" si="22"/>
        <v>0.16977064847444578</v>
      </c>
      <c r="X47" s="44">
        <f t="shared" si="23"/>
        <v>231747.03312578966</v>
      </c>
      <c r="Y47" s="44">
        <f t="shared" si="24"/>
        <v>0</v>
      </c>
      <c r="Z47" s="44">
        <f t="shared" si="25"/>
        <v>1267883.8902442963</v>
      </c>
      <c r="AA47" s="50">
        <f t="shared" si="26"/>
        <v>1225747.0331257896</v>
      </c>
      <c r="AB47" s="51">
        <f t="shared" si="27"/>
        <v>1185270.5340229</v>
      </c>
      <c r="AC47" s="44">
        <f t="shared" si="28"/>
        <v>1145879.2494398332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1.8748171485930958</v>
      </c>
      <c r="AP47" s="47">
        <f t="shared" si="37"/>
        <v>2.1331934201566147</v>
      </c>
    </row>
    <row r="48" spans="2:42">
      <c r="B48" s="97" t="s">
        <v>70</v>
      </c>
      <c r="C48" s="98">
        <v>18231134</v>
      </c>
      <c r="D48" s="61" t="s">
        <v>176</v>
      </c>
      <c r="E48" s="38" t="s">
        <v>1383</v>
      </c>
      <c r="F48" s="39" t="s">
        <v>1384</v>
      </c>
      <c r="G48" s="39">
        <v>15</v>
      </c>
      <c r="H48" s="39"/>
      <c r="I48" s="40" t="s">
        <v>271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7.7048594803876727E-2</v>
      </c>
      <c r="V48" s="48">
        <f t="shared" si="21"/>
        <v>65.900000000000006</v>
      </c>
      <c r="W48" s="49">
        <f t="shared" si="22"/>
        <v>5.1365729869251153E-3</v>
      </c>
      <c r="X48" s="44">
        <f t="shared" si="23"/>
        <v>7011.7276505140426</v>
      </c>
      <c r="Y48" s="44">
        <f t="shared" si="24"/>
        <v>0</v>
      </c>
      <c r="Z48" s="44">
        <f t="shared" si="25"/>
        <v>38361.037079779235</v>
      </c>
      <c r="AA48" s="50">
        <f t="shared" si="26"/>
        <v>40866.72765051404</v>
      </c>
      <c r="AB48" s="51">
        <f t="shared" si="27"/>
        <v>35861.491146844193</v>
      </c>
      <c r="AC48" s="44">
        <f t="shared" si="28"/>
        <v>38203.914789673778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2.2817730957716305</v>
      </c>
      <c r="AP48" s="47">
        <f t="shared" si="37"/>
        <v>2.3560560412715326</v>
      </c>
    </row>
    <row r="49" spans="2:42">
      <c r="B49" s="97" t="s">
        <v>70</v>
      </c>
      <c r="C49" s="98">
        <v>18231134</v>
      </c>
      <c r="D49" s="61" t="s">
        <v>176</v>
      </c>
      <c r="E49" s="38" t="s">
        <v>1385</v>
      </c>
      <c r="F49" s="39" t="s">
        <v>1384</v>
      </c>
      <c r="G49" s="39">
        <v>15</v>
      </c>
      <c r="H49" s="39"/>
      <c r="I49" s="40" t="s">
        <v>271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2.9519406728679836</v>
      </c>
      <c r="V49" s="48">
        <f t="shared" si="21"/>
        <v>28</v>
      </c>
      <c r="W49" s="49">
        <f t="shared" si="22"/>
        <v>0.19679604485786556</v>
      </c>
      <c r="X49" s="44">
        <f t="shared" si="23"/>
        <v>268638.30665973452</v>
      </c>
      <c r="Y49" s="44">
        <f t="shared" si="24"/>
        <v>-214777</v>
      </c>
      <c r="Z49" s="44">
        <f t="shared" si="25"/>
        <v>1469715.3906238338</v>
      </c>
      <c r="AA49" s="50">
        <f t="shared" si="26"/>
        <v>1259558.3066597346</v>
      </c>
      <c r="AB49" s="51">
        <f t="shared" si="27"/>
        <v>1373951.0055378457</v>
      </c>
      <c r="AC49" s="44">
        <f t="shared" si="28"/>
        <v>1177487.4326070249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2.2817730957716313</v>
      </c>
      <c r="AP49" s="47">
        <f t="shared" si="37"/>
        <v>2.9287351930744721</v>
      </c>
    </row>
    <row r="50" spans="2:42">
      <c r="B50" s="97" t="s">
        <v>70</v>
      </c>
      <c r="C50" s="98">
        <v>18231134</v>
      </c>
      <c r="D50" s="61" t="s">
        <v>176</v>
      </c>
      <c r="E50" s="38" t="s">
        <v>1386</v>
      </c>
      <c r="F50" s="39" t="s">
        <v>1387</v>
      </c>
      <c r="G50" s="39">
        <v>15</v>
      </c>
      <c r="H50" s="39"/>
      <c r="I50" s="40" t="s">
        <v>271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2.5095010927461241E-2</v>
      </c>
      <c r="V50" s="48">
        <f t="shared" si="21"/>
        <v>28</v>
      </c>
      <c r="W50" s="49">
        <f t="shared" si="22"/>
        <v>1.673000728497416E-3</v>
      </c>
      <c r="X50" s="44">
        <f t="shared" si="23"/>
        <v>2283.7455044823032</v>
      </c>
      <c r="Y50" s="44">
        <f t="shared" si="24"/>
        <v>2268</v>
      </c>
      <c r="Z50" s="44">
        <f t="shared" si="25"/>
        <v>12494.330975876132</v>
      </c>
      <c r="AA50" s="50">
        <f t="shared" si="26"/>
        <v>13623.745504482304</v>
      </c>
      <c r="AB50" s="51">
        <f t="shared" si="27"/>
        <v>11680.219665210929</v>
      </c>
      <c r="AC50" s="44">
        <f t="shared" si="28"/>
        <v>12736.043287353747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2.2817730957716309</v>
      </c>
      <c r="AP50" s="47">
        <f t="shared" si="37"/>
        <v>2.3018744065018382</v>
      </c>
    </row>
    <row r="51" spans="2:42">
      <c r="B51" s="97" t="s">
        <v>70</v>
      </c>
      <c r="C51" s="98">
        <v>18231134</v>
      </c>
      <c r="D51" s="61" t="s">
        <v>176</v>
      </c>
      <c r="E51" s="38" t="s">
        <v>1388</v>
      </c>
      <c r="F51" s="39" t="s">
        <v>1389</v>
      </c>
      <c r="G51" s="39">
        <v>15</v>
      </c>
      <c r="H51" s="39"/>
      <c r="I51" s="40" t="s">
        <v>271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1.1421447281088128E-2</v>
      </c>
      <c r="V51" s="48">
        <f t="shared" si="21"/>
        <v>28</v>
      </c>
      <c r="W51" s="49">
        <f t="shared" si="22"/>
        <v>7.6142981873920858E-4</v>
      </c>
      <c r="X51" s="44">
        <f t="shared" si="23"/>
        <v>1039.396992424638</v>
      </c>
      <c r="Y51" s="44">
        <f t="shared" si="24"/>
        <v>-2430</v>
      </c>
      <c r="Z51" s="44">
        <f t="shared" si="25"/>
        <v>5686.5224313282397</v>
      </c>
      <c r="AA51" s="50">
        <f t="shared" si="26"/>
        <v>8599.3969924246376</v>
      </c>
      <c r="AB51" s="51">
        <f t="shared" si="27"/>
        <v>5315.9974117306156</v>
      </c>
      <c r="AC51" s="44">
        <f t="shared" si="28"/>
        <v>8039.0735649477765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2.2817730957716305</v>
      </c>
      <c r="AP51" s="47">
        <f t="shared" si="37"/>
        <v>1.6597546658341937</v>
      </c>
    </row>
    <row r="52" spans="2:42">
      <c r="B52" s="97" t="s">
        <v>70</v>
      </c>
      <c r="C52" s="98">
        <v>18231134</v>
      </c>
      <c r="D52" s="61" t="s">
        <v>176</v>
      </c>
      <c r="E52" s="38" t="s">
        <v>1390</v>
      </c>
      <c r="F52" s="39" t="s">
        <v>1391</v>
      </c>
      <c r="G52" s="39">
        <v>15</v>
      </c>
      <c r="H52" s="39"/>
      <c r="I52" s="40" t="s">
        <v>271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0.14743021020893363</v>
      </c>
      <c r="V52" s="48">
        <f t="shared" si="21"/>
        <v>65.650000000000006</v>
      </c>
      <c r="W52" s="49">
        <f t="shared" si="22"/>
        <v>9.8286806805955758E-3</v>
      </c>
      <c r="X52" s="44">
        <f t="shared" si="23"/>
        <v>13416.733738939838</v>
      </c>
      <c r="Y52" s="44">
        <f t="shared" si="24"/>
        <v>1706.9000000000015</v>
      </c>
      <c r="Z52" s="44">
        <f t="shared" si="25"/>
        <v>73402.711300582829</v>
      </c>
      <c r="AA52" s="50">
        <f t="shared" si="26"/>
        <v>57618.373738939837</v>
      </c>
      <c r="AB52" s="51">
        <f t="shared" si="27"/>
        <v>68619.903992318243</v>
      </c>
      <c r="AC52" s="44">
        <f t="shared" si="28"/>
        <v>53864.049489520272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2.2817730957716305</v>
      </c>
      <c r="AP52" s="47">
        <f t="shared" si="37"/>
        <v>3.1975419128861424</v>
      </c>
    </row>
    <row r="53" spans="2:42">
      <c r="B53" s="97" t="s">
        <v>70</v>
      </c>
      <c r="C53" s="98">
        <v>18231134</v>
      </c>
      <c r="D53" s="61" t="s">
        <v>176</v>
      </c>
      <c r="E53" s="38" t="s">
        <v>1392</v>
      </c>
      <c r="F53" s="39" t="s">
        <v>1393</v>
      </c>
      <c r="G53" s="39">
        <v>12</v>
      </c>
      <c r="H53" s="39"/>
      <c r="I53" s="40" t="s">
        <v>271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2.303752190238607E-3</v>
      </c>
      <c r="V53" s="48">
        <f t="shared" si="21"/>
        <v>0</v>
      </c>
      <c r="W53" s="49">
        <f t="shared" si="22"/>
        <v>1.919793491865506E-4</v>
      </c>
      <c r="X53" s="44">
        <f t="shared" si="23"/>
        <v>262.06323057133108</v>
      </c>
      <c r="Y53" s="44">
        <f t="shared" si="24"/>
        <v>0</v>
      </c>
      <c r="Z53" s="44">
        <f t="shared" si="25"/>
        <v>1433.7432664625192</v>
      </c>
      <c r="AA53" s="50">
        <f t="shared" si="26"/>
        <v>912.06323057133113</v>
      </c>
      <c r="AB53" s="51">
        <f t="shared" si="27"/>
        <v>1340.3227694330365</v>
      </c>
      <c r="AC53" s="44">
        <f t="shared" si="28"/>
        <v>852.63459901966075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1.8748171485930956</v>
      </c>
      <c r="AP53" s="47">
        <f t="shared" si="37"/>
        <v>3.2418882921702705</v>
      </c>
    </row>
    <row r="54" spans="2:42">
      <c r="B54" s="97" t="s">
        <v>70</v>
      </c>
      <c r="C54" s="98">
        <v>18231134</v>
      </c>
      <c r="D54" s="61" t="s">
        <v>176</v>
      </c>
      <c r="E54" s="38" t="s">
        <v>1394</v>
      </c>
      <c r="F54" s="39" t="s">
        <v>1395</v>
      </c>
      <c r="G54" s="39">
        <v>12</v>
      </c>
      <c r="H54" s="39"/>
      <c r="I54" s="40" t="s">
        <v>271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2.815344055932974E-3</v>
      </c>
      <c r="V54" s="48">
        <f t="shared" si="21"/>
        <v>0</v>
      </c>
      <c r="W54" s="49">
        <f t="shared" si="22"/>
        <v>2.3461200466108116E-4</v>
      </c>
      <c r="X54" s="44">
        <f t="shared" si="23"/>
        <v>320.25934108441288</v>
      </c>
      <c r="Y54" s="44">
        <f t="shared" si="24"/>
        <v>0</v>
      </c>
      <c r="Z54" s="44">
        <f t="shared" si="25"/>
        <v>1752.1331504631612</v>
      </c>
      <c r="AA54" s="50">
        <f t="shared" si="26"/>
        <v>720.25934108441288</v>
      </c>
      <c r="AB54" s="51">
        <f t="shared" si="27"/>
        <v>1637.9668603002347</v>
      </c>
      <c r="AC54" s="44">
        <f t="shared" si="28"/>
        <v>673.3283547577945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1.874817148593096</v>
      </c>
      <c r="AP54" s="47">
        <f t="shared" si="37"/>
        <v>5.0168349075169782</v>
      </c>
    </row>
    <row r="55" spans="2:42">
      <c r="B55" s="97" t="s">
        <v>70</v>
      </c>
      <c r="C55" s="98">
        <v>18231134</v>
      </c>
      <c r="D55" s="61" t="s">
        <v>176</v>
      </c>
      <c r="E55" s="38" t="s">
        <v>1396</v>
      </c>
      <c r="F55" s="39" t="s">
        <v>1397</v>
      </c>
      <c r="G55" s="39">
        <v>15</v>
      </c>
      <c r="H55" s="39"/>
      <c r="I55" s="40" t="s">
        <v>271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9.0735067406488248E-2</v>
      </c>
      <c r="V55" s="48">
        <f t="shared" si="21"/>
        <v>65.650000000000006</v>
      </c>
      <c r="W55" s="49">
        <f t="shared" si="22"/>
        <v>6.0490044937658834E-3</v>
      </c>
      <c r="X55" s="44">
        <f t="shared" si="23"/>
        <v>8257.2509287777175</v>
      </c>
      <c r="Y55" s="44">
        <f t="shared" si="24"/>
        <v>-1712.3600000000006</v>
      </c>
      <c r="Z55" s="44">
        <f t="shared" si="25"/>
        <v>45175.272749314725</v>
      </c>
      <c r="AA55" s="50">
        <f t="shared" si="26"/>
        <v>26856.950928777718</v>
      </c>
      <c r="AB55" s="51">
        <f t="shared" si="27"/>
        <v>42231.721743773691</v>
      </c>
      <c r="AC55" s="44">
        <f t="shared" si="28"/>
        <v>25106.993483011793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2.2817730957716305</v>
      </c>
      <c r="AP55" s="47">
        <f t="shared" si="37"/>
        <v>4.2219123998691828</v>
      </c>
    </row>
    <row r="56" spans="2:42">
      <c r="B56" s="97" t="s">
        <v>70</v>
      </c>
      <c r="C56" s="98">
        <v>18231134</v>
      </c>
      <c r="D56" s="61" t="s">
        <v>176</v>
      </c>
      <c r="E56" s="38" t="s">
        <v>1398</v>
      </c>
      <c r="F56" s="39" t="s">
        <v>1399</v>
      </c>
      <c r="G56" s="39">
        <v>15</v>
      </c>
      <c r="H56" s="39"/>
      <c r="I56" s="40" t="s">
        <v>271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0.78324853657336346</v>
      </c>
      <c r="V56" s="48">
        <f t="shared" si="21"/>
        <v>89.59</v>
      </c>
      <c r="W56" s="49">
        <f t="shared" si="22"/>
        <v>5.2216569104890899E-2</v>
      </c>
      <c r="X56" s="44">
        <f t="shared" si="23"/>
        <v>71278.722669706403</v>
      </c>
      <c r="Y56" s="44">
        <f t="shared" si="24"/>
        <v>-5772.6900000000023</v>
      </c>
      <c r="Z56" s="44">
        <f t="shared" si="25"/>
        <v>389964.62207590876</v>
      </c>
      <c r="AA56" s="50">
        <f t="shared" si="26"/>
        <v>314056.78266970639</v>
      </c>
      <c r="AB56" s="51">
        <f t="shared" si="27"/>
        <v>364555.12954651652</v>
      </c>
      <c r="AC56" s="44">
        <f t="shared" si="28"/>
        <v>293593.32772712572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2.2817730957716278</v>
      </c>
      <c r="AP56" s="47">
        <f t="shared" si="37"/>
        <v>3.1166079360894137</v>
      </c>
    </row>
    <row r="57" spans="2:42">
      <c r="B57" s="97" t="s">
        <v>70</v>
      </c>
      <c r="C57" s="98">
        <v>18231134</v>
      </c>
      <c r="D57" s="61" t="s">
        <v>176</v>
      </c>
      <c r="E57" s="38" t="s">
        <v>1400</v>
      </c>
      <c r="F57" s="39" t="s">
        <v>1401</v>
      </c>
      <c r="G57" s="39">
        <v>15</v>
      </c>
      <c r="H57" s="39"/>
      <c r="I57" s="40" t="s">
        <v>271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0.14112468158478916</v>
      </c>
      <c r="V57" s="48">
        <f t="shared" si="21"/>
        <v>141.32</v>
      </c>
      <c r="W57" s="49">
        <f t="shared" si="22"/>
        <v>9.4083121056526102E-3</v>
      </c>
      <c r="X57" s="44">
        <f t="shared" si="23"/>
        <v>12842.905630619853</v>
      </c>
      <c r="Y57" s="44">
        <f t="shared" si="24"/>
        <v>0</v>
      </c>
      <c r="Z57" s="44">
        <f t="shared" si="25"/>
        <v>70263.307941259714</v>
      </c>
      <c r="AA57" s="50">
        <f t="shared" si="26"/>
        <v>52883.855630619852</v>
      </c>
      <c r="AB57" s="51">
        <f t="shared" si="27"/>
        <v>65685.059307525196</v>
      </c>
      <c r="AC57" s="44">
        <f t="shared" si="28"/>
        <v>49438.025269346399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2.2817730957716313</v>
      </c>
      <c r="AP57" s="47">
        <f t="shared" si="37"/>
        <v>3.334806362836388</v>
      </c>
    </row>
    <row r="58" spans="2:42">
      <c r="B58" s="97" t="s">
        <v>70</v>
      </c>
      <c r="C58" s="98">
        <v>18231134</v>
      </c>
      <c r="D58" s="61" t="s">
        <v>176</v>
      </c>
      <c r="E58" s="38" t="s">
        <v>1402</v>
      </c>
      <c r="F58" s="39" t="s">
        <v>1403</v>
      </c>
      <c r="G58" s="39">
        <v>15</v>
      </c>
      <c r="H58" s="39"/>
      <c r="I58" s="40" t="s">
        <v>271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0.87652368936891545</v>
      </c>
      <c r="V58" s="48">
        <f t="shared" si="21"/>
        <v>141.32</v>
      </c>
      <c r="W58" s="49">
        <f t="shared" si="22"/>
        <v>5.8434912624594361E-2</v>
      </c>
      <c r="X58" s="44">
        <f t="shared" si="23"/>
        <v>79767.131441174191</v>
      </c>
      <c r="Y58" s="44">
        <f t="shared" si="24"/>
        <v>12012.200000000012</v>
      </c>
      <c r="Z58" s="44">
        <f t="shared" si="25"/>
        <v>436404.55526508886</v>
      </c>
      <c r="AA58" s="50">
        <f t="shared" si="26"/>
        <v>341682.05144117423</v>
      </c>
      <c r="AB58" s="51">
        <f t="shared" si="27"/>
        <v>407969.10840898275</v>
      </c>
      <c r="AC58" s="44">
        <f t="shared" si="28"/>
        <v>319418.57664875593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2.2817730957716305</v>
      </c>
      <c r="AP58" s="47">
        <f t="shared" si="37"/>
        <v>3.2057691815054312</v>
      </c>
    </row>
    <row r="59" spans="2:42">
      <c r="B59" s="97" t="s">
        <v>70</v>
      </c>
      <c r="C59" s="98">
        <v>18231134</v>
      </c>
      <c r="D59" s="61" t="s">
        <v>176</v>
      </c>
      <c r="E59" s="38" t="s">
        <v>1404</v>
      </c>
      <c r="F59" s="39" t="s">
        <v>1405</v>
      </c>
      <c r="G59" s="39">
        <v>15</v>
      </c>
      <c r="H59" s="39"/>
      <c r="I59" s="40" t="s">
        <v>271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2.0749657658287041E-2</v>
      </c>
      <c r="V59" s="48">
        <f t="shared" si="21"/>
        <v>87.32</v>
      </c>
      <c r="W59" s="49">
        <f t="shared" si="22"/>
        <v>1.3833105105524695E-3</v>
      </c>
      <c r="X59" s="44">
        <f t="shared" si="23"/>
        <v>1888.3011262132877</v>
      </c>
      <c r="Y59" s="44">
        <f t="shared" si="24"/>
        <v>0</v>
      </c>
      <c r="Z59" s="44">
        <f t="shared" si="25"/>
        <v>10330.861826207172</v>
      </c>
      <c r="AA59" s="50">
        <f t="shared" si="26"/>
        <v>8561.4211262132885</v>
      </c>
      <c r="AB59" s="51">
        <f t="shared" si="27"/>
        <v>9657.7188241630101</v>
      </c>
      <c r="AC59" s="44">
        <f t="shared" si="28"/>
        <v>8003.5721475304181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2.2817730957716305</v>
      </c>
      <c r="AP59" s="47">
        <f t="shared" si="37"/>
        <v>3.0286970405998326</v>
      </c>
    </row>
    <row r="60" spans="2:42">
      <c r="B60" s="97" t="s">
        <v>70</v>
      </c>
      <c r="C60" s="98">
        <v>18231134</v>
      </c>
      <c r="D60" s="61" t="s">
        <v>176</v>
      </c>
      <c r="E60" s="38" t="s">
        <v>1406</v>
      </c>
      <c r="F60" s="39" t="s">
        <v>1407</v>
      </c>
      <c r="G60" s="39">
        <v>15</v>
      </c>
      <c r="H60" s="39"/>
      <c r="I60" s="40" t="s">
        <v>271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9.9855741487238931E-3</v>
      </c>
      <c r="V60" s="48">
        <f t="shared" si="21"/>
        <v>87.32</v>
      </c>
      <c r="W60" s="49">
        <f t="shared" si="22"/>
        <v>6.6570494324825959E-4</v>
      </c>
      <c r="X60" s="44">
        <f t="shared" si="23"/>
        <v>908.72684366389842</v>
      </c>
      <c r="Y60" s="44">
        <f t="shared" si="24"/>
        <v>0</v>
      </c>
      <c r="Z60" s="44">
        <f t="shared" si="25"/>
        <v>4971.6283750162384</v>
      </c>
      <c r="AA60" s="50">
        <f t="shared" si="26"/>
        <v>3411.1468436638984</v>
      </c>
      <c r="AB60" s="51">
        <f t="shared" si="27"/>
        <v>4647.6847480753841</v>
      </c>
      <c r="AC60" s="44">
        <f t="shared" si="28"/>
        <v>3188.8817833634648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2.2817730957716309</v>
      </c>
      <c r="AP60" s="47">
        <f t="shared" si="37"/>
        <v>3.6581657803134697</v>
      </c>
    </row>
    <row r="61" spans="2:42">
      <c r="B61" s="97" t="s">
        <v>70</v>
      </c>
      <c r="C61" s="98">
        <v>18231134</v>
      </c>
      <c r="D61" s="61" t="s">
        <v>176</v>
      </c>
      <c r="E61" s="38" t="s">
        <v>1408</v>
      </c>
      <c r="F61" s="39" t="s">
        <v>1409</v>
      </c>
      <c r="G61" s="39">
        <v>10</v>
      </c>
      <c r="H61" s="39"/>
      <c r="I61" s="40" t="s">
        <v>275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3.559429533469811E-4</v>
      </c>
      <c r="V61" s="48">
        <f t="shared" si="21"/>
        <v>-130.4</v>
      </c>
      <c r="W61" s="49">
        <f t="shared" si="22"/>
        <v>3.5594295334698109E-5</v>
      </c>
      <c r="X61" s="44">
        <f t="shared" si="23"/>
        <v>48.588330280549407</v>
      </c>
      <c r="Y61" s="44">
        <f t="shared" si="24"/>
        <v>-200.94</v>
      </c>
      <c r="Z61" s="44">
        <f t="shared" si="25"/>
        <v>265.82588948674731</v>
      </c>
      <c r="AA61" s="50">
        <f t="shared" si="26"/>
        <v>247.6483302805494</v>
      </c>
      <c r="AB61" s="51">
        <f t="shared" si="27"/>
        <v>248.50508505819136</v>
      </c>
      <c r="AC61" s="44">
        <f t="shared" si="28"/>
        <v>231.51194753720611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2.1059940308417424</v>
      </c>
      <c r="AP61" s="47">
        <f t="shared" si="37"/>
        <v>2.4866329987159288</v>
      </c>
    </row>
    <row r="62" spans="2:42">
      <c r="B62" s="97" t="s">
        <v>70</v>
      </c>
      <c r="C62" s="98">
        <v>18231134</v>
      </c>
      <c r="D62" s="61" t="s">
        <v>176</v>
      </c>
      <c r="E62" s="38" t="s">
        <v>1239</v>
      </c>
      <c r="F62" s="39" t="s">
        <v>1240</v>
      </c>
      <c r="G62" s="39">
        <v>10</v>
      </c>
      <c r="H62" s="39"/>
      <c r="I62" s="40" t="s">
        <v>275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2.0180869186490202E-3</v>
      </c>
      <c r="V62" s="48">
        <f t="shared" si="21"/>
        <v>-130.4</v>
      </c>
      <c r="W62" s="49">
        <f t="shared" si="22"/>
        <v>2.01808691864902E-4</v>
      </c>
      <c r="X62" s="44">
        <f t="shared" si="23"/>
        <v>275.48086797658328</v>
      </c>
      <c r="Y62" s="44">
        <f t="shared" si="24"/>
        <v>1029.0899999999999</v>
      </c>
      <c r="Z62" s="44">
        <f t="shared" si="25"/>
        <v>1507.1509217054002</v>
      </c>
      <c r="AA62" s="50">
        <f t="shared" si="26"/>
        <v>2104.570867976583</v>
      </c>
      <c r="AB62" s="51">
        <f t="shared" si="27"/>
        <v>1408.9472952280078</v>
      </c>
      <c r="AC62" s="44">
        <f t="shared" si="28"/>
        <v>1967.4402804305719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2.1059940308417424</v>
      </c>
      <c r="AP62" s="47">
        <f t="shared" si="37"/>
        <v>1.6589871038721289</v>
      </c>
    </row>
    <row r="63" spans="2:42">
      <c r="B63" s="97" t="s">
        <v>70</v>
      </c>
      <c r="C63" s="98">
        <v>18231134</v>
      </c>
      <c r="D63" s="61" t="s">
        <v>176</v>
      </c>
      <c r="E63" s="38" t="s">
        <v>1410</v>
      </c>
      <c r="F63" s="39" t="s">
        <v>1411</v>
      </c>
      <c r="G63" s="39">
        <v>15</v>
      </c>
      <c r="H63" s="39"/>
      <c r="I63" s="40" t="s">
        <v>271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1.2275424386090372E-2</v>
      </c>
      <c r="V63" s="48">
        <f t="shared" si="21"/>
        <v>75</v>
      </c>
      <c r="W63" s="49">
        <f t="shared" si="22"/>
        <v>8.183616257393581E-4</v>
      </c>
      <c r="X63" s="44">
        <f t="shared" si="23"/>
        <v>1117.1122952837225</v>
      </c>
      <c r="Y63" s="44">
        <f t="shared" si="24"/>
        <v>1050</v>
      </c>
      <c r="Z63" s="44">
        <f t="shared" si="25"/>
        <v>6111.7014689688485</v>
      </c>
      <c r="AA63" s="50">
        <f t="shared" si="26"/>
        <v>4267.1122952837222</v>
      </c>
      <c r="AB63" s="51">
        <f t="shared" si="27"/>
        <v>5713.4724399073084</v>
      </c>
      <c r="AC63" s="44">
        <f t="shared" si="28"/>
        <v>3989.0738480730315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2.2817730957716309</v>
      </c>
      <c r="AP63" s="47">
        <f t="shared" si="37"/>
        <v>3.5949528669221991</v>
      </c>
    </row>
    <row r="64" spans="2:42">
      <c r="B64" s="97" t="s">
        <v>70</v>
      </c>
      <c r="C64" s="98">
        <v>18231134</v>
      </c>
      <c r="D64" s="61" t="s">
        <v>176</v>
      </c>
      <c r="E64" s="38" t="s">
        <v>1412</v>
      </c>
      <c r="F64" s="39" t="s">
        <v>1413</v>
      </c>
      <c r="G64" s="39">
        <v>15</v>
      </c>
      <c r="H64" s="39"/>
      <c r="I64" s="40" t="s">
        <v>271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0.30904041234743934</v>
      </c>
      <c r="V64" s="48">
        <f t="shared" si="21"/>
        <v>188</v>
      </c>
      <c r="W64" s="49">
        <f t="shared" si="22"/>
        <v>2.0602694156495956E-2</v>
      </c>
      <c r="X64" s="44">
        <f t="shared" si="23"/>
        <v>28123.902971865398</v>
      </c>
      <c r="Y64" s="44">
        <f t="shared" si="24"/>
        <v>6956</v>
      </c>
      <c r="Z64" s="44">
        <f t="shared" si="25"/>
        <v>153865.37220291901</v>
      </c>
      <c r="AA64" s="50">
        <f t="shared" si="26"/>
        <v>83983.902971865406</v>
      </c>
      <c r="AB64" s="51">
        <f t="shared" si="27"/>
        <v>143839.74217343086</v>
      </c>
      <c r="AC64" s="44">
        <f t="shared" si="28"/>
        <v>78511.641555450493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2.2817730957716309</v>
      </c>
      <c r="AP64" s="47">
        <f t="shared" si="37"/>
        <v>4.5984342197008248</v>
      </c>
    </row>
    <row r="65" spans="2:42">
      <c r="B65" s="97" t="s">
        <v>70</v>
      </c>
      <c r="C65" s="98">
        <v>18231134</v>
      </c>
      <c r="D65" s="61" t="s">
        <v>176</v>
      </c>
      <c r="E65" s="38" t="s">
        <v>1414</v>
      </c>
      <c r="F65" s="39" t="s">
        <v>1415</v>
      </c>
      <c r="G65" s="39">
        <v>12</v>
      </c>
      <c r="H65" s="39"/>
      <c r="I65" s="40" t="s">
        <v>271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1.5659159715166699E-2</v>
      </c>
      <c r="V65" s="48">
        <f t="shared" si="21"/>
        <v>0</v>
      </c>
      <c r="W65" s="49">
        <f t="shared" si="22"/>
        <v>1.3049299762638916E-3</v>
      </c>
      <c r="X65" s="44">
        <f t="shared" si="23"/>
        <v>1781.3070348351996</v>
      </c>
      <c r="Y65" s="44">
        <f t="shared" si="24"/>
        <v>0</v>
      </c>
      <c r="Z65" s="44">
        <f t="shared" si="25"/>
        <v>9745.4990581066122</v>
      </c>
      <c r="AA65" s="50">
        <f t="shared" si="26"/>
        <v>9077.3070348351994</v>
      </c>
      <c r="AB65" s="51">
        <f t="shared" si="27"/>
        <v>9110.4973900220721</v>
      </c>
      <c r="AC65" s="44">
        <f t="shared" si="28"/>
        <v>8485.8437270591749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1.874817148593096</v>
      </c>
      <c r="AP65" s="47">
        <f t="shared" si="37"/>
        <v>2.2141072847024876</v>
      </c>
    </row>
    <row r="66" spans="2:42">
      <c r="B66" s="97" t="s">
        <v>70</v>
      </c>
      <c r="C66" s="98">
        <v>18231134</v>
      </c>
      <c r="D66" s="61" t="s">
        <v>176</v>
      </c>
      <c r="E66" s="38" t="s">
        <v>1416</v>
      </c>
      <c r="F66" s="39" t="s">
        <v>1417</v>
      </c>
      <c r="G66" s="39">
        <v>12</v>
      </c>
      <c r="H66" s="39"/>
      <c r="I66" s="40" t="s">
        <v>271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4.4130359197287972E-2</v>
      </c>
      <c r="V66" s="48">
        <f t="shared" si="21"/>
        <v>0</v>
      </c>
      <c r="W66" s="49">
        <f t="shared" si="22"/>
        <v>3.6775299331073307E-3</v>
      </c>
      <c r="X66" s="44">
        <f t="shared" si="23"/>
        <v>5020.0470981719254</v>
      </c>
      <c r="Y66" s="44">
        <f t="shared" si="24"/>
        <v>0</v>
      </c>
      <c r="Z66" s="44">
        <f t="shared" si="25"/>
        <v>27464.58825466409</v>
      </c>
      <c r="AA66" s="50">
        <f t="shared" si="26"/>
        <v>21276.047098171926</v>
      </c>
      <c r="AB66" s="51">
        <f t="shared" si="27"/>
        <v>25675.038099153116</v>
      </c>
      <c r="AC66" s="44">
        <f t="shared" si="28"/>
        <v>19889.732727093506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1.8748171485930958</v>
      </c>
      <c r="AP66" s="47">
        <f t="shared" si="37"/>
        <v>2.6621575371323871</v>
      </c>
    </row>
    <row r="67" spans="2:42">
      <c r="B67" s="97" t="s">
        <v>70</v>
      </c>
      <c r="C67" s="98">
        <v>18231134</v>
      </c>
      <c r="D67" s="61" t="s">
        <v>176</v>
      </c>
      <c r="E67" s="38" t="s">
        <v>1418</v>
      </c>
      <c r="F67" s="39" t="s">
        <v>1419</v>
      </c>
      <c r="G67" s="39">
        <v>12</v>
      </c>
      <c r="H67" s="39"/>
      <c r="I67" s="40" t="s">
        <v>271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8.5794909153713642E-3</v>
      </c>
      <c r="V67" s="48">
        <f t="shared" si="21"/>
        <v>0</v>
      </c>
      <c r="W67" s="49">
        <f t="shared" si="22"/>
        <v>7.1495757628094701E-4</v>
      </c>
      <c r="X67" s="44">
        <f t="shared" si="23"/>
        <v>975.95961730012948</v>
      </c>
      <c r="Y67" s="44">
        <f t="shared" si="24"/>
        <v>0</v>
      </c>
      <c r="Z67" s="44">
        <f t="shared" si="25"/>
        <v>5339.4576819983458</v>
      </c>
      <c r="AA67" s="50">
        <f t="shared" si="26"/>
        <v>6207.9596173001291</v>
      </c>
      <c r="AB67" s="51">
        <f t="shared" si="27"/>
        <v>4991.5468654747547</v>
      </c>
      <c r="AC67" s="44">
        <f t="shared" si="28"/>
        <v>5803.4585559503867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1.8748171485930962</v>
      </c>
      <c r="AP67" s="47">
        <f t="shared" si="37"/>
        <v>1.7737804669912438</v>
      </c>
    </row>
    <row r="68" spans="2:42">
      <c r="B68" s="97" t="s">
        <v>70</v>
      </c>
      <c r="C68" s="98">
        <v>18231134</v>
      </c>
      <c r="D68" s="61" t="s">
        <v>176</v>
      </c>
      <c r="E68" s="38" t="s">
        <v>1420</v>
      </c>
      <c r="F68" s="39" t="s">
        <v>1419</v>
      </c>
      <c r="G68" s="39">
        <v>12</v>
      </c>
      <c r="H68" s="39"/>
      <c r="I68" s="40" t="s">
        <v>271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5.6442723058152858E-2</v>
      </c>
      <c r="V68" s="48">
        <f t="shared" si="21"/>
        <v>0</v>
      </c>
      <c r="W68" s="49">
        <f t="shared" si="22"/>
        <v>4.7035602548460712E-3</v>
      </c>
      <c r="X68" s="44">
        <f t="shared" si="23"/>
        <v>6420.6395156288436</v>
      </c>
      <c r="Y68" s="44">
        <f t="shared" si="24"/>
        <v>0</v>
      </c>
      <c r="Z68" s="44">
        <f t="shared" si="25"/>
        <v>35127.204422561532</v>
      </c>
      <c r="AA68" s="50">
        <f t="shared" si="26"/>
        <v>40537.639515628842</v>
      </c>
      <c r="AB68" s="51">
        <f t="shared" si="27"/>
        <v>32838.37003137471</v>
      </c>
      <c r="AC68" s="44">
        <f t="shared" si="28"/>
        <v>37896.269529427729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1.874817148593096</v>
      </c>
      <c r="AP68" s="47">
        <f t="shared" si="37"/>
        <v>1.7870501248347088</v>
      </c>
    </row>
    <row r="69" spans="2:42">
      <c r="B69" s="97" t="s">
        <v>70</v>
      </c>
      <c r="C69" s="98">
        <v>18231134</v>
      </c>
      <c r="D69" s="61" t="s">
        <v>176</v>
      </c>
      <c r="E69" s="38" t="s">
        <v>1421</v>
      </c>
      <c r="F69" s="39" t="s">
        <v>1422</v>
      </c>
      <c r="G69" s="39">
        <v>12</v>
      </c>
      <c r="H69" s="39"/>
      <c r="I69" s="40" t="s">
        <v>271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0.27883345474956933</v>
      </c>
      <c r="V69" s="48">
        <f t="shared" si="21"/>
        <v>0</v>
      </c>
      <c r="W69" s="49">
        <f t="shared" si="22"/>
        <v>2.3236121229130779E-2</v>
      </c>
      <c r="X69" s="44">
        <f t="shared" si="23"/>
        <v>31718.68756225421</v>
      </c>
      <c r="Y69" s="44">
        <f t="shared" si="24"/>
        <v>0</v>
      </c>
      <c r="Z69" s="44">
        <f t="shared" si="25"/>
        <v>173532.37466494626</v>
      </c>
      <c r="AA69" s="50">
        <f t="shared" si="26"/>
        <v>177518.6875622542</v>
      </c>
      <c r="AB69" s="51">
        <f t="shared" si="27"/>
        <v>162225.27312792954</v>
      </c>
      <c r="AC69" s="44">
        <f t="shared" si="28"/>
        <v>165951.84403314404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1.8748171485930962</v>
      </c>
      <c r="AP69" s="47">
        <f t="shared" si="37"/>
        <v>2.015988423293249</v>
      </c>
    </row>
    <row r="70" spans="2:42">
      <c r="B70" s="97" t="s">
        <v>70</v>
      </c>
      <c r="C70" s="98">
        <v>18231134</v>
      </c>
      <c r="D70" s="61" t="s">
        <v>176</v>
      </c>
      <c r="E70" s="38" t="s">
        <v>1423</v>
      </c>
      <c r="F70" s="39" t="s">
        <v>1424</v>
      </c>
      <c r="G70" s="39">
        <v>12</v>
      </c>
      <c r="H70" s="39"/>
      <c r="I70" s="40" t="s">
        <v>271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1.6777671123392891E-3</v>
      </c>
      <c r="V70" s="48">
        <f t="shared" si="21"/>
        <v>0</v>
      </c>
      <c r="W70" s="49">
        <f t="shared" si="22"/>
        <v>1.3981392602827408E-4</v>
      </c>
      <c r="X70" s="44">
        <f t="shared" si="23"/>
        <v>190.85432516091421</v>
      </c>
      <c r="Y70" s="44">
        <f t="shared" si="24"/>
        <v>0</v>
      </c>
      <c r="Z70" s="44">
        <f t="shared" si="25"/>
        <v>1044.1606133685655</v>
      </c>
      <c r="AA70" s="50">
        <f t="shared" si="26"/>
        <v>460.85432516091419</v>
      </c>
      <c r="AB70" s="51">
        <f t="shared" si="27"/>
        <v>976.12472035950771</v>
      </c>
      <c r="AC70" s="44">
        <f t="shared" si="28"/>
        <v>430.82576905759947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1.874817148593096</v>
      </c>
      <c r="AP70" s="47">
        <f t="shared" si="37"/>
        <v>4.6725638203783326</v>
      </c>
    </row>
    <row r="71" spans="2:42">
      <c r="B71" s="97" t="s">
        <v>70</v>
      </c>
      <c r="C71" s="98">
        <v>18231134</v>
      </c>
      <c r="D71" s="61" t="s">
        <v>176</v>
      </c>
      <c r="E71" s="38" t="s">
        <v>1425</v>
      </c>
      <c r="F71" s="39" t="s">
        <v>1426</v>
      </c>
      <c r="G71" s="39">
        <v>12</v>
      </c>
      <c r="H71" s="39"/>
      <c r="I71" s="40" t="s">
        <v>271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2.5230058469647644E-3</v>
      </c>
      <c r="V71" s="48">
        <f t="shared" si="21"/>
        <v>0</v>
      </c>
      <c r="W71" s="49">
        <f t="shared" si="22"/>
        <v>2.102504872470637E-4</v>
      </c>
      <c r="X71" s="44">
        <f t="shared" si="23"/>
        <v>287.00442079122331</v>
      </c>
      <c r="Y71" s="44">
        <f t="shared" si="24"/>
        <v>0</v>
      </c>
      <c r="Z71" s="44">
        <f t="shared" si="25"/>
        <v>1570.1960738913658</v>
      </c>
      <c r="AA71" s="50">
        <f t="shared" si="26"/>
        <v>1215.0044207912233</v>
      </c>
      <c r="AB71" s="51">
        <f t="shared" si="27"/>
        <v>1467.8845226618357</v>
      </c>
      <c r="AC71" s="44">
        <f t="shared" si="28"/>
        <v>1135.8366091345454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1.8748171485930958</v>
      </c>
      <c r="AP71" s="47">
        <f t="shared" si="37"/>
        <v>2.665186663662372</v>
      </c>
    </row>
    <row r="72" spans="2:42">
      <c r="B72" s="97" t="s">
        <v>70</v>
      </c>
      <c r="C72" s="98">
        <v>18231134</v>
      </c>
      <c r="D72" s="61" t="s">
        <v>176</v>
      </c>
      <c r="E72" s="38" t="s">
        <v>1427</v>
      </c>
      <c r="F72" s="39" t="s">
        <v>1426</v>
      </c>
      <c r="G72" s="39">
        <v>12</v>
      </c>
      <c r="H72" s="39"/>
      <c r="I72" s="40" t="s">
        <v>271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0.2767680217514244</v>
      </c>
      <c r="V72" s="48">
        <f t="shared" si="21"/>
        <v>0</v>
      </c>
      <c r="W72" s="49">
        <f t="shared" si="22"/>
        <v>2.3064001812618699E-2</v>
      </c>
      <c r="X72" s="44">
        <f t="shared" si="23"/>
        <v>31483.734321052329</v>
      </c>
      <c r="Y72" s="44">
        <f t="shared" si="24"/>
        <v>0</v>
      </c>
      <c r="Z72" s="44">
        <f t="shared" si="25"/>
        <v>172246.94966742813</v>
      </c>
      <c r="AA72" s="50">
        <f t="shared" si="26"/>
        <v>132519.73432105232</v>
      </c>
      <c r="AB72" s="51">
        <f t="shared" si="27"/>
        <v>161023.60443809303</v>
      </c>
      <c r="AC72" s="44">
        <f t="shared" si="28"/>
        <v>123884.95309063506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1.8748171485930962</v>
      </c>
      <c r="AP72" s="47">
        <f t="shared" si="37"/>
        <v>2.680541810261154</v>
      </c>
    </row>
    <row r="73" spans="2:42">
      <c r="B73" s="97" t="s">
        <v>70</v>
      </c>
      <c r="C73" s="98">
        <v>18231134</v>
      </c>
      <c r="D73" s="61" t="s">
        <v>176</v>
      </c>
      <c r="E73" s="38" t="s">
        <v>1428</v>
      </c>
      <c r="F73" s="39" t="s">
        <v>1429</v>
      </c>
      <c r="G73" s="39">
        <v>12</v>
      </c>
      <c r="H73" s="39"/>
      <c r="I73" s="40" t="s">
        <v>271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5.2747981183394318E-3</v>
      </c>
      <c r="V73" s="48">
        <f t="shared" si="21"/>
        <v>0</v>
      </c>
      <c r="W73" s="49">
        <f t="shared" si="22"/>
        <v>4.395665098616193E-4</v>
      </c>
      <c r="X73" s="44">
        <f t="shared" si="23"/>
        <v>600.03443137711668</v>
      </c>
      <c r="Y73" s="44">
        <f t="shared" si="24"/>
        <v>0</v>
      </c>
      <c r="Z73" s="44">
        <f t="shared" si="25"/>
        <v>3282.7776859693536</v>
      </c>
      <c r="AA73" s="50">
        <f t="shared" si="26"/>
        <v>5080.0344313771166</v>
      </c>
      <c r="AB73" s="51">
        <f t="shared" si="27"/>
        <v>3068.8769617363309</v>
      </c>
      <c r="AC73" s="44">
        <f t="shared" si="28"/>
        <v>4749.0272332215727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1.8748171485930962</v>
      </c>
      <c r="AP73" s="47">
        <f t="shared" si="37"/>
        <v>1.3326816544639557</v>
      </c>
    </row>
    <row r="74" spans="2:42">
      <c r="B74" s="97" t="s">
        <v>70</v>
      </c>
      <c r="C74" s="98">
        <v>18231134</v>
      </c>
      <c r="D74" s="61" t="s">
        <v>176</v>
      </c>
      <c r="E74" s="38" t="s">
        <v>1430</v>
      </c>
      <c r="F74" s="39" t="s">
        <v>1431</v>
      </c>
      <c r="G74" s="39">
        <v>12</v>
      </c>
      <c r="H74" s="39"/>
      <c r="I74" s="40" t="s">
        <v>271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1.3727185464594184E-2</v>
      </c>
      <c r="V74" s="48">
        <f t="shared" si="21"/>
        <v>0</v>
      </c>
      <c r="W74" s="49">
        <f t="shared" si="22"/>
        <v>1.1439321220495153E-3</v>
      </c>
      <c r="X74" s="44">
        <f t="shared" si="23"/>
        <v>1561.5353876802074</v>
      </c>
      <c r="Y74" s="44">
        <f t="shared" si="24"/>
        <v>0</v>
      </c>
      <c r="Z74" s="44">
        <f t="shared" si="25"/>
        <v>8543.1322911973548</v>
      </c>
      <c r="AA74" s="50">
        <f t="shared" si="26"/>
        <v>8281.5353876802074</v>
      </c>
      <c r="AB74" s="51">
        <f t="shared" si="27"/>
        <v>7986.4749847596095</v>
      </c>
      <c r="AC74" s="44">
        <f t="shared" si="28"/>
        <v>7741.9233314763078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1.874817148593096</v>
      </c>
      <c r="AP74" s="47">
        <f t="shared" si="37"/>
        <v>2.1274427011046169</v>
      </c>
    </row>
    <row r="75" spans="2:42">
      <c r="B75" s="97" t="s">
        <v>70</v>
      </c>
      <c r="C75" s="98">
        <v>18231134</v>
      </c>
      <c r="D75" s="61" t="s">
        <v>176</v>
      </c>
      <c r="E75" s="38" t="s">
        <v>1432</v>
      </c>
      <c r="F75" s="39" t="s">
        <v>1433</v>
      </c>
      <c r="G75" s="39">
        <v>12</v>
      </c>
      <c r="H75" s="39"/>
      <c r="I75" s="40" t="s">
        <v>271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2.3522104259643159E-3</v>
      </c>
      <c r="V75" s="48">
        <f t="shared" si="21"/>
        <v>0</v>
      </c>
      <c r="W75" s="49">
        <f t="shared" si="22"/>
        <v>1.9601753549702632E-4</v>
      </c>
      <c r="X75" s="44">
        <f t="shared" si="23"/>
        <v>267.5755950764522</v>
      </c>
      <c r="Y75" s="44">
        <f t="shared" si="24"/>
        <v>0</v>
      </c>
      <c r="Z75" s="44">
        <f t="shared" si="25"/>
        <v>1463.9013144812134</v>
      </c>
      <c r="AA75" s="50">
        <f t="shared" si="26"/>
        <v>1653.5755950764521</v>
      </c>
      <c r="AB75" s="51">
        <f t="shared" si="27"/>
        <v>1368.5157656176623</v>
      </c>
      <c r="AC75" s="44">
        <f t="shared" si="28"/>
        <v>1545.8311630143517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1.874817148593096</v>
      </c>
      <c r="AP75" s="47">
        <f t="shared" si="37"/>
        <v>1.8257417598870089</v>
      </c>
    </row>
    <row r="76" spans="2:42">
      <c r="B76" s="97" t="s">
        <v>70</v>
      </c>
      <c r="C76" s="98">
        <v>18231134</v>
      </c>
      <c r="D76" s="61" t="s">
        <v>176</v>
      </c>
      <c r="E76" s="38" t="s">
        <v>1434</v>
      </c>
      <c r="F76" s="39" t="s">
        <v>1433</v>
      </c>
      <c r="G76" s="39">
        <v>12</v>
      </c>
      <c r="H76" s="39"/>
      <c r="I76" s="40" t="s">
        <v>271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5.1165541747892486E-2</v>
      </c>
      <c r="V76" s="48">
        <f t="shared" si="21"/>
        <v>0</v>
      </c>
      <c r="W76" s="49">
        <f t="shared" si="22"/>
        <v>4.2637951456577072E-3</v>
      </c>
      <c r="X76" s="44">
        <f t="shared" si="23"/>
        <v>5820.3339843580316</v>
      </c>
      <c r="Y76" s="44">
        <f t="shared" si="24"/>
        <v>0</v>
      </c>
      <c r="Z76" s="44">
        <f t="shared" si="25"/>
        <v>31842.943553902733</v>
      </c>
      <c r="AA76" s="50">
        <f t="shared" si="26"/>
        <v>35696.333984358032</v>
      </c>
      <c r="AB76" s="51">
        <f t="shared" si="27"/>
        <v>29768.106528842414</v>
      </c>
      <c r="AC76" s="44">
        <f t="shared" si="28"/>
        <v>33370.415989864472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1.874817148593096</v>
      </c>
      <c r="AP76" s="47">
        <f t="shared" si="37"/>
        <v>1.8396753663546759</v>
      </c>
    </row>
    <row r="77" spans="2:42">
      <c r="B77" s="97" t="s">
        <v>70</v>
      </c>
      <c r="C77" s="98">
        <v>18231134</v>
      </c>
      <c r="D77" s="61" t="s">
        <v>176</v>
      </c>
      <c r="E77" s="38" t="s">
        <v>1435</v>
      </c>
      <c r="F77" s="39" t="s">
        <v>1436</v>
      </c>
      <c r="G77" s="39">
        <v>12</v>
      </c>
      <c r="H77" s="39"/>
      <c r="I77" s="40" t="s">
        <v>271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9.0720172456982395E-3</v>
      </c>
      <c r="V77" s="48">
        <f t="shared" si="21"/>
        <v>0</v>
      </c>
      <c r="W77" s="49">
        <f t="shared" si="22"/>
        <v>7.5600143714151999E-4</v>
      </c>
      <c r="X77" s="44">
        <f t="shared" si="23"/>
        <v>1031.9869286636556</v>
      </c>
      <c r="Y77" s="44">
        <f t="shared" si="24"/>
        <v>0</v>
      </c>
      <c r="Z77" s="44">
        <f t="shared" si="25"/>
        <v>5645.9821044834371</v>
      </c>
      <c r="AA77" s="50">
        <f t="shared" si="26"/>
        <v>4431.9869286636558</v>
      </c>
      <c r="AB77" s="51">
        <f t="shared" si="27"/>
        <v>5278.0986299742326</v>
      </c>
      <c r="AC77" s="44">
        <f t="shared" si="28"/>
        <v>4143.2055049674254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1.8748171485930956</v>
      </c>
      <c r="AP77" s="47">
        <f t="shared" si="37"/>
        <v>2.627196935497202</v>
      </c>
    </row>
    <row r="78" spans="2:42">
      <c r="B78" s="97" t="s">
        <v>70</v>
      </c>
      <c r="C78" s="98">
        <v>18231134</v>
      </c>
      <c r="D78" s="61" t="s">
        <v>176</v>
      </c>
      <c r="E78" s="38" t="s">
        <v>1437</v>
      </c>
      <c r="F78" s="39" t="s">
        <v>1436</v>
      </c>
      <c r="G78" s="39">
        <v>12</v>
      </c>
      <c r="H78" s="39"/>
      <c r="I78" s="40" t="s">
        <v>271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0.11759622214669016</v>
      </c>
      <c r="V78" s="48">
        <f t="shared" si="21"/>
        <v>0</v>
      </c>
      <c r="W78" s="49">
        <f t="shared" si="22"/>
        <v>9.7996851788908473E-3</v>
      </c>
      <c r="X78" s="44">
        <f t="shared" si="23"/>
        <v>13377.153154460442</v>
      </c>
      <c r="Y78" s="44">
        <f t="shared" si="24"/>
        <v>0</v>
      </c>
      <c r="Z78" s="44">
        <f t="shared" si="25"/>
        <v>73186.166627924002</v>
      </c>
      <c r="AA78" s="50">
        <f t="shared" si="26"/>
        <v>57067.153154460444</v>
      </c>
      <c r="AB78" s="51">
        <f t="shared" si="27"/>
        <v>68417.469036107315</v>
      </c>
      <c r="AC78" s="44">
        <f t="shared" si="28"/>
        <v>53348.745587043508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1.8748171485930962</v>
      </c>
      <c r="AP78" s="47">
        <f t="shared" si="37"/>
        <v>2.6448094904732256</v>
      </c>
    </row>
    <row r="79" spans="2:42">
      <c r="B79" s="97" t="s">
        <v>70</v>
      </c>
      <c r="C79" s="98">
        <v>18231134</v>
      </c>
      <c r="D79" s="61" t="s">
        <v>176</v>
      </c>
      <c r="E79" s="38" t="s">
        <v>1438</v>
      </c>
      <c r="F79" s="39" t="s">
        <v>1439</v>
      </c>
      <c r="G79" s="39">
        <v>13</v>
      </c>
      <c r="H79" s="39"/>
      <c r="I79" s="40" t="s">
        <v>271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2.1470176015716842E-3</v>
      </c>
      <c r="V79" s="48">
        <f t="shared" si="21"/>
        <v>0</v>
      </c>
      <c r="W79" s="49">
        <f t="shared" si="22"/>
        <v>1.6515520012089877E-4</v>
      </c>
      <c r="X79" s="44">
        <f t="shared" si="23"/>
        <v>225.44667159632994</v>
      </c>
      <c r="Y79" s="44">
        <f t="shared" si="24"/>
        <v>0</v>
      </c>
      <c r="Z79" s="44">
        <f t="shared" si="25"/>
        <v>1233.4147245416182</v>
      </c>
      <c r="AA79" s="50">
        <f t="shared" si="26"/>
        <v>1245.4466715963299</v>
      </c>
      <c r="AB79" s="51">
        <f t="shared" si="27"/>
        <v>1153.0473259246687</v>
      </c>
      <c r="AC79" s="44">
        <f t="shared" si="28"/>
        <v>1164.2952898909318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2.0157597950010393</v>
      </c>
      <c r="AP79" s="47">
        <f t="shared" si="37"/>
        <v>2.1959146512609808</v>
      </c>
    </row>
    <row r="80" spans="2:42">
      <c r="B80" s="97" t="s">
        <v>70</v>
      </c>
      <c r="C80" s="98">
        <v>18231134</v>
      </c>
      <c r="D80" s="61" t="s">
        <v>176</v>
      </c>
      <c r="E80" s="38" t="s">
        <v>1440</v>
      </c>
      <c r="F80" s="39" t="s">
        <v>1441</v>
      </c>
      <c r="G80" s="39">
        <v>13</v>
      </c>
      <c r="H80" s="39"/>
      <c r="I80" s="40" t="s">
        <v>271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6.3945805622567904E-4</v>
      </c>
      <c r="V80" s="48">
        <f t="shared" si="21"/>
        <v>0</v>
      </c>
      <c r="W80" s="49">
        <f t="shared" si="22"/>
        <v>4.9189081248129155E-5</v>
      </c>
      <c r="X80" s="44">
        <f t="shared" si="23"/>
        <v>67.146021670248913</v>
      </c>
      <c r="Y80" s="44">
        <f t="shared" si="24"/>
        <v>0</v>
      </c>
      <c r="Z80" s="44">
        <f t="shared" si="25"/>
        <v>367.3546885214862</v>
      </c>
      <c r="AA80" s="50">
        <f t="shared" si="26"/>
        <v>475.1460216702489</v>
      </c>
      <c r="AB80" s="51">
        <f t="shared" si="27"/>
        <v>343.41842434466315</v>
      </c>
      <c r="AC80" s="44">
        <f t="shared" si="28"/>
        <v>444.18624069388505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2.0157597950010397</v>
      </c>
      <c r="AP80" s="47">
        <f t="shared" si="37"/>
        <v>1.7143123495511714</v>
      </c>
    </row>
    <row r="81" spans="2:42">
      <c r="B81" s="97" t="s">
        <v>70</v>
      </c>
      <c r="C81" s="98">
        <v>18231134</v>
      </c>
      <c r="D81" s="61" t="s">
        <v>176</v>
      </c>
      <c r="E81" s="38" t="s">
        <v>1442</v>
      </c>
      <c r="F81" s="39" t="s">
        <v>1443</v>
      </c>
      <c r="G81" s="39">
        <v>13</v>
      </c>
      <c r="H81" s="39"/>
      <c r="I81" s="40" t="s">
        <v>271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8.82067258576116E-3</v>
      </c>
      <c r="V81" s="48">
        <f t="shared" si="21"/>
        <v>0</v>
      </c>
      <c r="W81" s="49">
        <f t="shared" si="22"/>
        <v>6.7851327582778157E-4</v>
      </c>
      <c r="X81" s="44">
        <f t="shared" si="23"/>
        <v>926.21097947456769</v>
      </c>
      <c r="Y81" s="44">
        <f t="shared" si="24"/>
        <v>0</v>
      </c>
      <c r="Z81" s="44">
        <f t="shared" si="25"/>
        <v>5067.2837706007786</v>
      </c>
      <c r="AA81" s="50">
        <f t="shared" si="26"/>
        <v>4360.2109794745675</v>
      </c>
      <c r="AB81" s="51">
        <f t="shared" si="27"/>
        <v>4737.1073858098325</v>
      </c>
      <c r="AC81" s="44">
        <f t="shared" si="28"/>
        <v>4076.1063657797204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2.0157597950010402</v>
      </c>
      <c r="AP81" s="47">
        <f t="shared" si="37"/>
        <v>2.5769096121711401</v>
      </c>
    </row>
    <row r="82" spans="2:42">
      <c r="B82" s="97" t="s">
        <v>70</v>
      </c>
      <c r="C82" s="98">
        <v>18231134</v>
      </c>
      <c r="D82" s="61" t="s">
        <v>176</v>
      </c>
      <c r="E82" s="38" t="s">
        <v>1444</v>
      </c>
      <c r="F82" s="39" t="s">
        <v>1445</v>
      </c>
      <c r="G82" s="39">
        <v>7</v>
      </c>
      <c r="H82" s="39"/>
      <c r="I82" s="40" t="s">
        <v>271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1.6459912200601358E-3</v>
      </c>
      <c r="V82" s="48">
        <f t="shared" si="21"/>
        <v>0</v>
      </c>
      <c r="W82" s="49">
        <f t="shared" si="22"/>
        <v>2.351416028657337E-4</v>
      </c>
      <c r="X82" s="44">
        <f t="shared" si="23"/>
        <v>320.98227413426486</v>
      </c>
      <c r="Y82" s="44">
        <f t="shared" si="24"/>
        <v>0</v>
      </c>
      <c r="Z82" s="44">
        <f t="shared" si="25"/>
        <v>1756.0883043016784</v>
      </c>
      <c r="AA82" s="50">
        <f t="shared" si="26"/>
        <v>1952.9822741342648</v>
      </c>
      <c r="AB82" s="51">
        <f t="shared" si="27"/>
        <v>1641.6643024228085</v>
      </c>
      <c r="AC82" s="44">
        <f t="shared" si="28"/>
        <v>1825.7289652559266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1.1136754117245391</v>
      </c>
      <c r="AP82" s="47">
        <f t="shared" si="37"/>
        <v>1.1015376997229744</v>
      </c>
    </row>
    <row r="83" spans="2:42">
      <c r="B83" s="97" t="s">
        <v>70</v>
      </c>
      <c r="C83" s="98">
        <v>18231134</v>
      </c>
      <c r="D83" s="61" t="s">
        <v>176</v>
      </c>
      <c r="E83" s="38" t="s">
        <v>1446</v>
      </c>
      <c r="F83" s="39" t="s">
        <v>1447</v>
      </c>
      <c r="G83" s="39">
        <v>7</v>
      </c>
      <c r="H83" s="39"/>
      <c r="I83" s="40" t="s">
        <v>271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3.9031567746282768E-2</v>
      </c>
      <c r="V83" s="48">
        <f t="shared" si="21"/>
        <v>0</v>
      </c>
      <c r="W83" s="49">
        <f t="shared" si="22"/>
        <v>5.5759382494689671E-3</v>
      </c>
      <c r="X83" s="44">
        <f t="shared" si="23"/>
        <v>7611.4873673322154</v>
      </c>
      <c r="Y83" s="44">
        <f t="shared" si="24"/>
        <v>0</v>
      </c>
      <c r="Z83" s="44">
        <f t="shared" si="25"/>
        <v>41642.311807289952</v>
      </c>
      <c r="AA83" s="50">
        <f t="shared" si="26"/>
        <v>31224.487367332214</v>
      </c>
      <c r="AB83" s="51">
        <f t="shared" si="27"/>
        <v>38928.963080573943</v>
      </c>
      <c r="AC83" s="44">
        <f t="shared" si="28"/>
        <v>29189.947992270929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1.1136754117245391</v>
      </c>
      <c r="AP83" s="47">
        <f t="shared" si="37"/>
        <v>1.6337696763992813</v>
      </c>
    </row>
    <row r="84" spans="2:42">
      <c r="B84" s="97" t="s">
        <v>70</v>
      </c>
      <c r="C84" s="98">
        <v>18231134</v>
      </c>
      <c r="D84" s="61" t="s">
        <v>176</v>
      </c>
      <c r="E84" s="38" t="s">
        <v>1448</v>
      </c>
      <c r="F84" s="39" t="s">
        <v>1449</v>
      </c>
      <c r="G84" s="39">
        <v>7</v>
      </c>
      <c r="H84" s="39"/>
      <c r="I84" s="40" t="s">
        <v>271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2.7199170794321419E-3</v>
      </c>
      <c r="V84" s="48">
        <f t="shared" si="21"/>
        <v>0</v>
      </c>
      <c r="W84" s="49">
        <f t="shared" si="22"/>
        <v>3.8855958277602028E-4</v>
      </c>
      <c r="X84" s="44">
        <f t="shared" si="23"/>
        <v>530.40694201325095</v>
      </c>
      <c r="Y84" s="44">
        <f t="shared" si="24"/>
        <v>0</v>
      </c>
      <c r="Z84" s="44">
        <f t="shared" si="25"/>
        <v>2901.846931897157</v>
      </c>
      <c r="AA84" s="50">
        <f t="shared" si="26"/>
        <v>2740.406942013251</v>
      </c>
      <c r="AB84" s="51">
        <f t="shared" si="27"/>
        <v>2712.7670673059333</v>
      </c>
      <c r="AC84" s="44">
        <f t="shared" si="28"/>
        <v>2561.8462578416852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1.1136754117245389</v>
      </c>
      <c r="AP84" s="47">
        <f t="shared" si="37"/>
        <v>1.2972114030972204</v>
      </c>
    </row>
    <row r="85" spans="2:42">
      <c r="B85" s="97" t="s">
        <v>70</v>
      </c>
      <c r="C85" s="98">
        <v>18231134</v>
      </c>
      <c r="D85" s="61" t="s">
        <v>176</v>
      </c>
      <c r="E85" s="38" t="s">
        <v>1450</v>
      </c>
      <c r="F85" s="39" t="s">
        <v>1451</v>
      </c>
      <c r="G85" s="39">
        <v>7</v>
      </c>
      <c r="H85" s="39"/>
      <c r="I85" s="40" t="s">
        <v>271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1.0013113255365826E-2</v>
      </c>
      <c r="V85" s="48">
        <f t="shared" si="21"/>
        <v>0</v>
      </c>
      <c r="W85" s="49">
        <f t="shared" si="22"/>
        <v>1.4304447507665467E-3</v>
      </c>
      <c r="X85" s="44">
        <f t="shared" si="23"/>
        <v>1952.6421676501111</v>
      </c>
      <c r="Y85" s="44">
        <f t="shared" si="24"/>
        <v>0</v>
      </c>
      <c r="Z85" s="44">
        <f t="shared" si="25"/>
        <v>10682.87051783521</v>
      </c>
      <c r="AA85" s="50">
        <f t="shared" si="26"/>
        <v>6916.6421676501113</v>
      </c>
      <c r="AB85" s="51">
        <f t="shared" si="27"/>
        <v>9986.7911730720843</v>
      </c>
      <c r="AC85" s="44">
        <f t="shared" si="28"/>
        <v>6465.9644457792938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1.1136754117245391</v>
      </c>
      <c r="AP85" s="47">
        <f t="shared" si="37"/>
        <v>1.8920995083126149</v>
      </c>
    </row>
    <row r="86" spans="2:42">
      <c r="B86" s="97" t="s">
        <v>70</v>
      </c>
      <c r="C86" s="98">
        <v>18231134</v>
      </c>
      <c r="D86" s="61" t="s">
        <v>176</v>
      </c>
      <c r="E86" s="38" t="s">
        <v>1452</v>
      </c>
      <c r="F86" s="39" t="s">
        <v>1453</v>
      </c>
      <c r="G86" s="39">
        <v>1</v>
      </c>
      <c r="H86" s="39"/>
      <c r="I86" s="40" t="s">
        <v>271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172 R5:S172">
    <cfRule type="expression" dxfId="177" priority="2">
      <formula>ISTEXT(M5)</formula>
    </cfRule>
  </conditionalFormatting>
  <conditionalFormatting sqref="M5:N172 R5:S172">
    <cfRule type="notContainsBlanks" dxfId="176" priority="3">
      <formula>LEN(TRIM(M5))&gt;0</formula>
    </cfRule>
  </conditionalFormatting>
  <conditionalFormatting sqref="R5:S17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15" sqref="M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18230014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18230014</v>
      </c>
      <c r="D5" s="61" t="s">
        <v>313</v>
      </c>
      <c r="E5" s="38" t="s">
        <v>1454</v>
      </c>
      <c r="F5" s="39" t="s">
        <v>1455</v>
      </c>
      <c r="G5" s="39">
        <v>10</v>
      </c>
      <c r="H5" s="39"/>
      <c r="I5" s="40" t="s">
        <v>275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238.19107184793177</v>
      </c>
      <c r="Y5" s="44">
        <f t="shared" ref="Y5:Y24" si="5">Q5-P5</f>
        <v>7352.5599999999977</v>
      </c>
      <c r="Z5" s="44">
        <f t="shared" ref="Z5:Z24" si="6">X5+(A$6*W5)</f>
        <v>302543.9243561629</v>
      </c>
      <c r="AA5" s="50">
        <f t="shared" ref="AA5:AA24" si="7">Q5+X5</f>
        <v>248358.51107184793</v>
      </c>
      <c r="AB5" s="51">
        <f t="shared" ref="AB5:AC20" si="8">Z5/(1+ElecDiscountRate)^1</f>
        <v>282830.62948131521</v>
      </c>
      <c r="AC5" s="44">
        <f t="shared" si="8"/>
        <v>232175.85404491719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1.0483084861075902</v>
      </c>
      <c r="AP5" s="47">
        <f>AN5/AC5</f>
        <v>1.404724557855872</v>
      </c>
    </row>
    <row r="6" spans="1:42" ht="13.5" customHeight="1">
      <c r="A6" s="53">
        <f>SUMIF('Program Costs'!D:D,C2,'Program Costs'!L:L)</f>
        <v>600902.76</v>
      </c>
      <c r="B6" s="97" t="s">
        <v>70</v>
      </c>
      <c r="C6" s="98">
        <v>18230014</v>
      </c>
      <c r="D6" s="61" t="s">
        <v>313</v>
      </c>
      <c r="E6" s="38" t="s">
        <v>1456</v>
      </c>
      <c r="F6" s="39" t="s">
        <v>1457</v>
      </c>
      <c r="G6" s="39">
        <v>15</v>
      </c>
      <c r="H6" s="39"/>
      <c r="I6" s="40" t="s">
        <v>275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235.26892815203098</v>
      </c>
      <c r="Y6" s="44">
        <f t="shared" si="5"/>
        <v>16270</v>
      </c>
      <c r="Z6" s="44">
        <f t="shared" si="6"/>
        <v>298832.29564383707</v>
      </c>
      <c r="AA6" s="50">
        <f t="shared" si="7"/>
        <v>376640.26892815204</v>
      </c>
      <c r="AB6" s="51">
        <f t="shared" si="8"/>
        <v>279360.84476380015</v>
      </c>
      <c r="AC6" s="44">
        <f t="shared" si="8"/>
        <v>352098.97067229316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1.4849656977056644</v>
      </c>
      <c r="AP6" s="47">
        <f t="shared" ref="AP6:AP24" si="16">AN6/AC6</f>
        <v>1.2960145781189041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473.45999999996275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601376.22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624998.78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1.265289591465047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1.3392131403722962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12" sqref="D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18230525</v>
      </c>
      <c r="D2" s="20" t="s">
        <v>314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18230525</v>
      </c>
      <c r="D5" s="61" t="s">
        <v>314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 t="e">
        <f t="shared" ref="U5:U23" si="1">(O5/$A$10)*T5</f>
        <v>#DIV/0!</v>
      </c>
      <c r="V5" s="48">
        <f t="shared" ref="V5:V23" si="2">N5-M5</f>
        <v>0</v>
      </c>
      <c r="W5" s="49" t="e">
        <f t="shared" ref="W5:W23" si="3">(O5/A$10)</f>
        <v>#DIV/0!</v>
      </c>
      <c r="X5" s="44" t="e">
        <f t="shared" ref="X5:X23" si="4">W5*A$8</f>
        <v>#DIV/0!</v>
      </c>
      <c r="Y5" s="44">
        <f t="shared" ref="Y5:Y23" si="5">Q5-P5</f>
        <v>0</v>
      </c>
      <c r="Z5" s="44" t="e">
        <f t="shared" ref="Z5:Z23" si="6">X5+(A$6*W5)</f>
        <v>#DIV/0!</v>
      </c>
      <c r="AA5" s="50" t="e">
        <f t="shared" ref="AA5:AA23" si="7">Q5+X5</f>
        <v>#DIV/0!</v>
      </c>
      <c r="AB5" s="51" t="e">
        <f t="shared" ref="AB5:AC19" si="8">Z5/(1+ElecDiscountRate)^1</f>
        <v>#DIV/0!</v>
      </c>
      <c r="AC5" s="44" t="e">
        <f t="shared" si="8"/>
        <v>#DIV/0!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</f>
        <v>0</v>
      </c>
      <c r="B6" s="97" t="s">
        <v>315</v>
      </c>
      <c r="C6" s="100">
        <v>18230750</v>
      </c>
      <c r="D6" s="99" t="s">
        <v>158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249</v>
      </c>
      <c r="B7" s="97" t="s">
        <v>315</v>
      </c>
      <c r="C7" s="100">
        <v>18230749</v>
      </c>
      <c r="D7" s="100" t="s">
        <v>1828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</f>
        <v>338818.27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SUM(O5:O998)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SUM(U5:U998)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338818.27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338818.27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ref="AB20:AC23" si="18">Z20/(1+ElecDiscountRate)^1</f>
        <v>#DIV/0!</v>
      </c>
      <c r="AC20" s="44" t="e">
        <f t="shared" si="1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18"/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(SUM(AM5:AM999)/(SUM(AB5:AB999)))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(SUM(AN5:AN999)/SUM(AC5:AC999))</f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18230140</v>
      </c>
      <c r="D5" s="61" t="s">
        <v>26</v>
      </c>
      <c r="E5" s="38" t="s">
        <v>1089</v>
      </c>
      <c r="F5" s="39" t="s">
        <v>1090</v>
      </c>
      <c r="G5" s="39">
        <v>13.5</v>
      </c>
      <c r="H5" s="39"/>
      <c r="I5" s="40" t="s">
        <v>270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4622.1110771023777</v>
      </c>
      <c r="Y5" s="44">
        <f t="shared" ref="Y5:Y24" si="5">Q5-P5</f>
        <v>0</v>
      </c>
      <c r="Z5" s="44">
        <f t="shared" ref="Z5:Z24" si="6">X5+(A$6*W5)</f>
        <v>50695.886935510163</v>
      </c>
      <c r="AA5" s="50">
        <f t="shared" ref="AA5:AA24" si="7">Q5+X5</f>
        <v>47701.111077102381</v>
      </c>
      <c r="AB5" s="51">
        <f t="shared" ref="AB5:AC20" si="8">Z5/(1+ElecDiscountRate)^1</f>
        <v>47392.621235402599</v>
      </c>
      <c r="AC5" s="44">
        <f t="shared" si="8"/>
        <v>44592.980346921919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2.7527538961927327</v>
      </c>
      <c r="AP5" s="47">
        <f>AN5/AC5</f>
        <v>3.218135318961715</v>
      </c>
    </row>
    <row r="6" spans="1:42" ht="13.5" customHeight="1">
      <c r="A6" s="53">
        <f>SUMIF('Program Costs'!D:D,C2,'Program Costs'!L:L)+SUMIF('Program Costs'!D:D,C8,'Program Costs'!L:L)</f>
        <v>194915</v>
      </c>
      <c r="B6" s="97" t="s">
        <v>315</v>
      </c>
      <c r="C6" s="98">
        <v>18230140</v>
      </c>
      <c r="D6" s="61" t="s">
        <v>26</v>
      </c>
      <c r="E6" s="38" t="s">
        <v>1089</v>
      </c>
      <c r="F6" s="39" t="s">
        <v>1090</v>
      </c>
      <c r="G6" s="39">
        <v>12</v>
      </c>
      <c r="H6" s="39"/>
      <c r="I6" s="40" t="s">
        <v>270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8155.3393311341242</v>
      </c>
      <c r="Y6" s="44">
        <f t="shared" si="5"/>
        <v>0</v>
      </c>
      <c r="Z6" s="44">
        <f t="shared" si="6"/>
        <v>89448.772163883899</v>
      </c>
      <c r="AA6" s="50">
        <f t="shared" si="7"/>
        <v>96833.339331134121</v>
      </c>
      <c r="AB6" s="51">
        <f t="shared" si="8"/>
        <v>83620.428310632793</v>
      </c>
      <c r="AC6" s="44">
        <f t="shared" si="8"/>
        <v>90523.828485682068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2.5587945695131276</v>
      </c>
      <c r="AP6" s="47">
        <f t="shared" ref="AP6:AP24" si="16">AN6/AC6</f>
        <v>2.6000253368094888</v>
      </c>
    </row>
    <row r="7" spans="1:42" ht="13.5" customHeight="1">
      <c r="A7" s="36" t="s">
        <v>249</v>
      </c>
      <c r="B7" s="97" t="s">
        <v>315</v>
      </c>
      <c r="C7" s="98">
        <v>18230140</v>
      </c>
      <c r="D7" s="61" t="s">
        <v>26</v>
      </c>
      <c r="E7" s="38" t="s">
        <v>1089</v>
      </c>
      <c r="F7" s="39" t="s">
        <v>1090</v>
      </c>
      <c r="G7" s="39">
        <v>15</v>
      </c>
      <c r="H7" s="39"/>
      <c r="I7" s="40" t="s">
        <v>270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6776.3795917634998</v>
      </c>
      <c r="Y7" s="44">
        <f t="shared" si="5"/>
        <v>0</v>
      </c>
      <c r="Z7" s="44">
        <f t="shared" si="6"/>
        <v>74324.170900605939</v>
      </c>
      <c r="AA7" s="50">
        <f t="shared" si="7"/>
        <v>69934.3795917635</v>
      </c>
      <c r="AB7" s="51">
        <f t="shared" si="8"/>
        <v>69481.32270786757</v>
      </c>
      <c r="AC7" s="44">
        <f t="shared" si="8"/>
        <v>65377.563421298953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3.1190353712606464</v>
      </c>
      <c r="AP7" s="47">
        <f t="shared" si="16"/>
        <v>3.6462994490696117</v>
      </c>
    </row>
    <row r="8" spans="1:42" ht="13.5" customHeight="1">
      <c r="A8" s="53">
        <f>SUMIF('Program Costs'!D:D,C2,'Program Costs'!O:O)+SUMIF('Program Costs'!D:D,C8,'Program Costs'!O:O)</f>
        <v>19553.830000000002</v>
      </c>
      <c r="B8" s="97"/>
      <c r="C8" s="100">
        <v>18231128</v>
      </c>
      <c r="D8" s="100" t="s">
        <v>1827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607491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214468.83000000002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214468.83000000002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2.7987938887149526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3.0786732775864492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8" sqref="D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1825</v>
      </c>
      <c r="F5" s="39" t="s">
        <v>1826</v>
      </c>
      <c r="G5" s="39">
        <v>5</v>
      </c>
      <c r="H5" s="39"/>
      <c r="I5" s="40" t="s">
        <v>270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1483874.7100000004</v>
      </c>
      <c r="Y5" s="44">
        <f t="shared" ref="Y5:Y24" si="5">Q5-P5</f>
        <v>0</v>
      </c>
      <c r="Z5" s="44">
        <f t="shared" ref="Z5:Z24" si="6">X5+(A$6*W5)</f>
        <v>4289485.32</v>
      </c>
      <c r="AA5" s="50">
        <f t="shared" ref="AA5:AA24" si="7">Q5+X5</f>
        <v>1483874.7100000004</v>
      </c>
      <c r="AB5" s="51">
        <f t="shared" ref="AB5:AC20" si="8">Z5/(1+ElecDiscountRate)^1</f>
        <v>4009989.081050762</v>
      </c>
      <c r="AC5" s="44">
        <f t="shared" si="8"/>
        <v>1387187.7255305229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0.91520285020127368</v>
      </c>
      <c r="AP5" s="47">
        <f>AN5/AC5</f>
        <v>2.9101676042693487</v>
      </c>
    </row>
    <row r="6" spans="1:42" ht="13.5" customHeight="1">
      <c r="A6" s="53">
        <f>SUMIF('Program Costs'!C:C,D2,'Program Costs'!L:L)</f>
        <v>2805610.61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1483874.7100000004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10249200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4289485.32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1483874.7100000004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0.91520285020127368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2.9101676042693487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F5" sqref="F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1458</v>
      </c>
      <c r="F5" s="39" t="s">
        <v>1459</v>
      </c>
      <c r="G5" s="39">
        <v>15</v>
      </c>
      <c r="H5" s="39"/>
      <c r="I5" s="40" t="s">
        <v>270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14.718847676803593</v>
      </c>
      <c r="V5" s="48">
        <f t="shared" ref="V5:V24" si="2">N5-M5</f>
        <v>167328</v>
      </c>
      <c r="W5" s="49">
        <f t="shared" ref="W5:W24" si="3">(O5/A$10)</f>
        <v>0.9812565117869062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1011</v>
      </c>
      <c r="F6" s="39" t="s">
        <v>1012</v>
      </c>
      <c r="G6" s="39">
        <v>15</v>
      </c>
      <c r="H6" s="39"/>
      <c r="I6" s="40" t="s">
        <v>271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0.28115232319640659</v>
      </c>
      <c r="V6" s="48">
        <f t="shared" si="2"/>
        <v>1760</v>
      </c>
      <c r="W6" s="49">
        <f t="shared" si="3"/>
        <v>1.8743488213093774E-2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2294877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169088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169088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16.44686501785873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zoomScale="85" zoomScaleNormal="85" workbookViewId="0">
      <selection activeCell="O10" sqref="O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442558.36</v>
      </c>
      <c r="B6" s="97" t="s">
        <v>108</v>
      </c>
      <c r="C6" s="98">
        <v>18230661</v>
      </c>
      <c r="D6" s="61" t="s">
        <v>109</v>
      </c>
      <c r="E6" s="38" t="s">
        <v>1601</v>
      </c>
      <c r="F6" s="39" t="s">
        <v>1602</v>
      </c>
      <c r="G6" s="39">
        <v>25</v>
      </c>
      <c r="H6" s="39"/>
      <c r="I6" s="40" t="s">
        <v>283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0.33710229102048767</v>
      </c>
      <c r="V6" s="48">
        <f t="shared" si="2"/>
        <v>0</v>
      </c>
      <c r="W6" s="49">
        <f t="shared" si="3"/>
        <v>1.3484091640819507E-2</v>
      </c>
      <c r="X6" s="44">
        <f t="shared" si="4"/>
        <v>720.6672559714126</v>
      </c>
      <c r="Y6" s="44">
        <f t="shared" si="5"/>
        <v>0</v>
      </c>
      <c r="Z6" s="44">
        <f t="shared" si="6"/>
        <v>6688.1647386222021</v>
      </c>
      <c r="AA6" s="50">
        <f t="shared" si="7"/>
        <v>9700.6372559714127</v>
      </c>
      <c r="AB6" s="51">
        <f t="shared" si="8"/>
        <v>6252.3742531758453</v>
      </c>
      <c r="AC6" s="44">
        <f t="shared" si="8"/>
        <v>9068.5587136313097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0.33433174094517126</v>
      </c>
      <c r="AP6" s="47">
        <f t="shared" ref="AP6:AP21" si="16">AN6/AC6</f>
        <v>0.25355780986004151</v>
      </c>
    </row>
    <row r="7" spans="1:42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1605</v>
      </c>
      <c r="F7" s="39" t="s">
        <v>1606</v>
      </c>
      <c r="G7" s="39">
        <v>15</v>
      </c>
      <c r="H7" s="39"/>
      <c r="I7" s="40" t="s">
        <v>283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0.65485506992282538</v>
      </c>
      <c r="V7" s="48">
        <f t="shared" si="2"/>
        <v>0</v>
      </c>
      <c r="W7" s="49">
        <f t="shared" si="3"/>
        <v>4.3657004661521691E-2</v>
      </c>
      <c r="X7" s="44">
        <f t="shared" si="4"/>
        <v>2333.2809203184761</v>
      </c>
      <c r="Y7" s="44">
        <f t="shared" si="5"/>
        <v>0</v>
      </c>
      <c r="Z7" s="44">
        <f t="shared" si="6"/>
        <v>21654.05330583387</v>
      </c>
      <c r="AA7" s="50">
        <f t="shared" si="7"/>
        <v>59485.190920318477</v>
      </c>
      <c r="AB7" s="51">
        <f t="shared" si="8"/>
        <v>20243.108634041197</v>
      </c>
      <c r="AC7" s="44">
        <f t="shared" si="8"/>
        <v>55609.227746394754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0.21855351607174364</v>
      </c>
      <c r="AP7" s="47">
        <f t="shared" si="16"/>
        <v>8.7514662983729077E-2</v>
      </c>
    </row>
    <row r="8" spans="1:42" ht="13.5" customHeight="1">
      <c r="A8" s="53">
        <f>SUMIF('Program Costs'!D:D,C2,'Program Costs'!O:O)</f>
        <v>53445.739999999991</v>
      </c>
      <c r="B8" s="97" t="s">
        <v>108</v>
      </c>
      <c r="C8" s="98">
        <v>18230661</v>
      </c>
      <c r="D8" s="61" t="s">
        <v>109</v>
      </c>
      <c r="E8" s="38" t="s">
        <v>1480</v>
      </c>
      <c r="F8" s="39" t="s">
        <v>1481</v>
      </c>
      <c r="G8" s="39">
        <v>18</v>
      </c>
      <c r="H8" s="39"/>
      <c r="I8" s="40" t="s">
        <v>283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0.25384519752759782</v>
      </c>
      <c r="V8" s="48">
        <f t="shared" si="2"/>
        <v>0</v>
      </c>
      <c r="W8" s="49">
        <f t="shared" si="3"/>
        <v>1.4102510973755436E-2</v>
      </c>
      <c r="X8" s="44">
        <f t="shared" si="4"/>
        <v>753.71913485047969</v>
      </c>
      <c r="Y8" s="44">
        <f t="shared" si="5"/>
        <v>0</v>
      </c>
      <c r="Z8" s="44">
        <f t="shared" si="6"/>
        <v>6994.903263277688</v>
      </c>
      <c r="AA8" s="50">
        <f t="shared" si="7"/>
        <v>5749.619134850479</v>
      </c>
      <c r="AB8" s="51">
        <f t="shared" si="8"/>
        <v>6539.1261692789449</v>
      </c>
      <c r="AC8" s="44">
        <f t="shared" si="8"/>
        <v>5374.9828314952592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0.25570825321318752</v>
      </c>
      <c r="AP8" s="47">
        <f t="shared" si="16"/>
        <v>0.34220004807047538</v>
      </c>
    </row>
    <row r="9" spans="1:42" ht="13.5" customHeight="1">
      <c r="A9" s="36" t="s">
        <v>317</v>
      </c>
      <c r="B9" s="97" t="s">
        <v>108</v>
      </c>
      <c r="C9" s="98">
        <v>18230661</v>
      </c>
      <c r="D9" s="61" t="s">
        <v>109</v>
      </c>
      <c r="E9" s="38" t="s">
        <v>1484</v>
      </c>
      <c r="F9" s="39" t="s">
        <v>1485</v>
      </c>
      <c r="G9" s="39">
        <v>20</v>
      </c>
      <c r="H9" s="39"/>
      <c r="I9" s="40" t="s">
        <v>283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3.454647655053773</v>
      </c>
      <c r="V9" s="48">
        <f t="shared" si="2"/>
        <v>0</v>
      </c>
      <c r="W9" s="49">
        <f t="shared" si="3"/>
        <v>0.17273238275268865</v>
      </c>
      <c r="X9" s="44">
        <f t="shared" si="4"/>
        <v>9231.8100181806803</v>
      </c>
      <c r="Y9" s="44">
        <f t="shared" si="5"/>
        <v>0</v>
      </c>
      <c r="Z9" s="44">
        <f t="shared" si="6"/>
        <v>85675.970048102856</v>
      </c>
      <c r="AA9" s="50">
        <f t="shared" si="7"/>
        <v>32470.300018180682</v>
      </c>
      <c r="AB9" s="51">
        <f t="shared" si="8"/>
        <v>80093.456154158033</v>
      </c>
      <c r="AC9" s="44">
        <f t="shared" si="8"/>
        <v>30354.585414771132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0.27938817567711249</v>
      </c>
      <c r="AP9" s="47">
        <f t="shared" si="16"/>
        <v>0.81091145611448334</v>
      </c>
    </row>
    <row r="10" spans="1:42" ht="13.5" customHeight="1">
      <c r="A10" s="54">
        <f>SUM(O5:O997)</f>
        <v>9411.0899999999965</v>
      </c>
      <c r="B10" s="97" t="s">
        <v>108</v>
      </c>
      <c r="C10" s="98">
        <v>18230661</v>
      </c>
      <c r="D10" s="61" t="s">
        <v>109</v>
      </c>
      <c r="E10" s="38" t="s">
        <v>1500</v>
      </c>
      <c r="F10" s="39" t="s">
        <v>1501</v>
      </c>
      <c r="G10" s="39">
        <v>20</v>
      </c>
      <c r="H10" s="39"/>
      <c r="I10" s="40" t="s">
        <v>283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0.23376675815447528</v>
      </c>
      <c r="V10" s="48">
        <f t="shared" si="2"/>
        <v>0</v>
      </c>
      <c r="W10" s="49">
        <f t="shared" si="3"/>
        <v>1.1688337907723764E-2</v>
      </c>
      <c r="X10" s="44">
        <f t="shared" si="4"/>
        <v>624.69186884834824</v>
      </c>
      <c r="Y10" s="44">
        <f t="shared" si="5"/>
        <v>0</v>
      </c>
      <c r="Z10" s="44">
        <f t="shared" si="6"/>
        <v>5797.4635244164083</v>
      </c>
      <c r="AA10" s="50">
        <f t="shared" si="7"/>
        <v>6201.6918688483483</v>
      </c>
      <c r="AB10" s="51">
        <f t="shared" si="8"/>
        <v>5419.7097545259494</v>
      </c>
      <c r="AC10" s="44">
        <f t="shared" si="8"/>
        <v>5797.5992043080751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0.27938817567711255</v>
      </c>
      <c r="AP10" s="47">
        <f t="shared" si="16"/>
        <v>0.28729531732383512</v>
      </c>
    </row>
    <row r="11" spans="1:42" ht="13.5" customHeight="1">
      <c r="A11" s="36" t="s">
        <v>252</v>
      </c>
      <c r="B11" s="97" t="s">
        <v>108</v>
      </c>
      <c r="C11" s="98">
        <v>18230661</v>
      </c>
      <c r="D11" s="61" t="s">
        <v>109</v>
      </c>
      <c r="E11" s="38" t="s">
        <v>1502</v>
      </c>
      <c r="F11" s="39" t="s">
        <v>1503</v>
      </c>
      <c r="G11" s="39">
        <v>20</v>
      </c>
      <c r="H11" s="39"/>
      <c r="I11" s="40" t="s">
        <v>283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3.9740348886260799</v>
      </c>
      <c r="V11" s="48">
        <f t="shared" si="2"/>
        <v>0</v>
      </c>
      <c r="W11" s="49">
        <f t="shared" si="3"/>
        <v>0.19870174443130401</v>
      </c>
      <c r="X11" s="44">
        <f t="shared" si="4"/>
        <v>10619.761770421919</v>
      </c>
      <c r="Y11" s="44">
        <f t="shared" si="5"/>
        <v>0</v>
      </c>
      <c r="Z11" s="44">
        <f t="shared" si="6"/>
        <v>98556.879915078942</v>
      </c>
      <c r="AA11" s="50">
        <f t="shared" si="7"/>
        <v>99215.831770421923</v>
      </c>
      <c r="AB11" s="51">
        <f t="shared" si="8"/>
        <v>92135.065826941136</v>
      </c>
      <c r="AC11" s="44">
        <f t="shared" si="8"/>
        <v>92751.081397047688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0.27938817567711255</v>
      </c>
      <c r="AP11" s="47">
        <f t="shared" si="16"/>
        <v>0.30528585032658218</v>
      </c>
    </row>
    <row r="12" spans="1:42" ht="13.5" customHeight="1">
      <c r="A12" s="55">
        <f>SUM(P5:P998)</f>
        <v>508780.75000000017</v>
      </c>
      <c r="B12" s="97" t="s">
        <v>108</v>
      </c>
      <c r="C12" s="98">
        <v>18230661</v>
      </c>
      <c r="D12" s="61" t="s">
        <v>109</v>
      </c>
      <c r="E12" s="38" t="s">
        <v>1510</v>
      </c>
      <c r="F12" s="39" t="s">
        <v>1511</v>
      </c>
      <c r="G12" s="39">
        <v>20</v>
      </c>
      <c r="H12" s="39"/>
      <c r="I12" s="40" t="s">
        <v>283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1.4570044490064387</v>
      </c>
      <c r="V12" s="48">
        <f t="shared" si="2"/>
        <v>0</v>
      </c>
      <c r="W12" s="49">
        <f t="shared" si="3"/>
        <v>7.2850222450321939E-2</v>
      </c>
      <c r="X12" s="44">
        <f t="shared" si="4"/>
        <v>3893.5340480220684</v>
      </c>
      <c r="Y12" s="44">
        <f t="shared" si="5"/>
        <v>0</v>
      </c>
      <c r="Z12" s="44">
        <f t="shared" si="6"/>
        <v>36134.009021271726</v>
      </c>
      <c r="AA12" s="50">
        <f t="shared" si="7"/>
        <v>29635.384048022068</v>
      </c>
      <c r="AB12" s="51">
        <f t="shared" si="8"/>
        <v>33779.572797299916</v>
      </c>
      <c r="AC12" s="44">
        <f t="shared" si="8"/>
        <v>27704.38819110224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0.27938817567711255</v>
      </c>
      <c r="AP12" s="47">
        <f t="shared" si="16"/>
        <v>0.37471950180885027</v>
      </c>
    </row>
    <row r="13" spans="1:42" ht="13.5" customHeight="1">
      <c r="A13" s="56" t="s">
        <v>255</v>
      </c>
      <c r="B13" s="97" t="s">
        <v>108</v>
      </c>
      <c r="C13" s="98">
        <v>18230661</v>
      </c>
      <c r="D13" s="61" t="s">
        <v>109</v>
      </c>
      <c r="E13" s="38" t="s">
        <v>1516</v>
      </c>
      <c r="F13" s="39" t="s">
        <v>1517</v>
      </c>
      <c r="G13" s="39">
        <v>25</v>
      </c>
      <c r="H13" s="39"/>
      <c r="I13" s="40" t="s">
        <v>283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0.7110759752589767</v>
      </c>
      <c r="V13" s="48">
        <f t="shared" si="2"/>
        <v>0</v>
      </c>
      <c r="W13" s="49">
        <f t="shared" si="3"/>
        <v>2.8443039010359068E-2</v>
      </c>
      <c r="X13" s="44">
        <f t="shared" si="4"/>
        <v>1520.1592677575077</v>
      </c>
      <c r="Y13" s="44">
        <f t="shared" si="5"/>
        <v>0</v>
      </c>
      <c r="Z13" s="44">
        <f t="shared" si="6"/>
        <v>14107.863965598041</v>
      </c>
      <c r="AA13" s="50">
        <f t="shared" si="7"/>
        <v>22138.209267757506</v>
      </c>
      <c r="AB13" s="51">
        <f t="shared" si="8"/>
        <v>13188.617337195512</v>
      </c>
      <c r="AC13" s="44">
        <f t="shared" si="8"/>
        <v>20695.717741196135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0.33433174094517126</v>
      </c>
      <c r="AP13" s="47">
        <f t="shared" si="16"/>
        <v>0.2343630114769984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 t="s">
        <v>1522</v>
      </c>
      <c r="F14" s="39" t="s">
        <v>1523</v>
      </c>
      <c r="G14" s="39">
        <v>25</v>
      </c>
      <c r="H14" s="39"/>
      <c r="I14" s="40" t="s">
        <v>283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1.5938642601441497E-2</v>
      </c>
      <c r="V14" s="48">
        <f t="shared" si="2"/>
        <v>0</v>
      </c>
      <c r="W14" s="49">
        <f t="shared" si="3"/>
        <v>6.3754570405765982E-4</v>
      </c>
      <c r="X14" s="44">
        <f t="shared" si="4"/>
        <v>34.074101937182625</v>
      </c>
      <c r="Y14" s="44">
        <f t="shared" si="5"/>
        <v>0</v>
      </c>
      <c r="Z14" s="44">
        <f t="shared" si="6"/>
        <v>316.2252831499859</v>
      </c>
      <c r="AA14" s="50">
        <f t="shared" si="7"/>
        <v>1648.0541019371826</v>
      </c>
      <c r="AB14" s="51">
        <f t="shared" si="8"/>
        <v>295.62053206505175</v>
      </c>
      <c r="AC14" s="44">
        <f t="shared" si="8"/>
        <v>1540.6694418408736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0.33433174094517132</v>
      </c>
      <c r="AP14" s="47">
        <f t="shared" si="16"/>
        <v>7.0565987035472191E-2</v>
      </c>
    </row>
    <row r="15" spans="1:42" ht="13.5" customHeight="1">
      <c r="A15" s="57" t="s">
        <v>258</v>
      </c>
      <c r="B15" s="97" t="s">
        <v>108</v>
      </c>
      <c r="C15" s="98">
        <v>18230661</v>
      </c>
      <c r="D15" s="61" t="s">
        <v>109</v>
      </c>
      <c r="E15" s="38" t="s">
        <v>1526</v>
      </c>
      <c r="F15" s="39" t="s">
        <v>1527</v>
      </c>
      <c r="G15" s="39">
        <v>45</v>
      </c>
      <c r="H15" s="39"/>
      <c r="I15" s="40" t="s">
        <v>283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4.3658332881738469</v>
      </c>
      <c r="V15" s="48">
        <f t="shared" si="2"/>
        <v>0</v>
      </c>
      <c r="W15" s="49">
        <f t="shared" si="3"/>
        <v>9.7018517514974381E-2</v>
      </c>
      <c r="X15" s="44">
        <f t="shared" si="4"/>
        <v>5185.226462290766</v>
      </c>
      <c r="Y15" s="44">
        <f t="shared" si="5"/>
        <v>0</v>
      </c>
      <c r="Z15" s="44">
        <f t="shared" si="6"/>
        <v>48121.582463349107</v>
      </c>
      <c r="AA15" s="50">
        <f t="shared" si="7"/>
        <v>87682.576462290774</v>
      </c>
      <c r="AB15" s="51">
        <f t="shared" si="8"/>
        <v>44986.054466999252</v>
      </c>
      <c r="AC15" s="44">
        <f t="shared" si="8"/>
        <v>81969.315193316594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0.55701610463497619</v>
      </c>
      <c r="AP15" s="47">
        <f t="shared" si="16"/>
        <v>0.33626915680958008</v>
      </c>
    </row>
    <row r="16" spans="1:42" ht="13.5" customHeight="1">
      <c r="A16" s="54">
        <f>SUM(U5:U997)</f>
        <v>29.793510634793638</v>
      </c>
      <c r="B16" s="97" t="s">
        <v>108</v>
      </c>
      <c r="C16" s="98">
        <v>18230661</v>
      </c>
      <c r="D16" s="61" t="s">
        <v>109</v>
      </c>
      <c r="E16" s="38" t="s">
        <v>1534</v>
      </c>
      <c r="F16" s="39" t="s">
        <v>1535</v>
      </c>
      <c r="G16" s="39">
        <v>45</v>
      </c>
      <c r="H16" s="39"/>
      <c r="I16" s="40" t="s">
        <v>283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6.5151592429782328</v>
      </c>
      <c r="V16" s="48">
        <f t="shared" si="2"/>
        <v>0</v>
      </c>
      <c r="W16" s="49">
        <f t="shared" si="3"/>
        <v>0.14478131651062739</v>
      </c>
      <c r="X16" s="44">
        <f t="shared" si="4"/>
        <v>7737.944599084698</v>
      </c>
      <c r="Y16" s="44">
        <f t="shared" si="5"/>
        <v>0</v>
      </c>
      <c r="Z16" s="44">
        <f t="shared" si="6"/>
        <v>71812.126592668879</v>
      </c>
      <c r="AA16" s="50">
        <f t="shared" si="7"/>
        <v>76995.3645990847</v>
      </c>
      <c r="AB16" s="51">
        <f t="shared" si="8"/>
        <v>67132.959327539385</v>
      </c>
      <c r="AC16" s="44">
        <f t="shared" si="8"/>
        <v>71978.465550233421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0.55701610463497619</v>
      </c>
      <c r="AP16" s="47">
        <f t="shared" si="16"/>
        <v>0.57147027423447649</v>
      </c>
    </row>
    <row r="17" spans="1:42" ht="13.5" customHeight="1">
      <c r="A17" s="58" t="s">
        <v>261</v>
      </c>
      <c r="B17" s="97" t="s">
        <v>108</v>
      </c>
      <c r="C17" s="98">
        <v>18230661</v>
      </c>
      <c r="D17" s="61" t="s">
        <v>109</v>
      </c>
      <c r="E17" s="38" t="s">
        <v>1539</v>
      </c>
      <c r="F17" s="39" t="s">
        <v>1540</v>
      </c>
      <c r="G17" s="39">
        <v>25</v>
      </c>
      <c r="H17" s="39"/>
      <c r="I17" s="40" t="s">
        <v>283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0.17851279713614476</v>
      </c>
      <c r="V17" s="48">
        <f t="shared" si="2"/>
        <v>0</v>
      </c>
      <c r="W17" s="49">
        <f t="shared" si="3"/>
        <v>7.1405118854457909E-3</v>
      </c>
      <c r="X17" s="44">
        <f t="shared" si="4"/>
        <v>381.62994169644548</v>
      </c>
      <c r="Y17" s="44">
        <f t="shared" si="5"/>
        <v>0</v>
      </c>
      <c r="Z17" s="44">
        <f t="shared" si="6"/>
        <v>3541.7231712798421</v>
      </c>
      <c r="AA17" s="50">
        <f t="shared" si="7"/>
        <v>4815.1499416964461</v>
      </c>
      <c r="AB17" s="51">
        <f t="shared" si="8"/>
        <v>3310.9499591285798</v>
      </c>
      <c r="AC17" s="44">
        <f t="shared" si="8"/>
        <v>4501.4022078119524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0.33433174094517132</v>
      </c>
      <c r="AP17" s="47">
        <f t="shared" si="16"/>
        <v>0.27050487252758948</v>
      </c>
    </row>
    <row r="18" spans="1:42" ht="13.5" customHeight="1">
      <c r="A18" s="59">
        <f>A6+A8</f>
        <v>496004.1</v>
      </c>
      <c r="B18" s="97" t="s">
        <v>108</v>
      </c>
      <c r="C18" s="98">
        <v>18230661</v>
      </c>
      <c r="D18" s="61" t="s">
        <v>109</v>
      </c>
      <c r="E18" s="38" t="s">
        <v>1543</v>
      </c>
      <c r="F18" s="39" t="s">
        <v>1544</v>
      </c>
      <c r="G18" s="39">
        <v>45</v>
      </c>
      <c r="H18" s="39"/>
      <c r="I18" s="40" t="s">
        <v>283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2.9913166275107361</v>
      </c>
      <c r="V18" s="48">
        <f t="shared" si="2"/>
        <v>0</v>
      </c>
      <c r="W18" s="49">
        <f t="shared" si="3"/>
        <v>6.6473702833571915E-2</v>
      </c>
      <c r="X18" s="44">
        <f t="shared" si="4"/>
        <v>3552.7362384803473</v>
      </c>
      <c r="Y18" s="44">
        <f t="shared" si="5"/>
        <v>0</v>
      </c>
      <c r="Z18" s="44">
        <f t="shared" si="6"/>
        <v>32971.229147633283</v>
      </c>
      <c r="AA18" s="50">
        <f t="shared" si="7"/>
        <v>25325.316238480351</v>
      </c>
      <c r="AB18" s="51">
        <f t="shared" si="8"/>
        <v>30822.874775762626</v>
      </c>
      <c r="AC18" s="44">
        <f t="shared" si="8"/>
        <v>23675.157743741562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0.55701610463497619</v>
      </c>
      <c r="AP18" s="47">
        <f t="shared" si="16"/>
        <v>0.79770203053299737</v>
      </c>
    </row>
    <row r="19" spans="1:42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1547</v>
      </c>
      <c r="F19" s="39" t="s">
        <v>1548</v>
      </c>
      <c r="G19" s="39">
        <v>45</v>
      </c>
      <c r="H19" s="39"/>
      <c r="I19" s="40" t="s">
        <v>283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0.91720512714255242</v>
      </c>
      <c r="V19" s="48">
        <f t="shared" si="2"/>
        <v>0</v>
      </c>
      <c r="W19" s="49">
        <f t="shared" si="3"/>
        <v>2.0382336158723386E-2</v>
      </c>
      <c r="X19" s="44">
        <f t="shared" si="4"/>
        <v>1089.3490389317287</v>
      </c>
      <c r="Y19" s="44">
        <f t="shared" si="5"/>
        <v>0</v>
      </c>
      <c r="Z19" s="44">
        <f t="shared" si="6"/>
        <v>10109.72230230505</v>
      </c>
      <c r="AA19" s="50">
        <f t="shared" si="7"/>
        <v>14305.749038931728</v>
      </c>
      <c r="AB19" s="51">
        <f t="shared" si="8"/>
        <v>9450.9884101197058</v>
      </c>
      <c r="AC19" s="44">
        <f t="shared" si="8"/>
        <v>13373.608524756219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0.55701610463497619</v>
      </c>
      <c r="AP19" s="47">
        <f t="shared" si="16"/>
        <v>0.43300116145550638</v>
      </c>
    </row>
    <row r="20" spans="1:42" ht="13.5" customHeight="1">
      <c r="A20" s="59">
        <f>A8+SUM(Q5:Q904)</f>
        <v>562226.49000000022</v>
      </c>
      <c r="B20" s="97" t="s">
        <v>108</v>
      </c>
      <c r="C20" s="98">
        <v>18230661</v>
      </c>
      <c r="D20" s="61" t="s">
        <v>109</v>
      </c>
      <c r="E20" s="38" t="s">
        <v>1609</v>
      </c>
      <c r="F20" s="39" t="s">
        <v>1610</v>
      </c>
      <c r="G20" s="39">
        <v>15</v>
      </c>
      <c r="H20" s="39"/>
      <c r="I20" s="40" t="s">
        <v>279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9.3719218496476006E-3</v>
      </c>
      <c r="V20" s="48">
        <f t="shared" si="2"/>
        <v>0</v>
      </c>
      <c r="W20" s="49">
        <f t="shared" si="3"/>
        <v>6.2479478997650665E-4</v>
      </c>
      <c r="X20" s="44">
        <f t="shared" si="4"/>
        <v>33.392619898438973</v>
      </c>
      <c r="Y20" s="44">
        <f t="shared" si="5"/>
        <v>0</v>
      </c>
      <c r="Z20" s="44">
        <f t="shared" si="6"/>
        <v>309.90077748698616</v>
      </c>
      <c r="AA20" s="50">
        <f t="shared" si="7"/>
        <v>215.39261989843897</v>
      </c>
      <c r="AB20" s="51">
        <f t="shared" si="8"/>
        <v>289.7081214237507</v>
      </c>
      <c r="AC20" s="44">
        <f t="shared" si="8"/>
        <v>201.35796942922215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0.20715323832989593</v>
      </c>
      <c r="AP20" s="47">
        <f t="shared" si="16"/>
        <v>0.32785080850224457</v>
      </c>
    </row>
    <row r="21" spans="1:42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1613</v>
      </c>
      <c r="F21" s="39" t="s">
        <v>1614</v>
      </c>
      <c r="G21" s="39">
        <v>15</v>
      </c>
      <c r="H21" s="39"/>
      <c r="I21" s="40" t="s">
        <v>279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2.8115765548942802E-2</v>
      </c>
      <c r="V21" s="48">
        <f t="shared" si="2"/>
        <v>0</v>
      </c>
      <c r="W21" s="49">
        <f t="shared" si="3"/>
        <v>1.8743843699295202E-3</v>
      </c>
      <c r="X21" s="44">
        <f t="shared" si="4"/>
        <v>100.17785969531694</v>
      </c>
      <c r="Y21" s="44">
        <f t="shared" si="5"/>
        <v>0</v>
      </c>
      <c r="Z21" s="44">
        <f t="shared" si="6"/>
        <v>929.70233246095859</v>
      </c>
      <c r="AA21" s="50">
        <f t="shared" si="7"/>
        <v>646.1778596953169</v>
      </c>
      <c r="AB21" s="51">
        <f t="shared" si="8"/>
        <v>869.12436427125226</v>
      </c>
      <c r="AC21" s="44">
        <f t="shared" si="8"/>
        <v>604.07390828766654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0.20715323832989591</v>
      </c>
      <c r="AP21" s="47">
        <f t="shared" si="16"/>
        <v>0.32785080850224452</v>
      </c>
    </row>
    <row r="22" spans="1:42" ht="13.5" customHeight="1">
      <c r="A22" s="60">
        <f>(SUM(AM6:AM998)/(SUM(AB6:AB998)))</f>
        <v>0.38731828567004795</v>
      </c>
      <c r="B22" s="97" t="s">
        <v>108</v>
      </c>
      <c r="C22" s="98">
        <v>18230661</v>
      </c>
      <c r="D22" s="61" t="s">
        <v>109</v>
      </c>
      <c r="E22" s="38" t="s">
        <v>1629</v>
      </c>
      <c r="F22" s="39" t="s">
        <v>1630</v>
      </c>
      <c r="G22" s="39">
        <v>45</v>
      </c>
      <c r="H22" s="39"/>
      <c r="I22" s="40" t="s">
        <v>283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9.0372103550173277E-2</v>
      </c>
      <c r="V22" s="48">
        <f t="shared" ref="V22:V85" si="20">N22-M22</f>
        <v>0</v>
      </c>
      <c r="W22" s="49">
        <f t="shared" ref="W22:W85" si="21">(O22/A$10)</f>
        <v>2.0082689677816284E-3</v>
      </c>
      <c r="X22" s="44">
        <f t="shared" ref="X22:X85" si="22">W22*A$8</f>
        <v>107.33342110212527</v>
      </c>
      <c r="Y22" s="44">
        <f t="shared" ref="Y22:Y85" si="23">Q22-P22</f>
        <v>0</v>
      </c>
      <c r="Z22" s="44">
        <f t="shared" ref="Z22:Z85" si="24">X22+(A$6*W22)</f>
        <v>996.10964192245558</v>
      </c>
      <c r="AA22" s="50">
        <f t="shared" ref="AA22:AA85" si="25">Q22+X22</f>
        <v>770.72342110212526</v>
      </c>
      <c r="AB22" s="51">
        <f t="shared" ref="AB22:AB85" si="26">Z22/(1+GasDiscountRate)^1</f>
        <v>931.20467600491304</v>
      </c>
      <c r="AC22" s="44">
        <f t="shared" ref="AC22:AC85" si="27">AA22/(1+GasDiscountRate)^1</f>
        <v>720.50427325617011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0.55701610463497631</v>
      </c>
      <c r="AP22" s="47">
        <f t="shared" ref="AP22:AP85" si="36">AN22/AC22</f>
        <v>0.79189759526642611</v>
      </c>
    </row>
    <row r="23" spans="1:42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1633</v>
      </c>
      <c r="F23" s="39" t="s">
        <v>1634</v>
      </c>
      <c r="G23" s="39">
        <v>45</v>
      </c>
      <c r="H23" s="39"/>
      <c r="I23" s="40" t="s">
        <v>283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2.6950969547629455</v>
      </c>
      <c r="V23" s="48">
        <f t="shared" si="20"/>
        <v>0</v>
      </c>
      <c r="W23" s="49">
        <f t="shared" si="21"/>
        <v>5.9891043439176568E-2</v>
      </c>
      <c r="X23" s="44">
        <f t="shared" si="22"/>
        <v>3200.921135978936</v>
      </c>
      <c r="Y23" s="44">
        <f t="shared" si="23"/>
        <v>0</v>
      </c>
      <c r="Z23" s="44">
        <f t="shared" si="24"/>
        <v>29706.203099109676</v>
      </c>
      <c r="AA23" s="50">
        <f t="shared" si="25"/>
        <v>45919.081135978937</v>
      </c>
      <c r="AB23" s="51">
        <f t="shared" si="26"/>
        <v>27770.592782190964</v>
      </c>
      <c r="AC23" s="44">
        <f t="shared" si="27"/>
        <v>42927.064724669472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0.55701610463497608</v>
      </c>
      <c r="AP23" s="47">
        <f t="shared" si="36"/>
        <v>0.3963824283251231</v>
      </c>
    </row>
    <row r="24" spans="1:42" ht="13.5" customHeight="1">
      <c r="A24" s="60">
        <f>(SUM(AN6:AN998)/SUM(AC6:AC998))</f>
        <v>0.37829664739095986</v>
      </c>
      <c r="B24" s="97" t="s">
        <v>108</v>
      </c>
      <c r="C24" s="98">
        <v>18230661</v>
      </c>
      <c r="D24" s="61" t="s">
        <v>109</v>
      </c>
      <c r="E24" s="38" t="s">
        <v>1647</v>
      </c>
      <c r="F24" s="39" t="s">
        <v>1648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 t="s">
        <v>1651</v>
      </c>
      <c r="F25" s="39" t="s">
        <v>1652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 t="s">
        <v>1653</v>
      </c>
      <c r="F26" s="39" t="s">
        <v>1654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 t="s">
        <v>1657</v>
      </c>
      <c r="F27" s="39" t="s">
        <v>1658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 t="s">
        <v>1659</v>
      </c>
      <c r="F28" s="39" t="s">
        <v>1660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108</v>
      </c>
      <c r="C29" s="98">
        <v>18230661</v>
      </c>
      <c r="D29" s="61" t="s">
        <v>109</v>
      </c>
      <c r="E29" s="38" t="s">
        <v>1661</v>
      </c>
      <c r="F29" s="39" t="s">
        <v>1662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</row>
    <row r="30" spans="1:42">
      <c r="B30" s="97" t="s">
        <v>108</v>
      </c>
      <c r="C30" s="98">
        <v>18230661</v>
      </c>
      <c r="D30" s="61" t="s">
        <v>109</v>
      </c>
      <c r="E30" s="38" t="s">
        <v>1663</v>
      </c>
      <c r="F30" s="39" t="s">
        <v>1664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108</v>
      </c>
      <c r="C31" s="98">
        <v>18230661</v>
      </c>
      <c r="D31" s="61" t="s">
        <v>109</v>
      </c>
      <c r="E31" s="38" t="s">
        <v>1665</v>
      </c>
      <c r="F31" s="39" t="s">
        <v>1666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</row>
    <row r="32" spans="1:42">
      <c r="B32" s="97" t="s">
        <v>108</v>
      </c>
      <c r="C32" s="98">
        <v>18230661</v>
      </c>
      <c r="D32" s="61" t="s">
        <v>109</v>
      </c>
      <c r="E32" s="38" t="s">
        <v>1667</v>
      </c>
      <c r="F32" s="39" t="s">
        <v>1668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</row>
    <row r="33" spans="2:42">
      <c r="B33" s="97" t="s">
        <v>108</v>
      </c>
      <c r="C33" s="98">
        <v>18230661</v>
      </c>
      <c r="D33" s="61" t="s">
        <v>109</v>
      </c>
      <c r="E33" s="38" t="s">
        <v>1669</v>
      </c>
      <c r="F33" s="39" t="s">
        <v>1670</v>
      </c>
      <c r="G33" s="39">
        <v>25</v>
      </c>
      <c r="H33" s="39"/>
      <c r="I33" s="40" t="s">
        <v>283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0.13005932362776262</v>
      </c>
      <c r="V33" s="48">
        <f t="shared" si="20"/>
        <v>0</v>
      </c>
      <c r="W33" s="49">
        <f t="shared" si="21"/>
        <v>5.2023729451105049E-3</v>
      </c>
      <c r="X33" s="44">
        <f t="shared" si="22"/>
        <v>278.04467180741028</v>
      </c>
      <c r="Y33" s="44">
        <f t="shared" si="23"/>
        <v>0</v>
      </c>
      <c r="Z33" s="44">
        <f t="shared" si="24"/>
        <v>2580.3983105038856</v>
      </c>
      <c r="AA33" s="50">
        <f t="shared" si="25"/>
        <v>4581.0446718074099</v>
      </c>
      <c r="AB33" s="51">
        <f t="shared" si="26"/>
        <v>2412.2635416508228</v>
      </c>
      <c r="AC33" s="44">
        <f t="shared" si="27"/>
        <v>4282.5508757664857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0.33433174094517126</v>
      </c>
      <c r="AP33" s="47">
        <f t="shared" si="36"/>
        <v>0.20715361525968387</v>
      </c>
    </row>
    <row r="34" spans="2:42">
      <c r="B34" s="97" t="s">
        <v>108</v>
      </c>
      <c r="C34" s="98">
        <v>18230661</v>
      </c>
      <c r="D34" s="61" t="s">
        <v>109</v>
      </c>
      <c r="E34" s="38" t="s">
        <v>1673</v>
      </c>
      <c r="F34" s="39" t="s">
        <v>1674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</row>
    <row r="35" spans="2:42">
      <c r="B35" s="97" t="s">
        <v>108</v>
      </c>
      <c r="C35" s="98">
        <v>18230661</v>
      </c>
      <c r="D35" s="61" t="s">
        <v>109</v>
      </c>
      <c r="E35" s="38" t="s">
        <v>1677</v>
      </c>
      <c r="F35" s="39" t="s">
        <v>1678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</row>
    <row r="36" spans="2:42">
      <c r="B36" s="97" t="s">
        <v>108</v>
      </c>
      <c r="C36" s="98">
        <v>18230661</v>
      </c>
      <c r="D36" s="61" t="s">
        <v>109</v>
      </c>
      <c r="E36" s="38" t="s">
        <v>1679</v>
      </c>
      <c r="F36" s="39" t="s">
        <v>1680</v>
      </c>
      <c r="G36" s="39">
        <v>45</v>
      </c>
      <c r="H36" s="39"/>
      <c r="I36" s="40" t="s">
        <v>283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4.5425131414108262E-2</v>
      </c>
      <c r="V36" s="48">
        <f t="shared" si="20"/>
        <v>0</v>
      </c>
      <c r="W36" s="49">
        <f t="shared" si="21"/>
        <v>1.0094473647579614E-3</v>
      </c>
      <c r="X36" s="44">
        <f t="shared" si="22"/>
        <v>53.950661400539154</v>
      </c>
      <c r="Y36" s="44">
        <f t="shared" si="23"/>
        <v>0</v>
      </c>
      <c r="Z36" s="44">
        <f t="shared" si="24"/>
        <v>500.69003165414432</v>
      </c>
      <c r="AA36" s="50">
        <f t="shared" si="25"/>
        <v>788.45066140053916</v>
      </c>
      <c r="AB36" s="51">
        <f t="shared" si="26"/>
        <v>468.06584243633193</v>
      </c>
      <c r="AC36" s="44">
        <f t="shared" si="27"/>
        <v>737.07643395394882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0.55701610463497619</v>
      </c>
      <c r="AP36" s="47">
        <f t="shared" si="36"/>
        <v>0.38909429237178661</v>
      </c>
    </row>
    <row r="37" spans="2:42">
      <c r="B37" s="97" t="s">
        <v>108</v>
      </c>
      <c r="C37" s="98">
        <v>18230661</v>
      </c>
      <c r="D37" s="61" t="s">
        <v>109</v>
      </c>
      <c r="E37" s="38" t="s">
        <v>1681</v>
      </c>
      <c r="F37" s="39" t="s">
        <v>1682</v>
      </c>
      <c r="G37" s="39">
        <v>13</v>
      </c>
      <c r="H37" s="39"/>
      <c r="I37" s="40" t="s">
        <v>279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2.0720235381873946E-2</v>
      </c>
      <c r="V37" s="48">
        <f t="shared" si="20"/>
        <v>0</v>
      </c>
      <c r="W37" s="49">
        <f t="shared" si="21"/>
        <v>1.5938642601441497E-3</v>
      </c>
      <c r="X37" s="44">
        <f t="shared" si="22"/>
        <v>85.185254842956567</v>
      </c>
      <c r="Y37" s="44">
        <f t="shared" si="23"/>
        <v>0</v>
      </c>
      <c r="Z37" s="44">
        <f t="shared" si="24"/>
        <v>790.56320787496475</v>
      </c>
      <c r="AA37" s="50">
        <f t="shared" si="25"/>
        <v>1179.3552548429566</v>
      </c>
      <c r="AB37" s="51">
        <f t="shared" si="26"/>
        <v>739.05133016262937</v>
      </c>
      <c r="AC37" s="44">
        <f t="shared" si="27"/>
        <v>1102.5102877843849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0.18277683093201105</v>
      </c>
      <c r="AP37" s="47">
        <f t="shared" si="36"/>
        <v>0.13477389523878383</v>
      </c>
    </row>
    <row r="38" spans="2:42">
      <c r="B38" s="97" t="s">
        <v>108</v>
      </c>
      <c r="C38" s="98">
        <v>18230661</v>
      </c>
      <c r="D38" s="61" t="s">
        <v>109</v>
      </c>
      <c r="E38" s="38" t="s">
        <v>1683</v>
      </c>
      <c r="F38" s="39" t="s">
        <v>1684</v>
      </c>
      <c r="G38" s="39">
        <v>20</v>
      </c>
      <c r="H38" s="39"/>
      <c r="I38" s="40" t="s">
        <v>279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0.17851279713614476</v>
      </c>
      <c r="V38" s="48">
        <f t="shared" si="20"/>
        <v>0</v>
      </c>
      <c r="W38" s="49">
        <f t="shared" si="21"/>
        <v>8.9256398568072388E-3</v>
      </c>
      <c r="X38" s="44">
        <f t="shared" si="22"/>
        <v>477.03742712055686</v>
      </c>
      <c r="Y38" s="44">
        <f t="shared" si="23"/>
        <v>0</v>
      </c>
      <c r="Z38" s="44">
        <f t="shared" si="24"/>
        <v>4427.1539640998026</v>
      </c>
      <c r="AA38" s="50">
        <f t="shared" si="25"/>
        <v>4335.437427120557</v>
      </c>
      <c r="AB38" s="51">
        <f t="shared" si="26"/>
        <v>4138.6874489107249</v>
      </c>
      <c r="AC38" s="44">
        <f t="shared" si="27"/>
        <v>4052.9470198378581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0.26617717800770091</v>
      </c>
      <c r="AP38" s="47">
        <f t="shared" si="36"/>
        <v>0.37774649150443584</v>
      </c>
    </row>
    <row r="39" spans="2:42">
      <c r="B39" s="97" t="s">
        <v>108</v>
      </c>
      <c r="C39" s="98">
        <v>18230661</v>
      </c>
      <c r="D39" s="61" t="s">
        <v>109</v>
      </c>
      <c r="E39" s="38" t="s">
        <v>1685</v>
      </c>
      <c r="F39" s="39" t="s">
        <v>1686</v>
      </c>
      <c r="G39" s="39">
        <v>20</v>
      </c>
      <c r="H39" s="39"/>
      <c r="I39" s="40" t="s">
        <v>279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0.53553839140843429</v>
      </c>
      <c r="V39" s="48">
        <f t="shared" si="20"/>
        <v>0</v>
      </c>
      <c r="W39" s="49">
        <f t="shared" si="21"/>
        <v>2.6776919570421713E-2</v>
      </c>
      <c r="X39" s="44">
        <f t="shared" si="22"/>
        <v>1431.1122813616703</v>
      </c>
      <c r="Y39" s="44">
        <f t="shared" si="23"/>
        <v>0</v>
      </c>
      <c r="Z39" s="44">
        <f t="shared" si="24"/>
        <v>13281.461892299409</v>
      </c>
      <c r="AA39" s="50">
        <f t="shared" si="25"/>
        <v>13006.312281361672</v>
      </c>
      <c r="AB39" s="51">
        <f t="shared" si="26"/>
        <v>12416.062346732175</v>
      </c>
      <c r="AC39" s="44">
        <f t="shared" si="27"/>
        <v>12158.841059513574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0.26617717800770091</v>
      </c>
      <c r="AP39" s="47">
        <f t="shared" si="36"/>
        <v>0.3777464915044359</v>
      </c>
    </row>
    <row r="40" spans="2:42">
      <c r="B40" s="97" t="s">
        <v>108</v>
      </c>
      <c r="C40" s="98">
        <v>18230661</v>
      </c>
      <c r="D40" s="61" t="s">
        <v>109</v>
      </c>
      <c r="E40" s="38" t="s">
        <v>1695</v>
      </c>
      <c r="F40" s="39" t="s">
        <v>1696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</row>
    <row r="41" spans="2:42">
      <c r="B41" s="97" t="s">
        <v>108</v>
      </c>
      <c r="C41" s="98">
        <v>18230661</v>
      </c>
      <c r="D41" s="61" t="s">
        <v>109</v>
      </c>
      <c r="E41" s="38" t="s">
        <v>1699</v>
      </c>
      <c r="F41" s="39" t="s">
        <v>1700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</row>
    <row r="42" spans="2:42">
      <c r="B42" s="37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HLOOKUP(I42,GasAvoidedCostsWOCC!$A$5:$G$50,G42+1,FALSE)</f>
        <v>#N/A</v>
      </c>
      <c r="AG42" s="44" t="e">
        <f t="shared" si="30"/>
        <v>#N/A</v>
      </c>
      <c r="AH42" s="52" t="e">
        <f>HLOOKUP(I42,GasAvoidedCostsWOCC!$A$5:$Q$50,T42+1,FALSE)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HLOOKUP(I42,GasAvoidedCostsWOCC!$A$5:$Q$50,G42+1,FALSE)*J42*L42</f>
        <v>#N/A</v>
      </c>
      <c r="AL42" s="44" t="e">
        <f t="shared" si="3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37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HLOOKUP(I43,GasAvoidedCostsWOCC!$A$5:$G$50,G43+1,FALSE)</f>
        <v>#N/A</v>
      </c>
      <c r="AG43" s="44" t="e">
        <f t="shared" si="30"/>
        <v>#N/A</v>
      </c>
      <c r="AH43" s="52" t="e">
        <f>HLOOKUP(I43,GasAvoidedCostsWOCC!$A$5:$Q$50,T43+1,FALSE)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HLOOKUP(I43,GasAvoidedCostsWOCC!$A$5:$Q$50,G43+1,FALSE)*J43*L43</f>
        <v>#N/A</v>
      </c>
      <c r="AL43" s="44" t="e">
        <f t="shared" si="3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37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HLOOKUP(I44,GasAvoidedCostsWOCC!$A$5:$G$50,G44+1,FALSE)</f>
        <v>#N/A</v>
      </c>
      <c r="AG44" s="44" t="e">
        <f t="shared" si="30"/>
        <v>#N/A</v>
      </c>
      <c r="AH44" s="52" t="e">
        <f>HLOOKUP(I44,GasAvoidedCostsWOCC!$A$5:$Q$50,T44+1,FALSE)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HLOOKUP(I44,GasAvoidedCostsWOCC!$A$5:$Q$50,G44+1,FALSE)*J44*L44</f>
        <v>#N/A</v>
      </c>
      <c r="AL44" s="44" t="e">
        <f t="shared" si="3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37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HLOOKUP(I45,GasAvoidedCostsWOCC!$A$5:$G$50,G45+1,FALSE)</f>
        <v>#N/A</v>
      </c>
      <c r="AG45" s="44" t="e">
        <f t="shared" si="30"/>
        <v>#N/A</v>
      </c>
      <c r="AH45" s="52" t="e">
        <f>HLOOKUP(I45,GasAvoidedCostsWOCC!$A$5:$Q$50,T45+1,FALSE)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HLOOKUP(I45,GasAvoidedCostsWOCC!$A$5:$Q$50,G45+1,FALSE)*J45*L45</f>
        <v>#N/A</v>
      </c>
      <c r="AL45" s="44" t="e">
        <f t="shared" si="3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37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HLOOKUP(I46,GasAvoidedCostsWOCC!$A$5:$G$50,G46+1,FALSE)</f>
        <v>#N/A</v>
      </c>
      <c r="AG46" s="44" t="e">
        <f t="shared" si="30"/>
        <v>#N/A</v>
      </c>
      <c r="AH46" s="52" t="e">
        <f>HLOOKUP(I46,GasAvoidedCostsWOCC!$A$5:$Q$50,T46+1,FALSE)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HLOOKUP(I46,GasAvoidedCostsWOCC!$A$5:$Q$50,G46+1,FALSE)*J46*L46</f>
        <v>#N/A</v>
      </c>
      <c r="AL46" s="44" t="e">
        <f t="shared" si="3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37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HLOOKUP(I47,GasAvoidedCostsWOCC!$A$5:$G$50,G47+1,FALSE)</f>
        <v>#N/A</v>
      </c>
      <c r="AG47" s="44" t="e">
        <f t="shared" si="30"/>
        <v>#N/A</v>
      </c>
      <c r="AH47" s="52" t="e">
        <f>HLOOKUP(I47,GasAvoidedCostsWOCC!$A$5:$Q$50,T47+1,FALSE)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HLOOKUP(I47,GasAvoidedCostsWOCC!$A$5:$Q$50,G47+1,FALSE)*J47*L47</f>
        <v>#N/A</v>
      </c>
      <c r="AL47" s="44" t="e">
        <f t="shared" si="3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HLOOKUP(I48,GasAvoidedCostsWOCC!$A$5:$G$50,G48+1,FALSE)</f>
        <v>#N/A</v>
      </c>
      <c r="AG48" s="44" t="e">
        <f t="shared" si="30"/>
        <v>#N/A</v>
      </c>
      <c r="AH48" s="52" t="e">
        <f>HLOOKUP(I48,GasAvoidedCostsWOCC!$A$5:$Q$50,T48+1,FALSE)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HLOOKUP(I48,GasAvoidedCostsWOCC!$A$5:$Q$50,G48+1,FALSE)*J48*L48</f>
        <v>#N/A</v>
      </c>
      <c r="AL48" s="44" t="e">
        <f t="shared" si="3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HLOOKUP(I49,GasAvoidedCostsWOCC!$A$5:$G$50,G49+1,FALSE)</f>
        <v>#N/A</v>
      </c>
      <c r="AG49" s="44" t="e">
        <f t="shared" si="30"/>
        <v>#N/A</v>
      </c>
      <c r="AH49" s="52" t="e">
        <f>HLOOKUP(I49,GasAvoidedCostsWOCC!$A$5:$Q$50,T49+1,FALSE)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HLOOKUP(I49,GasAvoidedCostsWOCC!$A$5:$Q$50,G49+1,FALSE)*J49*L49</f>
        <v>#N/A</v>
      </c>
      <c r="AL49" s="44" t="e">
        <f t="shared" si="3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HLOOKUP(I50,GasAvoidedCostsWOCC!$A$5:$G$50,G50+1,FALSE)</f>
        <v>#N/A</v>
      </c>
      <c r="AG50" s="44" t="e">
        <f t="shared" si="30"/>
        <v>#N/A</v>
      </c>
      <c r="AH50" s="52" t="e">
        <f>HLOOKUP(I50,GasAvoidedCostsWOCC!$A$5:$Q$50,T50+1,FALSE)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HLOOKUP(I50,GasAvoidedCostsWOCC!$A$5:$Q$50,G50+1,FALSE)*J50*L50</f>
        <v>#N/A</v>
      </c>
      <c r="AL50" s="44" t="e">
        <f t="shared" si="3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HLOOKUP(I51,GasAvoidedCostsWOCC!$A$5:$G$50,G51+1,FALSE)</f>
        <v>#N/A</v>
      </c>
      <c r="AG51" s="44" t="e">
        <f t="shared" si="30"/>
        <v>#N/A</v>
      </c>
      <c r="AH51" s="52" t="e">
        <f>HLOOKUP(I51,GasAvoidedCostsWOCC!$A$5:$Q$50,T51+1,FALSE)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HLOOKUP(I51,GasAvoidedCostsWOCC!$A$5:$Q$50,G51+1,FALSE)*J51*L51</f>
        <v>#N/A</v>
      </c>
      <c r="AL51" s="44" t="e">
        <f t="shared" si="3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HLOOKUP(I52,GasAvoidedCostsWOCC!$A$5:$G$50,G52+1,FALSE)</f>
        <v>#N/A</v>
      </c>
      <c r="AG52" s="44" t="e">
        <f t="shared" si="30"/>
        <v>#N/A</v>
      </c>
      <c r="AH52" s="52" t="e">
        <f>HLOOKUP(I52,GasAvoidedCostsWOCC!$A$5:$Q$50,T52+1,FALSE)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HLOOKUP(I52,GasAvoidedCostsWOCC!$A$5:$Q$50,G52+1,FALSE)*J52*L52</f>
        <v>#N/A</v>
      </c>
      <c r="AL52" s="44" t="e">
        <f t="shared" si="3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HLOOKUP(I53,GasAvoidedCostsWOCC!$A$5:$G$50,G53+1,FALSE)</f>
        <v>#N/A</v>
      </c>
      <c r="AG53" s="44" t="e">
        <f t="shared" si="30"/>
        <v>#N/A</v>
      </c>
      <c r="AH53" s="52" t="e">
        <f>HLOOKUP(I53,GasAvoidedCostsWOCC!$A$5:$Q$50,T53+1,FALSE)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HLOOKUP(I53,GasAvoidedCostsWOCC!$A$5:$Q$50,G53+1,FALSE)*J53*L53</f>
        <v>#N/A</v>
      </c>
      <c r="AL53" s="44" t="e">
        <f t="shared" si="3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HLOOKUP(I54,GasAvoidedCostsWOCC!$A$5:$G$50,G54+1,FALSE)</f>
        <v>#N/A</v>
      </c>
      <c r="AG54" s="44" t="e">
        <f t="shared" si="30"/>
        <v>#N/A</v>
      </c>
      <c r="AH54" s="52" t="e">
        <f>HLOOKUP(I54,GasAvoidedCostsWOCC!$A$5:$Q$50,T54+1,FALSE)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HLOOKUP(I54,GasAvoidedCostsWOCC!$A$5:$Q$50,G54+1,FALSE)*J54*L54</f>
        <v>#N/A</v>
      </c>
      <c r="AL54" s="44" t="e">
        <f t="shared" si="3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HLOOKUP(I55,GasAvoidedCostsWOCC!$A$5:$G$50,G55+1,FALSE)</f>
        <v>#N/A</v>
      </c>
      <c r="AG55" s="44" t="e">
        <f t="shared" si="30"/>
        <v>#N/A</v>
      </c>
      <c r="AH55" s="52" t="e">
        <f>HLOOKUP(I55,GasAvoidedCostsWOCC!$A$5:$Q$50,T55+1,FALSE)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HLOOKUP(I55,GasAvoidedCostsWOCC!$A$5:$Q$50,G55+1,FALSE)*J55*L55</f>
        <v>#N/A</v>
      </c>
      <c r="AL55" s="44" t="e">
        <f t="shared" si="3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HLOOKUP(I56,GasAvoidedCostsWOCC!$A$5:$G$50,G56+1,FALSE)</f>
        <v>#N/A</v>
      </c>
      <c r="AG56" s="44" t="e">
        <f t="shared" si="30"/>
        <v>#N/A</v>
      </c>
      <c r="AH56" s="52" t="e">
        <f>HLOOKUP(I56,GasAvoidedCostsWOCC!$A$5:$Q$50,T56+1,FALSE)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HLOOKUP(I56,GasAvoidedCostsWOCC!$A$5:$Q$50,G56+1,FALSE)*J56*L56</f>
        <v>#N/A</v>
      </c>
      <c r="AL56" s="44" t="e">
        <f t="shared" si="3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HLOOKUP(I57,GasAvoidedCostsWOCC!$A$5:$G$50,G57+1,FALSE)</f>
        <v>#N/A</v>
      </c>
      <c r="AG57" s="44" t="e">
        <f t="shared" si="30"/>
        <v>#N/A</v>
      </c>
      <c r="AH57" s="52" t="e">
        <f>HLOOKUP(I57,GasAvoidedCostsWOCC!$A$5:$Q$50,T57+1,FALSE)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HLOOKUP(I57,GasAvoidedCostsWOCC!$A$5:$Q$50,G57+1,FALSE)*J57*L57</f>
        <v>#N/A</v>
      </c>
      <c r="AL57" s="44" t="e">
        <f t="shared" si="3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HLOOKUP(I58,GasAvoidedCostsWOCC!$A$5:$G$50,G58+1,FALSE)</f>
        <v>#N/A</v>
      </c>
      <c r="AG58" s="44" t="e">
        <f t="shared" si="30"/>
        <v>#N/A</v>
      </c>
      <c r="AH58" s="52" t="e">
        <f>HLOOKUP(I58,GasAvoidedCostsWOCC!$A$5:$Q$50,T58+1,FALSE)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HLOOKUP(I58,GasAvoidedCostsWOCC!$A$5:$Q$50,G58+1,FALSE)*J58*L58</f>
        <v>#N/A</v>
      </c>
      <c r="AL58" s="44" t="e">
        <f t="shared" si="3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HLOOKUP(I59,GasAvoidedCostsWOCC!$A$5:$G$50,G59+1,FALSE)</f>
        <v>#N/A</v>
      </c>
      <c r="AG59" s="44" t="e">
        <f t="shared" si="30"/>
        <v>#N/A</v>
      </c>
      <c r="AH59" s="52" t="e">
        <f>HLOOKUP(I59,GasAvoidedCostsWOCC!$A$5:$Q$50,T59+1,FALSE)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HLOOKUP(I59,GasAvoidedCostsWOCC!$A$5:$Q$50,G59+1,FALSE)*J59*L59</f>
        <v>#N/A</v>
      </c>
      <c r="AL59" s="44" t="e">
        <f t="shared" si="3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HLOOKUP(I60,GasAvoidedCostsWOCC!$A$5:$G$50,G60+1,FALSE)</f>
        <v>#N/A</v>
      </c>
      <c r="AG60" s="44" t="e">
        <f t="shared" si="30"/>
        <v>#N/A</v>
      </c>
      <c r="AH60" s="52" t="e">
        <f>HLOOKUP(I60,GasAvoidedCostsWOCC!$A$5:$Q$50,T60+1,FALSE)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HLOOKUP(I60,GasAvoidedCostsWOCC!$A$5:$Q$50,G60+1,FALSE)*J60*L60</f>
        <v>#N/A</v>
      </c>
      <c r="AL60" s="44" t="e">
        <f t="shared" si="3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8"/>
        <v>0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0</v>
      </c>
      <c r="Z61" s="44">
        <f t="shared" si="24"/>
        <v>0</v>
      </c>
      <c r="AA61" s="50">
        <f t="shared" si="25"/>
        <v>0</v>
      </c>
      <c r="AB61" s="51">
        <f t="shared" si="26"/>
        <v>0</v>
      </c>
      <c r="AC61" s="44">
        <f t="shared" si="27"/>
        <v>0</v>
      </c>
      <c r="AD61" s="44">
        <f t="shared" si="28"/>
        <v>0</v>
      </c>
      <c r="AE61" s="44">
        <f t="shared" si="29"/>
        <v>0</v>
      </c>
      <c r="AF61" s="52" t="e">
        <f>HLOOKUP(I61,GasAvoidedCostsWOCC!$A$5:$G$50,G61+1,FALSE)</f>
        <v>#N/A</v>
      </c>
      <c r="AG61" s="44" t="e">
        <f t="shared" si="30"/>
        <v>#N/A</v>
      </c>
      <c r="AH61" s="52" t="e">
        <f>HLOOKUP(I61,GasAvoidedCostsWOCC!$A$5:$Q$50,T61+1,FALSE)</f>
        <v>#N/A</v>
      </c>
      <c r="AI61" s="44" t="e">
        <f t="shared" si="31"/>
        <v>#N/A</v>
      </c>
      <c r="AJ61" s="44" t="e">
        <f t="shared" si="32"/>
        <v>#N/A</v>
      </c>
      <c r="AK61" s="44" t="e">
        <f>HLOOKUP(I61,GasAvoidedCostsWOCC!$A$5:$Q$50,G61+1,FALSE)*J61*L61</f>
        <v>#N/A</v>
      </c>
      <c r="AL61" s="44" t="e">
        <f t="shared" si="3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8"/>
        <v>0</v>
      </c>
      <c r="U62" s="47">
        <f t="shared" si="19"/>
        <v>0</v>
      </c>
      <c r="V62" s="48">
        <f t="shared" si="20"/>
        <v>0</v>
      </c>
      <c r="W62" s="49">
        <f t="shared" si="21"/>
        <v>0</v>
      </c>
      <c r="X62" s="44">
        <f t="shared" si="22"/>
        <v>0</v>
      </c>
      <c r="Y62" s="44">
        <f t="shared" si="23"/>
        <v>0</v>
      </c>
      <c r="Z62" s="44">
        <f t="shared" si="24"/>
        <v>0</v>
      </c>
      <c r="AA62" s="50">
        <f t="shared" si="25"/>
        <v>0</v>
      </c>
      <c r="AB62" s="51">
        <f t="shared" si="26"/>
        <v>0</v>
      </c>
      <c r="AC62" s="44">
        <f t="shared" si="27"/>
        <v>0</v>
      </c>
      <c r="AD62" s="44">
        <f t="shared" si="28"/>
        <v>0</v>
      </c>
      <c r="AE62" s="44">
        <f t="shared" si="29"/>
        <v>0</v>
      </c>
      <c r="AF62" s="52" t="e">
        <f>HLOOKUP(I62,GasAvoidedCostsWOCC!$A$5:$G$50,G62+1,FALSE)</f>
        <v>#N/A</v>
      </c>
      <c r="AG62" s="44" t="e">
        <f t="shared" si="30"/>
        <v>#N/A</v>
      </c>
      <c r="AH62" s="52" t="e">
        <f>HLOOKUP(I62,GasAvoidedCostsWOCC!$A$5:$Q$50,T62+1,FALSE)</f>
        <v>#N/A</v>
      </c>
      <c r="AI62" s="44" t="e">
        <f t="shared" si="31"/>
        <v>#N/A</v>
      </c>
      <c r="AJ62" s="44" t="e">
        <f t="shared" si="32"/>
        <v>#N/A</v>
      </c>
      <c r="AK62" s="44" t="e">
        <f>HLOOKUP(I62,GasAvoidedCostsWOCC!$A$5:$Q$50,G62+1,FALSE)*J62*L62</f>
        <v>#N/A</v>
      </c>
      <c r="AL62" s="44" t="e">
        <f t="shared" si="3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4"/>
        <v>0</v>
      </c>
      <c r="AO62" s="47">
        <f t="shared" si="35"/>
        <v>0</v>
      </c>
      <c r="AP62" s="47" t="e">
        <f t="shared" si="36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8"/>
        <v>0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8"/>
        <v>0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 t="e">
        <f>HLOOKUP(I64,GasAvoidedCostsWOCC!$A$5:$G$50,G64+1,FALSE)</f>
        <v>#N/A</v>
      </c>
      <c r="AG64" s="44" t="e">
        <f t="shared" si="30"/>
        <v>#N/A</v>
      </c>
      <c r="AH64" s="52" t="e">
        <f>HLOOKUP(I64,GasAvoidedCostsWOCC!$A$5:$Q$50,T64+1,FALSE)</f>
        <v>#N/A</v>
      </c>
      <c r="AI64" s="44" t="e">
        <f t="shared" si="31"/>
        <v>#N/A</v>
      </c>
      <c r="AJ64" s="44" t="e">
        <f t="shared" si="32"/>
        <v>#N/A</v>
      </c>
      <c r="AK64" s="44" t="e">
        <f>HLOOKUP(I64,GasAvoidedCostsWOCC!$A$5:$Q$50,G64+1,FALSE)*J64*L64</f>
        <v>#N/A</v>
      </c>
      <c r="AL64" s="44" t="e">
        <f t="shared" si="3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8"/>
        <v>0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0</v>
      </c>
      <c r="AB65" s="51">
        <f t="shared" si="26"/>
        <v>0</v>
      </c>
      <c r="AC65" s="44">
        <f t="shared" si="27"/>
        <v>0</v>
      </c>
      <c r="AD65" s="44">
        <f t="shared" si="28"/>
        <v>0</v>
      </c>
      <c r="AE65" s="44">
        <f t="shared" si="29"/>
        <v>0</v>
      </c>
      <c r="AF65" s="52" t="e">
        <f>HLOOKUP(I65,GasAvoidedCostsWOCC!$A$5:$G$50,G65+1,FALSE)</f>
        <v>#N/A</v>
      </c>
      <c r="AG65" s="44" t="e">
        <f t="shared" si="30"/>
        <v>#N/A</v>
      </c>
      <c r="AH65" s="52" t="e">
        <f>HLOOKUP(I65,GasAvoidedCostsWOCC!$A$5:$Q$50,T65+1,FALSE)</f>
        <v>#N/A</v>
      </c>
      <c r="AI65" s="44" t="e">
        <f t="shared" si="31"/>
        <v>#N/A</v>
      </c>
      <c r="AJ65" s="44" t="e">
        <f t="shared" si="32"/>
        <v>#N/A</v>
      </c>
      <c r="AK65" s="44" t="e">
        <f>HLOOKUP(I65,GasAvoidedCostsWOCC!$A$5:$Q$50,G65+1,FALSE)*J65*L65</f>
        <v>#N/A</v>
      </c>
      <c r="AL65" s="44" t="e">
        <f t="shared" si="3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8"/>
        <v>0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0</v>
      </c>
      <c r="AB66" s="51">
        <f t="shared" si="26"/>
        <v>0</v>
      </c>
      <c r="AC66" s="44">
        <f t="shared" si="27"/>
        <v>0</v>
      </c>
      <c r="AD66" s="44">
        <f t="shared" si="28"/>
        <v>0</v>
      </c>
      <c r="AE66" s="44">
        <f t="shared" si="29"/>
        <v>0</v>
      </c>
      <c r="AF66" s="52" t="e">
        <f>HLOOKUP(I66,GasAvoidedCostsWOCC!$A$5:$G$50,G66+1,FALSE)</f>
        <v>#N/A</v>
      </c>
      <c r="AG66" s="44" t="e">
        <f t="shared" si="30"/>
        <v>#N/A</v>
      </c>
      <c r="AH66" s="52" t="e">
        <f>HLOOKUP(I66,GasAvoidedCostsWOCC!$A$5:$Q$50,T66+1,FALSE)</f>
        <v>#N/A</v>
      </c>
      <c r="AI66" s="44" t="e">
        <f t="shared" si="31"/>
        <v>#N/A</v>
      </c>
      <c r="AJ66" s="44" t="e">
        <f t="shared" si="32"/>
        <v>#N/A</v>
      </c>
      <c r="AK66" s="44" t="e">
        <f>HLOOKUP(I66,GasAvoidedCostsWOCC!$A$5:$Q$50,G66+1,FALSE)*J66*L66</f>
        <v>#N/A</v>
      </c>
      <c r="AL66" s="44" t="e">
        <f t="shared" si="3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 t="e">
        <f t="shared" si="36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8"/>
        <v>0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0</v>
      </c>
      <c r="AB67" s="51">
        <f t="shared" si="26"/>
        <v>0</v>
      </c>
      <c r="AC67" s="44">
        <f t="shared" si="27"/>
        <v>0</v>
      </c>
      <c r="AD67" s="44">
        <f t="shared" si="28"/>
        <v>0</v>
      </c>
      <c r="AE67" s="44">
        <f t="shared" si="29"/>
        <v>0</v>
      </c>
      <c r="AF67" s="52" t="e">
        <f>HLOOKUP(I67,GasAvoidedCostsWOCC!$A$5:$G$50,G67+1,FALSE)</f>
        <v>#N/A</v>
      </c>
      <c r="AG67" s="44" t="e">
        <f t="shared" si="30"/>
        <v>#N/A</v>
      </c>
      <c r="AH67" s="52" t="e">
        <f>HLOOKUP(I67,GasAvoidedCostsWOCC!$A$5:$Q$50,T67+1,FALSE)</f>
        <v>#N/A</v>
      </c>
      <c r="AI67" s="44" t="e">
        <f t="shared" si="31"/>
        <v>#N/A</v>
      </c>
      <c r="AJ67" s="44" t="e">
        <f t="shared" si="32"/>
        <v>#N/A</v>
      </c>
      <c r="AK67" s="44" t="e">
        <f>HLOOKUP(I67,GasAvoidedCostsWOCC!$A$5:$Q$50,G67+1,FALSE)*J67*L67</f>
        <v>#N/A</v>
      </c>
      <c r="AL67" s="44" t="e">
        <f t="shared" si="3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8"/>
        <v>0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 t="e">
        <f>HLOOKUP(I68,GasAvoidedCostsWOCC!$A$5:$G$50,G68+1,FALSE)</f>
        <v>#N/A</v>
      </c>
      <c r="AG68" s="44" t="e">
        <f t="shared" si="30"/>
        <v>#N/A</v>
      </c>
      <c r="AH68" s="52" t="e">
        <f>HLOOKUP(I68,GasAvoidedCostsWOCC!$A$5:$Q$50,T68+1,FALSE)</f>
        <v>#N/A</v>
      </c>
      <c r="AI68" s="44" t="e">
        <f t="shared" si="31"/>
        <v>#N/A</v>
      </c>
      <c r="AJ68" s="44" t="e">
        <f t="shared" si="32"/>
        <v>#N/A</v>
      </c>
      <c r="AK68" s="44" t="e">
        <f>HLOOKUP(I68,GasAvoidedCostsWOCC!$A$5:$Q$50,G68+1,FALSE)*J68*L68</f>
        <v>#N/A</v>
      </c>
      <c r="AL68" s="44" t="e">
        <f t="shared" si="3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8"/>
        <v>0</v>
      </c>
      <c r="U69" s="47">
        <f t="shared" si="19"/>
        <v>0</v>
      </c>
      <c r="V69" s="48">
        <f t="shared" si="20"/>
        <v>0</v>
      </c>
      <c r="W69" s="49">
        <f t="shared" si="21"/>
        <v>0</v>
      </c>
      <c r="X69" s="44">
        <f t="shared" si="22"/>
        <v>0</v>
      </c>
      <c r="Y69" s="44">
        <f t="shared" si="23"/>
        <v>0</v>
      </c>
      <c r="Z69" s="44">
        <f t="shared" si="24"/>
        <v>0</v>
      </c>
      <c r="AA69" s="50">
        <f t="shared" si="25"/>
        <v>0</v>
      </c>
      <c r="AB69" s="51">
        <f t="shared" si="26"/>
        <v>0</v>
      </c>
      <c r="AC69" s="44">
        <f t="shared" si="27"/>
        <v>0</v>
      </c>
      <c r="AD69" s="44">
        <f t="shared" si="28"/>
        <v>0</v>
      </c>
      <c r="AE69" s="44">
        <f t="shared" si="29"/>
        <v>0</v>
      </c>
      <c r="AF69" s="52" t="e">
        <f>HLOOKUP(I69,GasAvoidedCostsWOCC!$A$5:$G$50,G69+1,FALSE)</f>
        <v>#N/A</v>
      </c>
      <c r="AG69" s="44" t="e">
        <f t="shared" si="30"/>
        <v>#N/A</v>
      </c>
      <c r="AH69" s="52" t="e">
        <f>HLOOKUP(I69,GasAvoidedCostsWOCC!$A$5:$Q$50,T69+1,FALSE)</f>
        <v>#N/A</v>
      </c>
      <c r="AI69" s="44" t="e">
        <f t="shared" si="31"/>
        <v>#N/A</v>
      </c>
      <c r="AJ69" s="44" t="e">
        <f t="shared" si="32"/>
        <v>#N/A</v>
      </c>
      <c r="AK69" s="44" t="e">
        <f>HLOOKUP(I69,GasAvoidedCostsWOCC!$A$5:$Q$50,G69+1,FALSE)*J69*L69</f>
        <v>#N/A</v>
      </c>
      <c r="AL69" s="44" t="e">
        <f t="shared" si="3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4"/>
        <v>0</v>
      </c>
      <c r="AO69" s="47">
        <f t="shared" si="35"/>
        <v>0</v>
      </c>
      <c r="AP69" s="47" t="e">
        <f t="shared" si="36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8"/>
        <v>0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0</v>
      </c>
      <c r="AB70" s="51">
        <f t="shared" si="26"/>
        <v>0</v>
      </c>
      <c r="AC70" s="44">
        <f t="shared" si="27"/>
        <v>0</v>
      </c>
      <c r="AD70" s="44">
        <f t="shared" si="28"/>
        <v>0</v>
      </c>
      <c r="AE70" s="44">
        <f t="shared" si="29"/>
        <v>0</v>
      </c>
      <c r="AF70" s="52" t="e">
        <f>HLOOKUP(I70,GasAvoidedCostsWOCC!$A$5:$G$50,G70+1,FALSE)</f>
        <v>#N/A</v>
      </c>
      <c r="AG70" s="44" t="e">
        <f t="shared" si="30"/>
        <v>#N/A</v>
      </c>
      <c r="AH70" s="52" t="e">
        <f>HLOOKUP(I70,GasAvoidedCostsWOCC!$A$5:$Q$50,T70+1,FALSE)</f>
        <v>#N/A</v>
      </c>
      <c r="AI70" s="44" t="e">
        <f t="shared" si="31"/>
        <v>#N/A</v>
      </c>
      <c r="AJ70" s="44" t="e">
        <f t="shared" si="32"/>
        <v>#N/A</v>
      </c>
      <c r="AK70" s="44" t="e">
        <f>HLOOKUP(I70,GasAvoidedCostsWOCC!$A$5:$Q$50,G70+1,FALSE)*J70*L70</f>
        <v>#N/A</v>
      </c>
      <c r="AL70" s="44" t="e">
        <f t="shared" si="3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 t="e">
        <f t="shared" si="36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8"/>
        <v>0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0</v>
      </c>
      <c r="AB71" s="51">
        <f t="shared" si="26"/>
        <v>0</v>
      </c>
      <c r="AC71" s="44">
        <f t="shared" si="27"/>
        <v>0</v>
      </c>
      <c r="AD71" s="44">
        <f t="shared" si="28"/>
        <v>0</v>
      </c>
      <c r="AE71" s="44">
        <f t="shared" si="29"/>
        <v>0</v>
      </c>
      <c r="AF71" s="52" t="e">
        <f>HLOOKUP(I71,GasAvoidedCostsWOCC!$A$5:$G$50,G71+1,FALSE)</f>
        <v>#N/A</v>
      </c>
      <c r="AG71" s="44" t="e">
        <f t="shared" si="30"/>
        <v>#N/A</v>
      </c>
      <c r="AH71" s="52" t="e">
        <f>HLOOKUP(I71,GasAvoidedCostsWOCC!$A$5:$Q$50,T71+1,FALSE)</f>
        <v>#N/A</v>
      </c>
      <c r="AI71" s="44" t="e">
        <f t="shared" si="31"/>
        <v>#N/A</v>
      </c>
      <c r="AJ71" s="44" t="e">
        <f t="shared" si="32"/>
        <v>#N/A</v>
      </c>
      <c r="AK71" s="44" t="e">
        <f>HLOOKUP(I71,GasAvoidedCostsWOCC!$A$5:$Q$50,G71+1,FALSE)*J71*L71</f>
        <v>#N/A</v>
      </c>
      <c r="AL71" s="44" t="e">
        <f t="shared" si="3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 t="e">
        <f t="shared" si="36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8"/>
        <v>0</v>
      </c>
      <c r="U72" s="47">
        <f t="shared" si="19"/>
        <v>0</v>
      </c>
      <c r="V72" s="48">
        <f t="shared" si="20"/>
        <v>0</v>
      </c>
      <c r="W72" s="49">
        <f t="shared" si="21"/>
        <v>0</v>
      </c>
      <c r="X72" s="44">
        <f t="shared" si="22"/>
        <v>0</v>
      </c>
      <c r="Y72" s="44">
        <f t="shared" si="23"/>
        <v>0</v>
      </c>
      <c r="Z72" s="44">
        <f t="shared" si="24"/>
        <v>0</v>
      </c>
      <c r="AA72" s="50">
        <f t="shared" si="25"/>
        <v>0</v>
      </c>
      <c r="AB72" s="51">
        <f t="shared" si="26"/>
        <v>0</v>
      </c>
      <c r="AC72" s="44">
        <f t="shared" si="27"/>
        <v>0</v>
      </c>
      <c r="AD72" s="44">
        <f t="shared" si="28"/>
        <v>0</v>
      </c>
      <c r="AE72" s="44">
        <f t="shared" si="29"/>
        <v>0</v>
      </c>
      <c r="AF72" s="52" t="e">
        <f>HLOOKUP(I72,GasAvoidedCostsWOCC!$A$5:$G$50,G72+1,FALSE)</f>
        <v>#N/A</v>
      </c>
      <c r="AG72" s="44" t="e">
        <f t="shared" si="30"/>
        <v>#N/A</v>
      </c>
      <c r="AH72" s="52" t="e">
        <f>HLOOKUP(I72,GasAvoidedCostsWOCC!$A$5:$Q$50,T72+1,FALSE)</f>
        <v>#N/A</v>
      </c>
      <c r="AI72" s="44" t="e">
        <f t="shared" si="31"/>
        <v>#N/A</v>
      </c>
      <c r="AJ72" s="44" t="e">
        <f t="shared" si="32"/>
        <v>#N/A</v>
      </c>
      <c r="AK72" s="44" t="e">
        <f>HLOOKUP(I72,GasAvoidedCostsWOCC!$A$5:$Q$50,G72+1,FALSE)*J72*L72</f>
        <v>#N/A</v>
      </c>
      <c r="AL72" s="44" t="e">
        <f t="shared" si="3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4"/>
        <v>0</v>
      </c>
      <c r="AO72" s="47">
        <f t="shared" si="35"/>
        <v>0</v>
      </c>
      <c r="AP72" s="47" t="e">
        <f t="shared" si="36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8"/>
        <v>0</v>
      </c>
      <c r="U73" s="47">
        <f t="shared" si="19"/>
        <v>0</v>
      </c>
      <c r="V73" s="48">
        <f t="shared" si="20"/>
        <v>0</v>
      </c>
      <c r="W73" s="49">
        <f t="shared" si="21"/>
        <v>0</v>
      </c>
      <c r="X73" s="44">
        <f t="shared" si="22"/>
        <v>0</v>
      </c>
      <c r="Y73" s="44">
        <f t="shared" si="23"/>
        <v>0</v>
      </c>
      <c r="Z73" s="44">
        <f t="shared" si="24"/>
        <v>0</v>
      </c>
      <c r="AA73" s="50">
        <f t="shared" si="25"/>
        <v>0</v>
      </c>
      <c r="AB73" s="51">
        <f t="shared" si="26"/>
        <v>0</v>
      </c>
      <c r="AC73" s="44">
        <f t="shared" si="27"/>
        <v>0</v>
      </c>
      <c r="AD73" s="44">
        <f t="shared" si="28"/>
        <v>0</v>
      </c>
      <c r="AE73" s="44">
        <f t="shared" si="29"/>
        <v>0</v>
      </c>
      <c r="AF73" s="52" t="e">
        <f>HLOOKUP(I73,GasAvoidedCostsWOCC!$A$5:$G$50,G73+1,FALSE)</f>
        <v>#N/A</v>
      </c>
      <c r="AG73" s="44" t="e">
        <f t="shared" si="30"/>
        <v>#N/A</v>
      </c>
      <c r="AH73" s="52" t="e">
        <f>HLOOKUP(I73,GasAvoidedCostsWOCC!$A$5:$Q$50,T73+1,FALSE)</f>
        <v>#N/A</v>
      </c>
      <c r="AI73" s="44" t="e">
        <f t="shared" si="31"/>
        <v>#N/A</v>
      </c>
      <c r="AJ73" s="44" t="e">
        <f t="shared" si="32"/>
        <v>#N/A</v>
      </c>
      <c r="AK73" s="44" t="e">
        <f>HLOOKUP(I73,GasAvoidedCostsWOCC!$A$5:$Q$50,G73+1,FALSE)*J73*L73</f>
        <v>#N/A</v>
      </c>
      <c r="AL73" s="44" t="e">
        <f t="shared" si="3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4"/>
        <v>0</v>
      </c>
      <c r="AO73" s="47">
        <f t="shared" si="35"/>
        <v>0</v>
      </c>
      <c r="AP73" s="47" t="e">
        <f t="shared" si="36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8"/>
        <v>0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0</v>
      </c>
      <c r="AB74" s="51">
        <f t="shared" si="26"/>
        <v>0</v>
      </c>
      <c r="AC74" s="44">
        <f t="shared" si="27"/>
        <v>0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 t="e">
        <f t="shared" si="36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8"/>
        <v>0</v>
      </c>
      <c r="U75" s="47">
        <f t="shared" si="19"/>
        <v>0</v>
      </c>
      <c r="V75" s="48">
        <f t="shared" si="20"/>
        <v>0</v>
      </c>
      <c r="W75" s="49">
        <f t="shared" si="21"/>
        <v>0</v>
      </c>
      <c r="X75" s="44">
        <f t="shared" si="22"/>
        <v>0</v>
      </c>
      <c r="Y75" s="44">
        <f t="shared" si="23"/>
        <v>0</v>
      </c>
      <c r="Z75" s="44">
        <f t="shared" si="24"/>
        <v>0</v>
      </c>
      <c r="AA75" s="50">
        <f t="shared" si="25"/>
        <v>0</v>
      </c>
      <c r="AB75" s="51">
        <f t="shared" si="26"/>
        <v>0</v>
      </c>
      <c r="AC75" s="44">
        <f t="shared" si="27"/>
        <v>0</v>
      </c>
      <c r="AD75" s="44">
        <f t="shared" si="28"/>
        <v>0</v>
      </c>
      <c r="AE75" s="44">
        <f t="shared" si="29"/>
        <v>0</v>
      </c>
      <c r="AF75" s="52" t="e">
        <f>HLOOKUP(I75,GasAvoidedCostsWOCC!$A$5:$G$50,G75+1,FALSE)</f>
        <v>#N/A</v>
      </c>
      <c r="AG75" s="44" t="e">
        <f t="shared" si="30"/>
        <v>#N/A</v>
      </c>
      <c r="AH75" s="52" t="e">
        <f>HLOOKUP(I75,GasAvoidedCostsWOCC!$A$5:$Q$50,T75+1,FALSE)</f>
        <v>#N/A</v>
      </c>
      <c r="AI75" s="44" t="e">
        <f t="shared" si="31"/>
        <v>#N/A</v>
      </c>
      <c r="AJ75" s="44" t="e">
        <f t="shared" si="32"/>
        <v>#N/A</v>
      </c>
      <c r="AK75" s="44" t="e">
        <f>HLOOKUP(I75,GasAvoidedCostsWOCC!$A$5:$Q$50,G75+1,FALSE)*J75*L75</f>
        <v>#N/A</v>
      </c>
      <c r="AL75" s="44" t="e">
        <f t="shared" si="3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4"/>
        <v>0</v>
      </c>
      <c r="AO75" s="47">
        <f t="shared" si="35"/>
        <v>0</v>
      </c>
      <c r="AP75" s="47" t="e">
        <f t="shared" si="36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8"/>
        <v>0</v>
      </c>
      <c r="U76" s="47">
        <f t="shared" si="19"/>
        <v>0</v>
      </c>
      <c r="V76" s="48">
        <f t="shared" si="20"/>
        <v>0</v>
      </c>
      <c r="W76" s="49">
        <f t="shared" si="21"/>
        <v>0</v>
      </c>
      <c r="X76" s="44">
        <f t="shared" si="22"/>
        <v>0</v>
      </c>
      <c r="Y76" s="44">
        <f t="shared" si="23"/>
        <v>0</v>
      </c>
      <c r="Z76" s="44">
        <f t="shared" si="24"/>
        <v>0</v>
      </c>
      <c r="AA76" s="50">
        <f t="shared" si="25"/>
        <v>0</v>
      </c>
      <c r="AB76" s="51">
        <f t="shared" si="26"/>
        <v>0</v>
      </c>
      <c r="AC76" s="44">
        <f t="shared" si="27"/>
        <v>0</v>
      </c>
      <c r="AD76" s="44">
        <f t="shared" si="28"/>
        <v>0</v>
      </c>
      <c r="AE76" s="44">
        <f t="shared" si="29"/>
        <v>0</v>
      </c>
      <c r="AF76" s="52" t="e">
        <f>HLOOKUP(I76,GasAvoidedCostsWOCC!$A$5:$G$50,G76+1,FALSE)</f>
        <v>#N/A</v>
      </c>
      <c r="AG76" s="44" t="e">
        <f t="shared" si="30"/>
        <v>#N/A</v>
      </c>
      <c r="AH76" s="52" t="e">
        <f>HLOOKUP(I76,GasAvoidedCostsWOCC!$A$5:$Q$50,T76+1,FALSE)</f>
        <v>#N/A</v>
      </c>
      <c r="AI76" s="44" t="e">
        <f t="shared" si="31"/>
        <v>#N/A</v>
      </c>
      <c r="AJ76" s="44" t="e">
        <f t="shared" si="32"/>
        <v>#N/A</v>
      </c>
      <c r="AK76" s="44" t="e">
        <f>HLOOKUP(I76,GasAvoidedCostsWOCC!$A$5:$Q$50,G76+1,FALSE)*J76*L76</f>
        <v>#N/A</v>
      </c>
      <c r="AL76" s="44" t="e">
        <f t="shared" si="3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4"/>
        <v>0</v>
      </c>
      <c r="AO76" s="47">
        <f t="shared" si="35"/>
        <v>0</v>
      </c>
      <c r="AP76" s="47" t="e">
        <f t="shared" si="36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8"/>
        <v>0</v>
      </c>
      <c r="U77" s="47">
        <f t="shared" si="19"/>
        <v>0</v>
      </c>
      <c r="V77" s="48">
        <f t="shared" si="20"/>
        <v>0</v>
      </c>
      <c r="W77" s="49">
        <f t="shared" si="21"/>
        <v>0</v>
      </c>
      <c r="X77" s="44">
        <f t="shared" si="22"/>
        <v>0</v>
      </c>
      <c r="Y77" s="44">
        <f t="shared" si="23"/>
        <v>0</v>
      </c>
      <c r="Z77" s="44">
        <f t="shared" si="24"/>
        <v>0</v>
      </c>
      <c r="AA77" s="50">
        <f t="shared" si="25"/>
        <v>0</v>
      </c>
      <c r="AB77" s="51">
        <f t="shared" si="26"/>
        <v>0</v>
      </c>
      <c r="AC77" s="44">
        <f t="shared" si="27"/>
        <v>0</v>
      </c>
      <c r="AD77" s="44">
        <f t="shared" si="28"/>
        <v>0</v>
      </c>
      <c r="AE77" s="44">
        <f t="shared" si="29"/>
        <v>0</v>
      </c>
      <c r="AF77" s="52" t="e">
        <f>HLOOKUP(I77,GasAvoidedCostsWOCC!$A$5:$G$50,G77+1,FALSE)</f>
        <v>#N/A</v>
      </c>
      <c r="AG77" s="44" t="e">
        <f t="shared" si="30"/>
        <v>#N/A</v>
      </c>
      <c r="AH77" s="52" t="e">
        <f>HLOOKUP(I77,GasAvoidedCostsWOCC!$A$5:$Q$50,T77+1,FALSE)</f>
        <v>#N/A</v>
      </c>
      <c r="AI77" s="44" t="e">
        <f t="shared" si="31"/>
        <v>#N/A</v>
      </c>
      <c r="AJ77" s="44" t="e">
        <f t="shared" si="32"/>
        <v>#N/A</v>
      </c>
      <c r="AK77" s="44" t="e">
        <f>HLOOKUP(I77,GasAvoidedCostsWOCC!$A$5:$Q$50,G77+1,FALSE)*J77*L77</f>
        <v>#N/A</v>
      </c>
      <c r="AL77" s="44" t="e">
        <f t="shared" si="3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4"/>
        <v>0</v>
      </c>
      <c r="AO77" s="47">
        <f t="shared" si="35"/>
        <v>0</v>
      </c>
      <c r="AP77" s="47" t="e">
        <f t="shared" si="36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8"/>
        <v>0</v>
      </c>
      <c r="U78" s="47">
        <f t="shared" si="19"/>
        <v>0</v>
      </c>
      <c r="V78" s="48">
        <f t="shared" si="20"/>
        <v>0</v>
      </c>
      <c r="W78" s="49">
        <f t="shared" si="21"/>
        <v>0</v>
      </c>
      <c r="X78" s="44">
        <f t="shared" si="22"/>
        <v>0</v>
      </c>
      <c r="Y78" s="44">
        <f t="shared" si="23"/>
        <v>0</v>
      </c>
      <c r="Z78" s="44">
        <f t="shared" si="24"/>
        <v>0</v>
      </c>
      <c r="AA78" s="50">
        <f t="shared" si="25"/>
        <v>0</v>
      </c>
      <c r="AB78" s="51">
        <f t="shared" si="26"/>
        <v>0</v>
      </c>
      <c r="AC78" s="44">
        <f t="shared" si="27"/>
        <v>0</v>
      </c>
      <c r="AD78" s="44">
        <f t="shared" si="28"/>
        <v>0</v>
      </c>
      <c r="AE78" s="44">
        <f t="shared" si="29"/>
        <v>0</v>
      </c>
      <c r="AF78" s="52" t="e">
        <f>HLOOKUP(I78,GasAvoidedCostsWOCC!$A$5:$G$50,G78+1,FALSE)</f>
        <v>#N/A</v>
      </c>
      <c r="AG78" s="44" t="e">
        <f t="shared" si="30"/>
        <v>#N/A</v>
      </c>
      <c r="AH78" s="52" t="e">
        <f>HLOOKUP(I78,GasAvoidedCostsWOCC!$A$5:$Q$50,T78+1,FALSE)</f>
        <v>#N/A</v>
      </c>
      <c r="AI78" s="44" t="e">
        <f t="shared" si="31"/>
        <v>#N/A</v>
      </c>
      <c r="AJ78" s="44" t="e">
        <f t="shared" si="32"/>
        <v>#N/A</v>
      </c>
      <c r="AK78" s="44" t="e">
        <f>HLOOKUP(I78,GasAvoidedCostsWOCC!$A$5:$Q$50,G78+1,FALSE)*J78*L78</f>
        <v>#N/A</v>
      </c>
      <c r="AL78" s="44" t="e">
        <f t="shared" si="3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4"/>
        <v>0</v>
      </c>
      <c r="AO78" s="47">
        <f t="shared" si="35"/>
        <v>0</v>
      </c>
      <c r="AP78" s="47" t="e">
        <f t="shared" si="36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8"/>
        <v>0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0</v>
      </c>
      <c r="AB79" s="51">
        <f t="shared" si="26"/>
        <v>0</v>
      </c>
      <c r="AC79" s="44">
        <f t="shared" si="27"/>
        <v>0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 t="e">
        <f t="shared" si="36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8"/>
        <v>0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0</v>
      </c>
      <c r="AB80" s="51">
        <f t="shared" si="26"/>
        <v>0</v>
      </c>
      <c r="AC80" s="44">
        <f t="shared" si="27"/>
        <v>0</v>
      </c>
      <c r="AD80" s="44">
        <f t="shared" si="28"/>
        <v>0</v>
      </c>
      <c r="AE80" s="44">
        <f t="shared" si="29"/>
        <v>0</v>
      </c>
      <c r="AF80" s="52" t="e">
        <f>HLOOKUP(I80,GasAvoidedCostsWOCC!$A$5:$G$50,G80+1,FALSE)</f>
        <v>#N/A</v>
      </c>
      <c r="AG80" s="44" t="e">
        <f t="shared" si="30"/>
        <v>#N/A</v>
      </c>
      <c r="AH80" s="52" t="e">
        <f>HLOOKUP(I80,GasAvoidedCostsWOCC!$A$5:$Q$50,T80+1,FALSE)</f>
        <v>#N/A</v>
      </c>
      <c r="AI80" s="44" t="e">
        <f t="shared" si="31"/>
        <v>#N/A</v>
      </c>
      <c r="AJ80" s="44" t="e">
        <f t="shared" si="32"/>
        <v>#N/A</v>
      </c>
      <c r="AK80" s="44" t="e">
        <f>HLOOKUP(I80,GasAvoidedCostsWOCC!$A$5:$Q$50,G80+1,FALSE)*J80*L80</f>
        <v>#N/A</v>
      </c>
      <c r="AL80" s="44" t="e">
        <f t="shared" si="3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 t="e">
        <f t="shared" si="36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</sheetData>
  <conditionalFormatting sqref="J5:L131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31 R5:S131">
    <cfRule type="expression" dxfId="142" priority="2">
      <formula>ISTEXT(M5)</formula>
    </cfRule>
  </conditionalFormatting>
  <conditionalFormatting sqref="M5:N131 R5:S131">
    <cfRule type="notContainsBlanks" dxfId="141" priority="3">
      <formula>LEN(TRIM(M5))&gt;0</formula>
    </cfRule>
  </conditionalFormatting>
  <conditionalFormatting sqref="R5:S131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126" sqref="H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533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33" si="0">SUM(E2:M2)</f>
        <v>1148531.31</v>
      </c>
      <c r="O2" s="5">
        <f t="shared" ref="O2:O33" si="1">N2-L2</f>
        <v>1148531.31</v>
      </c>
      <c r="P2" t="s">
        <v>539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539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540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538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541</v>
      </c>
    </row>
    <row r="7" spans="1:16" hidden="1">
      <c r="B7" t="s">
        <v>65</v>
      </c>
      <c r="C7" t="s">
        <v>522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538</v>
      </c>
    </row>
    <row r="8" spans="1:16" hidden="1">
      <c r="B8" t="s">
        <v>141</v>
      </c>
      <c r="C8" t="s">
        <v>527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538</v>
      </c>
    </row>
    <row r="9" spans="1:16" hidden="1">
      <c r="B9" t="s">
        <v>70</v>
      </c>
      <c r="C9" t="s">
        <v>526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538</v>
      </c>
    </row>
    <row r="10" spans="1:16" hidden="1">
      <c r="B10" t="s">
        <v>31</v>
      </c>
      <c r="C10" t="s">
        <v>530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538</v>
      </c>
    </row>
    <row r="11" spans="1:16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538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538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538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538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538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538</v>
      </c>
    </row>
    <row r="17" spans="2:16" hidden="1">
      <c r="B17" t="s">
        <v>70</v>
      </c>
      <c r="C17" t="s">
        <v>525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538</v>
      </c>
    </row>
    <row r="18" spans="2:16" hidden="1">
      <c r="B18" t="s">
        <v>31</v>
      </c>
      <c r="C18" t="s">
        <v>529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538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537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537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538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538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540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540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539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539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539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539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539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539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539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539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539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ref="N34:N65" si="2">SUM(E34:M34)</f>
        <v>59203.16</v>
      </c>
      <c r="O34" s="5">
        <f t="shared" ref="O34:O65" si="3">N34-L34</f>
        <v>59203.16</v>
      </c>
      <c r="P34" t="s">
        <v>539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2"/>
        <v>1007071.3999999999</v>
      </c>
      <c r="O35" s="5">
        <f t="shared" si="3"/>
        <v>1007071.3999999999</v>
      </c>
      <c r="P35" t="s">
        <v>539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2"/>
        <v>79775.81</v>
      </c>
      <c r="O36" s="5">
        <f t="shared" si="3"/>
        <v>79775.81</v>
      </c>
      <c r="P36" t="s">
        <v>539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2"/>
        <v>790340.59000000008</v>
      </c>
      <c r="O37" s="5">
        <f t="shared" si="3"/>
        <v>790340.59000000008</v>
      </c>
      <c r="P37" t="s">
        <v>539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2"/>
        <v>177579.93000000002</v>
      </c>
      <c r="O38" s="5">
        <f t="shared" si="3"/>
        <v>177579.93000000002</v>
      </c>
      <c r="P38" t="s">
        <v>539</v>
      </c>
    </row>
    <row r="39" spans="2:16" hidden="1">
      <c r="B39" t="s">
        <v>129</v>
      </c>
      <c r="C39" t="s">
        <v>523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2"/>
        <v>10.029999999999999</v>
      </c>
      <c r="O39" s="5">
        <f t="shared" si="3"/>
        <v>10.029999999999999</v>
      </c>
      <c r="P39" t="s">
        <v>538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2"/>
        <v>232625.07</v>
      </c>
      <c r="O40" s="5">
        <f t="shared" si="3"/>
        <v>232625.07</v>
      </c>
      <c r="P40" t="s">
        <v>539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2"/>
        <v>37716.060000000005</v>
      </c>
      <c r="O41" s="5">
        <f t="shared" si="3"/>
        <v>37716.060000000005</v>
      </c>
      <c r="P41" t="s">
        <v>539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2"/>
        <v>0</v>
      </c>
      <c r="O42" s="5">
        <f t="shared" si="3"/>
        <v>0</v>
      </c>
      <c r="P42" t="s">
        <v>536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2"/>
        <v>0</v>
      </c>
      <c r="O43" s="5">
        <f t="shared" si="3"/>
        <v>0</v>
      </c>
      <c r="P43" t="s">
        <v>541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2"/>
        <v>1998091.55</v>
      </c>
      <c r="O44" s="5">
        <f t="shared" si="3"/>
        <v>202818.05000000005</v>
      </c>
      <c r="P44" t="s">
        <v>538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2"/>
        <v>3559423.39</v>
      </c>
      <c r="O45" s="5">
        <f t="shared" si="3"/>
        <v>251049.39999999991</v>
      </c>
      <c r="P45" t="s">
        <v>538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2"/>
        <v>1307549.1199999999</v>
      </c>
      <c r="O46" s="5">
        <f t="shared" si="3"/>
        <v>256696.18999999994</v>
      </c>
      <c r="P46" t="s">
        <v>535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535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2"/>
        <v>1432214.62</v>
      </c>
      <c r="O48" s="5">
        <f t="shared" si="3"/>
        <v>777574.10000000009</v>
      </c>
      <c r="P48" t="s">
        <v>535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2"/>
        <v>982557.56</v>
      </c>
      <c r="O49" s="5">
        <f t="shared" si="3"/>
        <v>505405.25000000006</v>
      </c>
      <c r="P49" t="s">
        <v>535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2"/>
        <v>1015237.06</v>
      </c>
      <c r="O50" s="5">
        <f t="shared" si="3"/>
        <v>264563.08000000007</v>
      </c>
      <c r="P50" t="s">
        <v>538</v>
      </c>
    </row>
    <row r="51" spans="1:16" hidden="1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2"/>
        <v>567.38</v>
      </c>
      <c r="O51" s="5">
        <f t="shared" si="3"/>
        <v>567.38</v>
      </c>
      <c r="P51" t="s">
        <v>538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2"/>
        <v>0</v>
      </c>
      <c r="O52" s="5">
        <f t="shared" si="3"/>
        <v>0</v>
      </c>
      <c r="P52" t="s">
        <v>538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2"/>
        <v>2209676.86</v>
      </c>
      <c r="O53" s="5">
        <f t="shared" si="3"/>
        <v>392612.91999999993</v>
      </c>
      <c r="P53" t="s">
        <v>538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2"/>
        <v>86159.26</v>
      </c>
      <c r="O54" s="5">
        <f t="shared" si="3"/>
        <v>0</v>
      </c>
      <c r="P54" t="s">
        <v>534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2"/>
        <v>0</v>
      </c>
      <c r="O55" s="5">
        <f t="shared" si="3"/>
        <v>0</v>
      </c>
      <c r="P55" t="s">
        <v>541</v>
      </c>
    </row>
    <row r="56" spans="1:16" hidden="1">
      <c r="B56" t="s">
        <v>70</v>
      </c>
      <c r="C56" t="s">
        <v>313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2"/>
        <v>601376.22</v>
      </c>
      <c r="O56" s="5">
        <f t="shared" si="3"/>
        <v>473.45999999996275</v>
      </c>
      <c r="P56" t="s">
        <v>538</v>
      </c>
    </row>
    <row r="57" spans="1:16" hidden="1">
      <c r="B57" t="s">
        <v>31</v>
      </c>
      <c r="C57" t="s">
        <v>528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2"/>
        <v>0</v>
      </c>
      <c r="O57" s="5">
        <f t="shared" si="3"/>
        <v>0</v>
      </c>
      <c r="P57" t="s">
        <v>538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2"/>
        <v>1744532.7699999998</v>
      </c>
      <c r="O58" s="5">
        <f t="shared" si="3"/>
        <v>208664.2899999998</v>
      </c>
      <c r="P58" t="s">
        <v>535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2"/>
        <v>496004.1</v>
      </c>
      <c r="O59" s="5">
        <f t="shared" si="3"/>
        <v>53445.739999999991</v>
      </c>
      <c r="P59" t="s">
        <v>535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2"/>
        <v>189136.4</v>
      </c>
      <c r="O60" s="5">
        <f t="shared" si="3"/>
        <v>0</v>
      </c>
      <c r="P60" t="s">
        <v>534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2"/>
        <v>151341.07</v>
      </c>
      <c r="O61" s="5">
        <f t="shared" si="3"/>
        <v>58444.260000000009</v>
      </c>
      <c r="P61" t="s">
        <v>535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2"/>
        <v>1334023.92</v>
      </c>
      <c r="O62" s="5">
        <f t="shared" si="3"/>
        <v>1221606.0499999998</v>
      </c>
      <c r="P62" t="s">
        <v>539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2"/>
        <v>202264.84000000003</v>
      </c>
      <c r="O63" s="5">
        <f t="shared" si="3"/>
        <v>185466.77000000002</v>
      </c>
      <c r="P63" t="s">
        <v>539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2"/>
        <v>150481.52000000002</v>
      </c>
      <c r="O64" s="5">
        <f t="shared" si="3"/>
        <v>150481.52000000002</v>
      </c>
      <c r="P64" t="s">
        <v>540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2"/>
        <v>22816.83</v>
      </c>
      <c r="O65" s="5">
        <f t="shared" si="3"/>
        <v>22816.83</v>
      </c>
      <c r="P65" t="s">
        <v>540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97" si="4">SUM(E66:M66)</f>
        <v>57175.369999999995</v>
      </c>
      <c r="O66" s="5">
        <f t="shared" ref="O66:O97" si="5">N66-L66</f>
        <v>57175.369999999995</v>
      </c>
      <c r="P66" t="s">
        <v>535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4"/>
        <v>56992.450000000004</v>
      </c>
      <c r="O67" s="5">
        <f t="shared" si="5"/>
        <v>56992.450000000004</v>
      </c>
      <c r="P67" t="s">
        <v>535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4"/>
        <v>646269.89</v>
      </c>
      <c r="O68" s="5">
        <f t="shared" si="5"/>
        <v>413852.89</v>
      </c>
      <c r="P68" t="s">
        <v>535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4"/>
        <v>198653.69</v>
      </c>
      <c r="O69" s="5">
        <f t="shared" si="5"/>
        <v>130451</v>
      </c>
      <c r="P69" t="s">
        <v>535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4"/>
        <v>5843584.25</v>
      </c>
      <c r="O70" s="5">
        <f t="shared" si="5"/>
        <v>1305220.33</v>
      </c>
      <c r="P70" t="s">
        <v>535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4"/>
        <v>352233.83999999997</v>
      </c>
      <c r="O71" s="5">
        <f t="shared" si="5"/>
        <v>104074.83999999997</v>
      </c>
      <c r="P71" t="s">
        <v>535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4"/>
        <v>608889</v>
      </c>
      <c r="O72" s="5">
        <f t="shared" si="5"/>
        <v>182666.71999999997</v>
      </c>
      <c r="P72" t="s">
        <v>536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4"/>
        <v>3518013.21</v>
      </c>
      <c r="O73" s="5">
        <f t="shared" si="5"/>
        <v>3518013.21</v>
      </c>
      <c r="P73" t="s">
        <v>444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4"/>
        <v>4289485.32</v>
      </c>
      <c r="O74" s="5">
        <f t="shared" si="5"/>
        <v>1483874.7100000004</v>
      </c>
      <c r="P74" t="s">
        <v>536</v>
      </c>
    </row>
    <row r="75" spans="2:16" hidden="1">
      <c r="B75" t="s">
        <v>136</v>
      </c>
      <c r="C75" t="s">
        <v>524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4"/>
        <v>37623.279999999999</v>
      </c>
      <c r="O75" s="5">
        <f t="shared" si="5"/>
        <v>9575.2799999999988</v>
      </c>
      <c r="P75" t="s">
        <v>538</v>
      </c>
    </row>
    <row r="76" spans="2:16" hidden="1">
      <c r="B76" t="s">
        <v>112</v>
      </c>
      <c r="C76" t="s">
        <v>335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4"/>
        <v>2854.83</v>
      </c>
      <c r="O76" s="5">
        <f t="shared" si="5"/>
        <v>2854.83</v>
      </c>
      <c r="P76" t="s">
        <v>538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4"/>
        <v>1906365.21</v>
      </c>
      <c r="O77" s="5">
        <f t="shared" si="5"/>
        <v>1856365.22</v>
      </c>
      <c r="P77" t="s">
        <v>540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4"/>
        <v>477104.13</v>
      </c>
      <c r="O78" s="5">
        <f t="shared" si="5"/>
        <v>477104.13</v>
      </c>
      <c r="P78" t="s">
        <v>540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4"/>
        <v>719678.75000000012</v>
      </c>
      <c r="O79" s="5">
        <f t="shared" si="5"/>
        <v>719678.75000000012</v>
      </c>
      <c r="P79" t="s">
        <v>539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4"/>
        <v>107566.63999999998</v>
      </c>
      <c r="O80" s="5">
        <f t="shared" si="5"/>
        <v>107566.63999999998</v>
      </c>
      <c r="P80" t="s">
        <v>539</v>
      </c>
    </row>
    <row r="81" spans="2:16" hidden="1">
      <c r="B81" t="s">
        <v>47</v>
      </c>
      <c r="C81" t="s">
        <v>531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4"/>
        <v>213449.99999999997</v>
      </c>
      <c r="O81" s="5">
        <f t="shared" si="5"/>
        <v>213414.49999999997</v>
      </c>
      <c r="P81" t="s">
        <v>539</v>
      </c>
    </row>
    <row r="82" spans="2:16" hidden="1">
      <c r="B82" t="s">
        <v>55</v>
      </c>
      <c r="C82" t="s">
        <v>532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4"/>
        <v>90812.09</v>
      </c>
      <c r="O82" s="5">
        <f t="shared" si="5"/>
        <v>90776.59</v>
      </c>
      <c r="P82" t="s">
        <v>539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4"/>
        <v>588277.77</v>
      </c>
      <c r="O83" s="5">
        <f t="shared" si="5"/>
        <v>588277.77</v>
      </c>
      <c r="P83" t="s">
        <v>539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4"/>
        <v>55121.670000000006</v>
      </c>
      <c r="O84" s="5">
        <f t="shared" si="5"/>
        <v>55121.670000000006</v>
      </c>
      <c r="P84" t="s">
        <v>539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4"/>
        <v>1550052.53</v>
      </c>
      <c r="O85" s="5">
        <f t="shared" si="5"/>
        <v>472132.34000000008</v>
      </c>
      <c r="P85" t="s">
        <v>535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4"/>
        <v>80924.429999999993</v>
      </c>
      <c r="O86" s="5">
        <f t="shared" si="5"/>
        <v>60108.729999999996</v>
      </c>
      <c r="P86" t="s">
        <v>535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4"/>
        <v>30169.97</v>
      </c>
      <c r="O87" s="5">
        <f t="shared" si="5"/>
        <v>22457.300000000003</v>
      </c>
      <c r="P87" t="s">
        <v>535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4"/>
        <v>0</v>
      </c>
      <c r="O88" s="5">
        <f t="shared" si="5"/>
        <v>0</v>
      </c>
      <c r="P88" t="s">
        <v>538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538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4"/>
        <v>162002.51999999999</v>
      </c>
      <c r="O90" s="5">
        <f t="shared" si="5"/>
        <v>162002.51999999999</v>
      </c>
      <c r="P90" t="s">
        <v>537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4"/>
        <v>0</v>
      </c>
      <c r="O91" s="5">
        <f t="shared" si="5"/>
        <v>0</v>
      </c>
      <c r="P91" t="s">
        <v>537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4"/>
        <v>8069488.3799999999</v>
      </c>
      <c r="O92" s="5">
        <f t="shared" si="5"/>
        <v>864276.70000000019</v>
      </c>
      <c r="P92" t="s">
        <v>535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4"/>
        <v>1700453.36</v>
      </c>
      <c r="O93" s="5">
        <f t="shared" si="5"/>
        <v>127453.3600000001</v>
      </c>
      <c r="P93" t="s">
        <v>535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4"/>
        <v>1732775.02</v>
      </c>
      <c r="O94" s="5">
        <f t="shared" si="5"/>
        <v>302949.21999999997</v>
      </c>
      <c r="P94" t="s">
        <v>535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4"/>
        <v>395565.2</v>
      </c>
      <c r="O95" s="5">
        <f t="shared" si="5"/>
        <v>73166.200000000012</v>
      </c>
      <c r="P95" t="s">
        <v>535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4"/>
        <v>996002.63</v>
      </c>
      <c r="O96" s="5">
        <f t="shared" si="5"/>
        <v>148053.10999999999</v>
      </c>
      <c r="P96" t="s">
        <v>535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4"/>
        <v>2347358.6</v>
      </c>
      <c r="O97" s="5">
        <f t="shared" si="5"/>
        <v>137157.45000000019</v>
      </c>
      <c r="P97" t="s">
        <v>535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ref="N98:N117" si="6">SUM(E98:M98)</f>
        <v>176815.75</v>
      </c>
      <c r="O98" s="5">
        <f t="shared" ref="O98:O117" si="7">N98-L98</f>
        <v>176815.75</v>
      </c>
      <c r="P98" t="s">
        <v>537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6"/>
        <v>62633.25</v>
      </c>
      <c r="O99" s="5">
        <f t="shared" si="7"/>
        <v>30133.25</v>
      </c>
      <c r="P99" t="s">
        <v>535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6"/>
        <v>23936.23</v>
      </c>
      <c r="O100" s="5">
        <f t="shared" si="7"/>
        <v>18436.23</v>
      </c>
      <c r="P100" t="s">
        <v>535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6"/>
        <v>7468216.0999999996</v>
      </c>
      <c r="O101" s="5">
        <f t="shared" si="7"/>
        <v>1365059.4799999995</v>
      </c>
      <c r="P101" t="s">
        <v>538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6"/>
        <v>15134.599999999999</v>
      </c>
      <c r="O102" s="5">
        <f t="shared" si="7"/>
        <v>5260.1399999999994</v>
      </c>
      <c r="P102" t="s">
        <v>538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6"/>
        <v>681594.19</v>
      </c>
      <c r="O103" s="5">
        <f t="shared" si="7"/>
        <v>156270</v>
      </c>
      <c r="P103" t="s">
        <v>535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6"/>
        <v>1290608.46</v>
      </c>
      <c r="O104" s="5">
        <f t="shared" si="7"/>
        <v>210514.55000000005</v>
      </c>
      <c r="P104" t="s">
        <v>535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6"/>
        <v>4866.1400000000003</v>
      </c>
      <c r="O105" s="5">
        <f t="shared" si="7"/>
        <v>4866.1400000000003</v>
      </c>
      <c r="P105" t="s">
        <v>537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6"/>
        <v>828.63</v>
      </c>
      <c r="O106" s="5">
        <f t="shared" si="7"/>
        <v>828.63</v>
      </c>
      <c r="P106" t="s">
        <v>537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6"/>
        <v>0</v>
      </c>
      <c r="O107" s="5">
        <f t="shared" si="7"/>
        <v>0</v>
      </c>
      <c r="P107" t="s">
        <v>535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283517.43</v>
      </c>
      <c r="O108" s="5">
        <f t="shared" si="7"/>
        <v>283517.43</v>
      </c>
      <c r="P108" t="s">
        <v>540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6"/>
        <v>42896.54</v>
      </c>
      <c r="O109" s="5">
        <f t="shared" si="7"/>
        <v>42896.54</v>
      </c>
      <c r="P109" t="s">
        <v>540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6"/>
        <v>0</v>
      </c>
      <c r="O110" s="5">
        <f t="shared" si="7"/>
        <v>0</v>
      </c>
      <c r="P110" t="s">
        <v>444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6"/>
        <v>0</v>
      </c>
      <c r="O111" s="5">
        <f t="shared" si="7"/>
        <v>0</v>
      </c>
      <c r="P111" t="s">
        <v>444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6"/>
        <v>25615.18</v>
      </c>
      <c r="O112" s="5">
        <f t="shared" si="7"/>
        <v>25615.18</v>
      </c>
      <c r="P112" t="s">
        <v>536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6"/>
        <v>10978.16</v>
      </c>
      <c r="O113" s="5">
        <f t="shared" si="7"/>
        <v>10978.16</v>
      </c>
      <c r="P113" t="s">
        <v>536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6"/>
        <v>194023.02000000002</v>
      </c>
      <c r="O114" s="5">
        <f t="shared" si="7"/>
        <v>194023.02000000002</v>
      </c>
      <c r="P114" t="s">
        <v>539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6"/>
        <v>24509.88</v>
      </c>
      <c r="O115" s="5">
        <f t="shared" si="7"/>
        <v>24509.88</v>
      </c>
      <c r="P115" t="s">
        <v>539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6"/>
        <v>-84918.489999999991</v>
      </c>
      <c r="O116" s="5">
        <f t="shared" si="7"/>
        <v>-84918.489999999991</v>
      </c>
      <c r="P116" t="s">
        <v>539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6"/>
        <v>-139466.37</v>
      </c>
      <c r="O117" s="5">
        <f t="shared" si="7"/>
        <v>-139466.37</v>
      </c>
      <c r="P117" t="s">
        <v>539</v>
      </c>
    </row>
  </sheetData>
  <autoFilter ref="A1:P117">
    <filterColumn colId="2">
      <filters>
        <filter val="Commercial Industrial New Construction {E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952</v>
      </c>
      <c r="F5" s="39" t="s">
        <v>953</v>
      </c>
      <c r="G5" s="39">
        <v>18</v>
      </c>
      <c r="H5" s="39"/>
      <c r="I5" s="40" t="s">
        <v>283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0.12898306543849078</v>
      </c>
      <c r="V5" s="48">
        <f t="shared" ref="V5:V24" si="2">N5-M5</f>
        <v>187</v>
      </c>
      <c r="W5" s="49">
        <f t="shared" ref="W5:W24" si="3">(O5/A$10)</f>
        <v>7.1657258576939319E-3</v>
      </c>
      <c r="X5" s="44">
        <f t="shared" ref="X5:X24" si="4">W5*A$8</f>
        <v>913.29583740197415</v>
      </c>
      <c r="Y5" s="44">
        <f t="shared" ref="Y5:Y24" si="5">Q5-P5</f>
        <v>3553</v>
      </c>
      <c r="Z5" s="44">
        <f t="shared" ref="Z5:Z24" si="6">X5+(A$6*W5)</f>
        <v>12184.982611554529</v>
      </c>
      <c r="AA5" s="50">
        <f t="shared" ref="AA5:AA24" si="7">Q5+X5</f>
        <v>19666.295837401973</v>
      </c>
      <c r="AB5" s="51">
        <f t="shared" ref="AB5:AB24" si="8">Z5/(1+GasDiscountRate)^1</f>
        <v>11391.027962563829</v>
      </c>
      <c r="AC5" s="44">
        <f t="shared" ref="AC5:AC24" si="9">AA5/(1+GasDiscountRate)^1</f>
        <v>18384.870372442714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3.8666654283839557</v>
      </c>
      <c r="AP5" s="47">
        <f>AN5/AC5</f>
        <v>2.6353094929014302</v>
      </c>
    </row>
    <row r="6" spans="1:42" ht="13.5" customHeight="1">
      <c r="A6" s="53">
        <f>SUMIF('Program Costs'!D:D,C2,'Program Costs'!L:L)</f>
        <v>1573000</v>
      </c>
      <c r="B6" s="97" t="s">
        <v>33</v>
      </c>
      <c r="C6" s="98">
        <v>18230638</v>
      </c>
      <c r="D6" s="61" t="s">
        <v>83</v>
      </c>
      <c r="E6" s="38" t="s">
        <v>954</v>
      </c>
      <c r="F6" s="39" t="s">
        <v>953</v>
      </c>
      <c r="G6" s="39">
        <v>20</v>
      </c>
      <c r="H6" s="39"/>
      <c r="I6" s="40" t="s">
        <v>283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0.49782937537663102</v>
      </c>
      <c r="V6" s="48">
        <f t="shared" si="2"/>
        <v>187</v>
      </c>
      <c r="W6" s="49">
        <f t="shared" si="3"/>
        <v>2.489146876883155E-2</v>
      </c>
      <c r="X6" s="44">
        <f t="shared" si="4"/>
        <v>3172.5013299226471</v>
      </c>
      <c r="Y6" s="44">
        <f t="shared" si="5"/>
        <v>12342</v>
      </c>
      <c r="Z6" s="44">
        <f t="shared" si="6"/>
        <v>42326.781703294677</v>
      </c>
      <c r="AA6" s="50">
        <f t="shared" si="7"/>
        <v>68314.501329922641</v>
      </c>
      <c r="AB6" s="51">
        <f t="shared" si="8"/>
        <v>39568.833975221722</v>
      </c>
      <c r="AC6" s="44">
        <f t="shared" si="9"/>
        <v>63863.233925327324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4.2247388827504633</v>
      </c>
      <c r="AP6" s="47">
        <f t="shared" ref="AP6:AP24" si="17">AN6/AC6</f>
        <v>2.8793529434987191</v>
      </c>
    </row>
    <row r="7" spans="1:42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955</v>
      </c>
      <c r="F7" s="39" t="s">
        <v>956</v>
      </c>
      <c r="G7" s="39">
        <v>20</v>
      </c>
      <c r="H7" s="39"/>
      <c r="I7" s="40" t="s">
        <v>283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18.993272908391031</v>
      </c>
      <c r="V7" s="48">
        <f t="shared" si="2"/>
        <v>253</v>
      </c>
      <c r="W7" s="49">
        <f t="shared" si="3"/>
        <v>0.94966364541955162</v>
      </c>
      <c r="X7" s="44">
        <f t="shared" si="4"/>
        <v>121037.82247857055</v>
      </c>
      <c r="Y7" s="44">
        <f t="shared" si="5"/>
        <v>1065636</v>
      </c>
      <c r="Z7" s="44">
        <f t="shared" si="6"/>
        <v>1614858.7367235252</v>
      </c>
      <c r="AA7" s="50">
        <f t="shared" si="7"/>
        <v>2660873.8224785705</v>
      </c>
      <c r="AB7" s="51">
        <f t="shared" si="8"/>
        <v>1509637.0353590026</v>
      </c>
      <c r="AC7" s="44">
        <f t="shared" si="9"/>
        <v>2487495.3935482567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4.2247388827504633</v>
      </c>
      <c r="AP7" s="47">
        <f t="shared" si="17"/>
        <v>2.820348744576417</v>
      </c>
    </row>
    <row r="8" spans="1:42" ht="13.5" customHeight="1">
      <c r="A8" s="53">
        <f>SUMIF('Program Costs'!D:D,C2,'Program Costs'!O:O)</f>
        <v>127453.3600000001</v>
      </c>
      <c r="B8" s="97" t="s">
        <v>33</v>
      </c>
      <c r="C8" s="98">
        <v>18230638</v>
      </c>
      <c r="D8" s="61" t="s">
        <v>83</v>
      </c>
      <c r="E8" s="38" t="s">
        <v>1701</v>
      </c>
      <c r="F8" s="39" t="s">
        <v>1702</v>
      </c>
      <c r="G8" s="39">
        <v>20</v>
      </c>
      <c r="H8" s="39"/>
      <c r="I8" s="40" t="s">
        <v>283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6.3130536732543791E-2</v>
      </c>
      <c r="V8" s="48">
        <f t="shared" si="2"/>
        <v>3</v>
      </c>
      <c r="W8" s="49">
        <f t="shared" si="3"/>
        <v>3.1565268366271896E-3</v>
      </c>
      <c r="X8" s="44">
        <f t="shared" si="4"/>
        <v>402.30995125830668</v>
      </c>
      <c r="Y8" s="44">
        <f t="shared" si="5"/>
        <v>42</v>
      </c>
      <c r="Z8" s="44">
        <f t="shared" si="6"/>
        <v>5367.526665272876</v>
      </c>
      <c r="AA8" s="50">
        <f t="shared" si="7"/>
        <v>8844.3099512583067</v>
      </c>
      <c r="AB8" s="51">
        <f t="shared" si="8"/>
        <v>5017.7869171476823</v>
      </c>
      <c r="AC8" s="44">
        <f t="shared" si="9"/>
        <v>8268.0283736171878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4.2247388827504633</v>
      </c>
      <c r="AP8" s="47">
        <f t="shared" si="17"/>
        <v>2.820348744576417</v>
      </c>
    </row>
    <row r="9" spans="1:42" ht="13.5" customHeight="1">
      <c r="A9" s="36" t="s">
        <v>317</v>
      </c>
      <c r="B9" s="97" t="s">
        <v>33</v>
      </c>
      <c r="C9" s="98">
        <v>18230638</v>
      </c>
      <c r="D9" s="61" t="s">
        <v>83</v>
      </c>
      <c r="E9" s="38" t="s">
        <v>1703</v>
      </c>
      <c r="F9" s="39" t="s">
        <v>1704</v>
      </c>
      <c r="G9" s="39">
        <v>20</v>
      </c>
      <c r="H9" s="39"/>
      <c r="I9" s="40" t="s">
        <v>283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0.30245266234591439</v>
      </c>
      <c r="V9" s="48">
        <f t="shared" si="2"/>
        <v>889</v>
      </c>
      <c r="W9" s="49">
        <f t="shared" si="3"/>
        <v>1.5122633117295718E-2</v>
      </c>
      <c r="X9" s="44">
        <f t="shared" si="4"/>
        <v>1927.4304028466149</v>
      </c>
      <c r="Y9" s="44">
        <f t="shared" si="5"/>
        <v>55118</v>
      </c>
      <c r="Z9" s="44">
        <f t="shared" si="6"/>
        <v>25715.332296352779</v>
      </c>
      <c r="AA9" s="50">
        <f t="shared" si="7"/>
        <v>78745.430402846614</v>
      </c>
      <c r="AB9" s="51">
        <f t="shared" si="8"/>
        <v>24039.76095760753</v>
      </c>
      <c r="AC9" s="44">
        <f t="shared" si="9"/>
        <v>73614.499768950744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4.2247388827504633</v>
      </c>
      <c r="AP9" s="47">
        <f t="shared" si="17"/>
        <v>1.5176070541161883</v>
      </c>
    </row>
    <row r="10" spans="1:42" ht="13.5" customHeight="1">
      <c r="A10" s="54">
        <f>SUM(O5:O999)</f>
        <v>487878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1572300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1136691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19.985668548284611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1700453.36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2836444.3600000003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4.2221730265395561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2.7843201339682242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1705</v>
      </c>
      <c r="F5" s="39" t="s">
        <v>1706</v>
      </c>
      <c r="G5" s="39">
        <v>13</v>
      </c>
      <c r="H5" s="39"/>
      <c r="I5" s="40" t="s">
        <v>279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0.10982340935309255</v>
      </c>
      <c r="V5" s="48">
        <f t="shared" ref="V5:V24" si="2">N5-M5</f>
        <v>116</v>
      </c>
      <c r="W5" s="49">
        <f t="shared" ref="W5:W24" si="3">(O5/A$10)</f>
        <v>8.4479545656225043E-3</v>
      </c>
      <c r="X5" s="44">
        <f t="shared" ref="X5:X24" si="4">W5*A$8</f>
        <v>618.10473333924938</v>
      </c>
      <c r="Y5" s="44">
        <f t="shared" ref="Y5:Y24" si="5">Q5-P5</f>
        <v>1972</v>
      </c>
      <c r="Z5" s="44">
        <f t="shared" ref="Z5:Z24" si="6">X5+(A$6*W5)</f>
        <v>3341.7168373413792</v>
      </c>
      <c r="AA5" s="50">
        <f t="shared" ref="AA5:AA24" si="7">Q5+X5</f>
        <v>3440.1047333392494</v>
      </c>
      <c r="AB5" s="51">
        <f t="shared" ref="AB5:AB24" si="8">Z5/(1+GasDiscountRate)^1</f>
        <v>3123.9757290281191</v>
      </c>
      <c r="AC5" s="44">
        <f t="shared" ref="AC5:AC24" si="9">AA5/(1+GasDiscountRate)^1</f>
        <v>3215.952821668925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1.3721569467518002</v>
      </c>
      <c r="AP5" s="47">
        <f>AN5/AC5</f>
        <v>1.46620418872624</v>
      </c>
    </row>
    <row r="6" spans="1:42" ht="13.5" customHeight="1">
      <c r="A6" s="53">
        <f>SUMIF('Program Costs'!D:D,C2,'Program Costs'!L:L)</f>
        <v>322399</v>
      </c>
      <c r="B6" s="97" t="s">
        <v>33</v>
      </c>
      <c r="C6" s="98">
        <v>18230249</v>
      </c>
      <c r="D6" s="61" t="s">
        <v>34</v>
      </c>
      <c r="E6" s="38" t="s">
        <v>1707</v>
      </c>
      <c r="F6" s="39" t="s">
        <v>1706</v>
      </c>
      <c r="G6" s="39">
        <v>13</v>
      </c>
      <c r="H6" s="39"/>
      <c r="I6" s="40" t="s">
        <v>279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0.27340491614162749</v>
      </c>
      <c r="V6" s="48">
        <f t="shared" si="2"/>
        <v>136.6</v>
      </c>
      <c r="W6" s="49">
        <f t="shared" si="3"/>
        <v>2.1031147395509805E-2</v>
      </c>
      <c r="X6" s="44">
        <f t="shared" si="4"/>
        <v>1538.7691365693497</v>
      </c>
      <c r="Y6" s="44">
        <f t="shared" si="5"/>
        <v>10791.4</v>
      </c>
      <c r="Z6" s="44">
        <f t="shared" si="6"/>
        <v>8319.190025734315</v>
      </c>
      <c r="AA6" s="50">
        <f t="shared" si="7"/>
        <v>16280.16913656935</v>
      </c>
      <c r="AB6" s="51">
        <f t="shared" si="8"/>
        <v>7777.1244514670598</v>
      </c>
      <c r="AC6" s="44">
        <f t="shared" si="9"/>
        <v>15219.378458043702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1.3721569467518002</v>
      </c>
      <c r="AP6" s="47">
        <f t="shared" ref="AP6:AP24" si="17">AN6/AC6</f>
        <v>0.77129160749748971</v>
      </c>
    </row>
    <row r="7" spans="1:42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1708</v>
      </c>
      <c r="F7" s="39" t="s">
        <v>1709</v>
      </c>
      <c r="G7" s="39">
        <v>13</v>
      </c>
      <c r="H7" s="39"/>
      <c r="I7" s="40" t="s">
        <v>279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3.4608217233117397E-3</v>
      </c>
      <c r="V7" s="48">
        <f t="shared" si="2"/>
        <v>36.599999999999994</v>
      </c>
      <c r="W7" s="49">
        <f t="shared" si="3"/>
        <v>2.6621705563936461E-4</v>
      </c>
      <c r="X7" s="44">
        <f t="shared" si="4"/>
        <v>19.478090336320882</v>
      </c>
      <c r="Y7" s="44">
        <f t="shared" si="5"/>
        <v>36.599999999999994</v>
      </c>
      <c r="Z7" s="44">
        <f t="shared" si="6"/>
        <v>105.30620285739639</v>
      </c>
      <c r="AA7" s="50">
        <f t="shared" si="7"/>
        <v>206.07809033632088</v>
      </c>
      <c r="AB7" s="51">
        <f t="shared" si="8"/>
        <v>98.444613309709609</v>
      </c>
      <c r="AC7" s="44">
        <f t="shared" si="9"/>
        <v>192.6503602284013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1.3721569467518004</v>
      </c>
      <c r="AP7" s="47">
        <f t="shared" si="17"/>
        <v>0.77129160749748971</v>
      </c>
    </row>
    <row r="8" spans="1:42" ht="13.5" customHeight="1">
      <c r="A8" s="53">
        <f>SUMIF('Program Costs'!D:D,C2,'Program Costs'!O:O)</f>
        <v>73166.200000000012</v>
      </c>
      <c r="B8" s="97" t="s">
        <v>33</v>
      </c>
      <c r="C8" s="98">
        <v>18230249</v>
      </c>
      <c r="D8" s="61" t="s">
        <v>34</v>
      </c>
      <c r="E8" s="38" t="s">
        <v>1710</v>
      </c>
      <c r="F8" s="39" t="s">
        <v>958</v>
      </c>
      <c r="G8" s="39">
        <v>20</v>
      </c>
      <c r="H8" s="39"/>
      <c r="I8" s="40" t="s">
        <v>279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3.0774691631910551</v>
      </c>
      <c r="V8" s="48">
        <f t="shared" si="2"/>
        <v>558.33000000000004</v>
      </c>
      <c r="W8" s="49">
        <f t="shared" si="3"/>
        <v>0.15387345815955275</v>
      </c>
      <c r="X8" s="44">
        <f t="shared" si="4"/>
        <v>11258.33621439347</v>
      </c>
      <c r="Y8" s="44">
        <f t="shared" si="5"/>
        <v>94967.1</v>
      </c>
      <c r="Z8" s="44">
        <f t="shared" si="6"/>
        <v>60866.985251575119</v>
      </c>
      <c r="AA8" s="50">
        <f t="shared" si="7"/>
        <v>148674.43621439347</v>
      </c>
      <c r="AB8" s="51">
        <f t="shared" si="8"/>
        <v>56900.986493012162</v>
      </c>
      <c r="AC8" s="44">
        <f t="shared" si="9"/>
        <v>138987.03955725292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1.9982667497168574</v>
      </c>
      <c r="AP8" s="47">
        <f t="shared" si="17"/>
        <v>1.0493885936681524</v>
      </c>
    </row>
    <row r="9" spans="1:42" ht="13.5" customHeight="1">
      <c r="A9" s="36" t="s">
        <v>317</v>
      </c>
      <c r="B9" s="97" t="s">
        <v>33</v>
      </c>
      <c r="C9" s="98">
        <v>18230249</v>
      </c>
      <c r="D9" s="61" t="s">
        <v>34</v>
      </c>
      <c r="E9" s="38" t="s">
        <v>957</v>
      </c>
      <c r="F9" s="39" t="s">
        <v>958</v>
      </c>
      <c r="G9" s="39">
        <v>20</v>
      </c>
      <c r="H9" s="39"/>
      <c r="I9" s="40" t="s">
        <v>279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16.249889076226818</v>
      </c>
      <c r="V9" s="48">
        <f t="shared" si="2"/>
        <v>675.6</v>
      </c>
      <c r="W9" s="49">
        <f t="shared" si="3"/>
        <v>0.81249445381134089</v>
      </c>
      <c r="X9" s="44">
        <f t="shared" si="4"/>
        <v>59447.131706451342</v>
      </c>
      <c r="Y9" s="44">
        <f t="shared" si="5"/>
        <v>736403.99999997998</v>
      </c>
      <c r="Z9" s="44">
        <f t="shared" si="6"/>
        <v>321394.53112077381</v>
      </c>
      <c r="AA9" s="50">
        <f t="shared" si="7"/>
        <v>1068351.1317064313</v>
      </c>
      <c r="AB9" s="51">
        <f t="shared" si="8"/>
        <v>300452.95982123382</v>
      </c>
      <c r="AC9" s="44">
        <f t="shared" si="9"/>
        <v>998739.02188130422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1.9982667497168574</v>
      </c>
      <c r="AP9" s="47">
        <f t="shared" si="17"/>
        <v>0.83544112474118237</v>
      </c>
    </row>
    <row r="10" spans="1:42" ht="13.5" customHeight="1">
      <c r="A10" s="54">
        <f>SUM(O5:O999)</f>
        <v>56345</v>
      </c>
      <c r="B10" s="97" t="s">
        <v>33</v>
      </c>
      <c r="C10" s="98">
        <v>18230249</v>
      </c>
      <c r="D10" s="61" t="s">
        <v>34</v>
      </c>
      <c r="E10" s="38" t="s">
        <v>1711</v>
      </c>
      <c r="F10" s="39" t="s">
        <v>1712</v>
      </c>
      <c r="G10" s="39">
        <v>20</v>
      </c>
      <c r="H10" s="39"/>
      <c r="I10" s="40" t="s">
        <v>283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1.8102759783476793E-2</v>
      </c>
      <c r="V10" s="48">
        <f t="shared" si="2"/>
        <v>308.33000000000004</v>
      </c>
      <c r="W10" s="49">
        <f t="shared" si="3"/>
        <v>9.0513798917383971E-4</v>
      </c>
      <c r="X10" s="44">
        <f t="shared" si="4"/>
        <v>66.225507143491001</v>
      </c>
      <c r="Y10" s="44">
        <f t="shared" si="5"/>
        <v>308.33000000000004</v>
      </c>
      <c r="Z10" s="44">
        <f t="shared" si="6"/>
        <v>358.04108971514779</v>
      </c>
      <c r="AA10" s="50">
        <f t="shared" si="7"/>
        <v>874.55550714349101</v>
      </c>
      <c r="AB10" s="51">
        <f t="shared" si="8"/>
        <v>334.71168525301277</v>
      </c>
      <c r="AC10" s="44">
        <f t="shared" si="9"/>
        <v>817.57082092501719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2.0974454154874005</v>
      </c>
      <c r="AP10" s="47">
        <f t="shared" si="17"/>
        <v>1.0940524726407523</v>
      </c>
    </row>
    <row r="11" spans="1:42" ht="13.5" customHeight="1">
      <c r="A11" s="36" t="s">
        <v>252</v>
      </c>
      <c r="B11" s="97" t="s">
        <v>33</v>
      </c>
      <c r="C11" s="98">
        <v>18230249</v>
      </c>
      <c r="D11" s="61" t="s">
        <v>34</v>
      </c>
      <c r="E11" s="38" t="s">
        <v>1713</v>
      </c>
      <c r="F11" s="39" t="s">
        <v>1712</v>
      </c>
      <c r="G11" s="39">
        <v>20</v>
      </c>
      <c r="H11" s="39"/>
      <c r="I11" s="40" t="s">
        <v>283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5.9632620463217684E-2</v>
      </c>
      <c r="V11" s="48">
        <f t="shared" si="2"/>
        <v>425.6</v>
      </c>
      <c r="W11" s="49">
        <f t="shared" si="3"/>
        <v>2.981631023160884E-3</v>
      </c>
      <c r="X11" s="44">
        <f t="shared" si="4"/>
        <v>218.15461176679392</v>
      </c>
      <c r="Y11" s="44">
        <f t="shared" si="5"/>
        <v>1702.4</v>
      </c>
      <c r="Z11" s="44">
        <f t="shared" si="6"/>
        <v>1179.4294720028397</v>
      </c>
      <c r="AA11" s="50">
        <f t="shared" si="7"/>
        <v>3920.5546117667941</v>
      </c>
      <c r="AB11" s="51">
        <f t="shared" si="8"/>
        <v>1102.5796690687478</v>
      </c>
      <c r="AC11" s="44">
        <f t="shared" si="9"/>
        <v>3665.0973280048552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2.0974454154874009</v>
      </c>
      <c r="AP11" s="47">
        <f t="shared" si="17"/>
        <v>0.86826088579178029</v>
      </c>
    </row>
    <row r="12" spans="1:42" ht="13.5" customHeight="1">
      <c r="A12" s="55">
        <f>SUM(P5:P1000)</f>
        <v>322399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846181.82999997993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19.791782766882601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395565.2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1241747.02999998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1.9800283984529357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0.86223858538623654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18230625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18230625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18230247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18230247</v>
      </c>
      <c r="D5" s="61" t="s">
        <v>330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18230434</v>
      </c>
      <c r="D5" s="61" t="s">
        <v>331</v>
      </c>
      <c r="E5" s="38" t="s">
        <v>629</v>
      </c>
      <c r="F5" s="39" t="s">
        <v>630</v>
      </c>
      <c r="G5" s="39">
        <v>14</v>
      </c>
      <c r="H5" s="39"/>
      <c r="I5" s="40" t="s">
        <v>279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3.7924718144526064E-3</v>
      </c>
      <c r="V5" s="48">
        <f t="shared" ref="V5:V24" si="2">N5-M5</f>
        <v>0</v>
      </c>
      <c r="W5" s="49">
        <f t="shared" ref="W5:W24" si="3">(O5/A$10)</f>
        <v>2.708908438894719E-4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331</v>
      </c>
      <c r="E6" s="38" t="s">
        <v>631</v>
      </c>
      <c r="F6" s="39" t="s">
        <v>630</v>
      </c>
      <c r="G6" s="39">
        <v>14</v>
      </c>
      <c r="H6" s="39"/>
      <c r="I6" s="40" t="s">
        <v>279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2.0289724207321442</v>
      </c>
      <c r="V6" s="48">
        <f t="shared" si="2"/>
        <v>0</v>
      </c>
      <c r="W6" s="49">
        <f t="shared" si="3"/>
        <v>0.14492660148086745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18230434</v>
      </c>
      <c r="D7" s="61" t="s">
        <v>331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331</v>
      </c>
      <c r="E8" s="38" t="s">
        <v>634</v>
      </c>
      <c r="F8" s="39" t="s">
        <v>635</v>
      </c>
      <c r="G8" s="39"/>
      <c r="H8" s="39"/>
      <c r="I8" s="40" t="s">
        <v>279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18230434</v>
      </c>
      <c r="D9" s="61" t="s">
        <v>331</v>
      </c>
      <c r="E9" s="38" t="s">
        <v>648</v>
      </c>
      <c r="F9" s="39" t="s">
        <v>649</v>
      </c>
      <c r="G9" s="39">
        <v>14</v>
      </c>
      <c r="H9" s="39"/>
      <c r="I9" s="40" t="s">
        <v>279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1.0676711127163734</v>
      </c>
      <c r="V9" s="48">
        <f t="shared" si="2"/>
        <v>0</v>
      </c>
      <c r="W9" s="49">
        <f t="shared" si="3"/>
        <v>7.6262222336883817E-2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7752.2000000001335</v>
      </c>
      <c r="B10" s="97" t="s">
        <v>33</v>
      </c>
      <c r="C10" s="98">
        <v>18230434</v>
      </c>
      <c r="D10" s="61" t="s">
        <v>331</v>
      </c>
      <c r="E10" s="38" t="s">
        <v>650</v>
      </c>
      <c r="F10" s="39" t="s">
        <v>651</v>
      </c>
      <c r="G10" s="39">
        <v>14</v>
      </c>
      <c r="H10" s="39"/>
      <c r="I10" s="40" t="s">
        <v>279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18230434</v>
      </c>
      <c r="D11" s="61" t="s">
        <v>331</v>
      </c>
      <c r="E11" s="38" t="s">
        <v>652</v>
      </c>
      <c r="F11" s="39" t="s">
        <v>653</v>
      </c>
      <c r="G11" s="39"/>
      <c r="H11" s="39"/>
      <c r="I11" s="40" t="s">
        <v>279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331</v>
      </c>
      <c r="E12" s="38" t="s">
        <v>654</v>
      </c>
      <c r="F12" s="39" t="s">
        <v>655</v>
      </c>
      <c r="G12" s="39">
        <v>14</v>
      </c>
      <c r="H12" s="39"/>
      <c r="I12" s="40" t="s">
        <v>279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10.053842780114095</v>
      </c>
      <c r="V12" s="48">
        <f t="shared" si="2"/>
        <v>0</v>
      </c>
      <c r="W12" s="49">
        <f t="shared" si="3"/>
        <v>0.71813162715100676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18230434</v>
      </c>
      <c r="D13" s="61" t="s">
        <v>331</v>
      </c>
      <c r="E13" s="38" t="s">
        <v>656</v>
      </c>
      <c r="F13" s="39" t="s">
        <v>657</v>
      </c>
      <c r="G13" s="39">
        <v>14</v>
      </c>
      <c r="H13" s="39"/>
      <c r="I13" s="40" t="s">
        <v>279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0.84572121462293481</v>
      </c>
      <c r="V13" s="48">
        <f t="shared" si="2"/>
        <v>0</v>
      </c>
      <c r="W13" s="49">
        <f t="shared" si="3"/>
        <v>6.0408658187352485E-2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331</v>
      </c>
      <c r="E14" s="38" t="s">
        <v>658</v>
      </c>
      <c r="F14" s="39" t="s">
        <v>659</v>
      </c>
      <c r="G14" s="39">
        <v>14</v>
      </c>
      <c r="H14" s="39"/>
      <c r="I14" s="40" t="s">
        <v>279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97" t="s">
        <v>33</v>
      </c>
      <c r="C15" s="98">
        <v>18230434</v>
      </c>
      <c r="D15" s="61" t="s">
        <v>331</v>
      </c>
      <c r="E15" s="38" t="s">
        <v>660</v>
      </c>
      <c r="F15" s="39" t="s">
        <v>661</v>
      </c>
      <c r="G15" s="39">
        <v>14</v>
      </c>
      <c r="H15" s="39"/>
      <c r="I15" s="40" t="s">
        <v>279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18230687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18230687</v>
      </c>
      <c r="D5" s="61" t="s">
        <v>332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1080093.9099999999</v>
      </c>
      <c r="B6" s="97" t="s">
        <v>33</v>
      </c>
      <c r="C6" s="98">
        <v>18230687</v>
      </c>
      <c r="D6" s="61" t="s">
        <v>332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18230687</v>
      </c>
      <c r="D7" s="61" t="s">
        <v>332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0.45497473739278882</v>
      </c>
      <c r="V7" s="48">
        <f t="shared" si="2"/>
        <v>70.28</v>
      </c>
      <c r="W7" s="49">
        <f t="shared" si="3"/>
        <v>3.7914561449399066E-2</v>
      </c>
      <c r="X7" s="44">
        <f t="shared" si="4"/>
        <v>7981.566841967594</v>
      </c>
      <c r="Y7" s="44">
        <f t="shared" si="5"/>
        <v>32258.519999999597</v>
      </c>
      <c r="Z7" s="44">
        <f t="shared" si="6"/>
        <v>48932.853763784296</v>
      </c>
      <c r="AA7" s="50">
        <f t="shared" si="7"/>
        <v>74665.08684196719</v>
      </c>
      <c r="AB7" s="51">
        <f t="shared" si="8"/>
        <v>45744.4645823916</v>
      </c>
      <c r="AC7" s="44">
        <f t="shared" si="9"/>
        <v>69800.025092986049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3.2128378377647686</v>
      </c>
      <c r="AP7" s="47">
        <f t="shared" si="17"/>
        <v>2.3161381551237175</v>
      </c>
    </row>
    <row r="8" spans="1:42" ht="13.5" customHeight="1">
      <c r="A8" s="53">
        <f>SUMIF('Program Costs'!D:D,C2,'Program Costs'!O:O)</f>
        <v>210514.55000000005</v>
      </c>
      <c r="B8" s="97" t="s">
        <v>33</v>
      </c>
      <c r="C8" s="98">
        <v>18230687</v>
      </c>
      <c r="D8" s="61" t="s">
        <v>332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2.0822721202692844E-2</v>
      </c>
      <c r="V8" s="48">
        <f t="shared" si="2"/>
        <v>76.830000000000013</v>
      </c>
      <c r="W8" s="49">
        <f t="shared" si="3"/>
        <v>1.8929746547902584E-3</v>
      </c>
      <c r="X8" s="44">
        <f t="shared" si="4"/>
        <v>398.49870761457669</v>
      </c>
      <c r="Y8" s="44">
        <f t="shared" si="5"/>
        <v>1920.75</v>
      </c>
      <c r="Z8" s="44">
        <f t="shared" si="6"/>
        <v>2443.089104037887</v>
      </c>
      <c r="AA8" s="50">
        <f t="shared" si="7"/>
        <v>4194.2487076145771</v>
      </c>
      <c r="AB8" s="51">
        <f t="shared" si="8"/>
        <v>2283.9011910235458</v>
      </c>
      <c r="AC8" s="44">
        <f t="shared" si="9"/>
        <v>3920.9579392489268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2.9792924386574358</v>
      </c>
      <c r="AP8" s="47">
        <f t="shared" si="17"/>
        <v>1.9089341482190516</v>
      </c>
    </row>
    <row r="9" spans="1:42" ht="13.5" customHeight="1">
      <c r="A9" s="36" t="s">
        <v>317</v>
      </c>
      <c r="B9" s="97" t="s">
        <v>33</v>
      </c>
      <c r="C9" s="98">
        <v>18230687</v>
      </c>
      <c r="D9" s="61" t="s">
        <v>332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435822</v>
      </c>
      <c r="B10" s="97" t="s">
        <v>33</v>
      </c>
      <c r="C10" s="98">
        <v>18230687</v>
      </c>
      <c r="D10" s="61" t="s">
        <v>332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18230687</v>
      </c>
      <c r="D11" s="61" t="s">
        <v>332</v>
      </c>
      <c r="E11" s="38" t="s">
        <v>676</v>
      </c>
      <c r="F11" s="39" t="s">
        <v>677</v>
      </c>
      <c r="G11" s="39">
        <v>11</v>
      </c>
      <c r="H11" s="39"/>
      <c r="I11" s="40" t="s">
        <v>283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1.64666079270895</v>
      </c>
      <c r="V11" s="48">
        <f t="shared" si="2"/>
        <v>97.38</v>
      </c>
      <c r="W11" s="49">
        <f t="shared" si="3"/>
        <v>0.14969643570081365</v>
      </c>
      <c r="X11" s="44">
        <f t="shared" si="4"/>
        <v>31513.277798160725</v>
      </c>
      <c r="Y11" s="44">
        <f t="shared" si="5"/>
        <v>192645.85000000699</v>
      </c>
      <c r="Z11" s="44">
        <f t="shared" si="6"/>
        <v>193199.48634731612</v>
      </c>
      <c r="AA11" s="50">
        <f t="shared" si="7"/>
        <v>372308.53779816773</v>
      </c>
      <c r="AB11" s="51">
        <f t="shared" si="8"/>
        <v>180610.90618614201</v>
      </c>
      <c r="AC11" s="44">
        <f t="shared" si="9"/>
        <v>348049.48845299403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2.9792924386574358</v>
      </c>
      <c r="AP11" s="47">
        <f t="shared" si="17"/>
        <v>1.7006259095057512</v>
      </c>
    </row>
    <row r="12" spans="1:42" ht="13.5" customHeight="1">
      <c r="A12" s="55">
        <f>SUM(P5:P1000)</f>
        <v>987346.38999999908</v>
      </c>
      <c r="B12" s="97" t="s">
        <v>33</v>
      </c>
      <c r="C12" s="98">
        <v>18230687</v>
      </c>
      <c r="D12" s="61" t="s">
        <v>332</v>
      </c>
      <c r="E12" s="38" t="s">
        <v>678</v>
      </c>
      <c r="F12" s="39" t="s">
        <v>677</v>
      </c>
      <c r="G12" s="39">
        <v>11</v>
      </c>
      <c r="H12" s="39"/>
      <c r="I12" s="40" t="s">
        <v>283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8.9154563101449664</v>
      </c>
      <c r="V12" s="48">
        <f t="shared" si="2"/>
        <v>114</v>
      </c>
      <c r="W12" s="49">
        <f t="shared" si="3"/>
        <v>0.810496028194997</v>
      </c>
      <c r="X12" s="44">
        <f t="shared" si="4"/>
        <v>170621.20665225715</v>
      </c>
      <c r="Y12" s="44">
        <f t="shared" si="5"/>
        <v>1221734.0200000009</v>
      </c>
      <c r="Z12" s="44">
        <f t="shared" si="6"/>
        <v>1046033.0307848617</v>
      </c>
      <c r="AA12" s="50">
        <f t="shared" si="7"/>
        <v>2193677.2066522571</v>
      </c>
      <c r="AB12" s="51">
        <f t="shared" si="8"/>
        <v>977875.13394864125</v>
      </c>
      <c r="AC12" s="44">
        <f t="shared" si="9"/>
        <v>2050740.5876902468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2.9792924386574362</v>
      </c>
      <c r="AP12" s="47">
        <f t="shared" si="17"/>
        <v>1.5627103744926714</v>
      </c>
    </row>
    <row r="13" spans="1:42" ht="13.5" customHeight="1">
      <c r="A13" s="56" t="s">
        <v>255</v>
      </c>
      <c r="B13" s="97" t="s">
        <v>33</v>
      </c>
      <c r="C13" s="98">
        <v>18230687</v>
      </c>
      <c r="D13" s="61" t="s">
        <v>332</v>
      </c>
      <c r="E13" s="38" t="s">
        <v>679</v>
      </c>
      <c r="F13" s="39" t="s">
        <v>680</v>
      </c>
      <c r="G13" s="39">
        <v>15</v>
      </c>
      <c r="H13" s="39"/>
      <c r="I13" s="40" t="s">
        <v>283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1446984.1400000076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11.037914561449398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1290608.46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2644845.0800000066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2.9881472100431159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1.6039430467918885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1.1725699498625248E-2</v>
      </c>
      <c r="V5" s="48">
        <f t="shared" ref="V5:V24" si="2">N5-M5</f>
        <v>-1.42</v>
      </c>
      <c r="W5" s="49">
        <f t="shared" ref="W5:W24" si="3">(O5/A$10)</f>
        <v>1.1725699498625248E-3</v>
      </c>
      <c r="X5" s="44">
        <f t="shared" ref="X5:X24" si="4">W5*A$8</f>
        <v>26.332755135047684</v>
      </c>
      <c r="Y5" s="44">
        <f t="shared" ref="Y5:Y24" si="5">Q5-P5</f>
        <v>-1.42</v>
      </c>
      <c r="Z5" s="44">
        <f t="shared" ref="Z5:Z24" si="6">X5+(A$6*W5)</f>
        <v>35.376400210253884</v>
      </c>
      <c r="AA5" s="50">
        <f t="shared" ref="AA5:AA24" si="7">Q5+X5</f>
        <v>27.912755135047682</v>
      </c>
      <c r="AB5" s="51">
        <f t="shared" ref="AB5:AB24" si="8">Z5/(1+GasDiscountRate)^1</f>
        <v>33.071328606388597</v>
      </c>
      <c r="AC5" s="44">
        <f t="shared" ref="AC5:AC24" si="9">AA5/(1+GasDiscountRate)^1</f>
        <v>26.094003117741124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0.62610523332355528</v>
      </c>
      <c r="AP5" s="47">
        <f>AN5/AC5</f>
        <v>3.2663724092798598</v>
      </c>
    </row>
    <row r="6" spans="1:42" ht="13.5" customHeight="1">
      <c r="A6" s="53">
        <f>SUMIF('Program Costs'!D:D,C2,'Program Costs'!L:L)</f>
        <v>7712.67</v>
      </c>
      <c r="B6" s="97" t="s">
        <v>33</v>
      </c>
      <c r="C6" s="98">
        <v>18230700</v>
      </c>
      <c r="D6" s="61" t="s">
        <v>118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4.7295002426006736</v>
      </c>
      <c r="V6" s="48">
        <f t="shared" si="2"/>
        <v>-1.42</v>
      </c>
      <c r="W6" s="49">
        <f t="shared" si="3"/>
        <v>0.47295002426006738</v>
      </c>
      <c r="X6" s="44">
        <f t="shared" si="4"/>
        <v>10621.180579815613</v>
      </c>
      <c r="Y6" s="44">
        <f t="shared" si="5"/>
        <v>-790.94</v>
      </c>
      <c r="Z6" s="44">
        <f t="shared" si="6"/>
        <v>14268.888043425508</v>
      </c>
      <c r="AA6" s="50">
        <f t="shared" si="7"/>
        <v>11501.240579815612</v>
      </c>
      <c r="AB6" s="51">
        <f t="shared" si="8"/>
        <v>13339.149334790602</v>
      </c>
      <c r="AC6" s="44">
        <f t="shared" si="9"/>
        <v>10751.837505670386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0.62610523332355517</v>
      </c>
      <c r="AP6" s="47">
        <f t="shared" ref="AP6:AP24" si="17">AN6/AC6</f>
        <v>2.800143125809571</v>
      </c>
    </row>
    <row r="7" spans="1:42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0.41242115477923286</v>
      </c>
      <c r="V7" s="48">
        <f t="shared" si="2"/>
        <v>8.0000000000000071E-2</v>
      </c>
      <c r="W7" s="49">
        <f t="shared" si="3"/>
        <v>4.1242115477923287E-2</v>
      </c>
      <c r="X7" s="44">
        <f t="shared" si="4"/>
        <v>926.18655992236677</v>
      </c>
      <c r="Y7" s="44">
        <f t="shared" si="5"/>
        <v>5.4399999999999977</v>
      </c>
      <c r="Z7" s="44">
        <f t="shared" si="6"/>
        <v>1244.2733867054812</v>
      </c>
      <c r="AA7" s="50">
        <f t="shared" si="7"/>
        <v>1033.6265599223668</v>
      </c>
      <c r="AB7" s="51">
        <f t="shared" si="8"/>
        <v>1163.1984544315987</v>
      </c>
      <c r="AC7" s="44">
        <f t="shared" si="9"/>
        <v>966.2770495675112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0.62610523332355539</v>
      </c>
      <c r="AP7" s="47">
        <f t="shared" si="17"/>
        <v>2.0714164563790494</v>
      </c>
    </row>
    <row r="8" spans="1:42" ht="13.5" customHeight="1">
      <c r="A8" s="53">
        <f>SUMIF('Program Costs'!D:D,C2,'Program Costs'!O:O)</f>
        <v>22457.300000000003</v>
      </c>
      <c r="B8" s="97" t="s">
        <v>33</v>
      </c>
      <c r="C8" s="98">
        <v>18230700</v>
      </c>
      <c r="D8" s="61" t="s">
        <v>118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18230700</v>
      </c>
      <c r="D9" s="61" t="s">
        <v>118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2473.200000000003</v>
      </c>
      <c r="B10" s="97" t="s">
        <v>33</v>
      </c>
      <c r="C10" s="98">
        <v>18230700</v>
      </c>
      <c r="D10" s="61" t="s">
        <v>118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18230700</v>
      </c>
      <c r="D11" s="61" t="s">
        <v>118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5.1754811580139032E-2</v>
      </c>
      <c r="V11" s="48">
        <f t="shared" si="2"/>
        <v>3.6399999999999997</v>
      </c>
      <c r="W11" s="49">
        <f t="shared" si="3"/>
        <v>5.1754811580139032E-3</v>
      </c>
      <c r="X11" s="44">
        <f t="shared" si="4"/>
        <v>116.22733300986565</v>
      </c>
      <c r="Y11" s="44">
        <f t="shared" si="5"/>
        <v>116.47999999999999</v>
      </c>
      <c r="Z11" s="44">
        <f t="shared" si="6"/>
        <v>156.14411127284473</v>
      </c>
      <c r="AA11" s="50">
        <f t="shared" si="7"/>
        <v>280.70733300986564</v>
      </c>
      <c r="AB11" s="51">
        <f t="shared" si="8"/>
        <v>145.97000212474967</v>
      </c>
      <c r="AC11" s="44">
        <f t="shared" si="9"/>
        <v>262.41687670362307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0.62610523332355528</v>
      </c>
      <c r="AP11" s="47">
        <f t="shared" si="17"/>
        <v>3.0933313671647507</v>
      </c>
    </row>
    <row r="12" spans="1:42" ht="13.5" customHeight="1">
      <c r="A12" s="55">
        <f>SUM(P5:P1000)</f>
        <v>7621.5</v>
      </c>
      <c r="B12" s="97" t="s">
        <v>33</v>
      </c>
      <c r="C12" s="98">
        <v>18230700</v>
      </c>
      <c r="D12" s="61" t="s">
        <v>118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18230700</v>
      </c>
      <c r="D13" s="61" t="s">
        <v>118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7.2780203784570507E-2</v>
      </c>
      <c r="V13" s="48">
        <f t="shared" si="2"/>
        <v>15.04</v>
      </c>
      <c r="W13" s="49">
        <f t="shared" si="3"/>
        <v>7.2780203784570509E-3</v>
      </c>
      <c r="X13" s="44">
        <f t="shared" si="4"/>
        <v>163.44468704512354</v>
      </c>
      <c r="Y13" s="44">
        <f t="shared" si="5"/>
        <v>-19.920000000000002</v>
      </c>
      <c r="Z13" s="44">
        <f t="shared" si="6"/>
        <v>219.57765647743787</v>
      </c>
      <c r="AA13" s="50">
        <f t="shared" si="7"/>
        <v>203.52468704512353</v>
      </c>
      <c r="AB13" s="51">
        <f t="shared" si="8"/>
        <v>205.2703154879292</v>
      </c>
      <c r="AC13" s="44">
        <f t="shared" si="9"/>
        <v>190.26333275228896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0.62610523332355539</v>
      </c>
      <c r="AP13" s="47">
        <f t="shared" si="17"/>
        <v>2.167719358971429</v>
      </c>
    </row>
    <row r="14" spans="1:42" ht="13.5" customHeight="1">
      <c r="A14" s="55">
        <f>SUM(Y5:Y1000)</f>
        <v>3895.1200000000204</v>
      </c>
      <c r="B14" s="97" t="s">
        <v>33</v>
      </c>
      <c r="C14" s="98">
        <v>18230700</v>
      </c>
      <c r="D14" s="61" t="s">
        <v>118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1.5114022319262477</v>
      </c>
      <c r="V14" s="48">
        <f t="shared" si="2"/>
        <v>-0.99000000000000021</v>
      </c>
      <c r="W14" s="49">
        <f t="shared" si="3"/>
        <v>0.15114022319262477</v>
      </c>
      <c r="X14" s="44">
        <f t="shared" si="4"/>
        <v>3394.2013343037324</v>
      </c>
      <c r="Y14" s="44">
        <f t="shared" si="5"/>
        <v>-265.22000000000003</v>
      </c>
      <c r="Z14" s="44">
        <f t="shared" si="6"/>
        <v>4559.8959995147934</v>
      </c>
      <c r="AA14" s="50">
        <f t="shared" si="7"/>
        <v>4463.9813343037322</v>
      </c>
      <c r="AB14" s="51">
        <f t="shared" si="8"/>
        <v>4262.78021829933</v>
      </c>
      <c r="AC14" s="44">
        <f t="shared" si="9"/>
        <v>4173.1152045468189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0.62610523332355528</v>
      </c>
      <c r="AP14" s="47">
        <f t="shared" si="17"/>
        <v>6.4845068452212988</v>
      </c>
    </row>
    <row r="15" spans="1:42" ht="13.5" customHeight="1">
      <c r="A15" s="57" t="s">
        <v>258</v>
      </c>
      <c r="B15" s="97" t="s">
        <v>33</v>
      </c>
      <c r="C15" s="98">
        <v>18230700</v>
      </c>
      <c r="D15" s="61" t="s">
        <v>118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0.95261200064694207</v>
      </c>
      <c r="V16" s="48">
        <f t="shared" si="2"/>
        <v>3.9000000000000004</v>
      </c>
      <c r="W16" s="49">
        <f t="shared" si="3"/>
        <v>9.5261200064694213E-2</v>
      </c>
      <c r="X16" s="44">
        <f t="shared" si="4"/>
        <v>2139.3093482128575</v>
      </c>
      <c r="Y16" s="44">
        <f t="shared" si="5"/>
        <v>1778.1000000000199</v>
      </c>
      <c r="Z16" s="44">
        <f t="shared" si="6"/>
        <v>2874.0275481158224</v>
      </c>
      <c r="AA16" s="50">
        <f t="shared" si="7"/>
        <v>5319.9093482128774</v>
      </c>
      <c r="AB16" s="51">
        <f t="shared" si="8"/>
        <v>2686.7603516086961</v>
      </c>
      <c r="AC16" s="44">
        <f t="shared" si="9"/>
        <v>4973.2722709291174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0.62610523332355006</v>
      </c>
      <c r="AP16" s="47">
        <f t="shared" si="17"/>
        <v>3.4707544596560465</v>
      </c>
    </row>
    <row r="17" spans="1:42" ht="13.5" customHeight="1">
      <c r="A17" s="58" t="s">
        <v>261</v>
      </c>
      <c r="B17" s="97" t="s">
        <v>33</v>
      </c>
      <c r="C17" s="98">
        <v>18230700</v>
      </c>
      <c r="D17" s="61" t="s">
        <v>118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30169.97</v>
      </c>
      <c r="B18" s="97" t="s">
        <v>33</v>
      </c>
      <c r="C18" s="98">
        <v>18230700</v>
      </c>
      <c r="D18" s="61" t="s">
        <v>118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2.2578036551835692</v>
      </c>
      <c r="V18" s="48">
        <f t="shared" si="2"/>
        <v>12.399999999999999</v>
      </c>
      <c r="W18" s="49">
        <f t="shared" si="3"/>
        <v>0.22578036551835692</v>
      </c>
      <c r="X18" s="44">
        <f t="shared" si="4"/>
        <v>5070.4174025553975</v>
      </c>
      <c r="Y18" s="44">
        <f t="shared" si="5"/>
        <v>3072.6000000000004</v>
      </c>
      <c r="Z18" s="44">
        <f t="shared" si="6"/>
        <v>6811.7868542778633</v>
      </c>
      <c r="AA18" s="50">
        <f t="shared" si="7"/>
        <v>11143.017402555397</v>
      </c>
      <c r="AB18" s="51">
        <f t="shared" si="8"/>
        <v>6367.9413426922156</v>
      </c>
      <c r="AC18" s="44">
        <f t="shared" si="9"/>
        <v>10416.955597415534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0.62610523332355417</v>
      </c>
      <c r="AP18" s="47">
        <f t="shared" si="17"/>
        <v>1.2975898258539251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33973.920000000027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0.62610523332355439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3.5257390576125798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24 R5:S24">
    <cfRule type="expression" dxfId="107" priority="2">
      <formula>ISTEXT(M5)</formula>
    </cfRule>
  </conditionalFormatting>
  <conditionalFormatting sqref="M5:N24 R5:S24">
    <cfRule type="notContainsBlanks" dxfId="106" priority="3">
      <formula>LEN(TRIM(M5))&gt;0</formula>
    </cfRule>
  </conditionalFormatting>
  <conditionalFormatting sqref="R5:S24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topLeftCell="V1" zoomScale="85" zoomScaleNormal="85" workbookViewId="0">
      <selection activeCell="AM5" sqref="AM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1714</v>
      </c>
      <c r="F5" s="39" t="s">
        <v>1715</v>
      </c>
      <c r="G5" s="39">
        <v>30</v>
      </c>
      <c r="H5" s="39"/>
      <c r="I5" s="40" t="s">
        <v>283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2.7684464626344129E-3</v>
      </c>
      <c r="V5" s="48">
        <f t="shared" ref="V5:V24" si="2">N5-M5</f>
        <v>-29.5</v>
      </c>
      <c r="W5" s="49">
        <f t="shared" ref="W5:W24" si="3">(O5/A$10)</f>
        <v>9.2281548754480434E-5</v>
      </c>
      <c r="X5" s="44">
        <f t="shared" ref="X5:X24" si="4">W5*A$8</f>
        <v>12.65710190921523</v>
      </c>
      <c r="Y5" s="44">
        <f t="shared" ref="Y5:Y24" si="5">Q5-P5</f>
        <v>790.5</v>
      </c>
      <c r="Z5" s="44">
        <f t="shared" ref="Z5:Z24" si="6">X5+(A$6*W5)</f>
        <v>216.61788709014897</v>
      </c>
      <c r="AA5" s="50">
        <f t="shared" ref="AA5:AA24" si="7">Q5+X5</f>
        <v>853.15710190921527</v>
      </c>
      <c r="AB5" s="51">
        <f t="shared" ref="AB5:AB24" si="8">Z5/(1+GasDiscountRate)^1</f>
        <v>202.50340010297182</v>
      </c>
      <c r="AC5" s="44">
        <f t="shared" ref="AC5:AC24" si="9">AA5/(1+GasDiscountRate)^1</f>
        <v>797.56670272900362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2.4554134249261748</v>
      </c>
      <c r="AP5" s="47">
        <f>AN5/AC5</f>
        <v>0.83933591057084189</v>
      </c>
    </row>
    <row r="6" spans="1:42" ht="13.5" customHeight="1">
      <c r="A6" s="53">
        <f>SUMIF('Program Costs'!D:D,C2,'Program Costs'!L:L)</f>
        <v>2210201.15</v>
      </c>
      <c r="B6" s="97" t="s">
        <v>33</v>
      </c>
      <c r="C6" s="98">
        <v>18230637</v>
      </c>
      <c r="D6" s="61" t="s">
        <v>82</v>
      </c>
      <c r="E6" s="38" t="s">
        <v>1716</v>
      </c>
      <c r="F6" s="39" t="s">
        <v>1715</v>
      </c>
      <c r="G6" s="39">
        <v>45</v>
      </c>
      <c r="H6" s="39"/>
      <c r="I6" s="40" t="s">
        <v>283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3.556589092489745</v>
      </c>
      <c r="V6" s="48">
        <f t="shared" si="2"/>
        <v>-29.5</v>
      </c>
      <c r="W6" s="49">
        <f t="shared" si="3"/>
        <v>7.9035313166438775E-2</v>
      </c>
      <c r="X6" s="44">
        <f t="shared" si="4"/>
        <v>10840.282013860182</v>
      </c>
      <c r="Y6" s="44">
        <f t="shared" si="5"/>
        <v>635953.07999999996</v>
      </c>
      <c r="Z6" s="44">
        <f t="shared" si="6"/>
        <v>185524.2220649333</v>
      </c>
      <c r="AA6" s="50">
        <f t="shared" si="7"/>
        <v>730693.36201386014</v>
      </c>
      <c r="AB6" s="51">
        <f t="shared" si="8"/>
        <v>173435.75027104167</v>
      </c>
      <c r="AC6" s="44">
        <f t="shared" si="9"/>
        <v>683082.51099734509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3.5561700650655235</v>
      </c>
      <c r="AP6" s="47">
        <f t="shared" ref="AP6:AP24" si="17">AN6/AC6</f>
        <v>0.99320904098114271</v>
      </c>
    </row>
    <row r="7" spans="1:42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1717</v>
      </c>
      <c r="F7" s="39" t="s">
        <v>1715</v>
      </c>
      <c r="G7" s="39">
        <v>45</v>
      </c>
      <c r="H7" s="39"/>
      <c r="I7" s="40" t="s">
        <v>283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7.5140706502473025</v>
      </c>
      <c r="V7" s="48">
        <f t="shared" si="2"/>
        <v>-27.4</v>
      </c>
      <c r="W7" s="49">
        <f t="shared" si="3"/>
        <v>0.16697934778327339</v>
      </c>
      <c r="X7" s="44">
        <f t="shared" si="4"/>
        <v>22902.461544616963</v>
      </c>
      <c r="Y7" s="44">
        <f t="shared" si="5"/>
        <v>2491082.14</v>
      </c>
      <c r="Z7" s="44">
        <f t="shared" si="6"/>
        <v>391960.40804145776</v>
      </c>
      <c r="AA7" s="50">
        <f t="shared" si="7"/>
        <v>2838573.6015446172</v>
      </c>
      <c r="AB7" s="51">
        <f t="shared" si="8"/>
        <v>366420.87318075885</v>
      </c>
      <c r="AC7" s="44">
        <f t="shared" si="9"/>
        <v>2653616.5294424766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3.5459122360726978</v>
      </c>
      <c r="AP7" s="47">
        <f t="shared" si="17"/>
        <v>0.53859548570146432</v>
      </c>
    </row>
    <row r="8" spans="1:42" ht="13.5" customHeight="1">
      <c r="A8" s="53">
        <f>SUMIF('Program Costs'!D:D,C2,'Program Costs'!O:O)</f>
        <v>137157.45000000019</v>
      </c>
      <c r="B8" s="97" t="s">
        <v>33</v>
      </c>
      <c r="C8" s="98">
        <v>18230637</v>
      </c>
      <c r="D8" s="61" t="s">
        <v>82</v>
      </c>
      <c r="E8" s="38" t="s">
        <v>1718</v>
      </c>
      <c r="F8" s="39" t="s">
        <v>1719</v>
      </c>
      <c r="G8" s="39">
        <v>25</v>
      </c>
      <c r="H8" s="39"/>
      <c r="I8" s="40" t="s">
        <v>283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8.2328927452072678E-3</v>
      </c>
      <c r="V8" s="48">
        <f t="shared" si="2"/>
        <v>-182.19</v>
      </c>
      <c r="W8" s="49">
        <f t="shared" si="3"/>
        <v>3.293157098082907E-4</v>
      </c>
      <c r="X8" s="44">
        <f t="shared" si="4"/>
        <v>45.168103002245203</v>
      </c>
      <c r="Y8" s="44">
        <f t="shared" si="5"/>
        <v>169.31999999999971</v>
      </c>
      <c r="Z8" s="44">
        <f t="shared" si="6"/>
        <v>773.02206353359554</v>
      </c>
      <c r="AA8" s="50">
        <f t="shared" si="7"/>
        <v>4214.4881030022452</v>
      </c>
      <c r="AB8" s="51">
        <f t="shared" si="8"/>
        <v>722.65313969673321</v>
      </c>
      <c r="AC8" s="44">
        <f t="shared" si="9"/>
        <v>3939.8785668900109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2.1344818432279244</v>
      </c>
      <c r="AP8" s="47">
        <f t="shared" si="17"/>
        <v>0.43065769093921691</v>
      </c>
    </row>
    <row r="9" spans="1:42" ht="13.5" customHeight="1">
      <c r="A9" s="36" t="s">
        <v>317</v>
      </c>
      <c r="B9" s="97" t="s">
        <v>33</v>
      </c>
      <c r="C9" s="98">
        <v>18230637</v>
      </c>
      <c r="D9" s="61" t="s">
        <v>82</v>
      </c>
      <c r="E9" s="38" t="s">
        <v>1720</v>
      </c>
      <c r="F9" s="39" t="s">
        <v>1719</v>
      </c>
      <c r="G9" s="39">
        <v>25</v>
      </c>
      <c r="H9" s="39"/>
      <c r="I9" s="40" t="s">
        <v>283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8.7444152782232429E-2</v>
      </c>
      <c r="V9" s="48">
        <f t="shared" si="2"/>
        <v>-181.47</v>
      </c>
      <c r="W9" s="49">
        <f t="shared" si="3"/>
        <v>3.497766111289297E-3</v>
      </c>
      <c r="X9" s="44">
        <f t="shared" si="4"/>
        <v>479.74468052085683</v>
      </c>
      <c r="Y9" s="44">
        <f t="shared" si="5"/>
        <v>10189.720000000001</v>
      </c>
      <c r="Z9" s="44">
        <f t="shared" si="6"/>
        <v>8210.5113621234887</v>
      </c>
      <c r="AA9" s="50">
        <f t="shared" si="7"/>
        <v>24611.734680520858</v>
      </c>
      <c r="AB9" s="51">
        <f t="shared" si="8"/>
        <v>7675.527121738327</v>
      </c>
      <c r="AC9" s="44">
        <f t="shared" si="9"/>
        <v>23008.072058073158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2.1241444423728293</v>
      </c>
      <c r="AP9" s="47">
        <f t="shared" si="17"/>
        <v>0.77947952616141791</v>
      </c>
    </row>
    <row r="10" spans="1:42" ht="13.5" customHeight="1">
      <c r="A10" s="54">
        <f>SUM(O5:O999)</f>
        <v>284347.2</v>
      </c>
      <c r="B10" s="97" t="s">
        <v>33</v>
      </c>
      <c r="C10" s="98">
        <v>18230637</v>
      </c>
      <c r="D10" s="61" t="s">
        <v>82</v>
      </c>
      <c r="E10" s="38" t="s">
        <v>1721</v>
      </c>
      <c r="F10" s="39" t="s">
        <v>1722</v>
      </c>
      <c r="G10" s="39">
        <v>45</v>
      </c>
      <c r="H10" s="39"/>
      <c r="I10" s="40" t="s">
        <v>283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1.2080407333006971</v>
      </c>
      <c r="V10" s="48">
        <f t="shared" si="2"/>
        <v>0.74</v>
      </c>
      <c r="W10" s="49">
        <f t="shared" si="3"/>
        <v>2.6845349628904381E-2</v>
      </c>
      <c r="X10" s="44">
        <f t="shared" si="4"/>
        <v>3682.039699458976</v>
      </c>
      <c r="Y10" s="44">
        <f t="shared" si="5"/>
        <v>57273.520000000004</v>
      </c>
      <c r="Z10" s="44">
        <f t="shared" si="6"/>
        <v>63015.662321415512</v>
      </c>
      <c r="AA10" s="50">
        <f t="shared" si="7"/>
        <v>98336.199699458986</v>
      </c>
      <c r="AB10" s="51">
        <f t="shared" si="8"/>
        <v>58909.659083308878</v>
      </c>
      <c r="AC10" s="44">
        <f t="shared" si="9"/>
        <v>91928.764793361668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3.5561707613154283</v>
      </c>
      <c r="AP10" s="47">
        <f t="shared" si="17"/>
        <v>2.5067462662880877</v>
      </c>
    </row>
    <row r="11" spans="1:42" ht="13.5" customHeight="1">
      <c r="A11" s="36" t="s">
        <v>252</v>
      </c>
      <c r="B11" s="97" t="s">
        <v>33</v>
      </c>
      <c r="C11" s="98">
        <v>18230637</v>
      </c>
      <c r="D11" s="61" t="s">
        <v>82</v>
      </c>
      <c r="E11" s="38" t="s">
        <v>1723</v>
      </c>
      <c r="F11" s="39" t="s">
        <v>1722</v>
      </c>
      <c r="G11" s="39">
        <v>45</v>
      </c>
      <c r="H11" s="39"/>
      <c r="I11" s="40" t="s">
        <v>283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4.2107057850402612</v>
      </c>
      <c r="V11" s="48">
        <f t="shared" si="2"/>
        <v>0.99</v>
      </c>
      <c r="W11" s="49">
        <f t="shared" si="3"/>
        <v>9.3571239667561354E-2</v>
      </c>
      <c r="X11" s="44">
        <f t="shared" si="4"/>
        <v>12833.99262614158</v>
      </c>
      <c r="Y11" s="44">
        <f t="shared" si="5"/>
        <v>282434.02</v>
      </c>
      <c r="Z11" s="44">
        <f t="shared" si="6"/>
        <v>219645.25414631129</v>
      </c>
      <c r="AA11" s="50">
        <f t="shared" si="7"/>
        <v>441882.47262614156</v>
      </c>
      <c r="AB11" s="51">
        <f t="shared" si="8"/>
        <v>205333.50859709384</v>
      </c>
      <c r="AC11" s="44">
        <f t="shared" si="9"/>
        <v>413090.09313465602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3.463808521892477</v>
      </c>
      <c r="AP11" s="47">
        <f t="shared" si="17"/>
        <v>1.8939199114236267</v>
      </c>
    </row>
    <row r="12" spans="1:42" ht="13.5" customHeight="1">
      <c r="A12" s="55">
        <f>SUM(P5:P1000)</f>
        <v>2116094.2899999996</v>
      </c>
      <c r="B12" s="97" t="s">
        <v>33</v>
      </c>
      <c r="C12" s="98">
        <v>18230637</v>
      </c>
      <c r="D12" s="61" t="s">
        <v>82</v>
      </c>
      <c r="E12" s="38" t="s">
        <v>717</v>
      </c>
      <c r="F12" s="39" t="s">
        <v>718</v>
      </c>
      <c r="G12" s="39">
        <v>45</v>
      </c>
      <c r="H12" s="39"/>
      <c r="I12" s="40" t="s">
        <v>283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0.4457441465926163</v>
      </c>
      <c r="V12" s="48">
        <f t="shared" si="2"/>
        <v>0.59000000000000008</v>
      </c>
      <c r="W12" s="49">
        <f t="shared" si="3"/>
        <v>9.9054254798359182E-3</v>
      </c>
      <c r="X12" s="44">
        <f t="shared" si="4"/>
        <v>1358.6028999793227</v>
      </c>
      <c r="Y12" s="44">
        <f t="shared" si="5"/>
        <v>54753.450000000004</v>
      </c>
      <c r="Z12" s="44">
        <f t="shared" si="6"/>
        <v>23251.585686751972</v>
      </c>
      <c r="AA12" s="50">
        <f t="shared" si="7"/>
        <v>103694.34289997933</v>
      </c>
      <c r="AB12" s="51">
        <f t="shared" si="8"/>
        <v>21736.548272180957</v>
      </c>
      <c r="AC12" s="44">
        <f t="shared" si="9"/>
        <v>96937.779657828665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3.5561707613154283</v>
      </c>
      <c r="AP12" s="47">
        <f t="shared" si="17"/>
        <v>0.87714785153251196</v>
      </c>
    </row>
    <row r="13" spans="1:42" ht="13.5" customHeight="1">
      <c r="A13" s="56" t="s">
        <v>255</v>
      </c>
      <c r="B13" s="97" t="s">
        <v>33</v>
      </c>
      <c r="C13" s="98">
        <v>18230637</v>
      </c>
      <c r="D13" s="61" t="s">
        <v>82</v>
      </c>
      <c r="E13" s="38" t="s">
        <v>719</v>
      </c>
      <c r="F13" s="39" t="s">
        <v>718</v>
      </c>
      <c r="G13" s="39">
        <v>45</v>
      </c>
      <c r="H13" s="39"/>
      <c r="I13" s="40" t="s">
        <v>283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2.1304255853407383</v>
      </c>
      <c r="V13" s="48">
        <f t="shared" si="2"/>
        <v>0.74</v>
      </c>
      <c r="W13" s="49">
        <f t="shared" si="3"/>
        <v>4.7342790785349739E-2</v>
      </c>
      <c r="X13" s="44">
        <f t="shared" si="4"/>
        <v>6493.4164600020767</v>
      </c>
      <c r="Y13" s="44">
        <f t="shared" si="5"/>
        <v>312566.71999999997</v>
      </c>
      <c r="Z13" s="44">
        <f t="shared" si="6"/>
        <v>111130.50709799146</v>
      </c>
      <c r="AA13" s="50">
        <f t="shared" si="7"/>
        <v>526509.73646000214</v>
      </c>
      <c r="AB13" s="51">
        <f t="shared" si="8"/>
        <v>103889.41488079971</v>
      </c>
      <c r="AC13" s="44">
        <f t="shared" si="9"/>
        <v>492203.17515191372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3.3235050164160831</v>
      </c>
      <c r="AP13" s="47">
        <f t="shared" si="17"/>
        <v>0.77164209788474747</v>
      </c>
    </row>
    <row r="14" spans="1:42" ht="13.5" customHeight="1">
      <c r="A14" s="55">
        <f>SUM(Y5:Y1000)</f>
        <v>6056509.9100000011</v>
      </c>
      <c r="B14" s="97" t="s">
        <v>33</v>
      </c>
      <c r="C14" s="98">
        <v>18230637</v>
      </c>
      <c r="D14" s="61" t="s">
        <v>82</v>
      </c>
      <c r="E14" s="38" t="s">
        <v>734</v>
      </c>
      <c r="F14" s="39" t="s">
        <v>735</v>
      </c>
      <c r="G14" s="39">
        <v>25</v>
      </c>
      <c r="H14" s="39"/>
      <c r="I14" s="40" t="s">
        <v>283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2.3984762290608099E-3</v>
      </c>
      <c r="V14" s="48">
        <f t="shared" si="2"/>
        <v>0</v>
      </c>
      <c r="W14" s="49">
        <f t="shared" si="3"/>
        <v>9.5939049162432403E-5</v>
      </c>
      <c r="X14" s="44">
        <f t="shared" si="4"/>
        <v>13.158755338543882</v>
      </c>
      <c r="Y14" s="44">
        <f t="shared" si="5"/>
        <v>695.96</v>
      </c>
      <c r="Z14" s="44">
        <f t="shared" si="6"/>
        <v>225.20335212725848</v>
      </c>
      <c r="AA14" s="50">
        <f t="shared" si="7"/>
        <v>1909.1187553385439</v>
      </c>
      <c r="AB14" s="51">
        <f t="shared" si="8"/>
        <v>210.52944949729687</v>
      </c>
      <c r="AC14" s="44">
        <f t="shared" si="9"/>
        <v>1784.7235256039485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2.1344818432279244</v>
      </c>
      <c r="AP14" s="47">
        <f t="shared" si="17"/>
        <v>0.27696638110440785</v>
      </c>
    </row>
    <row r="15" spans="1:42" ht="13.5" customHeight="1">
      <c r="A15" s="57" t="s">
        <v>258</v>
      </c>
      <c r="B15" s="97" t="s">
        <v>33</v>
      </c>
      <c r="C15" s="98">
        <v>18230637</v>
      </c>
      <c r="D15" s="61" t="s">
        <v>82</v>
      </c>
      <c r="E15" s="38" t="s">
        <v>739</v>
      </c>
      <c r="F15" s="39" t="s">
        <v>740</v>
      </c>
      <c r="G15" s="39">
        <v>45</v>
      </c>
      <c r="H15" s="39"/>
      <c r="I15" s="40" t="s">
        <v>283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1.1039897702527051</v>
      </c>
      <c r="V15" s="48">
        <f t="shared" si="2"/>
        <v>1.21</v>
      </c>
      <c r="W15" s="49">
        <f t="shared" si="3"/>
        <v>2.453310600561567E-2</v>
      </c>
      <c r="X15" s="44">
        <f t="shared" si="4"/>
        <v>3364.8982603099357</v>
      </c>
      <c r="Y15" s="44">
        <f t="shared" si="5"/>
        <v>224034.59</v>
      </c>
      <c r="Z15" s="44">
        <f t="shared" si="6"/>
        <v>57587.997366993593</v>
      </c>
      <c r="AA15" s="50">
        <f t="shared" si="7"/>
        <v>257985.97826030993</v>
      </c>
      <c r="AB15" s="51">
        <f t="shared" si="8"/>
        <v>53835.652395058045</v>
      </c>
      <c r="AC15" s="44">
        <f t="shared" si="9"/>
        <v>241176.0103396372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3.5561707613154283</v>
      </c>
      <c r="AP15" s="47">
        <f t="shared" si="17"/>
        <v>0.87319485036443523</v>
      </c>
    </row>
    <row r="16" spans="1:42" ht="13.5" customHeight="1">
      <c r="A16" s="54">
        <f>SUM(U5:U999)</f>
        <v>36.957792128777776</v>
      </c>
      <c r="B16" s="97" t="s">
        <v>33</v>
      </c>
      <c r="C16" s="98">
        <v>18230637</v>
      </c>
      <c r="D16" s="61" t="s">
        <v>82</v>
      </c>
      <c r="E16" s="38" t="s">
        <v>741</v>
      </c>
      <c r="F16" s="39" t="s">
        <v>740</v>
      </c>
      <c r="G16" s="39">
        <v>45</v>
      </c>
      <c r="H16" s="39"/>
      <c r="I16" s="40" t="s">
        <v>283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4.6521279267036917</v>
      </c>
      <c r="V16" s="48">
        <f t="shared" si="2"/>
        <v>1.1599999999999999</v>
      </c>
      <c r="W16" s="49">
        <f t="shared" si="3"/>
        <v>0.10338062059341538</v>
      </c>
      <c r="X16" s="44">
        <f t="shared" si="4"/>
        <v>14179.422300010359</v>
      </c>
      <c r="Y16" s="44">
        <f t="shared" si="5"/>
        <v>1060574.99</v>
      </c>
      <c r="Z16" s="44">
        <f t="shared" si="6"/>
        <v>242671.3888232907</v>
      </c>
      <c r="AA16" s="50">
        <f t="shared" si="7"/>
        <v>1215554.4123000104</v>
      </c>
      <c r="AB16" s="51">
        <f t="shared" si="8"/>
        <v>226859.29589912188</v>
      </c>
      <c r="AC16" s="44">
        <f t="shared" si="9"/>
        <v>1136350.7640460038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3.0922546027200681</v>
      </c>
      <c r="AP16" s="47">
        <f t="shared" si="17"/>
        <v>0.67906617966954019</v>
      </c>
    </row>
    <row r="17" spans="1:42" ht="13.5" customHeight="1">
      <c r="A17" s="58" t="s">
        <v>261</v>
      </c>
      <c r="B17" s="97" t="s">
        <v>33</v>
      </c>
      <c r="C17" s="98">
        <v>18230637</v>
      </c>
      <c r="D17" s="61" t="s">
        <v>82</v>
      </c>
      <c r="E17" s="38" t="s">
        <v>751</v>
      </c>
      <c r="F17" s="39" t="s">
        <v>752</v>
      </c>
      <c r="G17" s="39">
        <v>20</v>
      </c>
      <c r="H17" s="39"/>
      <c r="I17" s="40" t="s">
        <v>283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0.8636476814260875</v>
      </c>
      <c r="V17" s="48">
        <f t="shared" si="2"/>
        <v>600</v>
      </c>
      <c r="W17" s="49">
        <f t="shared" si="3"/>
        <v>4.3182384071304376E-2</v>
      </c>
      <c r="X17" s="44">
        <f t="shared" si="4"/>
        <v>5922.7856841407347</v>
      </c>
      <c r="Y17" s="44">
        <f t="shared" si="5"/>
        <v>102109.23999999999</v>
      </c>
      <c r="Z17" s="44">
        <f t="shared" si="6"/>
        <v>101364.54061827934</v>
      </c>
      <c r="AA17" s="50">
        <f t="shared" si="7"/>
        <v>168922.78568414075</v>
      </c>
      <c r="AB17" s="51">
        <f t="shared" si="8"/>
        <v>94759.783694754908</v>
      </c>
      <c r="AC17" s="44">
        <f t="shared" si="9"/>
        <v>157916.03784625666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1.7837043725177402</v>
      </c>
      <c r="AP17" s="47">
        <f t="shared" si="17"/>
        <v>1.1773711340687227</v>
      </c>
    </row>
    <row r="18" spans="1:42" ht="13.5" customHeight="1">
      <c r="A18" s="59">
        <f>A6+A8</f>
        <v>2347358.6</v>
      </c>
      <c r="B18" s="97" t="s">
        <v>33</v>
      </c>
      <c r="C18" s="98">
        <v>18230637</v>
      </c>
      <c r="D18" s="61" t="s">
        <v>82</v>
      </c>
      <c r="E18" s="38" t="s">
        <v>753</v>
      </c>
      <c r="F18" s="39" t="s">
        <v>752</v>
      </c>
      <c r="G18" s="39">
        <v>20</v>
      </c>
      <c r="H18" s="39"/>
      <c r="I18" s="40" t="s">
        <v>283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4.7891647957145347</v>
      </c>
      <c r="V18" s="48">
        <f t="shared" si="2"/>
        <v>600</v>
      </c>
      <c r="W18" s="49">
        <f t="shared" si="3"/>
        <v>0.23945823978572672</v>
      </c>
      <c r="X18" s="44">
        <f t="shared" si="4"/>
        <v>32843.481550498866</v>
      </c>
      <c r="Y18" s="44">
        <f t="shared" si="5"/>
        <v>552180.02</v>
      </c>
      <c r="Z18" s="44">
        <f t="shared" si="6"/>
        <v>562094.35850188776</v>
      </c>
      <c r="AA18" s="50">
        <f t="shared" si="7"/>
        <v>936843.48155049887</v>
      </c>
      <c r="AB18" s="51">
        <f t="shared" si="8"/>
        <v>525469.15817695402</v>
      </c>
      <c r="AC18" s="44">
        <f t="shared" si="9"/>
        <v>875800.20711461047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1.7837043725177399</v>
      </c>
      <c r="AP18" s="47">
        <f t="shared" si="17"/>
        <v>1.1772203182807333</v>
      </c>
    </row>
    <row r="19" spans="1:42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756</v>
      </c>
      <c r="F19" s="39" t="s">
        <v>757</v>
      </c>
      <c r="G19" s="39">
        <v>20</v>
      </c>
      <c r="H19" s="39"/>
      <c r="I19" s="40" t="s">
        <v>283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0.6075459860339768</v>
      </c>
      <c r="V19" s="48">
        <f t="shared" si="2"/>
        <v>331.58000000000004</v>
      </c>
      <c r="W19" s="49">
        <f t="shared" si="3"/>
        <v>3.0377299301698839E-2</v>
      </c>
      <c r="X19" s="44">
        <f t="shared" si="4"/>
        <v>4166.4729101077992</v>
      </c>
      <c r="Y19" s="44">
        <f t="shared" si="5"/>
        <v>57399.710000000006</v>
      </c>
      <c r="Z19" s="44">
        <f t="shared" si="6"/>
        <v>71306.414760616768</v>
      </c>
      <c r="AA19" s="50">
        <f t="shared" si="7"/>
        <v>111535.0729101078</v>
      </c>
      <c r="AB19" s="51">
        <f t="shared" si="8"/>
        <v>66660.198897463546</v>
      </c>
      <c r="AC19" s="44">
        <f t="shared" si="9"/>
        <v>104267.6198093931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1.7837043725177359</v>
      </c>
      <c r="AP19" s="47">
        <f t="shared" si="17"/>
        <v>1.2543903592508769</v>
      </c>
    </row>
    <row r="20" spans="1:42" ht="13.5" customHeight="1">
      <c r="A20" s="59">
        <f>A8+SUM(Q5:Q906)</f>
        <v>8309761.6500000022</v>
      </c>
      <c r="B20" s="97" t="s">
        <v>33</v>
      </c>
      <c r="C20" s="98">
        <v>18230637</v>
      </c>
      <c r="D20" s="61" t="s">
        <v>82</v>
      </c>
      <c r="E20" s="38" t="s">
        <v>763</v>
      </c>
      <c r="F20" s="39" t="s">
        <v>764</v>
      </c>
      <c r="G20" s="39">
        <v>45</v>
      </c>
      <c r="H20" s="39"/>
      <c r="I20" s="40" t="s">
        <v>283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0.51806611776025924</v>
      </c>
      <c r="V20" s="48">
        <f t="shared" si="2"/>
        <v>0.79</v>
      </c>
      <c r="W20" s="49">
        <f t="shared" si="3"/>
        <v>1.1512580394672428E-2</v>
      </c>
      <c r="X20" s="44">
        <f t="shared" si="4"/>
        <v>1579.0361698532661</v>
      </c>
      <c r="Y20" s="44">
        <f t="shared" si="5"/>
        <v>42147.03</v>
      </c>
      <c r="Z20" s="44">
        <f t="shared" si="6"/>
        <v>27024.154597625718</v>
      </c>
      <c r="AA20" s="50">
        <f t="shared" si="7"/>
        <v>57593.456169853263</v>
      </c>
      <c r="AB20" s="51">
        <f t="shared" si="8"/>
        <v>25263.302419020019</v>
      </c>
      <c r="AC20" s="44">
        <f t="shared" si="9"/>
        <v>53840.755510753726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3.5561707613154288</v>
      </c>
      <c r="AP20" s="47">
        <f t="shared" si="17"/>
        <v>1.8354994873117767</v>
      </c>
    </row>
    <row r="21" spans="1:42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765</v>
      </c>
      <c r="F21" s="39" t="s">
        <v>764</v>
      </c>
      <c r="G21" s="39">
        <v>45</v>
      </c>
      <c r="H21" s="39"/>
      <c r="I21" s="40" t="s">
        <v>283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1.1750108669964041</v>
      </c>
      <c r="V21" s="48">
        <f t="shared" si="2"/>
        <v>0.81</v>
      </c>
      <c r="W21" s="49">
        <f t="shared" si="3"/>
        <v>2.6111352599920094E-2</v>
      </c>
      <c r="X21" s="44">
        <f t="shared" si="4"/>
        <v>3581.3665386559151</v>
      </c>
      <c r="Y21" s="44">
        <f t="shared" si="5"/>
        <v>130146.84</v>
      </c>
      <c r="Z21" s="44">
        <f t="shared" si="6"/>
        <v>61292.708083054793</v>
      </c>
      <c r="AA21" s="50">
        <f t="shared" si="7"/>
        <v>176711.7265386559</v>
      </c>
      <c r="AB21" s="51">
        <f t="shared" si="8"/>
        <v>57298.969882261183</v>
      </c>
      <c r="AC21" s="44">
        <f t="shared" si="9"/>
        <v>165197.46334360651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3.7209253326816794</v>
      </c>
      <c r="AP21" s="47">
        <f t="shared" si="17"/>
        <v>1.4196689385042782</v>
      </c>
    </row>
    <row r="22" spans="1:42" ht="13.5" customHeight="1">
      <c r="A22" s="60">
        <f>(SUM(AM5:AM1000)/(SUM(AB5:AB1000)))</f>
        <v>2.9199073604166288</v>
      </c>
      <c r="B22" s="97" t="s">
        <v>33</v>
      </c>
      <c r="C22" s="98">
        <v>18230637</v>
      </c>
      <c r="D22" s="61" t="s">
        <v>82</v>
      </c>
      <c r="E22" s="38" t="s">
        <v>780</v>
      </c>
      <c r="F22" s="39" t="s">
        <v>781</v>
      </c>
      <c r="G22" s="39">
        <v>25</v>
      </c>
      <c r="H22" s="39"/>
      <c r="I22" s="40" t="s">
        <v>283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3.8579595649262592E-3</v>
      </c>
      <c r="V22" s="48">
        <f t="shared" si="2"/>
        <v>-182.19</v>
      </c>
      <c r="W22" s="49">
        <f t="shared" si="3"/>
        <v>1.5431838259705036E-4</v>
      </c>
      <c r="X22" s="44">
        <f t="shared" si="4"/>
        <v>21.165915845135835</v>
      </c>
      <c r="Y22" s="44">
        <f t="shared" si="5"/>
        <v>1510.1899999999996</v>
      </c>
      <c r="Z22" s="44">
        <f t="shared" si="6"/>
        <v>362.2405825272765</v>
      </c>
      <c r="AA22" s="50">
        <f t="shared" si="7"/>
        <v>4902.3559158451353</v>
      </c>
      <c r="AB22" s="51">
        <f t="shared" si="8"/>
        <v>338.63754559902446</v>
      </c>
      <c r="AC22" s="44">
        <f t="shared" si="9"/>
        <v>4582.9259753623774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2.1330809071047483</v>
      </c>
      <c r="AP22" s="47">
        <f t="shared" si="17"/>
        <v>0.17337731735408926</v>
      </c>
    </row>
    <row r="23" spans="1:42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782</v>
      </c>
      <c r="F23" s="39" t="s">
        <v>781</v>
      </c>
      <c r="G23" s="39">
        <v>25</v>
      </c>
      <c r="H23" s="39"/>
      <c r="I23" s="40" t="s">
        <v>283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2.205929933546031E-2</v>
      </c>
      <c r="V23" s="48">
        <f t="shared" si="2"/>
        <v>-181.47</v>
      </c>
      <c r="W23" s="49">
        <f t="shared" si="3"/>
        <v>8.8237197341841246E-4</v>
      </c>
      <c r="X23" s="44">
        <f t="shared" si="4"/>
        <v>121.0238898255374</v>
      </c>
      <c r="Y23" s="44">
        <f t="shared" si="5"/>
        <v>5109.67</v>
      </c>
      <c r="Z23" s="44">
        <f t="shared" si="6"/>
        <v>2071.243440202682</v>
      </c>
      <c r="AA23" s="50">
        <f t="shared" si="7"/>
        <v>14230.693889825538</v>
      </c>
      <c r="AB23" s="51">
        <f t="shared" si="8"/>
        <v>1936.2844163809309</v>
      </c>
      <c r="AC23" s="44">
        <f t="shared" si="9"/>
        <v>13303.44385325375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2.1377018566901076</v>
      </c>
      <c r="AP23" s="47">
        <f t="shared" si="17"/>
        <v>0.3422511284596283</v>
      </c>
    </row>
    <row r="24" spans="1:42" ht="13.5" customHeight="1">
      <c r="A24" s="60">
        <f>(SUM(AN5:AN1000)/SUM(AC5:AC1000))</f>
        <v>0.90731936087759468</v>
      </c>
      <c r="B24" s="97" t="s">
        <v>33</v>
      </c>
      <c r="C24" s="98">
        <v>18230637</v>
      </c>
      <c r="D24" s="61" t="s">
        <v>82</v>
      </c>
      <c r="E24" s="38" t="s">
        <v>786</v>
      </c>
      <c r="F24" s="39" t="s">
        <v>787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788</v>
      </c>
      <c r="F25" s="39" t="s">
        <v>787</v>
      </c>
      <c r="G25" s="39"/>
      <c r="H25" s="39"/>
      <c r="I25" s="40" t="s">
        <v>283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792</v>
      </c>
      <c r="F26" s="39" t="s">
        <v>793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794</v>
      </c>
      <c r="F27" s="39" t="s">
        <v>793</v>
      </c>
      <c r="G27" s="39"/>
      <c r="H27" s="39"/>
      <c r="I27" s="40" t="s">
        <v>283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797</v>
      </c>
      <c r="F28" s="39" t="s">
        <v>798</v>
      </c>
      <c r="G28" s="39">
        <v>45</v>
      </c>
      <c r="H28" s="39"/>
      <c r="I28" s="40" t="s">
        <v>283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1.9782153648778677E-2</v>
      </c>
      <c r="V28" s="48">
        <f t="shared" si="21"/>
        <v>0.24</v>
      </c>
      <c r="W28" s="49">
        <f t="shared" si="22"/>
        <v>4.3960341441730391E-4</v>
      </c>
      <c r="X28" s="44">
        <f t="shared" si="23"/>
        <v>60.294883332770723</v>
      </c>
      <c r="Y28" s="44">
        <f t="shared" si="24"/>
        <v>350</v>
      </c>
      <c r="Z28" s="44">
        <f t="shared" si="25"/>
        <v>1031.9068554218225</v>
      </c>
      <c r="AA28" s="50">
        <f t="shared" si="26"/>
        <v>1610.2948833327707</v>
      </c>
      <c r="AB28" s="51">
        <f t="shared" si="27"/>
        <v>964.66939835638254</v>
      </c>
      <c r="AC28" s="44">
        <f t="shared" si="28"/>
        <v>1505.3705556069651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3.5561707613154279</v>
      </c>
      <c r="AP28" s="47">
        <f t="shared" si="37"/>
        <v>2.5067462662880882</v>
      </c>
    </row>
    <row r="29" spans="1:42">
      <c r="B29" s="97" t="s">
        <v>33</v>
      </c>
      <c r="C29" s="98">
        <v>18230637</v>
      </c>
      <c r="D29" s="61" t="s">
        <v>82</v>
      </c>
      <c r="E29" s="38" t="s">
        <v>799</v>
      </c>
      <c r="F29" s="39" t="s">
        <v>798</v>
      </c>
      <c r="G29" s="39">
        <v>45</v>
      </c>
      <c r="H29" s="39"/>
      <c r="I29" s="40" t="s">
        <v>283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7.168261196171441E-2</v>
      </c>
      <c r="V29" s="48">
        <f t="shared" si="21"/>
        <v>0.49</v>
      </c>
      <c r="W29" s="49">
        <f t="shared" si="22"/>
        <v>1.5929469324825424E-3</v>
      </c>
      <c r="X29" s="44">
        <f t="shared" si="23"/>
        <v>218.48453924462797</v>
      </c>
      <c r="Y29" s="44">
        <f t="shared" si="24"/>
        <v>1303.9799999999996</v>
      </c>
      <c r="Z29" s="44">
        <f t="shared" si="25"/>
        <v>3739.2176813065153</v>
      </c>
      <c r="AA29" s="50">
        <f t="shared" si="26"/>
        <v>7522.4645392446273</v>
      </c>
      <c r="AB29" s="51">
        <f t="shared" si="27"/>
        <v>3495.5760318841872</v>
      </c>
      <c r="AC29" s="44">
        <f t="shared" si="28"/>
        <v>7032.3123672474776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3.4637629241133481</v>
      </c>
      <c r="AP29" s="47">
        <f t="shared" si="37"/>
        <v>1.8939191873012222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804</v>
      </c>
      <c r="F30" s="39" t="s">
        <v>805</v>
      </c>
      <c r="G30" s="39">
        <v>45</v>
      </c>
      <c r="H30" s="39"/>
      <c r="I30" s="40" t="s">
        <v>283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1.1418259086075053E-2</v>
      </c>
      <c r="V30" s="48">
        <f t="shared" si="21"/>
        <v>9.000000000000008E-2</v>
      </c>
      <c r="W30" s="49">
        <f t="shared" si="22"/>
        <v>2.5373909080166784E-4</v>
      </c>
      <c r="X30" s="44">
        <f t="shared" si="23"/>
        <v>34.802206659675264</v>
      </c>
      <c r="Y30" s="44">
        <f t="shared" si="24"/>
        <v>383.21000000000004</v>
      </c>
      <c r="Z30" s="44">
        <f t="shared" si="25"/>
        <v>595.61663694947583</v>
      </c>
      <c r="AA30" s="50">
        <f t="shared" si="26"/>
        <v>2656.2522066596753</v>
      </c>
      <c r="AB30" s="51">
        <f t="shared" si="27"/>
        <v>556.80717673130391</v>
      </c>
      <c r="AC30" s="44">
        <f t="shared" si="28"/>
        <v>2483.1749150786904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3.5561707613154283</v>
      </c>
      <c r="AP30" s="47">
        <f t="shared" si="37"/>
        <v>0.87714785153251185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806</v>
      </c>
      <c r="F31" s="39" t="s">
        <v>805</v>
      </c>
      <c r="G31" s="39">
        <v>45</v>
      </c>
      <c r="H31" s="39"/>
      <c r="I31" s="40" t="s">
        <v>283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3.9624445044649639E-2</v>
      </c>
      <c r="V31" s="48">
        <f t="shared" si="21"/>
        <v>0.24</v>
      </c>
      <c r="W31" s="49">
        <f t="shared" si="22"/>
        <v>8.8054322321443643E-4</v>
      </c>
      <c r="X31" s="44">
        <f t="shared" si="23"/>
        <v>120.77306311087307</v>
      </c>
      <c r="Y31" s="44">
        <f t="shared" si="24"/>
        <v>2472</v>
      </c>
      <c r="Z31" s="44">
        <f t="shared" si="25"/>
        <v>2066.9507076841269</v>
      </c>
      <c r="AA31" s="50">
        <f t="shared" si="26"/>
        <v>9792.7730631108734</v>
      </c>
      <c r="AB31" s="51">
        <f t="shared" si="27"/>
        <v>1932.2713916837681</v>
      </c>
      <c r="AC31" s="44">
        <f t="shared" si="28"/>
        <v>9154.6910938682558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3.3235240759957279</v>
      </c>
      <c r="AP31" s="47">
        <f t="shared" si="37"/>
        <v>0.77164215246019219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814</v>
      </c>
      <c r="F32" s="39" t="s">
        <v>815</v>
      </c>
      <c r="G32" s="39">
        <v>45</v>
      </c>
      <c r="H32" s="39"/>
      <c r="I32" s="40" t="s">
        <v>283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2.2282617869984301E-2</v>
      </c>
      <c r="V32" s="48">
        <f t="shared" si="21"/>
        <v>0.96</v>
      </c>
      <c r="W32" s="49">
        <f t="shared" si="22"/>
        <v>4.951692859996511E-4</v>
      </c>
      <c r="X32" s="44">
        <f t="shared" si="23"/>
        <v>67.91615658603294</v>
      </c>
      <c r="Y32" s="44">
        <f t="shared" si="24"/>
        <v>3939.2</v>
      </c>
      <c r="Z32" s="44">
        <f t="shared" si="25"/>
        <v>1162.3398819471406</v>
      </c>
      <c r="AA32" s="50">
        <f t="shared" si="26"/>
        <v>5207.116156586033</v>
      </c>
      <c r="AB32" s="51">
        <f t="shared" si="27"/>
        <v>1086.603610308629</v>
      </c>
      <c r="AC32" s="44">
        <f t="shared" si="28"/>
        <v>4867.8285094755847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3.5561707613154292</v>
      </c>
      <c r="AP32" s="47">
        <f t="shared" si="37"/>
        <v>0.873194850364435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816</v>
      </c>
      <c r="F33" s="39" t="s">
        <v>815</v>
      </c>
      <c r="G33" s="39">
        <v>45</v>
      </c>
      <c r="H33" s="39"/>
      <c r="I33" s="40" t="s">
        <v>283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6.619741639798106E-2</v>
      </c>
      <c r="V33" s="48">
        <f t="shared" si="21"/>
        <v>0.90999999999999992</v>
      </c>
      <c r="W33" s="49">
        <f t="shared" si="22"/>
        <v>1.4710536977329124E-3</v>
      </c>
      <c r="X33" s="44">
        <f t="shared" si="23"/>
        <v>201.76597399411733</v>
      </c>
      <c r="Y33" s="44">
        <f t="shared" si="24"/>
        <v>13094.84</v>
      </c>
      <c r="Z33" s="44">
        <f t="shared" si="25"/>
        <v>3453.0905484351524</v>
      </c>
      <c r="AA33" s="50">
        <f t="shared" si="26"/>
        <v>17296.605973994119</v>
      </c>
      <c r="AB33" s="51">
        <f t="shared" si="27"/>
        <v>3228.0925011079294</v>
      </c>
      <c r="AC33" s="44">
        <f t="shared" si="28"/>
        <v>16169.585840884471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3.0922336878855519</v>
      </c>
      <c r="AP33" s="47">
        <f t="shared" si="37"/>
        <v>0.67906612609254813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822</v>
      </c>
      <c r="F34" s="39" t="s">
        <v>823</v>
      </c>
      <c r="G34" s="39">
        <v>45</v>
      </c>
      <c r="H34" s="39"/>
      <c r="I34" s="40" t="s">
        <v>283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1.1750599267374534E-2</v>
      </c>
      <c r="V34" s="48">
        <f t="shared" si="21"/>
        <v>0</v>
      </c>
      <c r="W34" s="49">
        <f t="shared" si="22"/>
        <v>2.6112442816387854E-4</v>
      </c>
      <c r="X34" s="44">
        <f t="shared" si="23"/>
        <v>35.81516069966581</v>
      </c>
      <c r="Y34" s="44">
        <f t="shared" si="24"/>
        <v>470.5</v>
      </c>
      <c r="Z34" s="44">
        <f t="shared" si="25"/>
        <v>612.95267212056251</v>
      </c>
      <c r="AA34" s="50">
        <f t="shared" si="26"/>
        <v>1306.3151606996657</v>
      </c>
      <c r="AB34" s="51">
        <f t="shared" si="27"/>
        <v>573.01362262369116</v>
      </c>
      <c r="AC34" s="44">
        <f t="shared" si="28"/>
        <v>1221.1976822470465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3.5561707613154283</v>
      </c>
      <c r="AP34" s="47">
        <f t="shared" si="37"/>
        <v>1.8354994873117767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823</v>
      </c>
      <c r="G35" s="39">
        <v>45</v>
      </c>
      <c r="H35" s="39"/>
      <c r="I35" s="40" t="s">
        <v>283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2.1089358361889968E-2</v>
      </c>
      <c r="V35" s="48">
        <f t="shared" si="21"/>
        <v>0</v>
      </c>
      <c r="W35" s="49">
        <f t="shared" si="22"/>
        <v>4.6865240804199929E-4</v>
      </c>
      <c r="X35" s="44">
        <f t="shared" si="23"/>
        <v>64.279169223400203</v>
      </c>
      <c r="Y35" s="44">
        <f t="shared" si="24"/>
        <v>1507.52</v>
      </c>
      <c r="Z35" s="44">
        <f t="shared" si="25"/>
        <v>1100.0952604280963</v>
      </c>
      <c r="AA35" s="50">
        <f t="shared" si="26"/>
        <v>3171.7991692234</v>
      </c>
      <c r="AB35" s="51">
        <f t="shared" si="27"/>
        <v>1028.414752199772</v>
      </c>
      <c r="AC35" s="44">
        <f t="shared" si="28"/>
        <v>2965.129633750958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3.7210899816735963</v>
      </c>
      <c r="AP35" s="47">
        <f t="shared" si="37"/>
        <v>1.4196702115962374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829</v>
      </c>
      <c r="F36" s="39" t="s">
        <v>830</v>
      </c>
      <c r="G36" s="39">
        <v>45</v>
      </c>
      <c r="H36" s="39"/>
      <c r="I36" s="40" t="s">
        <v>283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6.7066248586235402E-2</v>
      </c>
      <c r="V36" s="48">
        <f t="shared" si="21"/>
        <v>-179.5</v>
      </c>
      <c r="W36" s="49">
        <f t="shared" si="22"/>
        <v>1.4903610796941202E-3</v>
      </c>
      <c r="X36" s="44">
        <f t="shared" si="23"/>
        <v>204.41412527009257</v>
      </c>
      <c r="Y36" s="44">
        <f t="shared" si="24"/>
        <v>8580.07</v>
      </c>
      <c r="Z36" s="44">
        <f t="shared" si="25"/>
        <v>3498.4118975252782</v>
      </c>
      <c r="AA36" s="50">
        <f t="shared" si="26"/>
        <v>13778.484125270092</v>
      </c>
      <c r="AB36" s="51">
        <f t="shared" si="27"/>
        <v>3270.460781083741</v>
      </c>
      <c r="AC36" s="44">
        <f t="shared" si="28"/>
        <v>12880.699378582865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3.556137195118239</v>
      </c>
      <c r="AP36" s="47">
        <f t="shared" si="37"/>
        <v>0.99320910888874314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831</v>
      </c>
      <c r="F37" s="39" t="s">
        <v>830</v>
      </c>
      <c r="G37" s="39">
        <v>45</v>
      </c>
      <c r="H37" s="39"/>
      <c r="I37" s="40" t="s">
        <v>283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0.17084659177231215</v>
      </c>
      <c r="V37" s="48">
        <f t="shared" si="21"/>
        <v>-177.4</v>
      </c>
      <c r="W37" s="49">
        <f t="shared" si="22"/>
        <v>3.7965909282736032E-3</v>
      </c>
      <c r="X37" s="44">
        <f t="shared" si="23"/>
        <v>520.73073041514101</v>
      </c>
      <c r="Y37" s="44">
        <f t="shared" si="24"/>
        <v>37218.559999999998</v>
      </c>
      <c r="Z37" s="44">
        <f t="shared" si="25"/>
        <v>8911.9603661650272</v>
      </c>
      <c r="AA37" s="50">
        <f t="shared" si="26"/>
        <v>64539.290730415138</v>
      </c>
      <c r="AB37" s="51">
        <f t="shared" si="27"/>
        <v>8331.270791965062</v>
      </c>
      <c r="AC37" s="44">
        <f t="shared" si="28"/>
        <v>60334.01021820616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3.545854884926066</v>
      </c>
      <c r="AP37" s="47">
        <f t="shared" si="37"/>
        <v>0.53859547610608738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843</v>
      </c>
      <c r="F38" s="39" t="s">
        <v>844</v>
      </c>
      <c r="G38" s="39">
        <v>20</v>
      </c>
      <c r="H38" s="39"/>
      <c r="I38" s="40" t="s">
        <v>283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2.1193808133155523E-2</v>
      </c>
      <c r="V38" s="48">
        <f t="shared" si="21"/>
        <v>200</v>
      </c>
      <c r="W38" s="49">
        <f t="shared" si="22"/>
        <v>1.0596904066577761E-3</v>
      </c>
      <c r="X38" s="44">
        <f t="shared" si="23"/>
        <v>145.34443396664378</v>
      </c>
      <c r="Y38" s="44">
        <f t="shared" si="24"/>
        <v>2210.88</v>
      </c>
      <c r="Z38" s="44">
        <f t="shared" si="25"/>
        <v>2487.473389405628</v>
      </c>
      <c r="AA38" s="50">
        <f t="shared" si="26"/>
        <v>4145.3444339666439</v>
      </c>
      <c r="AB38" s="51">
        <f t="shared" si="27"/>
        <v>2325.3934649019611</v>
      </c>
      <c r="AC38" s="44">
        <f t="shared" si="28"/>
        <v>3875.240192546175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1.7837043725177399</v>
      </c>
      <c r="AP38" s="47">
        <f t="shared" si="37"/>
        <v>1.177371134068723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845</v>
      </c>
      <c r="F39" s="39" t="s">
        <v>844</v>
      </c>
      <c r="G39" s="39">
        <v>20</v>
      </c>
      <c r="H39" s="39"/>
      <c r="I39" s="40" t="s">
        <v>283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6.8870732681735561E-2</v>
      </c>
      <c r="V39" s="48">
        <f t="shared" si="21"/>
        <v>200</v>
      </c>
      <c r="W39" s="49">
        <f t="shared" si="22"/>
        <v>3.443536634086778E-3</v>
      </c>
      <c r="X39" s="44">
        <f t="shared" si="23"/>
        <v>472.30670371292621</v>
      </c>
      <c r="Y39" s="44">
        <f t="shared" si="24"/>
        <v>4250.33</v>
      </c>
      <c r="Z39" s="44">
        <f t="shared" si="25"/>
        <v>8083.2153324386509</v>
      </c>
      <c r="AA39" s="50">
        <f t="shared" si="26"/>
        <v>13472.306703712926</v>
      </c>
      <c r="AB39" s="51">
        <f t="shared" si="27"/>
        <v>7556.5255047570818</v>
      </c>
      <c r="AC39" s="44">
        <f t="shared" si="28"/>
        <v>12594.472004966743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1.7837043725177399</v>
      </c>
      <c r="AP39" s="47">
        <f t="shared" si="37"/>
        <v>1.177220318280733</v>
      </c>
    </row>
    <row r="40" spans="2:42">
      <c r="B40" s="97" t="s">
        <v>33</v>
      </c>
      <c r="C40" s="98">
        <v>18230637</v>
      </c>
      <c r="D40" s="61" t="s">
        <v>82</v>
      </c>
      <c r="E40" s="38" t="s">
        <v>850</v>
      </c>
      <c r="F40" s="39" t="s">
        <v>851</v>
      </c>
      <c r="G40" s="39">
        <v>45</v>
      </c>
      <c r="H40" s="39"/>
      <c r="I40" s="40" t="s">
        <v>283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1.3891993661270448</v>
      </c>
      <c r="V40" s="48">
        <f t="shared" si="21"/>
        <v>0.12000000000000001</v>
      </c>
      <c r="W40" s="49">
        <f t="shared" si="22"/>
        <v>3.0871097025045438E-2</v>
      </c>
      <c r="X40" s="44">
        <f t="shared" si="23"/>
        <v>4234.2009466578238</v>
      </c>
      <c r="Y40" s="44">
        <f t="shared" si="24"/>
        <v>102857.58000000002</v>
      </c>
      <c r="Z40" s="44">
        <f t="shared" si="25"/>
        <v>72465.53509317484</v>
      </c>
      <c r="AA40" s="50">
        <f t="shared" si="26"/>
        <v>180356.40094665784</v>
      </c>
      <c r="AB40" s="51">
        <f t="shared" si="27"/>
        <v>67743.792739249169</v>
      </c>
      <c r="AC40" s="44">
        <f t="shared" si="28"/>
        <v>168604.65639586598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3.5561707613154279</v>
      </c>
      <c r="AP40" s="47">
        <f t="shared" si="37"/>
        <v>1.5717202013551317</v>
      </c>
    </row>
    <row r="41" spans="2:42">
      <c r="B41" s="97" t="s">
        <v>33</v>
      </c>
      <c r="C41" s="98">
        <v>18230637</v>
      </c>
      <c r="D41" s="61" t="s">
        <v>82</v>
      </c>
      <c r="E41" s="38" t="s">
        <v>852</v>
      </c>
      <c r="F41" s="39" t="s">
        <v>853</v>
      </c>
      <c r="G41" s="39">
        <v>45</v>
      </c>
      <c r="H41" s="39"/>
      <c r="I41" s="40" t="s">
        <v>283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2.873159995948615E-2</v>
      </c>
      <c r="V41" s="48">
        <f t="shared" si="21"/>
        <v>0</v>
      </c>
      <c r="W41" s="49">
        <f t="shared" si="22"/>
        <v>6.3847999909969226E-4</v>
      </c>
      <c r="X41" s="44">
        <f t="shared" si="23"/>
        <v>87.572288552516198</v>
      </c>
      <c r="Y41" s="44">
        <f t="shared" si="24"/>
        <v>782.29</v>
      </c>
      <c r="Z41" s="44">
        <f t="shared" si="25"/>
        <v>1498.7415168146549</v>
      </c>
      <c r="AA41" s="50">
        <f t="shared" si="26"/>
        <v>3718.5722885525161</v>
      </c>
      <c r="AB41" s="51">
        <f t="shared" si="27"/>
        <v>1401.0858341728099</v>
      </c>
      <c r="AC41" s="44">
        <f t="shared" si="28"/>
        <v>3476.2758610381561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3.5561707613154279</v>
      </c>
      <c r="AP41" s="47">
        <f t="shared" si="37"/>
        <v>1.5766155346772937</v>
      </c>
    </row>
    <row r="42" spans="2:42">
      <c r="B42" s="97" t="s">
        <v>33</v>
      </c>
      <c r="C42" s="98">
        <v>18230637</v>
      </c>
      <c r="D42" s="61" t="s">
        <v>82</v>
      </c>
      <c r="E42" s="38" t="s">
        <v>858</v>
      </c>
      <c r="F42" s="39" t="s">
        <v>859</v>
      </c>
      <c r="G42" s="39">
        <v>45</v>
      </c>
      <c r="H42" s="39"/>
      <c r="I42" s="40" t="s">
        <v>283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2.0138675534698427</v>
      </c>
      <c r="V42" s="48">
        <f t="shared" si="21"/>
        <v>0.12000000000000001</v>
      </c>
      <c r="W42" s="49">
        <f t="shared" si="22"/>
        <v>4.4752612299329836E-2</v>
      </c>
      <c r="X42" s="44">
        <f t="shared" si="23"/>
        <v>6138.154183814725</v>
      </c>
      <c r="Y42" s="44">
        <f t="shared" si="24"/>
        <v>152004.68</v>
      </c>
      <c r="Z42" s="44">
        <f t="shared" si="25"/>
        <v>105050.42935329767</v>
      </c>
      <c r="AA42" s="50">
        <f t="shared" si="26"/>
        <v>260643.63418381475</v>
      </c>
      <c r="AB42" s="51">
        <f t="shared" si="27"/>
        <v>98205.505612132067</v>
      </c>
      <c r="AC42" s="44">
        <f t="shared" si="28"/>
        <v>243660.49750753923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3.5561690566266781</v>
      </c>
      <c r="AP42" s="47">
        <f t="shared" si="37"/>
        <v>1.5766155047811119</v>
      </c>
    </row>
    <row r="43" spans="2:42">
      <c r="B43" s="97" t="s">
        <v>33</v>
      </c>
      <c r="C43" s="98">
        <v>18230637</v>
      </c>
      <c r="D43" s="61" t="s">
        <v>82</v>
      </c>
      <c r="E43" s="38" t="s">
        <v>860</v>
      </c>
      <c r="F43" s="39" t="s">
        <v>861</v>
      </c>
      <c r="G43" s="39">
        <v>45</v>
      </c>
      <c r="H43" s="39"/>
      <c r="I43" s="40" t="s">
        <v>283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2.9897955738618136E-2</v>
      </c>
      <c r="V43" s="48">
        <f t="shared" si="21"/>
        <v>0</v>
      </c>
      <c r="W43" s="49">
        <f t="shared" si="22"/>
        <v>6.6439901641373634E-4</v>
      </c>
      <c r="X43" s="44">
        <f t="shared" si="23"/>
        <v>91.127274873816347</v>
      </c>
      <c r="Y43" s="44">
        <f t="shared" si="24"/>
        <v>1525.96</v>
      </c>
      <c r="Z43" s="44">
        <f t="shared" si="25"/>
        <v>1559.5827450103252</v>
      </c>
      <c r="AA43" s="50">
        <f t="shared" si="26"/>
        <v>3869.5272748738166</v>
      </c>
      <c r="AB43" s="51">
        <f t="shared" si="27"/>
        <v>1457.9627418999019</v>
      </c>
      <c r="AC43" s="44">
        <f t="shared" si="28"/>
        <v>3617.3948535793365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3.5561707613154292</v>
      </c>
      <c r="AP43" s="47">
        <f t="shared" si="37"/>
        <v>1.5766155346772937</v>
      </c>
    </row>
    <row r="44" spans="2:42">
      <c r="B44" s="97" t="s">
        <v>33</v>
      </c>
      <c r="C44" s="98">
        <v>18230637</v>
      </c>
      <c r="D44" s="61" t="s">
        <v>82</v>
      </c>
      <c r="E44" s="38" t="s">
        <v>870</v>
      </c>
      <c r="F44" s="39" t="s">
        <v>871</v>
      </c>
      <c r="G44" s="39">
        <v>18</v>
      </c>
      <c r="H44" s="39"/>
      <c r="I44" s="40" t="s">
        <v>283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2.4004456523573996E-3</v>
      </c>
      <c r="V44" s="48">
        <f t="shared" si="21"/>
        <v>99</v>
      </c>
      <c r="W44" s="49">
        <f t="shared" si="22"/>
        <v>1.333580917976333E-4</v>
      </c>
      <c r="X44" s="44">
        <f t="shared" si="23"/>
        <v>18.291055807829323</v>
      </c>
      <c r="Y44" s="44">
        <f t="shared" si="24"/>
        <v>537.6</v>
      </c>
      <c r="Z44" s="44">
        <f t="shared" si="25"/>
        <v>313.03926366076399</v>
      </c>
      <c r="AA44" s="50">
        <f t="shared" si="26"/>
        <v>1116.2910558078293</v>
      </c>
      <c r="AB44" s="51">
        <f t="shared" si="27"/>
        <v>292.64210868539215</v>
      </c>
      <c r="AC44" s="44">
        <f t="shared" si="28"/>
        <v>1043.5552545646715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1.6325240974849184</v>
      </c>
      <c r="AP44" s="47">
        <f t="shared" si="37"/>
        <v>0.50358600707127765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</sheetData>
  <conditionalFormatting sqref="J5:L82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82 R5:S82">
    <cfRule type="expression" dxfId="102" priority="2">
      <formula>ISTEXT(M5)</formula>
    </cfRule>
  </conditionalFormatting>
  <conditionalFormatting sqref="M5:N82 R5:S82">
    <cfRule type="notContainsBlanks" dxfId="101" priority="3">
      <formula>LEN(TRIM(M5))&gt;0</formula>
    </cfRule>
  </conditionalFormatting>
  <conditionalFormatting sqref="R5:S82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477152.31</v>
      </c>
      <c r="B6" s="97"/>
      <c r="C6" s="99"/>
      <c r="D6" s="100"/>
      <c r="E6" s="38" t="s">
        <v>1724</v>
      </c>
      <c r="F6" s="39" t="s">
        <v>1725</v>
      </c>
      <c r="G6" s="39">
        <v>2</v>
      </c>
      <c r="H6" s="39"/>
      <c r="I6" s="40" t="s">
        <v>279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2</v>
      </c>
      <c r="V6" s="48">
        <f t="shared" si="2"/>
        <v>0</v>
      </c>
      <c r="W6" s="49">
        <f t="shared" si="3"/>
        <v>1</v>
      </c>
      <c r="X6" s="44">
        <f t="shared" si="4"/>
        <v>505405.25000000006</v>
      </c>
      <c r="Y6" s="44">
        <f t="shared" si="5"/>
        <v>0</v>
      </c>
      <c r="Z6" s="44">
        <f t="shared" si="6"/>
        <v>982557.56</v>
      </c>
      <c r="AA6" s="50">
        <f t="shared" si="7"/>
        <v>881132.75</v>
      </c>
      <c r="AB6" s="51">
        <f t="shared" si="8"/>
        <v>918535.62681125547</v>
      </c>
      <c r="AC6" s="44">
        <f t="shared" si="9"/>
        <v>823719.50079461525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-0.74949650222156161</v>
      </c>
      <c r="AP6" s="47">
        <f t="shared" ref="AP6:AP24" si="17">AN6/AC6</f>
        <v>-0.91934592136824722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505405.25000000006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-437401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375727.5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982557.56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881132.75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-0.74949650222156161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-0.91934592136824722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18230254</v>
      </c>
      <c r="D2" s="20" t="s">
        <v>1839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18230254</v>
      </c>
      <c r="D5" s="61" t="s">
        <v>1839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56992.450000000004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56992.450000000004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56992.450000000004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338</v>
      </c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1535868.48</v>
      </c>
      <c r="B6" s="97" t="s">
        <v>74</v>
      </c>
      <c r="C6" s="100">
        <v>18230611</v>
      </c>
      <c r="D6" s="100" t="s">
        <v>75</v>
      </c>
      <c r="E6" s="38" t="s">
        <v>1460</v>
      </c>
      <c r="F6" s="39" t="s">
        <v>1461</v>
      </c>
      <c r="G6" s="39"/>
      <c r="H6" s="39"/>
      <c r="I6" s="40"/>
      <c r="J6" s="41">
        <v>1</v>
      </c>
      <c r="K6" s="41">
        <v>0</v>
      </c>
      <c r="L6" s="41"/>
      <c r="M6" s="42">
        <v>261.43</v>
      </c>
      <c r="N6" s="42">
        <v>261.43</v>
      </c>
      <c r="O6" s="43">
        <v>0</v>
      </c>
      <c r="P6" s="44">
        <v>261.43</v>
      </c>
      <c r="Q6" s="44">
        <v>261.43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261.43</v>
      </c>
      <c r="AB6" s="51">
        <f t="shared" si="8"/>
        <v>0</v>
      </c>
      <c r="AC6" s="44">
        <f t="shared" si="8"/>
        <v>244.39562494157238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1462</v>
      </c>
      <c r="F7" s="39" t="s">
        <v>1463</v>
      </c>
      <c r="G7" s="39"/>
      <c r="H7" s="39"/>
      <c r="I7" s="40"/>
      <c r="J7" s="41">
        <v>3</v>
      </c>
      <c r="K7" s="41">
        <v>0</v>
      </c>
      <c r="L7" s="41"/>
      <c r="M7" s="42">
        <v>324.19666666666666</v>
      </c>
      <c r="N7" s="42">
        <v>324.19666666666666</v>
      </c>
      <c r="O7" s="43">
        <v>0</v>
      </c>
      <c r="P7" s="44">
        <v>972.59</v>
      </c>
      <c r="Q7" s="44">
        <v>972.59</v>
      </c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972.59</v>
      </c>
      <c r="AB7" s="51">
        <f t="shared" si="8"/>
        <v>0</v>
      </c>
      <c r="AC7" s="44">
        <f t="shared" si="8"/>
        <v>909.21753762737205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208664.2899999998</v>
      </c>
      <c r="B8" s="97" t="s">
        <v>74</v>
      </c>
      <c r="C8" s="100">
        <v>18230611</v>
      </c>
      <c r="D8" s="100" t="s">
        <v>75</v>
      </c>
      <c r="E8" s="38" t="s">
        <v>1464</v>
      </c>
      <c r="F8" s="39" t="s">
        <v>1465</v>
      </c>
      <c r="G8" s="39">
        <v>30</v>
      </c>
      <c r="H8" s="39"/>
      <c r="I8" s="40" t="s">
        <v>281</v>
      </c>
      <c r="J8" s="41">
        <v>31</v>
      </c>
      <c r="K8" s="41">
        <v>2023.3548387096773</v>
      </c>
      <c r="L8" s="41"/>
      <c r="M8" s="42">
        <v>0</v>
      </c>
      <c r="N8" s="42">
        <v>0</v>
      </c>
      <c r="O8" s="43">
        <v>62724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30</v>
      </c>
      <c r="U8" s="47">
        <f t="shared" si="1"/>
        <v>1.7640595396250089</v>
      </c>
      <c r="V8" s="48">
        <f t="shared" si="2"/>
        <v>0</v>
      </c>
      <c r="W8" s="49">
        <f t="shared" si="3"/>
        <v>5.8801984654166965E-2</v>
      </c>
      <c r="X8" s="44">
        <f t="shared" si="4"/>
        <v>12269.874378452634</v>
      </c>
      <c r="Y8" s="44">
        <f t="shared" si="5"/>
        <v>0</v>
      </c>
      <c r="Z8" s="44">
        <f t="shared" si="6"/>
        <v>102581.98917023138</v>
      </c>
      <c r="AA8" s="50">
        <f t="shared" si="7"/>
        <v>12269.874378452634</v>
      </c>
      <c r="AB8" s="51">
        <f t="shared" si="8"/>
        <v>95897.905179238442</v>
      </c>
      <c r="AC8" s="44">
        <f t="shared" si="8"/>
        <v>11470.388313034153</v>
      </c>
      <c r="AD8" s="44">
        <f t="shared" si="9"/>
        <v>0</v>
      </c>
      <c r="AE8" s="44">
        <v>0</v>
      </c>
      <c r="AF8" s="52">
        <f>HLOOKUP(I8,ElecAvoidedCostsWOCC!$A$5:$Q$50,G8+1,FALSE)</f>
        <v>2.1643436258224993</v>
      </c>
      <c r="AG8" s="44">
        <f t="shared" si="10"/>
        <v>135756.28958609045</v>
      </c>
      <c r="AH8" s="52">
        <f>HLOOKUP(I8,ElecAvoidedCostsWOCC!$A$5:$Q$50,T8+1,FALSE)</f>
        <v>2.1643436258224993</v>
      </c>
      <c r="AI8" s="44">
        <f t="shared" si="11"/>
        <v>0</v>
      </c>
      <c r="AJ8" s="44">
        <f t="shared" si="12"/>
        <v>135756.28958609045</v>
      </c>
      <c r="AK8" s="44">
        <f>HLOOKUP(I8,ElecAvoidedCostsWOCC!$A$5:$Q$50,G8+1,FALSE)*J8*L8</f>
        <v>0</v>
      </c>
      <c r="AL8" s="44">
        <f t="shared" si="13"/>
        <v>135756.28958609045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135756.28958609045</v>
      </c>
      <c r="AN8" s="48">
        <f t="shared" si="14"/>
        <v>149331.91854469953</v>
      </c>
      <c r="AO8" s="47">
        <f t="shared" si="15"/>
        <v>1.4156335253867591</v>
      </c>
      <c r="AP8" s="47">
        <f t="shared" si="16"/>
        <v>13.018906986349286</v>
      </c>
    </row>
    <row r="9" spans="1:42" ht="13.5" customHeight="1">
      <c r="A9" s="36" t="s">
        <v>251</v>
      </c>
      <c r="B9" s="97" t="s">
        <v>74</v>
      </c>
      <c r="C9" s="100">
        <v>18230611</v>
      </c>
      <c r="D9" s="100" t="s">
        <v>75</v>
      </c>
      <c r="E9" s="38" t="s">
        <v>1466</v>
      </c>
      <c r="F9" s="39" t="s">
        <v>1467</v>
      </c>
      <c r="G9" s="39"/>
      <c r="H9" s="39"/>
      <c r="I9" s="40"/>
      <c r="J9" s="41">
        <v>2</v>
      </c>
      <c r="K9" s="41">
        <v>0</v>
      </c>
      <c r="L9" s="41"/>
      <c r="M9" s="42">
        <v>209.39</v>
      </c>
      <c r="N9" s="42">
        <v>209.39</v>
      </c>
      <c r="O9" s="43">
        <v>0</v>
      </c>
      <c r="P9" s="44">
        <v>418.78</v>
      </c>
      <c r="Q9" s="44">
        <v>418.78</v>
      </c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418.78</v>
      </c>
      <c r="AB9" s="51">
        <f t="shared" si="8"/>
        <v>0</v>
      </c>
      <c r="AC9" s="44">
        <f t="shared" si="8"/>
        <v>391.49294194634001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1066698.69</v>
      </c>
      <c r="B10" s="97" t="s">
        <v>74</v>
      </c>
      <c r="C10" s="100">
        <v>18230611</v>
      </c>
      <c r="D10" s="100" t="s">
        <v>75</v>
      </c>
      <c r="E10" s="38" t="s">
        <v>1468</v>
      </c>
      <c r="F10" s="39" t="s">
        <v>1469</v>
      </c>
      <c r="G10" s="39"/>
      <c r="H10" s="39"/>
      <c r="I10" s="40"/>
      <c r="J10" s="41">
        <v>17</v>
      </c>
      <c r="K10" s="41">
        <v>0</v>
      </c>
      <c r="L10" s="41"/>
      <c r="M10" s="42">
        <v>95.532941176470587</v>
      </c>
      <c r="N10" s="42">
        <v>95.532941176470587</v>
      </c>
      <c r="O10" s="43">
        <v>0</v>
      </c>
      <c r="P10" s="44">
        <v>1624.06</v>
      </c>
      <c r="Q10" s="44">
        <v>1624.06</v>
      </c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1624.06</v>
      </c>
      <c r="AB10" s="51">
        <f t="shared" si="8"/>
        <v>0</v>
      </c>
      <c r="AC10" s="44">
        <f t="shared" si="8"/>
        <v>1518.2387585304289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74</v>
      </c>
      <c r="C11" s="100">
        <v>18230611</v>
      </c>
      <c r="D11" s="100" t="s">
        <v>75</v>
      </c>
      <c r="E11" s="38" t="s">
        <v>1470</v>
      </c>
      <c r="F11" s="39" t="s">
        <v>1471</v>
      </c>
      <c r="G11" s="39"/>
      <c r="H11" s="39"/>
      <c r="I11" s="40"/>
      <c r="J11" s="41">
        <v>15</v>
      </c>
      <c r="K11" s="41">
        <v>0</v>
      </c>
      <c r="L11" s="41"/>
      <c r="M11" s="42">
        <v>117.596</v>
      </c>
      <c r="N11" s="42">
        <v>117.596</v>
      </c>
      <c r="O11" s="43">
        <v>0</v>
      </c>
      <c r="P11" s="44">
        <v>1763.94</v>
      </c>
      <c r="Q11" s="44">
        <v>1763.94</v>
      </c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1763.94</v>
      </c>
      <c r="AB11" s="51">
        <f t="shared" si="8"/>
        <v>0</v>
      </c>
      <c r="AC11" s="44">
        <f t="shared" si="8"/>
        <v>1649.0043937552584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SUM(P6:P1000)</f>
        <v>2777886.38</v>
      </c>
      <c r="B12" s="97" t="s">
        <v>74</v>
      </c>
      <c r="C12" s="100">
        <v>18230611</v>
      </c>
      <c r="D12" s="100" t="s">
        <v>75</v>
      </c>
      <c r="E12" s="38" t="s">
        <v>1472</v>
      </c>
      <c r="F12" s="39" t="s">
        <v>1473</v>
      </c>
      <c r="G12" s="39"/>
      <c r="H12" s="39"/>
      <c r="I12" s="40"/>
      <c r="J12" s="41">
        <v>2</v>
      </c>
      <c r="K12" s="41">
        <v>0</v>
      </c>
      <c r="L12" s="41"/>
      <c r="M12" s="42">
        <v>106.69</v>
      </c>
      <c r="N12" s="42">
        <v>106.69</v>
      </c>
      <c r="O12" s="43">
        <v>0</v>
      </c>
      <c r="P12" s="44">
        <v>213.38</v>
      </c>
      <c r="Q12" s="44">
        <v>213.38</v>
      </c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213.38</v>
      </c>
      <c r="AB12" s="51">
        <f t="shared" si="8"/>
        <v>0</v>
      </c>
      <c r="AC12" s="44">
        <f t="shared" si="8"/>
        <v>199.47648873515936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74</v>
      </c>
      <c r="C13" s="100">
        <v>18230611</v>
      </c>
      <c r="D13" s="100" t="s">
        <v>75</v>
      </c>
      <c r="E13" s="38" t="s">
        <v>1474</v>
      </c>
      <c r="F13" s="39" t="s">
        <v>1475</v>
      </c>
      <c r="G13" s="39"/>
      <c r="H13" s="39"/>
      <c r="I13" s="40"/>
      <c r="J13" s="41">
        <v>2</v>
      </c>
      <c r="K13" s="41">
        <v>0</v>
      </c>
      <c r="L13" s="41"/>
      <c r="M13" s="42">
        <v>83.265000000000001</v>
      </c>
      <c r="N13" s="42">
        <v>83.265000000000001</v>
      </c>
      <c r="O13" s="43">
        <v>0</v>
      </c>
      <c r="P13" s="44">
        <v>166.53</v>
      </c>
      <c r="Q13" s="44">
        <v>166.53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166.53</v>
      </c>
      <c r="AB13" s="51">
        <f t="shared" si="8"/>
        <v>0</v>
      </c>
      <c r="AC13" s="44">
        <f t="shared" si="8"/>
        <v>155.67916238197625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SUM(Y6:Y1000)</f>
        <v>66248.600000000006</v>
      </c>
      <c r="B14" s="97" t="s">
        <v>74</v>
      </c>
      <c r="C14" s="100">
        <v>18230611</v>
      </c>
      <c r="D14" s="100" t="s">
        <v>75</v>
      </c>
      <c r="E14" s="38" t="s">
        <v>1476</v>
      </c>
      <c r="F14" s="39" t="s">
        <v>1477</v>
      </c>
      <c r="G14" s="39"/>
      <c r="H14" s="39"/>
      <c r="I14" s="40"/>
      <c r="J14" s="41">
        <v>8</v>
      </c>
      <c r="K14" s="41">
        <v>0</v>
      </c>
      <c r="L14" s="41"/>
      <c r="M14" s="42">
        <v>78.010000000000005</v>
      </c>
      <c r="N14" s="42">
        <v>78.010000000000005</v>
      </c>
      <c r="O14" s="43">
        <v>0</v>
      </c>
      <c r="P14" s="44">
        <v>624.08000000000004</v>
      </c>
      <c r="Q14" s="44">
        <v>624.08000000000004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624.08000000000004</v>
      </c>
      <c r="AB14" s="51">
        <f t="shared" si="8"/>
        <v>0</v>
      </c>
      <c r="AC14" s="44">
        <f t="shared" si="8"/>
        <v>583.41591100308494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74</v>
      </c>
      <c r="C15" s="100">
        <v>18230611</v>
      </c>
      <c r="D15" s="100" t="s">
        <v>75</v>
      </c>
      <c r="E15" s="38" t="s">
        <v>1478</v>
      </c>
      <c r="F15" s="39" t="s">
        <v>1479</v>
      </c>
      <c r="G15" s="39">
        <v>18</v>
      </c>
      <c r="H15" s="39"/>
      <c r="I15" s="40" t="s">
        <v>283</v>
      </c>
      <c r="J15" s="41">
        <v>14</v>
      </c>
      <c r="K15" s="41">
        <v>468</v>
      </c>
      <c r="L15" s="41"/>
      <c r="M15" s="42">
        <v>549</v>
      </c>
      <c r="N15" s="42">
        <v>549</v>
      </c>
      <c r="O15" s="43">
        <v>6552</v>
      </c>
      <c r="P15" s="44">
        <v>10508.05</v>
      </c>
      <c r="Q15" s="44">
        <v>10508.05</v>
      </c>
      <c r="R15" s="45">
        <v>0</v>
      </c>
      <c r="S15" s="46">
        <v>0</v>
      </c>
      <c r="T15" s="39">
        <f t="shared" si="0"/>
        <v>18</v>
      </c>
      <c r="U15" s="47">
        <f t="shared" si="1"/>
        <v>0.11056168073104131</v>
      </c>
      <c r="V15" s="48">
        <f t="shared" si="2"/>
        <v>0</v>
      </c>
      <c r="W15" s="49">
        <f t="shared" si="3"/>
        <v>6.1423155961689612E-3</v>
      </c>
      <c r="X15" s="44">
        <f t="shared" si="4"/>
        <v>1281.6819228305219</v>
      </c>
      <c r="Y15" s="44">
        <f t="shared" si="5"/>
        <v>0</v>
      </c>
      <c r="Z15" s="44">
        <f t="shared" si="6"/>
        <v>10715.470841198838</v>
      </c>
      <c r="AA15" s="50">
        <f t="shared" si="7"/>
        <v>11789.73192283052</v>
      </c>
      <c r="AB15" s="51">
        <f t="shared" si="8"/>
        <v>10017.267309711917</v>
      </c>
      <c r="AC15" s="44">
        <f t="shared" si="8"/>
        <v>11021.531198308423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10"/>
        <v>10457.204327270416</v>
      </c>
      <c r="AH15" s="52">
        <f>HLOOKUP(I15,ElecAvoidedCostsWOCC!$A$5:$Q$50,T15+1,FALSE)</f>
        <v>1.5960324064820535</v>
      </c>
      <c r="AI15" s="44">
        <f t="shared" si="11"/>
        <v>0</v>
      </c>
      <c r="AJ15" s="44">
        <f t="shared" si="12"/>
        <v>10457.204327270416</v>
      </c>
      <c r="AK15" s="44">
        <f>HLOOKUP(I15,ElecAvoidedCostsWOCC!$A$5:$Q$50,G15+1,FALSE)*J15*L15</f>
        <v>0</v>
      </c>
      <c r="AL15" s="44">
        <f t="shared" si="13"/>
        <v>10457.204327270416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10457.204327270414</v>
      </c>
      <c r="AN15" s="48">
        <f t="shared" si="14"/>
        <v>11502.924759997457</v>
      </c>
      <c r="AO15" s="47">
        <f t="shared" si="15"/>
        <v>1.0439178674139973</v>
      </c>
      <c r="AP15" s="47">
        <f t="shared" si="16"/>
        <v>1.043677557412614</v>
      </c>
    </row>
    <row r="16" spans="1:42" ht="13.5" customHeight="1">
      <c r="A16" s="54">
        <f>SUM(U6:U999)</f>
        <v>22.712248151350028</v>
      </c>
      <c r="B16" s="97" t="s">
        <v>74</v>
      </c>
      <c r="C16" s="100">
        <v>18230611</v>
      </c>
      <c r="D16" s="100" t="s">
        <v>75</v>
      </c>
      <c r="E16" s="38" t="s">
        <v>1482</v>
      </c>
      <c r="F16" s="39" t="s">
        <v>1483</v>
      </c>
      <c r="G16" s="39">
        <v>20</v>
      </c>
      <c r="H16" s="39"/>
      <c r="I16" s="40" t="s">
        <v>283</v>
      </c>
      <c r="J16" s="41">
        <v>9</v>
      </c>
      <c r="K16" s="41">
        <v>1254</v>
      </c>
      <c r="L16" s="41"/>
      <c r="M16" s="42">
        <v>631.5</v>
      </c>
      <c r="N16" s="42">
        <v>631.5</v>
      </c>
      <c r="O16" s="43">
        <v>11286</v>
      </c>
      <c r="P16" s="44">
        <v>5843.36</v>
      </c>
      <c r="Q16" s="44">
        <v>5843.36</v>
      </c>
      <c r="R16" s="45">
        <v>0</v>
      </c>
      <c r="S16" s="46">
        <v>0</v>
      </c>
      <c r="T16" s="39">
        <f t="shared" si="0"/>
        <v>20</v>
      </c>
      <c r="U16" s="47">
        <f t="shared" si="1"/>
        <v>0.21160614718669993</v>
      </c>
      <c r="V16" s="48">
        <f t="shared" si="2"/>
        <v>0</v>
      </c>
      <c r="W16" s="49">
        <f t="shared" si="3"/>
        <v>1.0580307359334996E-2</v>
      </c>
      <c r="X16" s="44">
        <f t="shared" si="4"/>
        <v>2207.73232311741</v>
      </c>
      <c r="Y16" s="44">
        <f t="shared" si="5"/>
        <v>0</v>
      </c>
      <c r="Z16" s="44">
        <f t="shared" si="6"/>
        <v>18457.692905032065</v>
      </c>
      <c r="AA16" s="50">
        <f t="shared" si="7"/>
        <v>8051.0923231174093</v>
      </c>
      <c r="AB16" s="51">
        <f t="shared" si="8"/>
        <v>17255.018140630142</v>
      </c>
      <c r="AC16" s="44">
        <f t="shared" si="8"/>
        <v>7526.4955811137779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10"/>
        <v>19501.592028697018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2"/>
        <v>19501.592028697018</v>
      </c>
      <c r="AK16" s="44">
        <f>HLOOKUP(I16,ElecAvoidedCostsWOCC!$A$5:$Q$50,G16+1,FALSE)*J16*L16</f>
        <v>0</v>
      </c>
      <c r="AL16" s="44">
        <f t="shared" si="13"/>
        <v>19501.592028697018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19501.592028697018</v>
      </c>
      <c r="AN16" s="48">
        <f t="shared" si="14"/>
        <v>21451.751231566723</v>
      </c>
      <c r="AO16" s="47">
        <f t="shared" si="15"/>
        <v>1.1301982918683176</v>
      </c>
      <c r="AP16" s="47">
        <f t="shared" si="16"/>
        <v>2.8501645952461017</v>
      </c>
    </row>
    <row r="17" spans="1:42" ht="13.5" customHeight="1">
      <c r="A17" s="58" t="s">
        <v>261</v>
      </c>
      <c r="B17" s="97" t="s">
        <v>74</v>
      </c>
      <c r="C17" s="100">
        <v>18230611</v>
      </c>
      <c r="D17" s="100" t="s">
        <v>75</v>
      </c>
      <c r="E17" s="38" t="s">
        <v>1488</v>
      </c>
      <c r="F17" s="39" t="s">
        <v>1489</v>
      </c>
      <c r="G17" s="39">
        <v>15</v>
      </c>
      <c r="H17" s="39"/>
      <c r="I17" s="40" t="s">
        <v>282</v>
      </c>
      <c r="J17" s="41">
        <v>108</v>
      </c>
      <c r="K17" s="41">
        <v>2594</v>
      </c>
      <c r="L17" s="41"/>
      <c r="M17" s="42">
        <v>3798.92</v>
      </c>
      <c r="N17" s="42">
        <v>3798.92</v>
      </c>
      <c r="O17" s="43">
        <v>280152</v>
      </c>
      <c r="P17" s="44">
        <v>624411.75999999896</v>
      </c>
      <c r="Q17" s="44">
        <v>624411.75999999896</v>
      </c>
      <c r="R17" s="45">
        <v>40.71</v>
      </c>
      <c r="S17" s="46">
        <v>0</v>
      </c>
      <c r="T17" s="39">
        <f t="shared" si="0"/>
        <v>15</v>
      </c>
      <c r="U17" s="47">
        <f t="shared" si="1"/>
        <v>3.9395192282461693</v>
      </c>
      <c r="V17" s="48">
        <f t="shared" si="2"/>
        <v>0</v>
      </c>
      <c r="W17" s="49">
        <f t="shared" si="3"/>
        <v>0.26263461521641129</v>
      </c>
      <c r="X17" s="44">
        <f t="shared" si="4"/>
        <v>54802.46551355561</v>
      </c>
      <c r="Y17" s="44">
        <f t="shared" si="5"/>
        <v>0</v>
      </c>
      <c r="Z17" s="44">
        <f t="shared" si="6"/>
        <v>458174.69278137007</v>
      </c>
      <c r="AA17" s="50">
        <f t="shared" si="7"/>
        <v>679214.22551355453</v>
      </c>
      <c r="AB17" s="51">
        <f t="shared" si="8"/>
        <v>428320.73738559411</v>
      </c>
      <c r="AC17" s="44">
        <f t="shared" si="8"/>
        <v>634957.67552917125</v>
      </c>
      <c r="AD17" s="44">
        <f t="shared" si="9"/>
        <v>40120.572364995765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391134.4085542562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391134.4085542562</v>
      </c>
      <c r="AK17" s="44">
        <f>HLOOKUP(I17,ElecAvoidedCostsWOCC!$A$5:$Q$50,G17+1,FALSE)*J17*L17</f>
        <v>0</v>
      </c>
      <c r="AL17" s="44">
        <f t="shared" si="13"/>
        <v>391134.4085542562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391134.4085542562</v>
      </c>
      <c r="AN17" s="48">
        <f t="shared" si="14"/>
        <v>470368.42177467764</v>
      </c>
      <c r="AO17" s="47">
        <f t="shared" si="15"/>
        <v>0.91318111502534827</v>
      </c>
      <c r="AP17" s="47">
        <f t="shared" si="16"/>
        <v>0.74078704755033387</v>
      </c>
    </row>
    <row r="18" spans="1:42" ht="13.5" customHeight="1">
      <c r="A18" s="59">
        <f>A6+A8</f>
        <v>1744532.7699999998</v>
      </c>
      <c r="B18" s="97" t="s">
        <v>74</v>
      </c>
      <c r="C18" s="100">
        <v>18230611</v>
      </c>
      <c r="D18" s="100" t="s">
        <v>75</v>
      </c>
      <c r="E18" s="38" t="s">
        <v>1490</v>
      </c>
      <c r="F18" s="39" t="s">
        <v>1491</v>
      </c>
      <c r="G18" s="39">
        <v>15</v>
      </c>
      <c r="H18" s="39"/>
      <c r="I18" s="40" t="s">
        <v>282</v>
      </c>
      <c r="J18" s="41">
        <v>46</v>
      </c>
      <c r="K18" s="41">
        <v>1790</v>
      </c>
      <c r="L18" s="41"/>
      <c r="M18" s="42">
        <v>4282.55</v>
      </c>
      <c r="N18" s="42">
        <v>4282.55</v>
      </c>
      <c r="O18" s="43">
        <v>82340</v>
      </c>
      <c r="P18" s="44">
        <v>300878.15000000002</v>
      </c>
      <c r="Q18" s="44">
        <v>300878.15000000002</v>
      </c>
      <c r="R18" s="45">
        <v>18.46</v>
      </c>
      <c r="S18" s="46">
        <v>0</v>
      </c>
      <c r="T18" s="39">
        <f t="shared" si="0"/>
        <v>15</v>
      </c>
      <c r="U18" s="47">
        <f t="shared" si="1"/>
        <v>1.1578714885269055</v>
      </c>
      <c r="V18" s="48">
        <f t="shared" si="2"/>
        <v>0</v>
      </c>
      <c r="W18" s="49">
        <f t="shared" si="3"/>
        <v>7.7191432568460366E-2</v>
      </c>
      <c r="X18" s="44">
        <f t="shared" si="4"/>
        <v>16107.095470980643</v>
      </c>
      <c r="Y18" s="44">
        <f t="shared" si="5"/>
        <v>0</v>
      </c>
      <c r="Z18" s="44">
        <f t="shared" si="6"/>
        <v>134662.98367892436</v>
      </c>
      <c r="AA18" s="50">
        <f t="shared" si="7"/>
        <v>316985.24547098065</v>
      </c>
      <c r="AB18" s="51">
        <f t="shared" si="8"/>
        <v>125888.55163029293</v>
      </c>
      <c r="AC18" s="44">
        <f t="shared" si="8"/>
        <v>296330.97641486453</v>
      </c>
      <c r="AD18" s="44">
        <f t="shared" si="9"/>
        <v>7748.7525199604706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114959.047946677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114959.047946677</v>
      </c>
      <c r="AK18" s="44">
        <f>HLOOKUP(I18,ElecAvoidedCostsWOCC!$A$5:$Q$50,G18+1,FALSE)*J18*L18</f>
        <v>0</v>
      </c>
      <c r="AL18" s="44">
        <f t="shared" si="13"/>
        <v>114959.047946677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114959.047946677</v>
      </c>
      <c r="AN18" s="48">
        <f t="shared" si="14"/>
        <v>134203.70526130518</v>
      </c>
      <c r="AO18" s="47">
        <f t="shared" si="15"/>
        <v>0.91318111502534816</v>
      </c>
      <c r="AP18" s="47">
        <f t="shared" si="16"/>
        <v>0.45288449720969925</v>
      </c>
    </row>
    <row r="19" spans="1:42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1492</v>
      </c>
      <c r="F19" s="39" t="s">
        <v>1493</v>
      </c>
      <c r="G19" s="39"/>
      <c r="H19" s="39"/>
      <c r="I19" s="40"/>
      <c r="J19" s="41">
        <v>4</v>
      </c>
      <c r="K19" s="41">
        <v>0</v>
      </c>
      <c r="L19" s="41"/>
      <c r="M19" s="42">
        <v>276.25</v>
      </c>
      <c r="N19" s="42">
        <v>276.25</v>
      </c>
      <c r="O19" s="43">
        <v>0</v>
      </c>
      <c r="P19" s="44">
        <v>1105</v>
      </c>
      <c r="Q19" s="44">
        <v>1105</v>
      </c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1105</v>
      </c>
      <c r="AB19" s="51">
        <f t="shared" si="8"/>
        <v>0</v>
      </c>
      <c r="AC19" s="44">
        <f t="shared" si="8"/>
        <v>1032.9999065158454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3052799.2699999996</v>
      </c>
      <c r="B20" s="97" t="s">
        <v>74</v>
      </c>
      <c r="C20" s="100">
        <v>18230611</v>
      </c>
      <c r="D20" s="100" t="s">
        <v>75</v>
      </c>
      <c r="E20" s="38" t="s">
        <v>1494</v>
      </c>
      <c r="F20" s="39" t="s">
        <v>1495</v>
      </c>
      <c r="G20" s="39"/>
      <c r="H20" s="39"/>
      <c r="I20" s="40"/>
      <c r="J20" s="41">
        <v>1</v>
      </c>
      <c r="K20" s="41">
        <v>0</v>
      </c>
      <c r="L20" s="41"/>
      <c r="M20" s="42">
        <v>296.2</v>
      </c>
      <c r="N20" s="42">
        <v>296.2</v>
      </c>
      <c r="O20" s="43">
        <v>0</v>
      </c>
      <c r="P20" s="44">
        <v>296.2</v>
      </c>
      <c r="Q20" s="44">
        <v>296.2</v>
      </c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296.2</v>
      </c>
      <c r="AB20" s="51">
        <f t="shared" si="8"/>
        <v>0</v>
      </c>
      <c r="AC20" s="44">
        <f t="shared" si="8"/>
        <v>276.90006543890809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1496</v>
      </c>
      <c r="F21" s="39" t="s">
        <v>1497</v>
      </c>
      <c r="G21" s="39"/>
      <c r="H21" s="39"/>
      <c r="I21" s="40"/>
      <c r="J21" s="41">
        <v>1</v>
      </c>
      <c r="K21" s="41">
        <v>0</v>
      </c>
      <c r="L21" s="41"/>
      <c r="M21" s="42">
        <v>572</v>
      </c>
      <c r="N21" s="42">
        <v>572</v>
      </c>
      <c r="O21" s="43">
        <v>0</v>
      </c>
      <c r="P21" s="44">
        <v>572</v>
      </c>
      <c r="Q21" s="44">
        <v>572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572</v>
      </c>
      <c r="AB21" s="51">
        <f t="shared" ref="AB21:AC24" si="18">Z21/(1+ElecDiscountRate)^1</f>
        <v>0</v>
      </c>
      <c r="AC21" s="44">
        <f t="shared" si="18"/>
        <v>534.72936337290821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>
      <c r="A22" s="60">
        <f>(SUM(AM6:AM1000)/(SUM(AB6:AB1000)))</f>
        <v>1.1736169793934446</v>
      </c>
      <c r="B22" s="97" t="s">
        <v>74</v>
      </c>
      <c r="C22" s="100">
        <v>18230611</v>
      </c>
      <c r="D22" s="100" t="s">
        <v>75</v>
      </c>
      <c r="E22" s="38" t="s">
        <v>1498</v>
      </c>
      <c r="F22" s="39" t="s">
        <v>1499</v>
      </c>
      <c r="G22" s="39"/>
      <c r="H22" s="39"/>
      <c r="I22" s="40"/>
      <c r="J22" s="41">
        <v>3</v>
      </c>
      <c r="K22" s="41">
        <v>0</v>
      </c>
      <c r="L22" s="41"/>
      <c r="M22" s="42">
        <v>5363.1366666666663</v>
      </c>
      <c r="N22" s="42">
        <v>5363.1366666666663</v>
      </c>
      <c r="O22" s="43">
        <v>0</v>
      </c>
      <c r="P22" s="44">
        <v>16089.41</v>
      </c>
      <c r="Q22" s="44">
        <v>16089.41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16089.41</v>
      </c>
      <c r="AB22" s="51">
        <f t="shared" si="18"/>
        <v>0</v>
      </c>
      <c r="AC22" s="44">
        <f t="shared" si="18"/>
        <v>15041.048892212768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1504</v>
      </c>
      <c r="F23" s="39" t="s">
        <v>1505</v>
      </c>
      <c r="G23" s="39"/>
      <c r="H23" s="39"/>
      <c r="I23" s="40"/>
      <c r="J23" s="41">
        <v>20</v>
      </c>
      <c r="K23" s="41">
        <v>0</v>
      </c>
      <c r="L23" s="41"/>
      <c r="M23" s="42">
        <v>351.42449999999997</v>
      </c>
      <c r="N23" s="42">
        <v>351.42449999999997</v>
      </c>
      <c r="O23" s="43">
        <v>0</v>
      </c>
      <c r="P23" s="44">
        <v>7028.49</v>
      </c>
      <c r="Q23" s="44">
        <v>7028.49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7028.49</v>
      </c>
      <c r="AB23" s="51">
        <f t="shared" si="18"/>
        <v>0</v>
      </c>
      <c r="AC23" s="44">
        <f t="shared" si="18"/>
        <v>6570.5244461063839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(SUM(AN6:AN1000)/SUM(AC6:AC1000))</f>
        <v>0.87228010170331916</v>
      </c>
      <c r="B24" s="97" t="s">
        <v>74</v>
      </c>
      <c r="C24" s="100">
        <v>18230611</v>
      </c>
      <c r="D24" s="100" t="s">
        <v>75</v>
      </c>
      <c r="E24" s="38" t="s">
        <v>1506</v>
      </c>
      <c r="F24" s="39" t="s">
        <v>1507</v>
      </c>
      <c r="G24" s="39"/>
      <c r="H24" s="39"/>
      <c r="I24" s="40"/>
      <c r="J24" s="41">
        <v>11</v>
      </c>
      <c r="K24" s="41">
        <v>0</v>
      </c>
      <c r="L24" s="41"/>
      <c r="M24" s="42">
        <v>370.45181818181817</v>
      </c>
      <c r="N24" s="42">
        <v>370.45181818181817</v>
      </c>
      <c r="O24" s="43">
        <v>0</v>
      </c>
      <c r="P24" s="44">
        <v>4074.97</v>
      </c>
      <c r="Q24" s="44">
        <v>4074.97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4074.97</v>
      </c>
      <c r="AB24" s="51">
        <f t="shared" si="18"/>
        <v>0</v>
      </c>
      <c r="AC24" s="44">
        <f t="shared" si="18"/>
        <v>3809.4512480134613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 t="s">
        <v>1508</v>
      </c>
      <c r="F25" s="39" t="s">
        <v>1509</v>
      </c>
      <c r="G25" s="39">
        <v>20</v>
      </c>
      <c r="H25" s="39"/>
      <c r="I25" s="40" t="s">
        <v>283</v>
      </c>
      <c r="J25" s="41">
        <v>1358</v>
      </c>
      <c r="K25" s="41">
        <v>4.6500000000000004</v>
      </c>
      <c r="L25" s="41"/>
      <c r="M25" s="42">
        <v>6.46</v>
      </c>
      <c r="N25" s="42">
        <v>6.46</v>
      </c>
      <c r="O25" s="43">
        <v>6314.7</v>
      </c>
      <c r="P25" s="44">
        <v>11785.06</v>
      </c>
      <c r="Q25" s="44">
        <v>11785.06</v>
      </c>
      <c r="R25" s="45">
        <v>0</v>
      </c>
      <c r="S25" s="46">
        <v>0</v>
      </c>
      <c r="T25" s="39">
        <f t="shared" ref="T25:T88" si="19">G25+H25</f>
        <v>20</v>
      </c>
      <c r="U25" s="47">
        <f t="shared" ref="U25:U88" si="20">(O25/$A$10)*T25</f>
        <v>0.11839707049794915</v>
      </c>
      <c r="V25" s="48">
        <f t="shared" ref="V25:V88" si="21">N25-M25</f>
        <v>0</v>
      </c>
      <c r="W25" s="49">
        <f t="shared" ref="W25:W88" si="22">(O25/A$10)</f>
        <v>5.9198535248974572E-3</v>
      </c>
      <c r="X25" s="44">
        <f t="shared" ref="X25:X88" si="23">W25*A$8</f>
        <v>1235.2620326767242</v>
      </c>
      <c r="Y25" s="44">
        <f t="shared" ref="Y25:Y88" si="24">Q25-P25</f>
        <v>0</v>
      </c>
      <c r="Z25" s="44">
        <f t="shared" ref="Z25:Z88" si="25">X25+(A$6*W25)</f>
        <v>10327.378467783625</v>
      </c>
      <c r="AA25" s="50">
        <f t="shared" ref="AA25:AA88" si="26">Q25+X25</f>
        <v>13020.322032676724</v>
      </c>
      <c r="AB25" s="51">
        <f t="shared" ref="AB25:AB88" si="27">Z25/(1+ElecDiscountRate)^1</f>
        <v>9654.4624359947866</v>
      </c>
      <c r="AC25" s="44">
        <f t="shared" ref="AC25:AC88" si="28">AA25/(1+ElecDiscountRate)^1</f>
        <v>12171.937957069013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1.727945421646023</v>
      </c>
      <c r="AG25" s="44">
        <f t="shared" ref="AG25:AG88" si="31">AF25*J25*K25</f>
        <v>10911.456954068142</v>
      </c>
      <c r="AH25" s="52">
        <f>HLOOKUP(I25,ElecAvoidedCostsWOCC!$A$5:$Q$50,T25+1,FALSE)</f>
        <v>1.727945421646023</v>
      </c>
      <c r="AI25" s="44">
        <f t="shared" ref="AI25:AI88" si="32">AH25*J25*L25</f>
        <v>0</v>
      </c>
      <c r="AJ25" s="44">
        <f t="shared" ref="AJ25:AJ88" si="33">AG25+AI25</f>
        <v>10911.456954068142</v>
      </c>
      <c r="AK25" s="44">
        <f>HLOOKUP(I25,ElecAvoidedCostsWOCC!$A$5:$Q$50,G25+1,FALSE)*J25*L25</f>
        <v>0</v>
      </c>
      <c r="AL25" s="44">
        <f t="shared" ref="AL25:AL88" si="34">AG25+AI25-AK25</f>
        <v>10911.456954068142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10911.456954068142</v>
      </c>
      <c r="AN25" s="48">
        <f t="shared" ref="AN25:AN88" si="35">AM25*1.1+AD25+AE25</f>
        <v>12002.602649474957</v>
      </c>
      <c r="AO25" s="47">
        <f t="shared" ref="AO25:AO88" si="36">IFERROR(AM25/AB25,0)</f>
        <v>1.1301982918683173</v>
      </c>
      <c r="AP25" s="47">
        <f t="shared" ref="AP25:AP88" si="37">AN25/AC25</f>
        <v>0.98608805695598278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 t="s">
        <v>1512</v>
      </c>
      <c r="F26" s="39" t="s">
        <v>1513</v>
      </c>
      <c r="G26" s="39">
        <v>45</v>
      </c>
      <c r="H26" s="39"/>
      <c r="I26" s="40" t="s">
        <v>283</v>
      </c>
      <c r="J26" s="41">
        <v>18155</v>
      </c>
      <c r="K26" s="41">
        <v>0.36</v>
      </c>
      <c r="L26" s="41"/>
      <c r="M26" s="42">
        <v>1.87</v>
      </c>
      <c r="N26" s="42">
        <v>1.87</v>
      </c>
      <c r="O26" s="43">
        <v>6535.8</v>
      </c>
      <c r="P26" s="44">
        <v>53549.29</v>
      </c>
      <c r="Q26" s="44">
        <v>53549.29</v>
      </c>
      <c r="R26" s="45">
        <v>0</v>
      </c>
      <c r="S26" s="46">
        <v>0</v>
      </c>
      <c r="T26" s="39">
        <f t="shared" si="19"/>
        <v>45</v>
      </c>
      <c r="U26" s="47">
        <f t="shared" si="20"/>
        <v>0.27572078484506246</v>
      </c>
      <c r="V26" s="48">
        <f t="shared" si="21"/>
        <v>0</v>
      </c>
      <c r="W26" s="49">
        <f t="shared" si="22"/>
        <v>6.1271285521124997E-3</v>
      </c>
      <c r="X26" s="44">
        <f t="shared" si="23"/>
        <v>1278.5129290652815</v>
      </c>
      <c r="Y26" s="44">
        <f t="shared" si="24"/>
        <v>0</v>
      </c>
      <c r="Z26" s="44">
        <f t="shared" si="25"/>
        <v>10688.976545162908</v>
      </c>
      <c r="AA26" s="50">
        <f t="shared" si="26"/>
        <v>54827.802929065285</v>
      </c>
      <c r="AB26" s="51">
        <f t="shared" si="27"/>
        <v>9992.4993410890038</v>
      </c>
      <c r="AC26" s="44">
        <f t="shared" si="28"/>
        <v>51255.307963976142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22402.383942812958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22402.383942812958</v>
      </c>
      <c r="AK26" s="44">
        <f>HLOOKUP(I26,ElecAvoidedCostsWOCC!$A$5:$Q$50,G26+1,FALSE)*J26*L26</f>
        <v>0</v>
      </c>
      <c r="AL26" s="44">
        <f t="shared" si="34"/>
        <v>22402.383942812958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22402.383942812958</v>
      </c>
      <c r="AN26" s="48">
        <f t="shared" si="35"/>
        <v>24642.622337094257</v>
      </c>
      <c r="AO26" s="47">
        <f t="shared" si="36"/>
        <v>2.2419199819903612</v>
      </c>
      <c r="AP26" s="47">
        <f t="shared" si="37"/>
        <v>0.48078186076676926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 t="s">
        <v>1514</v>
      </c>
      <c r="F27" s="39" t="s">
        <v>1515</v>
      </c>
      <c r="G27" s="39">
        <v>25</v>
      </c>
      <c r="H27" s="39"/>
      <c r="I27" s="40" t="s">
        <v>283</v>
      </c>
      <c r="J27" s="41">
        <v>82951</v>
      </c>
      <c r="K27" s="41">
        <v>0.8</v>
      </c>
      <c r="L27" s="41"/>
      <c r="M27" s="42">
        <v>2.37</v>
      </c>
      <c r="N27" s="42">
        <v>2.37</v>
      </c>
      <c r="O27" s="43">
        <v>66360.800000000003</v>
      </c>
      <c r="P27" s="44">
        <v>270628.14</v>
      </c>
      <c r="Q27" s="44">
        <v>270628.14</v>
      </c>
      <c r="R27" s="45">
        <v>0</v>
      </c>
      <c r="S27" s="46">
        <v>0</v>
      </c>
      <c r="T27" s="39">
        <f t="shared" si="19"/>
        <v>25</v>
      </c>
      <c r="U27" s="47">
        <f t="shared" si="20"/>
        <v>1.5552845574414271</v>
      </c>
      <c r="V27" s="48">
        <f t="shared" si="21"/>
        <v>0</v>
      </c>
      <c r="W27" s="49">
        <f t="shared" si="22"/>
        <v>6.2211382297657089E-2</v>
      </c>
      <c r="X27" s="44">
        <f t="shared" si="23"/>
        <v>12981.293917059173</v>
      </c>
      <c r="Y27" s="44">
        <f t="shared" si="24"/>
        <v>0</v>
      </c>
      <c r="Z27" s="44">
        <f t="shared" si="25"/>
        <v>108529.79508526067</v>
      </c>
      <c r="AA27" s="50">
        <f t="shared" si="26"/>
        <v>283609.43391705921</v>
      </c>
      <c r="AB27" s="51">
        <f t="shared" si="27"/>
        <v>101458.16124638746</v>
      </c>
      <c r="AC27" s="44">
        <f t="shared" si="28"/>
        <v>265129.88119758735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2.0508206305871441</v>
      </c>
      <c r="AG27" s="44">
        <f t="shared" si="31"/>
        <v>136094.09770226735</v>
      </c>
      <c r="AH27" s="52">
        <f>HLOOKUP(I27,ElecAvoidedCostsWOCC!$A$5:$Q$50,T27+1,FALSE)</f>
        <v>2.0508206305871441</v>
      </c>
      <c r="AI27" s="44">
        <f t="shared" si="32"/>
        <v>0</v>
      </c>
      <c r="AJ27" s="44">
        <f t="shared" si="33"/>
        <v>136094.09770226735</v>
      </c>
      <c r="AK27" s="44">
        <f>HLOOKUP(I27,ElecAvoidedCostsWOCC!$A$5:$Q$50,G27+1,FALSE)*J27*L27</f>
        <v>0</v>
      </c>
      <c r="AL27" s="44">
        <f t="shared" si="34"/>
        <v>136094.09770226735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136094.09770226738</v>
      </c>
      <c r="AN27" s="48">
        <f t="shared" si="35"/>
        <v>149703.50747249412</v>
      </c>
      <c r="AO27" s="47">
        <f t="shared" si="36"/>
        <v>1.3413814722284174</v>
      </c>
      <c r="AP27" s="47">
        <f t="shared" si="37"/>
        <v>0.56464215499318982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 t="s">
        <v>1518</v>
      </c>
      <c r="F28" s="39" t="s">
        <v>1519</v>
      </c>
      <c r="G28" s="39">
        <v>45</v>
      </c>
      <c r="H28" s="39"/>
      <c r="I28" s="40" t="s">
        <v>281</v>
      </c>
      <c r="J28" s="41">
        <v>500</v>
      </c>
      <c r="K28" s="41">
        <v>1.35</v>
      </c>
      <c r="L28" s="41"/>
      <c r="M28" s="42">
        <v>2.2000000000000002</v>
      </c>
      <c r="N28" s="42">
        <v>2.2000000000000002</v>
      </c>
      <c r="O28" s="43">
        <v>675</v>
      </c>
      <c r="P28" s="44">
        <v>1430</v>
      </c>
      <c r="Q28" s="44">
        <v>1430</v>
      </c>
      <c r="R28" s="45">
        <v>0</v>
      </c>
      <c r="S28" s="46">
        <v>0</v>
      </c>
      <c r="T28" s="39">
        <f t="shared" si="19"/>
        <v>45</v>
      </c>
      <c r="U28" s="47">
        <f t="shared" si="20"/>
        <v>2.8475707605865725E-2</v>
      </c>
      <c r="V28" s="48">
        <f t="shared" si="21"/>
        <v>0</v>
      </c>
      <c r="W28" s="49">
        <f t="shared" si="22"/>
        <v>6.3279350235257163E-4</v>
      </c>
      <c r="X28" s="44">
        <f t="shared" si="23"/>
        <v>132.04140688501258</v>
      </c>
      <c r="Y28" s="44">
        <f t="shared" si="24"/>
        <v>0</v>
      </c>
      <c r="Z28" s="44">
        <f t="shared" si="25"/>
        <v>1103.9290014971332</v>
      </c>
      <c r="AA28" s="50">
        <f t="shared" si="26"/>
        <v>1562.0414068850125</v>
      </c>
      <c r="AB28" s="51">
        <f t="shared" si="27"/>
        <v>1031.9986926214201</v>
      </c>
      <c r="AC28" s="44">
        <f t="shared" si="28"/>
        <v>1460.2612011638894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3.1346149049506007</v>
      </c>
      <c r="AG28" s="44">
        <f t="shared" si="31"/>
        <v>2115.8650608416556</v>
      </c>
      <c r="AH28" s="52">
        <f>HLOOKUP(I28,ElecAvoidedCostsWOCC!$A$5:$Q$50,T28+1,FALSE)</f>
        <v>3.1346149049506007</v>
      </c>
      <c r="AI28" s="44">
        <f t="shared" si="32"/>
        <v>0</v>
      </c>
      <c r="AJ28" s="44">
        <f t="shared" si="33"/>
        <v>2115.8650608416556</v>
      </c>
      <c r="AK28" s="44">
        <f>HLOOKUP(I28,ElecAvoidedCostsWOCC!$A$5:$Q$50,G28+1,FALSE)*J28*L28</f>
        <v>0</v>
      </c>
      <c r="AL28" s="44">
        <f t="shared" si="34"/>
        <v>2115.8650608416556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2115.8650608416556</v>
      </c>
      <c r="AN28" s="48">
        <f t="shared" si="35"/>
        <v>2327.4515669258212</v>
      </c>
      <c r="AO28" s="47">
        <f t="shared" si="36"/>
        <v>2.050259439250901</v>
      </c>
      <c r="AP28" s="47">
        <f t="shared" si="37"/>
        <v>1.5938597595216148</v>
      </c>
    </row>
    <row r="29" spans="1:42">
      <c r="B29" s="97" t="s">
        <v>74</v>
      </c>
      <c r="C29" s="100">
        <v>18230611</v>
      </c>
      <c r="D29" s="100" t="s">
        <v>75</v>
      </c>
      <c r="E29" s="38" t="s">
        <v>1520</v>
      </c>
      <c r="F29" s="39" t="s">
        <v>1521</v>
      </c>
      <c r="G29" s="39">
        <v>25</v>
      </c>
      <c r="H29" s="39"/>
      <c r="I29" s="40" t="s">
        <v>283</v>
      </c>
      <c r="J29" s="41">
        <v>17249</v>
      </c>
      <c r="K29" s="41">
        <v>0.52</v>
      </c>
      <c r="L29" s="41"/>
      <c r="M29" s="42">
        <v>2.7</v>
      </c>
      <c r="N29" s="42">
        <v>2.7</v>
      </c>
      <c r="O29" s="43">
        <v>8969.48</v>
      </c>
      <c r="P29" s="44">
        <v>60879.11</v>
      </c>
      <c r="Q29" s="44">
        <v>60879.11</v>
      </c>
      <c r="R29" s="45">
        <v>0</v>
      </c>
      <c r="S29" s="46">
        <v>0</v>
      </c>
      <c r="T29" s="39">
        <f t="shared" si="19"/>
        <v>25</v>
      </c>
      <c r="U29" s="47">
        <f t="shared" si="20"/>
        <v>0.21021587642523495</v>
      </c>
      <c r="V29" s="48">
        <f t="shared" si="21"/>
        <v>0</v>
      </c>
      <c r="W29" s="49">
        <f t="shared" si="22"/>
        <v>8.4086350570093983E-3</v>
      </c>
      <c r="X29" s="44">
        <f t="shared" si="23"/>
        <v>1754.5818640399739</v>
      </c>
      <c r="Y29" s="44">
        <f t="shared" si="24"/>
        <v>0</v>
      </c>
      <c r="Z29" s="44">
        <f t="shared" si="25"/>
        <v>14669.139407923712</v>
      </c>
      <c r="AA29" s="50">
        <f t="shared" si="26"/>
        <v>62633.691864039974</v>
      </c>
      <c r="AB29" s="51">
        <f t="shared" si="27"/>
        <v>13713.320938509592</v>
      </c>
      <c r="AC29" s="44">
        <f t="shared" si="28"/>
        <v>58552.57723103671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2.0508206305871441</v>
      </c>
      <c r="AG29" s="44">
        <f t="shared" si="31"/>
        <v>18394.794629638778</v>
      </c>
      <c r="AH29" s="52">
        <f>HLOOKUP(I29,ElecAvoidedCostsWOCC!$A$5:$Q$50,T29+1,FALSE)</f>
        <v>2.0508206305871441</v>
      </c>
      <c r="AI29" s="44">
        <f t="shared" si="32"/>
        <v>0</v>
      </c>
      <c r="AJ29" s="44">
        <f t="shared" si="33"/>
        <v>18394.794629638778</v>
      </c>
      <c r="AK29" s="44">
        <f>HLOOKUP(I29,ElecAvoidedCostsWOCC!$A$5:$Q$50,G29+1,FALSE)*J29*L29</f>
        <v>0</v>
      </c>
      <c r="AL29" s="44">
        <f t="shared" si="34"/>
        <v>18394.794629638778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18394.794629638778</v>
      </c>
      <c r="AN29" s="48">
        <f t="shared" si="35"/>
        <v>20234.274092602656</v>
      </c>
      <c r="AO29" s="47">
        <f t="shared" si="36"/>
        <v>1.3413814722284172</v>
      </c>
      <c r="AP29" s="47">
        <f t="shared" si="37"/>
        <v>0.34557444009274391</v>
      </c>
    </row>
    <row r="30" spans="1:42">
      <c r="B30" s="97" t="s">
        <v>74</v>
      </c>
      <c r="C30" s="100">
        <v>18230611</v>
      </c>
      <c r="D30" s="100" t="s">
        <v>75</v>
      </c>
      <c r="E30" s="38" t="s">
        <v>1524</v>
      </c>
      <c r="F30" s="39" t="s">
        <v>1525</v>
      </c>
      <c r="G30" s="39">
        <v>45</v>
      </c>
      <c r="H30" s="39"/>
      <c r="I30" s="40" t="s">
        <v>283</v>
      </c>
      <c r="J30" s="41">
        <v>24148</v>
      </c>
      <c r="K30" s="41">
        <v>0.4</v>
      </c>
      <c r="L30" s="41"/>
      <c r="M30" s="42">
        <v>2.2000000000000002</v>
      </c>
      <c r="N30" s="42">
        <v>2.2000000000000002</v>
      </c>
      <c r="O30" s="43">
        <v>9659.2000000000007</v>
      </c>
      <c r="P30" s="44">
        <v>73020.17</v>
      </c>
      <c r="Q30" s="44">
        <v>73020.17</v>
      </c>
      <c r="R30" s="45">
        <v>0</v>
      </c>
      <c r="S30" s="46">
        <v>0</v>
      </c>
      <c r="T30" s="39">
        <f t="shared" si="19"/>
        <v>45</v>
      </c>
      <c r="U30" s="47">
        <f t="shared" si="20"/>
        <v>0.40748526652826406</v>
      </c>
      <c r="V30" s="48">
        <f t="shared" si="21"/>
        <v>0</v>
      </c>
      <c r="W30" s="49">
        <f t="shared" si="22"/>
        <v>9.0552281450725341E-3</v>
      </c>
      <c r="X30" s="44">
        <f t="shared" si="23"/>
        <v>1889.5027516795756</v>
      </c>
      <c r="Y30" s="44">
        <f t="shared" si="24"/>
        <v>0</v>
      </c>
      <c r="Z30" s="44">
        <f t="shared" si="25"/>
        <v>15797.142238905348</v>
      </c>
      <c r="AA30" s="50">
        <f t="shared" si="26"/>
        <v>74909.67275167958</v>
      </c>
      <c r="AB30" s="51">
        <f t="shared" si="27"/>
        <v>14767.824847064921</v>
      </c>
      <c r="AC30" s="44">
        <f t="shared" si="28"/>
        <v>70028.674162549854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33108.281615168606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33108.281615168606</v>
      </c>
      <c r="AK30" s="44">
        <f>HLOOKUP(I30,ElecAvoidedCostsWOCC!$A$5:$Q$50,G30+1,FALSE)*J30*L30</f>
        <v>0</v>
      </c>
      <c r="AL30" s="44">
        <f t="shared" si="34"/>
        <v>33108.281615168606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33108.281615168606</v>
      </c>
      <c r="AN30" s="48">
        <f t="shared" si="35"/>
        <v>36419.109776685473</v>
      </c>
      <c r="AO30" s="47">
        <f t="shared" si="36"/>
        <v>2.2419199819903617</v>
      </c>
      <c r="AP30" s="47">
        <f t="shared" si="37"/>
        <v>0.52005996418195499</v>
      </c>
    </row>
    <row r="31" spans="1:42">
      <c r="B31" s="97" t="s">
        <v>74</v>
      </c>
      <c r="C31" s="100">
        <v>18230611</v>
      </c>
      <c r="D31" s="100" t="s">
        <v>75</v>
      </c>
      <c r="E31" s="38" t="s">
        <v>1528</v>
      </c>
      <c r="F31" s="39" t="s">
        <v>1529</v>
      </c>
      <c r="G31" s="39">
        <v>25</v>
      </c>
      <c r="H31" s="39"/>
      <c r="I31" s="40" t="s">
        <v>283</v>
      </c>
      <c r="J31" s="41">
        <v>7160</v>
      </c>
      <c r="K31" s="41">
        <v>0.37</v>
      </c>
      <c r="L31" s="41"/>
      <c r="M31" s="42">
        <v>1.84</v>
      </c>
      <c r="N31" s="42">
        <v>1.84</v>
      </c>
      <c r="O31" s="43">
        <v>2649.2</v>
      </c>
      <c r="P31" s="44">
        <v>15596.78</v>
      </c>
      <c r="Q31" s="44">
        <v>15596.78</v>
      </c>
      <c r="R31" s="45">
        <v>0</v>
      </c>
      <c r="S31" s="46">
        <v>0</v>
      </c>
      <c r="T31" s="39">
        <f t="shared" si="19"/>
        <v>25</v>
      </c>
      <c r="U31" s="47">
        <f t="shared" si="20"/>
        <v>6.2088760978978981E-2</v>
      </c>
      <c r="V31" s="48">
        <f t="shared" si="21"/>
        <v>0</v>
      </c>
      <c r="W31" s="49">
        <f t="shared" si="22"/>
        <v>2.4835504391591593E-3</v>
      </c>
      <c r="X31" s="44">
        <f t="shared" si="23"/>
        <v>518.22828906633367</v>
      </c>
      <c r="Y31" s="44">
        <f t="shared" si="24"/>
        <v>0</v>
      </c>
      <c r="Z31" s="44">
        <f t="shared" si="25"/>
        <v>4332.6351270610439</v>
      </c>
      <c r="AA31" s="50">
        <f t="shared" si="26"/>
        <v>16115.008289066334</v>
      </c>
      <c r="AB31" s="51">
        <f t="shared" si="27"/>
        <v>4050.3273133224675</v>
      </c>
      <c r="AC31" s="44">
        <f t="shared" si="28"/>
        <v>15064.979236296469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2.0508206305871441</v>
      </c>
      <c r="AG31" s="44">
        <f t="shared" si="31"/>
        <v>5433.0340145514629</v>
      </c>
      <c r="AH31" s="52">
        <f>HLOOKUP(I31,ElecAvoidedCostsWOCC!$A$5:$Q$50,T31+1,FALSE)</f>
        <v>2.0508206305871441</v>
      </c>
      <c r="AI31" s="44">
        <f t="shared" si="32"/>
        <v>0</v>
      </c>
      <c r="AJ31" s="44">
        <f t="shared" si="33"/>
        <v>5433.0340145514629</v>
      </c>
      <c r="AK31" s="44">
        <f>HLOOKUP(I31,ElecAvoidedCostsWOCC!$A$5:$Q$50,G31+1,FALSE)*J31*L31</f>
        <v>0</v>
      </c>
      <c r="AL31" s="44">
        <f t="shared" si="34"/>
        <v>5433.0340145514629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5433.034014551462</v>
      </c>
      <c r="AN31" s="48">
        <f t="shared" si="35"/>
        <v>5976.3374160066087</v>
      </c>
      <c r="AO31" s="47">
        <f t="shared" si="36"/>
        <v>1.3413814722284174</v>
      </c>
      <c r="AP31" s="47">
        <f t="shared" si="37"/>
        <v>0.39670399290081026</v>
      </c>
    </row>
    <row r="32" spans="1:42">
      <c r="B32" s="97" t="s">
        <v>74</v>
      </c>
      <c r="C32" s="100">
        <v>18230611</v>
      </c>
      <c r="D32" s="100" t="s">
        <v>75</v>
      </c>
      <c r="E32" s="38" t="s">
        <v>1530</v>
      </c>
      <c r="F32" s="39" t="s">
        <v>1531</v>
      </c>
      <c r="G32" s="39">
        <v>45</v>
      </c>
      <c r="H32" s="39"/>
      <c r="I32" s="40" t="s">
        <v>281</v>
      </c>
      <c r="J32" s="41">
        <v>19187</v>
      </c>
      <c r="K32" s="41">
        <v>2.0499999999999998</v>
      </c>
      <c r="L32" s="41"/>
      <c r="M32" s="42">
        <v>2.75</v>
      </c>
      <c r="N32" s="42">
        <v>2.75</v>
      </c>
      <c r="O32" s="43">
        <v>39333.35</v>
      </c>
      <c r="P32" s="44">
        <v>68593.52</v>
      </c>
      <c r="Q32" s="44">
        <v>68593.52</v>
      </c>
      <c r="R32" s="45">
        <v>0</v>
      </c>
      <c r="S32" s="46">
        <v>0</v>
      </c>
      <c r="T32" s="39">
        <f t="shared" si="19"/>
        <v>45</v>
      </c>
      <c r="U32" s="47">
        <f t="shared" si="20"/>
        <v>1.6593258870506347</v>
      </c>
      <c r="V32" s="48">
        <f t="shared" si="21"/>
        <v>0</v>
      </c>
      <c r="W32" s="49">
        <f t="shared" si="22"/>
        <v>3.6873908601125216E-2</v>
      </c>
      <c r="X32" s="44">
        <f t="shared" si="23"/>
        <v>7694.2679577786794</v>
      </c>
      <c r="Y32" s="44">
        <f t="shared" si="24"/>
        <v>0</v>
      </c>
      <c r="Z32" s="44">
        <f t="shared" si="25"/>
        <v>64327.741912647791</v>
      </c>
      <c r="AA32" s="50">
        <f t="shared" si="26"/>
        <v>76287.787957778681</v>
      </c>
      <c r="AB32" s="51">
        <f t="shared" si="27"/>
        <v>60136.245594697379</v>
      </c>
      <c r="AC32" s="44">
        <f t="shared" si="28"/>
        <v>71316.993510123095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123294.9051716387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123294.9051716387</v>
      </c>
      <c r="AK32" s="44">
        <f>HLOOKUP(I32,ElecAvoidedCostsWOCC!$A$5:$Q$50,G32+1,FALSE)*J32*L32</f>
        <v>0</v>
      </c>
      <c r="AL32" s="44">
        <f t="shared" si="34"/>
        <v>123294.9051716387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123294.90517163869</v>
      </c>
      <c r="AN32" s="48">
        <f t="shared" si="35"/>
        <v>135624.39568880256</v>
      </c>
      <c r="AO32" s="47">
        <f t="shared" si="36"/>
        <v>2.0502594392509006</v>
      </c>
      <c r="AP32" s="47">
        <f t="shared" si="37"/>
        <v>1.9017121868654117</v>
      </c>
    </row>
    <row r="33" spans="2:42">
      <c r="B33" s="97" t="s">
        <v>74</v>
      </c>
      <c r="C33" s="100">
        <v>18230611</v>
      </c>
      <c r="D33" s="100" t="s">
        <v>75</v>
      </c>
      <c r="E33" s="38" t="s">
        <v>1532</v>
      </c>
      <c r="F33" s="39" t="s">
        <v>1533</v>
      </c>
      <c r="G33" s="39">
        <v>45</v>
      </c>
      <c r="H33" s="39"/>
      <c r="I33" s="40" t="s">
        <v>283</v>
      </c>
      <c r="J33" s="41">
        <v>7136</v>
      </c>
      <c r="K33" s="41">
        <v>0.83</v>
      </c>
      <c r="L33" s="41"/>
      <c r="M33" s="42">
        <v>2.75</v>
      </c>
      <c r="N33" s="42">
        <v>2.75</v>
      </c>
      <c r="O33" s="43">
        <v>5922.88</v>
      </c>
      <c r="P33" s="44">
        <v>26462.720000000001</v>
      </c>
      <c r="Q33" s="44">
        <v>26462.720000000001</v>
      </c>
      <c r="R33" s="45">
        <v>0</v>
      </c>
      <c r="S33" s="46">
        <v>0</v>
      </c>
      <c r="T33" s="39">
        <f t="shared" si="19"/>
        <v>45</v>
      </c>
      <c r="U33" s="47">
        <f t="shared" si="20"/>
        <v>0.24986399861426664</v>
      </c>
      <c r="V33" s="48">
        <f t="shared" si="21"/>
        <v>0</v>
      </c>
      <c r="W33" s="49">
        <f t="shared" si="22"/>
        <v>5.5525333025392585E-3</v>
      </c>
      <c r="X33" s="44">
        <f t="shared" si="23"/>
        <v>1158.6154192757085</v>
      </c>
      <c r="Y33" s="44">
        <f t="shared" si="24"/>
        <v>0</v>
      </c>
      <c r="Z33" s="44">
        <f t="shared" si="25"/>
        <v>9686.5763027960602</v>
      </c>
      <c r="AA33" s="50">
        <f t="shared" si="26"/>
        <v>27621.335419275711</v>
      </c>
      <c r="AB33" s="51">
        <f t="shared" si="27"/>
        <v>9055.4139504497143</v>
      </c>
      <c r="AC33" s="44">
        <f t="shared" si="28"/>
        <v>25821.571860592416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20301.51348070749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20301.51348070749</v>
      </c>
      <c r="AK33" s="44">
        <f>HLOOKUP(I33,ElecAvoidedCostsWOCC!$A$5:$Q$50,G33+1,FALSE)*J33*L33</f>
        <v>0</v>
      </c>
      <c r="AL33" s="44">
        <f t="shared" si="34"/>
        <v>20301.51348070749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20301.51348070749</v>
      </c>
      <c r="AN33" s="48">
        <f t="shared" si="35"/>
        <v>22331.664828778241</v>
      </c>
      <c r="AO33" s="47">
        <f t="shared" si="36"/>
        <v>2.2419199819903612</v>
      </c>
      <c r="AP33" s="47">
        <f t="shared" si="37"/>
        <v>0.8648452909584371</v>
      </c>
    </row>
    <row r="34" spans="2:42">
      <c r="B34" s="97" t="s">
        <v>74</v>
      </c>
      <c r="C34" s="100">
        <v>18230611</v>
      </c>
      <c r="D34" s="100" t="s">
        <v>75</v>
      </c>
      <c r="E34" s="38" t="s">
        <v>1536</v>
      </c>
      <c r="F34" s="39" t="s">
        <v>1537</v>
      </c>
      <c r="G34" s="39">
        <v>25</v>
      </c>
      <c r="H34" s="39"/>
      <c r="I34" s="40" t="s">
        <v>283</v>
      </c>
      <c r="J34" s="41">
        <v>-383</v>
      </c>
      <c r="K34" s="41">
        <v>0.33</v>
      </c>
      <c r="L34" s="41"/>
      <c r="M34" s="42">
        <v>2.0299999999999998</v>
      </c>
      <c r="N34" s="42">
        <v>2.0299999999999998</v>
      </c>
      <c r="O34" s="43">
        <v>-126.39</v>
      </c>
      <c r="P34" s="44">
        <v>-1228.57</v>
      </c>
      <c r="Q34" s="44">
        <v>-1228.57</v>
      </c>
      <c r="R34" s="45">
        <v>0</v>
      </c>
      <c r="S34" s="46">
        <v>0</v>
      </c>
      <c r="T34" s="39">
        <f t="shared" si="19"/>
        <v>25</v>
      </c>
      <c r="U34" s="47">
        <f t="shared" si="20"/>
        <v>-2.9621766949015382E-3</v>
      </c>
      <c r="V34" s="48">
        <f t="shared" si="21"/>
        <v>0</v>
      </c>
      <c r="W34" s="49">
        <f t="shared" si="22"/>
        <v>-1.1848706779606152E-4</v>
      </c>
      <c r="X34" s="44">
        <f t="shared" si="23"/>
        <v>-24.72401987584702</v>
      </c>
      <c r="Y34" s="44">
        <f t="shared" si="24"/>
        <v>0</v>
      </c>
      <c r="Z34" s="44">
        <f t="shared" si="25"/>
        <v>-206.70457259144098</v>
      </c>
      <c r="AA34" s="50">
        <f t="shared" si="26"/>
        <v>-1253.294019875847</v>
      </c>
      <c r="AB34" s="51">
        <f t="shared" si="27"/>
        <v>-193.23602186729079</v>
      </c>
      <c r="AC34" s="44">
        <f t="shared" si="28"/>
        <v>-1171.6313170756725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2.0508206305871441</v>
      </c>
      <c r="AG34" s="44">
        <f t="shared" si="31"/>
        <v>-259.20321949990915</v>
      </c>
      <c r="AH34" s="52">
        <f>HLOOKUP(I34,ElecAvoidedCostsWOCC!$A$5:$Q$50,T34+1,FALSE)</f>
        <v>2.0508206305871441</v>
      </c>
      <c r="AI34" s="44">
        <f t="shared" si="32"/>
        <v>0</v>
      </c>
      <c r="AJ34" s="44">
        <f t="shared" si="33"/>
        <v>-259.20321949990915</v>
      </c>
      <c r="AK34" s="44">
        <f>HLOOKUP(I34,ElecAvoidedCostsWOCC!$A$5:$Q$50,G34+1,FALSE)*J34*L34</f>
        <v>0</v>
      </c>
      <c r="AL34" s="44">
        <f t="shared" si="34"/>
        <v>-259.20321949990915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-259.20321949990915</v>
      </c>
      <c r="AN34" s="48">
        <f t="shared" si="35"/>
        <v>-285.12354144990007</v>
      </c>
      <c r="AO34" s="47">
        <f t="shared" si="36"/>
        <v>1.3413814722284172</v>
      </c>
      <c r="AP34" s="47">
        <f t="shared" si="37"/>
        <v>0.24335602616150001</v>
      </c>
    </row>
    <row r="35" spans="2:42">
      <c r="B35" s="97" t="s">
        <v>74</v>
      </c>
      <c r="C35" s="100">
        <v>18230611</v>
      </c>
      <c r="D35" s="100" t="s">
        <v>75</v>
      </c>
      <c r="E35" s="38" t="s">
        <v>1538</v>
      </c>
      <c r="F35" s="39" t="s">
        <v>1537</v>
      </c>
      <c r="G35" s="39">
        <v>25</v>
      </c>
      <c r="H35" s="39"/>
      <c r="I35" s="40" t="s">
        <v>283</v>
      </c>
      <c r="J35" s="41">
        <v>14362</v>
      </c>
      <c r="K35" s="41">
        <v>0.92</v>
      </c>
      <c r="L35" s="41"/>
      <c r="M35" s="42">
        <v>2.0299999999999998</v>
      </c>
      <c r="N35" s="42">
        <v>2.0299999999999998</v>
      </c>
      <c r="O35" s="43">
        <v>13213.04</v>
      </c>
      <c r="P35" s="44">
        <v>36086.21</v>
      </c>
      <c r="Q35" s="44">
        <v>36086.21</v>
      </c>
      <c r="R35" s="45">
        <v>0</v>
      </c>
      <c r="S35" s="46">
        <v>0</v>
      </c>
      <c r="T35" s="39">
        <f t="shared" si="19"/>
        <v>25</v>
      </c>
      <c r="U35" s="47">
        <f t="shared" si="20"/>
        <v>0.30967132808609715</v>
      </c>
      <c r="V35" s="48">
        <f t="shared" si="21"/>
        <v>0</v>
      </c>
      <c r="W35" s="49">
        <f t="shared" si="22"/>
        <v>1.2386853123443887E-2</v>
      </c>
      <c r="X35" s="44">
        <f t="shared" si="23"/>
        <v>2584.6939123376987</v>
      </c>
      <c r="Y35" s="44">
        <f t="shared" si="24"/>
        <v>0</v>
      </c>
      <c r="Z35" s="44">
        <f t="shared" si="25"/>
        <v>21609.271191024713</v>
      </c>
      <c r="AA35" s="50">
        <f t="shared" si="26"/>
        <v>38670.903912337701</v>
      </c>
      <c r="AB35" s="51">
        <f t="shared" si="27"/>
        <v>20201.244452673378</v>
      </c>
      <c r="AC35" s="44">
        <f t="shared" si="28"/>
        <v>36151.167535138542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2.0508206305871441</v>
      </c>
      <c r="AG35" s="44">
        <f t="shared" si="31"/>
        <v>27097.575024773159</v>
      </c>
      <c r="AH35" s="52">
        <f>HLOOKUP(I35,ElecAvoidedCostsWOCC!$A$5:$Q$50,T35+1,FALSE)</f>
        <v>2.0508206305871441</v>
      </c>
      <c r="AI35" s="44">
        <f t="shared" si="32"/>
        <v>0</v>
      </c>
      <c r="AJ35" s="44">
        <f t="shared" si="33"/>
        <v>27097.575024773159</v>
      </c>
      <c r="AK35" s="44">
        <f>HLOOKUP(I35,ElecAvoidedCostsWOCC!$A$5:$Q$50,G35+1,FALSE)*J35*L35</f>
        <v>0</v>
      </c>
      <c r="AL35" s="44">
        <f t="shared" si="34"/>
        <v>27097.575024773159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27097.575024773159</v>
      </c>
      <c r="AN35" s="48">
        <f t="shared" si="35"/>
        <v>29807.332527250477</v>
      </c>
      <c r="AO35" s="47">
        <f t="shared" si="36"/>
        <v>1.3413814722284172</v>
      </c>
      <c r="AP35" s="47">
        <f t="shared" si="37"/>
        <v>0.82451922191110627</v>
      </c>
    </row>
    <row r="36" spans="2:42">
      <c r="B36" s="97" t="s">
        <v>74</v>
      </c>
      <c r="C36" s="100">
        <v>18230611</v>
      </c>
      <c r="D36" s="100" t="s">
        <v>75</v>
      </c>
      <c r="E36" s="38" t="s">
        <v>1541</v>
      </c>
      <c r="F36" s="39" t="s">
        <v>1542</v>
      </c>
      <c r="G36" s="39">
        <v>45</v>
      </c>
      <c r="H36" s="39"/>
      <c r="I36" s="40" t="s">
        <v>283</v>
      </c>
      <c r="J36" s="41">
        <v>3293</v>
      </c>
      <c r="K36" s="41">
        <v>1.35</v>
      </c>
      <c r="L36" s="41"/>
      <c r="M36" s="42">
        <v>2.4300000000000002</v>
      </c>
      <c r="N36" s="42">
        <v>2.4300000000000002</v>
      </c>
      <c r="O36" s="43">
        <v>4445.55</v>
      </c>
      <c r="P36" s="44">
        <v>11767.55</v>
      </c>
      <c r="Q36" s="44">
        <v>11767.55</v>
      </c>
      <c r="R36" s="45">
        <v>0</v>
      </c>
      <c r="S36" s="46">
        <v>0</v>
      </c>
      <c r="T36" s="39">
        <f t="shared" si="19"/>
        <v>45</v>
      </c>
      <c r="U36" s="47">
        <f t="shared" si="20"/>
        <v>0.18754101029223166</v>
      </c>
      <c r="V36" s="48">
        <f t="shared" si="21"/>
        <v>0</v>
      </c>
      <c r="W36" s="49">
        <f t="shared" si="22"/>
        <v>4.167578006494037E-3</v>
      </c>
      <c r="X36" s="44">
        <f t="shared" si="23"/>
        <v>869.62470574469285</v>
      </c>
      <c r="Y36" s="44">
        <f t="shared" si="24"/>
        <v>0</v>
      </c>
      <c r="Z36" s="44">
        <f t="shared" si="25"/>
        <v>7270.4764038601188</v>
      </c>
      <c r="AA36" s="50">
        <f t="shared" si="26"/>
        <v>12637.174705744692</v>
      </c>
      <c r="AB36" s="51">
        <f t="shared" si="27"/>
        <v>6796.7433896046723</v>
      </c>
      <c r="AC36" s="44">
        <f t="shared" si="28"/>
        <v>11813.755918243143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3.4276422079642828</v>
      </c>
      <c r="AG36" s="44">
        <f t="shared" si="31"/>
        <v>15237.75481761562</v>
      </c>
      <c r="AH36" s="52">
        <f>HLOOKUP(I36,ElecAvoidedCostsWOCC!$A$5:$Q$50,T36+1,FALSE)</f>
        <v>3.4276422079642828</v>
      </c>
      <c r="AI36" s="44">
        <f t="shared" si="32"/>
        <v>0</v>
      </c>
      <c r="AJ36" s="44">
        <f t="shared" si="33"/>
        <v>15237.75481761562</v>
      </c>
      <c r="AK36" s="44">
        <f>HLOOKUP(I36,ElecAvoidedCostsWOCC!$A$5:$Q$50,G36+1,FALSE)*J36*L36</f>
        <v>0</v>
      </c>
      <c r="AL36" s="44">
        <f t="shared" si="34"/>
        <v>15237.75481761562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15237.75481761562</v>
      </c>
      <c r="AN36" s="48">
        <f t="shared" si="35"/>
        <v>16761.530299377184</v>
      </c>
      <c r="AO36" s="47">
        <f t="shared" si="36"/>
        <v>2.2419199819903621</v>
      </c>
      <c r="AP36" s="47">
        <f t="shared" si="37"/>
        <v>1.4188146780223845</v>
      </c>
    </row>
    <row r="37" spans="2:42">
      <c r="B37" s="97" t="s">
        <v>74</v>
      </c>
      <c r="C37" s="100">
        <v>18230611</v>
      </c>
      <c r="D37" s="100" t="s">
        <v>75</v>
      </c>
      <c r="E37" s="38" t="s">
        <v>1545</v>
      </c>
      <c r="F37" s="39" t="s">
        <v>1546</v>
      </c>
      <c r="G37" s="39">
        <v>45</v>
      </c>
      <c r="H37" s="39"/>
      <c r="I37" s="40" t="s">
        <v>283</v>
      </c>
      <c r="J37" s="41">
        <v>5472</v>
      </c>
      <c r="K37" s="41">
        <v>0.36</v>
      </c>
      <c r="L37" s="41"/>
      <c r="M37" s="42">
        <v>1.59</v>
      </c>
      <c r="N37" s="42">
        <v>1.59</v>
      </c>
      <c r="O37" s="43">
        <v>1969.92</v>
      </c>
      <c r="P37" s="44">
        <v>14191.42</v>
      </c>
      <c r="Q37" s="44">
        <v>14191.42</v>
      </c>
      <c r="R37" s="45">
        <v>0</v>
      </c>
      <c r="S37" s="46">
        <v>0</v>
      </c>
      <c r="T37" s="39">
        <f t="shared" si="19"/>
        <v>45</v>
      </c>
      <c r="U37" s="47">
        <f t="shared" si="20"/>
        <v>8.3103505076958531E-2</v>
      </c>
      <c r="V37" s="48">
        <f t="shared" si="21"/>
        <v>0</v>
      </c>
      <c r="W37" s="49">
        <f t="shared" si="22"/>
        <v>1.846744557265745E-3</v>
      </c>
      <c r="X37" s="44">
        <f t="shared" si="23"/>
        <v>385.34964185322065</v>
      </c>
      <c r="Y37" s="44">
        <f t="shared" si="24"/>
        <v>0</v>
      </c>
      <c r="Z37" s="44">
        <f t="shared" si="25"/>
        <v>3221.706397969233</v>
      </c>
      <c r="AA37" s="50">
        <f t="shared" si="26"/>
        <v>14576.769641853221</v>
      </c>
      <c r="AB37" s="51">
        <f t="shared" si="27"/>
        <v>3011.784984546352</v>
      </c>
      <c r="AC37" s="44">
        <f t="shared" si="28"/>
        <v>13626.969843744246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3.4276422079642828</v>
      </c>
      <c r="AG37" s="44">
        <f t="shared" si="31"/>
        <v>6752.1809383130003</v>
      </c>
      <c r="AH37" s="52">
        <f>HLOOKUP(I37,ElecAvoidedCostsWOCC!$A$5:$Q$50,T37+1,FALSE)</f>
        <v>3.4276422079642828</v>
      </c>
      <c r="AI37" s="44">
        <f t="shared" si="32"/>
        <v>0</v>
      </c>
      <c r="AJ37" s="44">
        <f t="shared" si="33"/>
        <v>6752.1809383130003</v>
      </c>
      <c r="AK37" s="44">
        <f>HLOOKUP(I37,ElecAvoidedCostsWOCC!$A$5:$Q$50,G37+1,FALSE)*J37*L37</f>
        <v>0</v>
      </c>
      <c r="AL37" s="44">
        <f t="shared" si="34"/>
        <v>6752.1809383130003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6752.1809383129994</v>
      </c>
      <c r="AN37" s="48">
        <f t="shared" si="35"/>
        <v>7427.3990321442998</v>
      </c>
      <c r="AO37" s="47">
        <f t="shared" si="36"/>
        <v>2.2419199819903617</v>
      </c>
      <c r="AP37" s="47">
        <f t="shared" si="37"/>
        <v>0.54505140301268129</v>
      </c>
    </row>
    <row r="38" spans="2:42">
      <c r="B38" s="97" t="s">
        <v>74</v>
      </c>
      <c r="C38" s="100">
        <v>18230611</v>
      </c>
      <c r="D38" s="100" t="s">
        <v>75</v>
      </c>
      <c r="E38" s="38" t="s">
        <v>1549</v>
      </c>
      <c r="F38" s="39" t="s">
        <v>1550</v>
      </c>
      <c r="G38" s="39">
        <v>45</v>
      </c>
      <c r="H38" s="39"/>
      <c r="I38" s="40" t="s">
        <v>283</v>
      </c>
      <c r="J38" s="41">
        <v>8333</v>
      </c>
      <c r="K38" s="41">
        <v>0.17</v>
      </c>
      <c r="L38" s="41"/>
      <c r="M38" s="42">
        <v>1.29</v>
      </c>
      <c r="N38" s="42">
        <v>1.29</v>
      </c>
      <c r="O38" s="43">
        <v>1416.61</v>
      </c>
      <c r="P38" s="44">
        <v>16678.61</v>
      </c>
      <c r="Q38" s="44">
        <v>16678.61</v>
      </c>
      <c r="R38" s="45">
        <v>0</v>
      </c>
      <c r="S38" s="46">
        <v>0</v>
      </c>
      <c r="T38" s="39">
        <f t="shared" si="19"/>
        <v>45</v>
      </c>
      <c r="U38" s="47">
        <f t="shared" si="20"/>
        <v>5.9761440224511755E-2</v>
      </c>
      <c r="V38" s="48">
        <f t="shared" si="21"/>
        <v>0</v>
      </c>
      <c r="W38" s="49">
        <f t="shared" si="22"/>
        <v>1.3280320049891502E-3</v>
      </c>
      <c r="X38" s="44">
        <f t="shared" si="23"/>
        <v>277.11285541833723</v>
      </c>
      <c r="Y38" s="44">
        <f t="shared" si="24"/>
        <v>0</v>
      </c>
      <c r="Z38" s="44">
        <f t="shared" si="25"/>
        <v>2316.7953523123756</v>
      </c>
      <c r="AA38" s="50">
        <f t="shared" si="26"/>
        <v>16955.722855418338</v>
      </c>
      <c r="AB38" s="51">
        <f t="shared" si="27"/>
        <v>2165.8365451176737</v>
      </c>
      <c r="AC38" s="44">
        <f t="shared" si="28"/>
        <v>15850.914139869437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3.4276422079642828</v>
      </c>
      <c r="AG38" s="44">
        <f t="shared" si="31"/>
        <v>4855.6322282242827</v>
      </c>
      <c r="AH38" s="52">
        <f>HLOOKUP(I38,ElecAvoidedCostsWOCC!$A$5:$Q$50,T38+1,FALSE)</f>
        <v>3.4276422079642828</v>
      </c>
      <c r="AI38" s="44">
        <f t="shared" si="32"/>
        <v>0</v>
      </c>
      <c r="AJ38" s="44">
        <f t="shared" si="33"/>
        <v>4855.6322282242827</v>
      </c>
      <c r="AK38" s="44">
        <f>HLOOKUP(I38,ElecAvoidedCostsWOCC!$A$5:$Q$50,G38+1,FALSE)*J38*L38</f>
        <v>0</v>
      </c>
      <c r="AL38" s="44">
        <f t="shared" si="34"/>
        <v>4855.6322282242827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4855.6322282242827</v>
      </c>
      <c r="AN38" s="48">
        <f t="shared" si="35"/>
        <v>5341.1954510467112</v>
      </c>
      <c r="AO38" s="47">
        <f t="shared" si="36"/>
        <v>2.2419199819903617</v>
      </c>
      <c r="AP38" s="47">
        <f t="shared" si="37"/>
        <v>0.33696450589004995</v>
      </c>
    </row>
    <row r="39" spans="2:42">
      <c r="B39" s="97" t="s">
        <v>74</v>
      </c>
      <c r="C39" s="100">
        <v>18230611</v>
      </c>
      <c r="D39" s="100" t="s">
        <v>75</v>
      </c>
      <c r="E39" s="38" t="s">
        <v>1551</v>
      </c>
      <c r="F39" s="39" t="s">
        <v>1552</v>
      </c>
      <c r="G39" s="39"/>
      <c r="H39" s="39"/>
      <c r="I39" s="40"/>
      <c r="J39" s="41">
        <v>404</v>
      </c>
      <c r="K39" s="41">
        <v>0</v>
      </c>
      <c r="L39" s="41"/>
      <c r="M39" s="42">
        <v>15.288019801980198</v>
      </c>
      <c r="N39" s="42">
        <v>15.288019801980198</v>
      </c>
      <c r="O39" s="43">
        <v>0</v>
      </c>
      <c r="P39" s="44">
        <v>6176.36</v>
      </c>
      <c r="Q39" s="44">
        <v>6176.36</v>
      </c>
      <c r="R39" s="45">
        <v>0</v>
      </c>
      <c r="S39" s="46">
        <v>0</v>
      </c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6176.36</v>
      </c>
      <c r="AB39" s="51">
        <f t="shared" si="27"/>
        <v>0</v>
      </c>
      <c r="AC39" s="44">
        <f t="shared" si="28"/>
        <v>5773.917920912405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</row>
    <row r="40" spans="2:42">
      <c r="B40" s="97" t="s">
        <v>74</v>
      </c>
      <c r="C40" s="100">
        <v>18230611</v>
      </c>
      <c r="D40" s="100" t="s">
        <v>75</v>
      </c>
      <c r="E40" s="38" t="s">
        <v>1553</v>
      </c>
      <c r="F40" s="39" t="s">
        <v>1554</v>
      </c>
      <c r="G40" s="39"/>
      <c r="H40" s="39"/>
      <c r="I40" s="40"/>
      <c r="J40" s="41">
        <v>387</v>
      </c>
      <c r="K40" s="41">
        <v>0</v>
      </c>
      <c r="L40" s="41"/>
      <c r="M40" s="42">
        <v>14.944263565891474</v>
      </c>
      <c r="N40" s="42">
        <v>14.944263565891474</v>
      </c>
      <c r="O40" s="43">
        <v>0</v>
      </c>
      <c r="P40" s="44">
        <v>5783.43</v>
      </c>
      <c r="Q40" s="44">
        <v>5783.43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5783.43</v>
      </c>
      <c r="AB40" s="51">
        <f t="shared" si="27"/>
        <v>0</v>
      </c>
      <c r="AC40" s="44">
        <f t="shared" si="28"/>
        <v>5406.5906328877254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</row>
    <row r="41" spans="2:42">
      <c r="B41" s="97" t="s">
        <v>74</v>
      </c>
      <c r="C41" s="100">
        <v>18230611</v>
      </c>
      <c r="D41" s="100" t="s">
        <v>75</v>
      </c>
      <c r="E41" s="38" t="s">
        <v>1555</v>
      </c>
      <c r="F41" s="39" t="s">
        <v>1556</v>
      </c>
      <c r="G41" s="39"/>
      <c r="H41" s="39"/>
      <c r="I41" s="40" t="s">
        <v>283</v>
      </c>
      <c r="J41" s="41">
        <v>1</v>
      </c>
      <c r="K41" s="41">
        <v>0</v>
      </c>
      <c r="L41" s="41"/>
      <c r="M41" s="42">
        <v>44.11</v>
      </c>
      <c r="N41" s="42">
        <v>44.11</v>
      </c>
      <c r="O41" s="43">
        <v>0</v>
      </c>
      <c r="P41" s="44">
        <v>44.11</v>
      </c>
      <c r="Q41" s="44">
        <v>44.11</v>
      </c>
      <c r="R41" s="45">
        <v>0</v>
      </c>
      <c r="S41" s="46">
        <v>0</v>
      </c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44.11</v>
      </c>
      <c r="AB41" s="51">
        <f t="shared" si="27"/>
        <v>0</v>
      </c>
      <c r="AC41" s="44">
        <f t="shared" si="28"/>
        <v>41.235860521641577</v>
      </c>
      <c r="AD41" s="44">
        <f t="shared" si="29"/>
        <v>0</v>
      </c>
      <c r="AE41" s="44">
        <f t="shared" si="30"/>
        <v>0</v>
      </c>
      <c r="AF41" s="52" t="str">
        <f>HLOOKUP(I41,ElecAvoidedCostsWOCC!$A$5:$Q$50,G41+1,FALSE)</f>
        <v>SF Space Heat</v>
      </c>
      <c r="AG41" s="44" t="e">
        <f t="shared" si="31"/>
        <v>#VALUE!</v>
      </c>
      <c r="AH41" s="52" t="str">
        <f>HLOOKUP(I41,ElecAvoidedCostsWOCC!$A$5:$Q$50,T41+1,FALSE)</f>
        <v>SF Space Heat</v>
      </c>
      <c r="AI41" s="44" t="e">
        <f t="shared" si="32"/>
        <v>#VALUE!</v>
      </c>
      <c r="AJ41" s="44" t="e">
        <f t="shared" si="33"/>
        <v>#VALUE!</v>
      </c>
      <c r="AK41" s="44" t="e">
        <f>HLOOKUP(I41,ElecAvoidedCostsWOCC!$A$5:$Q$50,G41+1,FALSE)*J41*L41</f>
        <v>#VALUE!</v>
      </c>
      <c r="AL41" s="44" t="e">
        <f t="shared" si="34"/>
        <v>#VALUE!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</row>
    <row r="42" spans="2:42">
      <c r="B42" s="97" t="s">
        <v>74</v>
      </c>
      <c r="C42" s="100">
        <v>18230611</v>
      </c>
      <c r="D42" s="100" t="s">
        <v>75</v>
      </c>
      <c r="E42" s="38" t="s">
        <v>1557</v>
      </c>
      <c r="F42" s="39" t="s">
        <v>1558</v>
      </c>
      <c r="G42" s="39"/>
      <c r="H42" s="39"/>
      <c r="I42" s="40" t="s">
        <v>283</v>
      </c>
      <c r="J42" s="41">
        <v>7</v>
      </c>
      <c r="K42" s="41">
        <v>0</v>
      </c>
      <c r="L42" s="41"/>
      <c r="M42" s="42">
        <v>113.33142857142857</v>
      </c>
      <c r="N42" s="42">
        <v>113.33142857142857</v>
      </c>
      <c r="O42" s="43">
        <v>0</v>
      </c>
      <c r="P42" s="44">
        <v>793.32</v>
      </c>
      <c r="Q42" s="44">
        <v>793.32</v>
      </c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793.32</v>
      </c>
      <c r="AB42" s="51">
        <f t="shared" si="27"/>
        <v>0</v>
      </c>
      <c r="AC42" s="44">
        <f t="shared" si="28"/>
        <v>741.62849397027207</v>
      </c>
      <c r="AD42" s="44">
        <f t="shared" si="29"/>
        <v>0</v>
      </c>
      <c r="AE42" s="44">
        <f t="shared" si="30"/>
        <v>0</v>
      </c>
      <c r="AF42" s="52" t="str">
        <f>HLOOKUP(I42,ElecAvoidedCostsWOCC!$A$5:$Q$50,G42+1,FALSE)</f>
        <v>SF Space Heat</v>
      </c>
      <c r="AG42" s="44" t="e">
        <f t="shared" si="31"/>
        <v>#VALUE!</v>
      </c>
      <c r="AH42" s="52" t="str">
        <f>HLOOKUP(I42,ElecAvoidedCostsWOCC!$A$5:$Q$50,T42+1,FALSE)</f>
        <v>SF Space Heat</v>
      </c>
      <c r="AI42" s="44" t="e">
        <f t="shared" si="32"/>
        <v>#VALUE!</v>
      </c>
      <c r="AJ42" s="44" t="e">
        <f t="shared" si="33"/>
        <v>#VALUE!</v>
      </c>
      <c r="AK42" s="44" t="e">
        <f>HLOOKUP(I42,ElecAvoidedCostsWOCC!$A$5:$Q$50,G42+1,FALSE)*J42*L42</f>
        <v>#VALUE!</v>
      </c>
      <c r="AL42" s="44" t="e">
        <f t="shared" si="34"/>
        <v>#VALUE!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</row>
    <row r="43" spans="2:42">
      <c r="B43" s="97" t="s">
        <v>74</v>
      </c>
      <c r="C43" s="100">
        <v>18230611</v>
      </c>
      <c r="D43" s="100" t="s">
        <v>75</v>
      </c>
      <c r="E43" s="38" t="s">
        <v>1559</v>
      </c>
      <c r="F43" s="39" t="s">
        <v>1560</v>
      </c>
      <c r="G43" s="39"/>
      <c r="H43" s="39"/>
      <c r="I43" s="40" t="s">
        <v>283</v>
      </c>
      <c r="J43" s="41">
        <v>13</v>
      </c>
      <c r="K43" s="41">
        <v>0</v>
      </c>
      <c r="L43" s="41"/>
      <c r="M43" s="42">
        <v>123.79230769230769</v>
      </c>
      <c r="N43" s="42">
        <v>123.79230769230769</v>
      </c>
      <c r="O43" s="43">
        <v>0</v>
      </c>
      <c r="P43" s="44">
        <v>1609.3</v>
      </c>
      <c r="Q43" s="44">
        <v>1609.3</v>
      </c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1609.3</v>
      </c>
      <c r="AB43" s="51">
        <f t="shared" si="27"/>
        <v>0</v>
      </c>
      <c r="AC43" s="44">
        <f t="shared" si="28"/>
        <v>1504.4404973357014</v>
      </c>
      <c r="AD43" s="44">
        <f t="shared" si="29"/>
        <v>0</v>
      </c>
      <c r="AE43" s="44">
        <f t="shared" si="30"/>
        <v>0</v>
      </c>
      <c r="AF43" s="52" t="str">
        <f>HLOOKUP(I43,ElecAvoidedCostsWOCC!$A$5:$Q$50,G43+1,FALSE)</f>
        <v>SF Space Heat</v>
      </c>
      <c r="AG43" s="44" t="e">
        <f t="shared" si="31"/>
        <v>#VALUE!</v>
      </c>
      <c r="AH43" s="52" t="str">
        <f>HLOOKUP(I43,ElecAvoidedCostsWOCC!$A$5:$Q$50,T43+1,FALSE)</f>
        <v>SF Space Heat</v>
      </c>
      <c r="AI43" s="44" t="e">
        <f t="shared" si="32"/>
        <v>#VALUE!</v>
      </c>
      <c r="AJ43" s="44" t="e">
        <f t="shared" si="33"/>
        <v>#VALUE!</v>
      </c>
      <c r="AK43" s="44" t="e">
        <f>HLOOKUP(I43,ElecAvoidedCostsWOCC!$A$5:$Q$50,G43+1,FALSE)*J43*L43</f>
        <v>#VALUE!</v>
      </c>
      <c r="AL43" s="44" t="e">
        <f t="shared" si="34"/>
        <v>#VALUE!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</row>
    <row r="44" spans="2:42">
      <c r="B44" s="97" t="s">
        <v>74</v>
      </c>
      <c r="C44" s="100">
        <v>18230611</v>
      </c>
      <c r="D44" s="100" t="s">
        <v>75</v>
      </c>
      <c r="E44" s="38" t="s">
        <v>1561</v>
      </c>
      <c r="F44" s="39" t="s">
        <v>1562</v>
      </c>
      <c r="G44" s="39">
        <v>45</v>
      </c>
      <c r="H44" s="39"/>
      <c r="I44" s="40" t="s">
        <v>277</v>
      </c>
      <c r="J44" s="41">
        <v>8</v>
      </c>
      <c r="K44" s="41">
        <v>131</v>
      </c>
      <c r="L44" s="41"/>
      <c r="M44" s="42">
        <v>708.1</v>
      </c>
      <c r="N44" s="42">
        <v>708.1</v>
      </c>
      <c r="O44" s="43">
        <v>1048</v>
      </c>
      <c r="P44" s="44">
        <v>10220</v>
      </c>
      <c r="Q44" s="44">
        <v>10220</v>
      </c>
      <c r="R44" s="45">
        <v>0</v>
      </c>
      <c r="S44" s="46">
        <v>0</v>
      </c>
      <c r="T44" s="39">
        <f t="shared" si="19"/>
        <v>45</v>
      </c>
      <c r="U44" s="47">
        <f t="shared" si="20"/>
        <v>4.4211172697699669E-2</v>
      </c>
      <c r="V44" s="48">
        <f t="shared" si="21"/>
        <v>0</v>
      </c>
      <c r="W44" s="49">
        <f t="shared" si="22"/>
        <v>9.8247050439332598E-4</v>
      </c>
      <c r="X44" s="44">
        <f t="shared" si="23"/>
        <v>205.00651024517506</v>
      </c>
      <c r="Y44" s="44">
        <f t="shared" si="24"/>
        <v>0</v>
      </c>
      <c r="Z44" s="44">
        <f t="shared" si="25"/>
        <v>1713.951990472586</v>
      </c>
      <c r="AA44" s="50">
        <f t="shared" si="26"/>
        <v>10425.006510245175</v>
      </c>
      <c r="AB44" s="51">
        <f t="shared" si="27"/>
        <v>1602.2735257292566</v>
      </c>
      <c r="AC44" s="44">
        <f t="shared" si="28"/>
        <v>9745.7291859822144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2.4586883970162168</v>
      </c>
      <c r="AG44" s="44">
        <f t="shared" si="31"/>
        <v>2576.7054400729953</v>
      </c>
      <c r="AH44" s="52">
        <f>HLOOKUP(I44,ElecAvoidedCostsWOCC!$A$5:$Q$50,T44+1,FALSE)</f>
        <v>2.4586883970162168</v>
      </c>
      <c r="AI44" s="44">
        <f t="shared" si="32"/>
        <v>0</v>
      </c>
      <c r="AJ44" s="44">
        <f t="shared" si="33"/>
        <v>2576.7054400729953</v>
      </c>
      <c r="AK44" s="44">
        <f>HLOOKUP(I44,ElecAvoidedCostsWOCC!$A$5:$Q$50,G44+1,FALSE)*J44*L44</f>
        <v>0</v>
      </c>
      <c r="AL44" s="44">
        <f t="shared" si="34"/>
        <v>2576.7054400729953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2576.7054400729953</v>
      </c>
      <c r="AN44" s="48">
        <f t="shared" si="35"/>
        <v>2834.375984080295</v>
      </c>
      <c r="AO44" s="47">
        <f t="shared" si="36"/>
        <v>1.6081557853240052</v>
      </c>
      <c r="AP44" s="47">
        <f t="shared" si="37"/>
        <v>0.29083262319223113</v>
      </c>
    </row>
    <row r="45" spans="2:42">
      <c r="B45" s="97" t="s">
        <v>74</v>
      </c>
      <c r="C45" s="100">
        <v>18230611</v>
      </c>
      <c r="D45" s="100" t="s">
        <v>75</v>
      </c>
      <c r="E45" s="38" t="s">
        <v>1563</v>
      </c>
      <c r="F45" s="39" t="s">
        <v>1564</v>
      </c>
      <c r="G45" s="39">
        <v>45</v>
      </c>
      <c r="H45" s="39"/>
      <c r="I45" s="40" t="s">
        <v>277</v>
      </c>
      <c r="J45" s="41">
        <v>95</v>
      </c>
      <c r="K45" s="41">
        <v>131</v>
      </c>
      <c r="L45" s="41"/>
      <c r="M45" s="42">
        <v>730.01</v>
      </c>
      <c r="N45" s="42">
        <v>730.01</v>
      </c>
      <c r="O45" s="43">
        <v>12445</v>
      </c>
      <c r="P45" s="44">
        <v>95041.56</v>
      </c>
      <c r="Q45" s="44">
        <v>95041.56</v>
      </c>
      <c r="R45" s="45">
        <v>0</v>
      </c>
      <c r="S45" s="46">
        <v>0</v>
      </c>
      <c r="T45" s="39">
        <f t="shared" si="19"/>
        <v>45</v>
      </c>
      <c r="U45" s="47">
        <f t="shared" si="20"/>
        <v>0.52500767578518359</v>
      </c>
      <c r="V45" s="48">
        <f t="shared" si="21"/>
        <v>0</v>
      </c>
      <c r="W45" s="49">
        <f t="shared" si="22"/>
        <v>1.1666837239670746E-2</v>
      </c>
      <c r="X45" s="44">
        <f t="shared" si="23"/>
        <v>2434.4523091614537</v>
      </c>
      <c r="Y45" s="44">
        <f t="shared" si="24"/>
        <v>0</v>
      </c>
      <c r="Z45" s="44">
        <f t="shared" si="25"/>
        <v>20353.179886861959</v>
      </c>
      <c r="AA45" s="50">
        <f t="shared" si="26"/>
        <v>97476.012309161451</v>
      </c>
      <c r="AB45" s="51">
        <f t="shared" si="27"/>
        <v>19026.998118034924</v>
      </c>
      <c r="AC45" s="44">
        <f t="shared" si="28"/>
        <v>91124.62588497845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2.4586883970162168</v>
      </c>
      <c r="AG45" s="44">
        <f t="shared" si="31"/>
        <v>30598.377100866819</v>
      </c>
      <c r="AH45" s="52">
        <f>HLOOKUP(I45,ElecAvoidedCostsWOCC!$A$5:$Q$50,T45+1,FALSE)</f>
        <v>2.4586883970162168</v>
      </c>
      <c r="AI45" s="44">
        <f t="shared" si="32"/>
        <v>0</v>
      </c>
      <c r="AJ45" s="44">
        <f t="shared" si="33"/>
        <v>30598.377100866819</v>
      </c>
      <c r="AK45" s="44">
        <f>HLOOKUP(I45,ElecAvoidedCostsWOCC!$A$5:$Q$50,G45+1,FALSE)*J45*L45</f>
        <v>0</v>
      </c>
      <c r="AL45" s="44">
        <f t="shared" si="34"/>
        <v>30598.377100866819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30598.377100866819</v>
      </c>
      <c r="AN45" s="48">
        <f t="shared" si="35"/>
        <v>33658.214810953505</v>
      </c>
      <c r="AO45" s="47">
        <f t="shared" si="36"/>
        <v>1.6081557853240049</v>
      </c>
      <c r="AP45" s="47">
        <f t="shared" si="37"/>
        <v>0.36936464192937701</v>
      </c>
    </row>
    <row r="46" spans="2:42">
      <c r="B46" s="97" t="s">
        <v>74</v>
      </c>
      <c r="C46" s="100">
        <v>18230611</v>
      </c>
      <c r="D46" s="100" t="s">
        <v>75</v>
      </c>
      <c r="E46" s="38" t="s">
        <v>1565</v>
      </c>
      <c r="F46" s="39" t="s">
        <v>1566</v>
      </c>
      <c r="G46" s="39">
        <v>45</v>
      </c>
      <c r="H46" s="39"/>
      <c r="I46" s="40" t="s">
        <v>277</v>
      </c>
      <c r="J46" s="41">
        <v>65</v>
      </c>
      <c r="K46" s="41">
        <v>131</v>
      </c>
      <c r="L46" s="41"/>
      <c r="M46" s="42">
        <v>708.1</v>
      </c>
      <c r="N46" s="42">
        <v>708.1</v>
      </c>
      <c r="O46" s="43">
        <v>8515</v>
      </c>
      <c r="P46" s="44">
        <v>65964.53</v>
      </c>
      <c r="Q46" s="44">
        <v>65964.53</v>
      </c>
      <c r="R46" s="45">
        <v>0</v>
      </c>
      <c r="S46" s="46">
        <v>0</v>
      </c>
      <c r="T46" s="39">
        <f t="shared" si="19"/>
        <v>45</v>
      </c>
      <c r="U46" s="47">
        <f t="shared" si="20"/>
        <v>0.35921577816880984</v>
      </c>
      <c r="V46" s="48">
        <f t="shared" si="21"/>
        <v>0</v>
      </c>
      <c r="W46" s="49">
        <f t="shared" si="22"/>
        <v>7.9825728481957743E-3</v>
      </c>
      <c r="X46" s="44">
        <f t="shared" si="23"/>
        <v>1665.6778957420474</v>
      </c>
      <c r="Y46" s="44">
        <f t="shared" si="24"/>
        <v>0</v>
      </c>
      <c r="Z46" s="44">
        <f t="shared" si="25"/>
        <v>13925.859922589763</v>
      </c>
      <c r="AA46" s="50">
        <f t="shared" si="26"/>
        <v>67630.207895742045</v>
      </c>
      <c r="AB46" s="51">
        <f t="shared" si="27"/>
        <v>13018.472396550213</v>
      </c>
      <c r="AC46" s="44">
        <f t="shared" si="28"/>
        <v>63223.527994523734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2.4586883970162168</v>
      </c>
      <c r="AG46" s="44">
        <f t="shared" si="31"/>
        <v>20935.731700593085</v>
      </c>
      <c r="AH46" s="52">
        <f>HLOOKUP(I46,ElecAvoidedCostsWOCC!$A$5:$Q$50,T46+1,FALSE)</f>
        <v>2.4586883970162168</v>
      </c>
      <c r="AI46" s="44">
        <f t="shared" si="32"/>
        <v>0</v>
      </c>
      <c r="AJ46" s="44">
        <f t="shared" si="33"/>
        <v>20935.731700593085</v>
      </c>
      <c r="AK46" s="44">
        <f>HLOOKUP(I46,ElecAvoidedCostsWOCC!$A$5:$Q$50,G46+1,FALSE)*J46*L46</f>
        <v>0</v>
      </c>
      <c r="AL46" s="44">
        <f t="shared" si="34"/>
        <v>20935.731700593085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20935.731700593085</v>
      </c>
      <c r="AN46" s="48">
        <f t="shared" si="35"/>
        <v>23029.304870652395</v>
      </c>
      <c r="AO46" s="47">
        <f t="shared" si="36"/>
        <v>1.6081557853240047</v>
      </c>
      <c r="AP46" s="47">
        <f t="shared" si="37"/>
        <v>0.36425213209625279</v>
      </c>
    </row>
    <row r="47" spans="2:42">
      <c r="B47" s="97" t="s">
        <v>74</v>
      </c>
      <c r="C47" s="100">
        <v>18230611</v>
      </c>
      <c r="D47" s="100" t="s">
        <v>75</v>
      </c>
      <c r="E47" s="38" t="s">
        <v>1567</v>
      </c>
      <c r="F47" s="39" t="s">
        <v>1568</v>
      </c>
      <c r="G47" s="39"/>
      <c r="H47" s="39"/>
      <c r="I47" s="40"/>
      <c r="J47" s="41">
        <v>12</v>
      </c>
      <c r="K47" s="41">
        <v>0</v>
      </c>
      <c r="L47" s="41"/>
      <c r="M47" s="42">
        <v>532.50083333333339</v>
      </c>
      <c r="N47" s="42">
        <v>532.50083333333339</v>
      </c>
      <c r="O47" s="43">
        <v>0</v>
      </c>
      <c r="P47" s="44">
        <v>6390.01</v>
      </c>
      <c r="Q47" s="44">
        <v>6390.01</v>
      </c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6390.01</v>
      </c>
      <c r="AB47" s="51">
        <f t="shared" si="27"/>
        <v>0</v>
      </c>
      <c r="AC47" s="44">
        <f t="shared" si="28"/>
        <v>5973.6468168645415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>
        <f t="shared" si="37"/>
        <v>0</v>
      </c>
    </row>
    <row r="48" spans="2:42">
      <c r="B48" s="97" t="s">
        <v>74</v>
      </c>
      <c r="C48" s="100">
        <v>18230611</v>
      </c>
      <c r="D48" s="100" t="s">
        <v>75</v>
      </c>
      <c r="E48" s="38" t="s">
        <v>1569</v>
      </c>
      <c r="F48" s="39" t="s">
        <v>1570</v>
      </c>
      <c r="G48" s="39"/>
      <c r="H48" s="39"/>
      <c r="I48" s="40"/>
      <c r="J48" s="41">
        <v>4</v>
      </c>
      <c r="K48" s="41">
        <v>0</v>
      </c>
      <c r="L48" s="41"/>
      <c r="M48" s="42">
        <v>463.33</v>
      </c>
      <c r="N48" s="42">
        <v>463.33</v>
      </c>
      <c r="O48" s="43">
        <v>0</v>
      </c>
      <c r="P48" s="44">
        <v>1853.32</v>
      </c>
      <c r="Q48" s="44">
        <v>1853.32</v>
      </c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1853.32</v>
      </c>
      <c r="AB48" s="51">
        <f t="shared" si="27"/>
        <v>0</v>
      </c>
      <c r="AC48" s="44">
        <f t="shared" si="28"/>
        <v>1732.560530989997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>
        <f t="shared" si="37"/>
        <v>0</v>
      </c>
    </row>
    <row r="49" spans="2:42">
      <c r="B49" s="97" t="s">
        <v>74</v>
      </c>
      <c r="C49" s="100">
        <v>18230611</v>
      </c>
      <c r="D49" s="100" t="s">
        <v>75</v>
      </c>
      <c r="E49" s="38" t="s">
        <v>1571</v>
      </c>
      <c r="F49" s="39" t="s">
        <v>1572</v>
      </c>
      <c r="G49" s="39"/>
      <c r="H49" s="39"/>
      <c r="I49" s="40"/>
      <c r="J49" s="41">
        <v>4</v>
      </c>
      <c r="K49" s="41">
        <v>0</v>
      </c>
      <c r="L49" s="41"/>
      <c r="M49" s="42">
        <v>452.40249999999997</v>
      </c>
      <c r="N49" s="42">
        <v>452.40249999999997</v>
      </c>
      <c r="O49" s="43">
        <v>0</v>
      </c>
      <c r="P49" s="44">
        <v>1809.61</v>
      </c>
      <c r="Q49" s="44">
        <v>1809.61</v>
      </c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1809.61</v>
      </c>
      <c r="AB49" s="51">
        <f t="shared" si="27"/>
        <v>0</v>
      </c>
      <c r="AC49" s="44">
        <f t="shared" si="28"/>
        <v>1691.6986070860987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>
        <f t="shared" si="37"/>
        <v>0</v>
      </c>
    </row>
    <row r="50" spans="2:42">
      <c r="B50" s="97" t="s">
        <v>74</v>
      </c>
      <c r="C50" s="100">
        <v>18230611</v>
      </c>
      <c r="D50" s="100" t="s">
        <v>75</v>
      </c>
      <c r="E50" s="38" t="s">
        <v>1573</v>
      </c>
      <c r="F50" s="39" t="s">
        <v>1574</v>
      </c>
      <c r="G50" s="39"/>
      <c r="H50" s="39"/>
      <c r="I50" s="40"/>
      <c r="J50" s="41">
        <v>2</v>
      </c>
      <c r="K50" s="41">
        <v>0</v>
      </c>
      <c r="L50" s="41"/>
      <c r="M50" s="42">
        <v>1005.125</v>
      </c>
      <c r="N50" s="42">
        <v>1005.125</v>
      </c>
      <c r="O50" s="43">
        <v>0</v>
      </c>
      <c r="P50" s="44">
        <v>2010.25</v>
      </c>
      <c r="Q50" s="44">
        <v>2010.25</v>
      </c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2010.25</v>
      </c>
      <c r="AB50" s="51">
        <f t="shared" si="27"/>
        <v>0</v>
      </c>
      <c r="AC50" s="44">
        <f t="shared" si="28"/>
        <v>1879.2652145461343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74</v>
      </c>
      <c r="C51" s="100">
        <v>18230611</v>
      </c>
      <c r="D51" s="100" t="s">
        <v>75</v>
      </c>
      <c r="E51" s="38" t="s">
        <v>1575</v>
      </c>
      <c r="F51" s="39" t="s">
        <v>1576</v>
      </c>
      <c r="G51" s="39"/>
      <c r="H51" s="39"/>
      <c r="I51" s="40"/>
      <c r="J51" s="41">
        <v>6</v>
      </c>
      <c r="K51" s="41">
        <v>0</v>
      </c>
      <c r="L51" s="41"/>
      <c r="M51" s="42">
        <v>385.98333333333335</v>
      </c>
      <c r="N51" s="42">
        <v>385.98333333333335</v>
      </c>
      <c r="O51" s="43">
        <v>0</v>
      </c>
      <c r="P51" s="44">
        <v>2315.9</v>
      </c>
      <c r="Q51" s="44">
        <v>2315.9</v>
      </c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2315.9</v>
      </c>
      <c r="AB51" s="51">
        <f t="shared" si="27"/>
        <v>0</v>
      </c>
      <c r="AC51" s="44">
        <f t="shared" si="28"/>
        <v>2164.9995325792279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</row>
    <row r="52" spans="2:42">
      <c r="B52" s="97" t="s">
        <v>74</v>
      </c>
      <c r="C52" s="100">
        <v>18230611</v>
      </c>
      <c r="D52" s="100" t="s">
        <v>75</v>
      </c>
      <c r="E52" s="38" t="s">
        <v>1577</v>
      </c>
      <c r="F52" s="39" t="s">
        <v>1578</v>
      </c>
      <c r="G52" s="39"/>
      <c r="H52" s="39"/>
      <c r="I52" s="40"/>
      <c r="J52" s="41">
        <v>4</v>
      </c>
      <c r="K52" s="41">
        <v>0</v>
      </c>
      <c r="L52" s="41"/>
      <c r="M52" s="42">
        <v>2170.2925</v>
      </c>
      <c r="N52" s="42">
        <v>2170.2925</v>
      </c>
      <c r="O52" s="43">
        <v>0</v>
      </c>
      <c r="P52" s="44">
        <v>8681.17</v>
      </c>
      <c r="Q52" s="44">
        <v>8681.17</v>
      </c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8681.17</v>
      </c>
      <c r="AB52" s="51">
        <f t="shared" si="27"/>
        <v>0</v>
      </c>
      <c r="AC52" s="44">
        <f t="shared" si="28"/>
        <v>8115.5183696363456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74</v>
      </c>
      <c r="C53" s="100">
        <v>18230611</v>
      </c>
      <c r="D53" s="100" t="s">
        <v>75</v>
      </c>
      <c r="E53" s="38" t="s">
        <v>1579</v>
      </c>
      <c r="F53" s="39" t="s">
        <v>1580</v>
      </c>
      <c r="G53" s="39"/>
      <c r="H53" s="39"/>
      <c r="I53" s="40"/>
      <c r="J53" s="41">
        <v>7</v>
      </c>
      <c r="K53" s="41">
        <v>0</v>
      </c>
      <c r="L53" s="41"/>
      <c r="M53" s="42">
        <v>834.33428571428578</v>
      </c>
      <c r="N53" s="42">
        <v>834.33428571428578</v>
      </c>
      <c r="O53" s="43">
        <v>0</v>
      </c>
      <c r="P53" s="44">
        <v>5840.34</v>
      </c>
      <c r="Q53" s="44">
        <v>5840.34</v>
      </c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5840.34</v>
      </c>
      <c r="AB53" s="51">
        <f t="shared" si="27"/>
        <v>0</v>
      </c>
      <c r="AC53" s="44">
        <f t="shared" si="28"/>
        <v>5459.7924651771518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</row>
    <row r="54" spans="2:42">
      <c r="B54" s="97" t="s">
        <v>74</v>
      </c>
      <c r="C54" s="100">
        <v>18230611</v>
      </c>
      <c r="D54" s="100" t="s">
        <v>75</v>
      </c>
      <c r="E54" s="38" t="s">
        <v>1581</v>
      </c>
      <c r="F54" s="39" t="s">
        <v>1582</v>
      </c>
      <c r="G54" s="39"/>
      <c r="H54" s="39"/>
      <c r="I54" s="40"/>
      <c r="J54" s="41">
        <v>2</v>
      </c>
      <c r="K54" s="41">
        <v>0</v>
      </c>
      <c r="L54" s="41"/>
      <c r="M54" s="42">
        <v>957.125</v>
      </c>
      <c r="N54" s="42">
        <v>957.125</v>
      </c>
      <c r="O54" s="43">
        <v>0</v>
      </c>
      <c r="P54" s="44">
        <v>1914.25</v>
      </c>
      <c r="Q54" s="44">
        <v>1914.25</v>
      </c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1914.25</v>
      </c>
      <c r="AB54" s="51">
        <f t="shared" si="27"/>
        <v>0</v>
      </c>
      <c r="AC54" s="44">
        <f t="shared" si="28"/>
        <v>1789.5204262877442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</row>
    <row r="55" spans="2:42">
      <c r="B55" s="97" t="s">
        <v>74</v>
      </c>
      <c r="C55" s="100">
        <v>18230611</v>
      </c>
      <c r="D55" s="100" t="s">
        <v>75</v>
      </c>
      <c r="E55" s="38" t="s">
        <v>1583</v>
      </c>
      <c r="F55" s="39" t="s">
        <v>1584</v>
      </c>
      <c r="G55" s="39"/>
      <c r="H55" s="39"/>
      <c r="I55" s="40"/>
      <c r="J55" s="41">
        <v>1</v>
      </c>
      <c r="K55" s="41">
        <v>0</v>
      </c>
      <c r="L55" s="41"/>
      <c r="M55" s="42">
        <v>521.88</v>
      </c>
      <c r="N55" s="42">
        <v>521.88</v>
      </c>
      <c r="O55" s="43">
        <v>0</v>
      </c>
      <c r="P55" s="44">
        <v>521.88</v>
      </c>
      <c r="Q55" s="44">
        <v>521.88</v>
      </c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521.88</v>
      </c>
      <c r="AB55" s="51">
        <f t="shared" si="27"/>
        <v>0</v>
      </c>
      <c r="AC55" s="44">
        <f t="shared" si="28"/>
        <v>487.8751051696737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>
        <f t="shared" si="37"/>
        <v>0</v>
      </c>
    </row>
    <row r="56" spans="2:42">
      <c r="B56" s="97" t="s">
        <v>74</v>
      </c>
      <c r="C56" s="100">
        <v>18230611</v>
      </c>
      <c r="D56" s="100" t="s">
        <v>75</v>
      </c>
      <c r="E56" s="38" t="s">
        <v>1585</v>
      </c>
      <c r="F56" s="39" t="s">
        <v>1586</v>
      </c>
      <c r="G56" s="39"/>
      <c r="H56" s="39"/>
      <c r="I56" s="40"/>
      <c r="J56" s="41">
        <v>1</v>
      </c>
      <c r="K56" s="41">
        <v>0</v>
      </c>
      <c r="L56" s="41"/>
      <c r="M56" s="42">
        <v>644.91999999999996</v>
      </c>
      <c r="N56" s="42">
        <v>644.91999999999996</v>
      </c>
      <c r="O56" s="43">
        <v>0</v>
      </c>
      <c r="P56" s="44">
        <v>644.91999999999996</v>
      </c>
      <c r="Q56" s="44">
        <v>644.91999999999996</v>
      </c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644.91999999999996</v>
      </c>
      <c r="AB56" s="51">
        <f t="shared" si="27"/>
        <v>0</v>
      </c>
      <c r="AC56" s="44">
        <f t="shared" si="28"/>
        <v>602.89800878751043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>
        <f t="shared" si="37"/>
        <v>0</v>
      </c>
    </row>
    <row r="57" spans="2:42">
      <c r="B57" s="97" t="s">
        <v>74</v>
      </c>
      <c r="C57" s="100">
        <v>18230611</v>
      </c>
      <c r="D57" s="100" t="s">
        <v>75</v>
      </c>
      <c r="E57" s="38" t="s">
        <v>1587</v>
      </c>
      <c r="F57" s="39" t="s">
        <v>1588</v>
      </c>
      <c r="G57" s="39"/>
      <c r="H57" s="39"/>
      <c r="I57" s="40"/>
      <c r="J57" s="41">
        <v>2</v>
      </c>
      <c r="K57" s="41">
        <v>0</v>
      </c>
      <c r="L57" s="41"/>
      <c r="M57" s="42">
        <v>887.23500000000001</v>
      </c>
      <c r="N57" s="42">
        <v>887.23500000000001</v>
      </c>
      <c r="O57" s="43">
        <v>0</v>
      </c>
      <c r="P57" s="44">
        <v>1774.47</v>
      </c>
      <c r="Q57" s="44">
        <v>1774.47</v>
      </c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1774.47</v>
      </c>
      <c r="AB57" s="51">
        <f t="shared" si="27"/>
        <v>0</v>
      </c>
      <c r="AC57" s="44">
        <f t="shared" si="28"/>
        <v>1658.8482752173506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>
        <f t="shared" si="37"/>
        <v>0</v>
      </c>
    </row>
    <row r="58" spans="2:42">
      <c r="B58" s="97" t="s">
        <v>74</v>
      </c>
      <c r="C58" s="100">
        <v>18230611</v>
      </c>
      <c r="D58" s="100" t="s">
        <v>75</v>
      </c>
      <c r="E58" s="38" t="s">
        <v>1589</v>
      </c>
      <c r="F58" s="39" t="s">
        <v>1590</v>
      </c>
      <c r="G58" s="39"/>
      <c r="H58" s="39"/>
      <c r="I58" s="40"/>
      <c r="J58" s="41">
        <v>1</v>
      </c>
      <c r="K58" s="41">
        <v>0</v>
      </c>
      <c r="L58" s="41"/>
      <c r="M58" s="42">
        <v>494.59</v>
      </c>
      <c r="N58" s="42">
        <v>494.59</v>
      </c>
      <c r="O58" s="43">
        <v>0</v>
      </c>
      <c r="P58" s="44">
        <v>494.59</v>
      </c>
      <c r="Q58" s="44">
        <v>494.59</v>
      </c>
      <c r="R58" s="45">
        <v>0</v>
      </c>
      <c r="S58" s="46">
        <v>0</v>
      </c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494.59</v>
      </c>
      <c r="AB58" s="51">
        <f t="shared" si="27"/>
        <v>0</v>
      </c>
      <c r="AC58" s="44">
        <f t="shared" si="28"/>
        <v>462.36327942413754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>
        <f t="shared" si="37"/>
        <v>0</v>
      </c>
    </row>
    <row r="59" spans="2:42">
      <c r="B59" s="97" t="s">
        <v>74</v>
      </c>
      <c r="C59" s="100">
        <v>18230611</v>
      </c>
      <c r="D59" s="100" t="s">
        <v>75</v>
      </c>
      <c r="E59" s="38" t="s">
        <v>1591</v>
      </c>
      <c r="F59" s="39" t="s">
        <v>1592</v>
      </c>
      <c r="G59" s="39"/>
      <c r="H59" s="39"/>
      <c r="I59" s="40"/>
      <c r="J59" s="41">
        <v>7</v>
      </c>
      <c r="K59" s="41">
        <v>0</v>
      </c>
      <c r="L59" s="41"/>
      <c r="M59" s="42">
        <v>668.26714285714286</v>
      </c>
      <c r="N59" s="42">
        <v>668.26714285714286</v>
      </c>
      <c r="O59" s="43">
        <v>0</v>
      </c>
      <c r="P59" s="44">
        <v>4677.87</v>
      </c>
      <c r="Q59" s="44">
        <v>4677.87</v>
      </c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4677.87</v>
      </c>
      <c r="AB59" s="51">
        <f t="shared" si="27"/>
        <v>0</v>
      </c>
      <c r="AC59" s="44">
        <f t="shared" si="28"/>
        <v>4373.0672151070385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>
        <f t="shared" si="37"/>
        <v>0</v>
      </c>
    </row>
    <row r="60" spans="2:42">
      <c r="B60" s="97" t="s">
        <v>74</v>
      </c>
      <c r="C60" s="100">
        <v>18230611</v>
      </c>
      <c r="D60" s="100" t="s">
        <v>75</v>
      </c>
      <c r="E60" s="38" t="s">
        <v>1593</v>
      </c>
      <c r="F60" s="39" t="s">
        <v>1594</v>
      </c>
      <c r="G60" s="39">
        <v>30</v>
      </c>
      <c r="H60" s="39"/>
      <c r="I60" s="40" t="s">
        <v>281</v>
      </c>
      <c r="J60" s="41">
        <v>5</v>
      </c>
      <c r="K60" s="41">
        <v>0</v>
      </c>
      <c r="L60" s="41"/>
      <c r="M60" s="42">
        <v>0.95</v>
      </c>
      <c r="N60" s="42">
        <v>0.95</v>
      </c>
      <c r="O60" s="43">
        <v>0</v>
      </c>
      <c r="P60" s="44">
        <v>15220.77</v>
      </c>
      <c r="Q60" s="44">
        <v>15220.77</v>
      </c>
      <c r="R60" s="45">
        <v>0</v>
      </c>
      <c r="S60" s="46"/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15220.77</v>
      </c>
      <c r="AB60" s="51">
        <f t="shared" si="27"/>
        <v>0</v>
      </c>
      <c r="AC60" s="44">
        <f t="shared" si="28"/>
        <v>14229.008133121435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2.1643436258224993</v>
      </c>
      <c r="AG60" s="44">
        <f t="shared" si="31"/>
        <v>0</v>
      </c>
      <c r="AH60" s="52">
        <f>HLOOKUP(I60,ElecAvoidedCostsWOCC!$A$5:$Q$50,T60+1,FALSE)</f>
        <v>2.1643436258224993</v>
      </c>
      <c r="AI60" s="44">
        <f t="shared" si="32"/>
        <v>0</v>
      </c>
      <c r="AJ60" s="44">
        <f t="shared" si="33"/>
        <v>0</v>
      </c>
      <c r="AK60" s="44">
        <f>HLOOKUP(I60,ElecAvoidedCostsWOCC!$A$5:$Q$50,G60+1,FALSE)*J60*L60</f>
        <v>0</v>
      </c>
      <c r="AL60" s="44">
        <f t="shared" si="34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>
        <f t="shared" si="37"/>
        <v>0</v>
      </c>
    </row>
    <row r="61" spans="2:42">
      <c r="B61" s="97" t="s">
        <v>74</v>
      </c>
      <c r="C61" s="100">
        <v>18230611</v>
      </c>
      <c r="D61" s="100" t="s">
        <v>75</v>
      </c>
      <c r="E61" s="38" t="s">
        <v>1595</v>
      </c>
      <c r="F61" s="39" t="s">
        <v>1596</v>
      </c>
      <c r="G61" s="39">
        <v>30</v>
      </c>
      <c r="H61" s="39"/>
      <c r="I61" s="40" t="s">
        <v>281</v>
      </c>
      <c r="J61" s="41">
        <v>3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5123.7299999999996</v>
      </c>
      <c r="Q61" s="44">
        <v>5123.7299999999996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5123.7299999999996</v>
      </c>
      <c r="AB61" s="51">
        <f t="shared" si="27"/>
        <v>0</v>
      </c>
      <c r="AC61" s="44">
        <f t="shared" si="28"/>
        <v>4789.8756660745994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2.1643436258224993</v>
      </c>
      <c r="AG61" s="44">
        <f t="shared" si="31"/>
        <v>0</v>
      </c>
      <c r="AH61" s="52">
        <f>HLOOKUP(I61,ElecAvoidedCostsWOCC!$A$5:$Q$50,T61+1,FALSE)</f>
        <v>2.1643436258224993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>
        <f t="shared" si="37"/>
        <v>0</v>
      </c>
    </row>
    <row r="62" spans="2:42">
      <c r="B62" s="97" t="s">
        <v>74</v>
      </c>
      <c r="C62" s="100">
        <v>18230611</v>
      </c>
      <c r="D62" s="100" t="s">
        <v>75</v>
      </c>
      <c r="E62" s="38" t="s">
        <v>1597</v>
      </c>
      <c r="F62" s="39" t="s">
        <v>1598</v>
      </c>
      <c r="G62" s="39">
        <v>30</v>
      </c>
      <c r="H62" s="39"/>
      <c r="I62" s="40" t="s">
        <v>281</v>
      </c>
      <c r="J62" s="41">
        <v>8</v>
      </c>
      <c r="K62" s="41">
        <v>0</v>
      </c>
      <c r="L62" s="41"/>
      <c r="M62" s="42">
        <v>2.75</v>
      </c>
      <c r="N62" s="42">
        <v>2.75</v>
      </c>
      <c r="O62" s="43">
        <v>0</v>
      </c>
      <c r="P62" s="44">
        <v>75843.63</v>
      </c>
      <c r="Q62" s="44">
        <v>75843.63</v>
      </c>
      <c r="R62" s="45">
        <v>0</v>
      </c>
      <c r="S62" s="46"/>
      <c r="T62" s="39">
        <f t="shared" si="19"/>
        <v>30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75843.63</v>
      </c>
      <c r="AB62" s="51">
        <f t="shared" si="27"/>
        <v>0</v>
      </c>
      <c r="AC62" s="44">
        <f t="shared" si="28"/>
        <v>70901.776198934283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2.1643436258224993</v>
      </c>
      <c r="AG62" s="44">
        <f t="shared" si="31"/>
        <v>0</v>
      </c>
      <c r="AH62" s="52">
        <f>HLOOKUP(I62,ElecAvoidedCostsWOCC!$A$5:$Q$50,T62+1,FALSE)</f>
        <v>2.1643436258224993</v>
      </c>
      <c r="AI62" s="44">
        <f t="shared" si="32"/>
        <v>0</v>
      </c>
      <c r="AJ62" s="44">
        <f t="shared" si="33"/>
        <v>0</v>
      </c>
      <c r="AK62" s="44">
        <f>HLOOKUP(I62,ElecAvoidedCostsWOCC!$A$5:$Q$50,G62+1,FALSE)*J62*L62</f>
        <v>0</v>
      </c>
      <c r="AL62" s="44">
        <f t="shared" si="34"/>
        <v>0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>
        <f t="shared" si="37"/>
        <v>0</v>
      </c>
    </row>
    <row r="63" spans="2:42">
      <c r="B63" s="97" t="s">
        <v>74</v>
      </c>
      <c r="C63" s="100">
        <v>18230611</v>
      </c>
      <c r="D63" s="100" t="s">
        <v>75</v>
      </c>
      <c r="E63" s="38" t="s">
        <v>1607</v>
      </c>
      <c r="F63" s="39" t="s">
        <v>1608</v>
      </c>
      <c r="G63" s="39">
        <v>15</v>
      </c>
      <c r="H63" s="39"/>
      <c r="I63" s="40" t="s">
        <v>279</v>
      </c>
      <c r="J63" s="41">
        <v>71</v>
      </c>
      <c r="K63" s="41">
        <v>20.68</v>
      </c>
      <c r="L63" s="41"/>
      <c r="M63" s="42">
        <v>20</v>
      </c>
      <c r="N63" s="42">
        <v>20</v>
      </c>
      <c r="O63" s="43">
        <v>1468.28</v>
      </c>
      <c r="P63" s="44">
        <v>3665.85</v>
      </c>
      <c r="Q63" s="44">
        <v>3665.85</v>
      </c>
      <c r="R63" s="45">
        <v>0</v>
      </c>
      <c r="S63" s="46">
        <v>0</v>
      </c>
      <c r="T63" s="39">
        <f t="shared" si="19"/>
        <v>15</v>
      </c>
      <c r="U63" s="47">
        <f t="shared" si="20"/>
        <v>2.0647067636316303E-2</v>
      </c>
      <c r="V63" s="48">
        <f t="shared" si="21"/>
        <v>0</v>
      </c>
      <c r="W63" s="49">
        <f t="shared" si="22"/>
        <v>1.3764711757544203E-3</v>
      </c>
      <c r="X63" s="44">
        <f t="shared" si="23"/>
        <v>287.22038059426109</v>
      </c>
      <c r="Y63" s="44">
        <f t="shared" si="24"/>
        <v>0</v>
      </c>
      <c r="Z63" s="44">
        <f t="shared" si="25"/>
        <v>2401.2990730640158</v>
      </c>
      <c r="AA63" s="50">
        <f t="shared" si="26"/>
        <v>3953.0703805942612</v>
      </c>
      <c r="AB63" s="51">
        <f t="shared" si="27"/>
        <v>2244.8341339291537</v>
      </c>
      <c r="AC63" s="44">
        <f t="shared" si="28"/>
        <v>3695.49441955152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1.0786528141421943</v>
      </c>
      <c r="AG63" s="44">
        <f t="shared" si="31"/>
        <v>1583.764353948701</v>
      </c>
      <c r="AH63" s="52">
        <f>HLOOKUP(I63,ElecAvoidedCostsWOCC!$A$5:$Q$50,T63+1,FALSE)</f>
        <v>1.0786528141421943</v>
      </c>
      <c r="AI63" s="44">
        <f t="shared" si="32"/>
        <v>0</v>
      </c>
      <c r="AJ63" s="44">
        <f t="shared" si="33"/>
        <v>1583.764353948701</v>
      </c>
      <c r="AK63" s="44">
        <f>HLOOKUP(I63,ElecAvoidedCostsWOCC!$A$5:$Q$50,G63+1,FALSE)*J63*L63</f>
        <v>0</v>
      </c>
      <c r="AL63" s="44">
        <f t="shared" si="34"/>
        <v>1583.764353948701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1583.764353948701</v>
      </c>
      <c r="AN63" s="48">
        <f t="shared" si="35"/>
        <v>1742.1407893435712</v>
      </c>
      <c r="AO63" s="47">
        <f t="shared" si="36"/>
        <v>0.70551508907102356</v>
      </c>
      <c r="AP63" s="47">
        <f t="shared" si="37"/>
        <v>0.47142292520495671</v>
      </c>
    </row>
    <row r="64" spans="2:42">
      <c r="B64" s="97" t="s">
        <v>74</v>
      </c>
      <c r="C64" s="100">
        <v>18230611</v>
      </c>
      <c r="D64" s="100" t="s">
        <v>75</v>
      </c>
      <c r="E64" s="38" t="s">
        <v>1611</v>
      </c>
      <c r="F64" s="39" t="s">
        <v>1612</v>
      </c>
      <c r="G64" s="39">
        <v>15</v>
      </c>
      <c r="H64" s="39"/>
      <c r="I64" s="40" t="s">
        <v>279</v>
      </c>
      <c r="J64" s="41">
        <v>26</v>
      </c>
      <c r="K64" s="41">
        <v>20.68</v>
      </c>
      <c r="L64" s="41"/>
      <c r="M64" s="42">
        <v>20</v>
      </c>
      <c r="N64" s="42">
        <v>20</v>
      </c>
      <c r="O64" s="43">
        <v>537.67999999999995</v>
      </c>
      <c r="P64" s="44">
        <v>2687.72</v>
      </c>
      <c r="Q64" s="44">
        <v>2687.72</v>
      </c>
      <c r="R64" s="45">
        <v>0</v>
      </c>
      <c r="S64" s="46">
        <v>0</v>
      </c>
      <c r="T64" s="39">
        <f t="shared" si="19"/>
        <v>15</v>
      </c>
      <c r="U64" s="47">
        <f t="shared" si="20"/>
        <v>7.5608980076651263E-3</v>
      </c>
      <c r="V64" s="48">
        <f t="shared" si="21"/>
        <v>0</v>
      </c>
      <c r="W64" s="49">
        <f t="shared" si="22"/>
        <v>5.0405986717767511E-4</v>
      </c>
      <c r="X64" s="44">
        <f t="shared" si="23"/>
        <v>105.17929430212378</v>
      </c>
      <c r="Y64" s="44">
        <f t="shared" si="24"/>
        <v>0</v>
      </c>
      <c r="Z64" s="44">
        <f t="shared" si="25"/>
        <v>879.34895633330154</v>
      </c>
      <c r="AA64" s="50">
        <f t="shared" si="26"/>
        <v>2792.8992943021235</v>
      </c>
      <c r="AB64" s="51">
        <f t="shared" si="27"/>
        <v>822.05193636842239</v>
      </c>
      <c r="AC64" s="44">
        <f t="shared" si="28"/>
        <v>2610.9182895224112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1.0786528141421943</v>
      </c>
      <c r="AG64" s="44">
        <f t="shared" si="31"/>
        <v>579.97004510797501</v>
      </c>
      <c r="AH64" s="52">
        <f>HLOOKUP(I64,ElecAvoidedCostsWOCC!$A$5:$Q$50,T64+1,FALSE)</f>
        <v>1.0786528141421943</v>
      </c>
      <c r="AI64" s="44">
        <f t="shared" si="32"/>
        <v>0</v>
      </c>
      <c r="AJ64" s="44">
        <f t="shared" si="33"/>
        <v>579.97004510797501</v>
      </c>
      <c r="AK64" s="44">
        <f>HLOOKUP(I64,ElecAvoidedCostsWOCC!$A$5:$Q$50,G64+1,FALSE)*J64*L64</f>
        <v>0</v>
      </c>
      <c r="AL64" s="44">
        <f t="shared" si="34"/>
        <v>579.97004510797501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579.97004510797501</v>
      </c>
      <c r="AN64" s="48">
        <f t="shared" si="35"/>
        <v>637.96704961877253</v>
      </c>
      <c r="AO64" s="47">
        <f t="shared" si="36"/>
        <v>0.70551508907102367</v>
      </c>
      <c r="AP64" s="47">
        <f t="shared" si="37"/>
        <v>0.24434585033891251</v>
      </c>
    </row>
    <row r="65" spans="2:42">
      <c r="B65" s="97" t="s">
        <v>74</v>
      </c>
      <c r="C65" s="100">
        <v>18230611</v>
      </c>
      <c r="D65" s="100" t="s">
        <v>75</v>
      </c>
      <c r="E65" s="38" t="s">
        <v>1615</v>
      </c>
      <c r="F65" s="39" t="s">
        <v>1616</v>
      </c>
      <c r="G65" s="39"/>
      <c r="H65" s="39"/>
      <c r="I65" s="40"/>
      <c r="J65" s="41">
        <v>1</v>
      </c>
      <c r="K65" s="41">
        <v>0</v>
      </c>
      <c r="L65" s="41"/>
      <c r="M65" s="42">
        <v>201.47</v>
      </c>
      <c r="N65" s="42">
        <v>201.47</v>
      </c>
      <c r="O65" s="43">
        <v>0</v>
      </c>
      <c r="P65" s="44">
        <v>201.47</v>
      </c>
      <c r="Q65" s="44">
        <v>201.47</v>
      </c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201.47</v>
      </c>
      <c r="AB65" s="51">
        <f t="shared" si="27"/>
        <v>0</v>
      </c>
      <c r="AC65" s="44">
        <f t="shared" si="28"/>
        <v>188.34252594185284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>
        <f t="shared" si="37"/>
        <v>0</v>
      </c>
    </row>
    <row r="66" spans="2:42">
      <c r="B66" s="97" t="s">
        <v>74</v>
      </c>
      <c r="C66" s="100">
        <v>18230611</v>
      </c>
      <c r="D66" s="100" t="s">
        <v>75</v>
      </c>
      <c r="E66" s="38" t="s">
        <v>1617</v>
      </c>
      <c r="F66" s="39" t="s">
        <v>1618</v>
      </c>
      <c r="G66" s="39"/>
      <c r="H66" s="39"/>
      <c r="I66" s="40"/>
      <c r="J66" s="41">
        <v>2</v>
      </c>
      <c r="K66" s="41">
        <v>0</v>
      </c>
      <c r="L66" s="41"/>
      <c r="M66" s="42">
        <v>294.89</v>
      </c>
      <c r="N66" s="42">
        <v>294.89</v>
      </c>
      <c r="O66" s="43">
        <v>0</v>
      </c>
      <c r="P66" s="44">
        <v>589.78</v>
      </c>
      <c r="Q66" s="44">
        <v>589.78</v>
      </c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589.78</v>
      </c>
      <c r="AB66" s="51">
        <f t="shared" si="27"/>
        <v>0</v>
      </c>
      <c r="AC66" s="44">
        <f t="shared" si="28"/>
        <v>551.3508460315976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>
        <f t="shared" si="37"/>
        <v>0</v>
      </c>
    </row>
    <row r="67" spans="2:42">
      <c r="B67" s="97" t="s">
        <v>74</v>
      </c>
      <c r="C67" s="100">
        <v>18230611</v>
      </c>
      <c r="D67" s="100" t="s">
        <v>75</v>
      </c>
      <c r="E67" s="38" t="s">
        <v>1619</v>
      </c>
      <c r="F67" s="39" t="s">
        <v>1620</v>
      </c>
      <c r="G67" s="39">
        <v>25</v>
      </c>
      <c r="H67" s="39"/>
      <c r="I67" s="40" t="s">
        <v>283</v>
      </c>
      <c r="J67" s="41">
        <v>244</v>
      </c>
      <c r="K67" s="41">
        <v>6.71</v>
      </c>
      <c r="L67" s="41"/>
      <c r="M67" s="42">
        <v>18.53</v>
      </c>
      <c r="N67" s="42">
        <v>18.53</v>
      </c>
      <c r="O67" s="43">
        <v>1637.24</v>
      </c>
      <c r="P67" s="44">
        <v>5877.72</v>
      </c>
      <c r="Q67" s="44">
        <v>5877.72</v>
      </c>
      <c r="R67" s="45">
        <v>0</v>
      </c>
      <c r="S67" s="46">
        <v>0</v>
      </c>
      <c r="T67" s="39">
        <f t="shared" si="19"/>
        <v>25</v>
      </c>
      <c r="U67" s="47">
        <f t="shared" si="20"/>
        <v>3.8371660510804609E-2</v>
      </c>
      <c r="V67" s="48">
        <f t="shared" si="21"/>
        <v>0</v>
      </c>
      <c r="W67" s="49">
        <f t="shared" si="22"/>
        <v>1.5348664204321843E-3</v>
      </c>
      <c r="X67" s="44">
        <f t="shared" si="23"/>
        <v>320.2718118643229</v>
      </c>
      <c r="Y67" s="44">
        <f t="shared" si="24"/>
        <v>0</v>
      </c>
      <c r="Z67" s="44">
        <f t="shared" si="25"/>
        <v>2677.6247680165425</v>
      </c>
      <c r="AA67" s="50">
        <f t="shared" si="26"/>
        <v>6197.9918118643236</v>
      </c>
      <c r="AB67" s="51">
        <f t="shared" si="27"/>
        <v>2503.1548733444351</v>
      </c>
      <c r="AC67" s="44">
        <f t="shared" si="28"/>
        <v>5794.1402373229157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3357.6855692224958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3357.6855692224958</v>
      </c>
      <c r="AK67" s="44">
        <f>HLOOKUP(I67,ElecAvoidedCostsWOCC!$A$5:$Q$50,G67+1,FALSE)*J67*L67</f>
        <v>0</v>
      </c>
      <c r="AL67" s="44">
        <f t="shared" si="34"/>
        <v>3357.6855692224958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3357.6855692224958</v>
      </c>
      <c r="AN67" s="48">
        <f t="shared" si="35"/>
        <v>3693.4541261447457</v>
      </c>
      <c r="AO67" s="47">
        <f t="shared" si="36"/>
        <v>1.3413814722284172</v>
      </c>
      <c r="AP67" s="47">
        <f t="shared" si="37"/>
        <v>0.63744645018313251</v>
      </c>
    </row>
    <row r="68" spans="2:42">
      <c r="B68" s="97" t="s">
        <v>74</v>
      </c>
      <c r="C68" s="100">
        <v>18230611</v>
      </c>
      <c r="D68" s="100" t="s">
        <v>75</v>
      </c>
      <c r="E68" s="38" t="s">
        <v>1621</v>
      </c>
      <c r="F68" s="39" t="s">
        <v>1622</v>
      </c>
      <c r="G68" s="39">
        <v>25</v>
      </c>
      <c r="H68" s="39"/>
      <c r="I68" s="40" t="s">
        <v>283</v>
      </c>
      <c r="J68" s="41">
        <v>1146</v>
      </c>
      <c r="K68" s="41">
        <v>16.53</v>
      </c>
      <c r="L68" s="41"/>
      <c r="M68" s="42">
        <v>18.53</v>
      </c>
      <c r="N68" s="42">
        <v>18.53</v>
      </c>
      <c r="O68" s="43">
        <v>18943.38</v>
      </c>
      <c r="P68" s="44">
        <v>26892.67</v>
      </c>
      <c r="Q68" s="44">
        <v>26892.67</v>
      </c>
      <c r="R68" s="45">
        <v>0</v>
      </c>
      <c r="S68" s="46">
        <v>0</v>
      </c>
      <c r="T68" s="39">
        <f t="shared" si="19"/>
        <v>25</v>
      </c>
      <c r="U68" s="47">
        <f t="shared" si="20"/>
        <v>0.44397213987391326</v>
      </c>
      <c r="V68" s="48">
        <f t="shared" si="21"/>
        <v>0</v>
      </c>
      <c r="W68" s="49">
        <f t="shared" si="22"/>
        <v>1.7758885594956531E-2</v>
      </c>
      <c r="X68" s="44">
        <f t="shared" si="23"/>
        <v>3705.6452538628287</v>
      </c>
      <c r="Y68" s="44">
        <f t="shared" si="24"/>
        <v>0</v>
      </c>
      <c r="Z68" s="44">
        <f t="shared" si="25"/>
        <v>30980.957879082613</v>
      </c>
      <c r="AA68" s="50">
        <f t="shared" si="26"/>
        <v>30598.315253862827</v>
      </c>
      <c r="AB68" s="51">
        <f t="shared" si="27"/>
        <v>28962.286509378901</v>
      </c>
      <c r="AC68" s="44">
        <f t="shared" si="28"/>
        <v>28604.576286681149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2.0508206305871441</v>
      </c>
      <c r="AG68" s="44">
        <f t="shared" si="31"/>
        <v>38849.474517051902</v>
      </c>
      <c r="AH68" s="52">
        <f>HLOOKUP(I68,ElecAvoidedCostsWOCC!$A$5:$Q$50,T68+1,FALSE)</f>
        <v>2.0508206305871441</v>
      </c>
      <c r="AI68" s="44">
        <f t="shared" si="32"/>
        <v>0</v>
      </c>
      <c r="AJ68" s="44">
        <f t="shared" si="33"/>
        <v>38849.474517051902</v>
      </c>
      <c r="AK68" s="44">
        <f>HLOOKUP(I68,ElecAvoidedCostsWOCC!$A$5:$Q$50,G68+1,FALSE)*J68*L68</f>
        <v>0</v>
      </c>
      <c r="AL68" s="44">
        <f t="shared" si="34"/>
        <v>38849.474517051902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38849.474517051895</v>
      </c>
      <c r="AN68" s="48">
        <f t="shared" si="35"/>
        <v>42734.421968757088</v>
      </c>
      <c r="AO68" s="47">
        <f t="shared" si="36"/>
        <v>1.3413814722284172</v>
      </c>
      <c r="AP68" s="47">
        <f t="shared" si="37"/>
        <v>1.4939715079315847</v>
      </c>
    </row>
    <row r="69" spans="2:42">
      <c r="B69" s="97" t="s">
        <v>74</v>
      </c>
      <c r="C69" s="100">
        <v>18230611</v>
      </c>
      <c r="D69" s="100" t="s">
        <v>75</v>
      </c>
      <c r="E69" s="38" t="s">
        <v>1623</v>
      </c>
      <c r="F69" s="39" t="s">
        <v>1624</v>
      </c>
      <c r="G69" s="39">
        <v>45</v>
      </c>
      <c r="H69" s="39"/>
      <c r="I69" s="40" t="s">
        <v>283</v>
      </c>
      <c r="J69" s="41">
        <v>232</v>
      </c>
      <c r="K69" s="41">
        <v>3.98</v>
      </c>
      <c r="L69" s="41"/>
      <c r="M69" s="42">
        <v>22.6</v>
      </c>
      <c r="N69" s="42">
        <v>22.6</v>
      </c>
      <c r="O69" s="43">
        <v>923.36</v>
      </c>
      <c r="P69" s="44">
        <v>6816.16</v>
      </c>
      <c r="Q69" s="44">
        <v>6816.16</v>
      </c>
      <c r="R69" s="45">
        <v>0</v>
      </c>
      <c r="S69" s="46">
        <v>0</v>
      </c>
      <c r="T69" s="39">
        <f t="shared" si="19"/>
        <v>45</v>
      </c>
      <c r="U69" s="47">
        <f t="shared" si="20"/>
        <v>3.8953080555484701E-2</v>
      </c>
      <c r="V69" s="48">
        <f t="shared" si="21"/>
        <v>0</v>
      </c>
      <c r="W69" s="49">
        <f t="shared" si="22"/>
        <v>8.6562401234410442E-4</v>
      </c>
      <c r="X69" s="44">
        <f t="shared" si="23"/>
        <v>180.62481994273361</v>
      </c>
      <c r="Y69" s="44">
        <f t="shared" si="24"/>
        <v>0</v>
      </c>
      <c r="Z69" s="44">
        <f t="shared" si="25"/>
        <v>1510.1094560331746</v>
      </c>
      <c r="AA69" s="50">
        <f t="shared" si="26"/>
        <v>6996.7848199427335</v>
      </c>
      <c r="AB69" s="51">
        <f t="shared" si="27"/>
        <v>1411.7130560280214</v>
      </c>
      <c r="AC69" s="44">
        <f t="shared" si="28"/>
        <v>6540.8851266174934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3.4276422079642828</v>
      </c>
      <c r="AG69" s="44">
        <f t="shared" si="31"/>
        <v>3164.9477091459003</v>
      </c>
      <c r="AH69" s="52">
        <f>HLOOKUP(I69,ElecAvoidedCostsWOCC!$A$5:$Q$50,T69+1,FALSE)</f>
        <v>3.4276422079642828</v>
      </c>
      <c r="AI69" s="44">
        <f t="shared" si="32"/>
        <v>0</v>
      </c>
      <c r="AJ69" s="44">
        <f t="shared" si="33"/>
        <v>3164.9477091459003</v>
      </c>
      <c r="AK69" s="44">
        <f>HLOOKUP(I69,ElecAvoidedCostsWOCC!$A$5:$Q$50,G69+1,FALSE)*J69*L69</f>
        <v>0</v>
      </c>
      <c r="AL69" s="44">
        <f t="shared" si="34"/>
        <v>3164.9477091459003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3164.9477091459003</v>
      </c>
      <c r="AN69" s="48">
        <f t="shared" si="35"/>
        <v>3481.4424800604907</v>
      </c>
      <c r="AO69" s="47">
        <f t="shared" si="36"/>
        <v>2.2419199819903617</v>
      </c>
      <c r="AP69" s="47">
        <f t="shared" si="37"/>
        <v>0.53225861831651811</v>
      </c>
    </row>
    <row r="70" spans="2:42">
      <c r="B70" s="97" t="s">
        <v>74</v>
      </c>
      <c r="C70" s="100">
        <v>18230611</v>
      </c>
      <c r="D70" s="100" t="s">
        <v>75</v>
      </c>
      <c r="E70" s="38" t="s">
        <v>1625</v>
      </c>
      <c r="F70" s="39" t="s">
        <v>1626</v>
      </c>
      <c r="G70" s="39">
        <v>45</v>
      </c>
      <c r="H70" s="39"/>
      <c r="I70" s="40" t="s">
        <v>281</v>
      </c>
      <c r="J70" s="41">
        <v>8136</v>
      </c>
      <c r="K70" s="41">
        <v>0.95</v>
      </c>
      <c r="L70" s="41"/>
      <c r="M70" s="42">
        <v>2.4300000000000002</v>
      </c>
      <c r="N70" s="42">
        <v>2.4300000000000002</v>
      </c>
      <c r="O70" s="43">
        <v>7729.2</v>
      </c>
      <c r="P70" s="44">
        <v>25701.62</v>
      </c>
      <c r="Q70" s="44">
        <v>25701.62</v>
      </c>
      <c r="R70" s="45">
        <v>0</v>
      </c>
      <c r="S70" s="46">
        <v>0</v>
      </c>
      <c r="T70" s="39">
        <f t="shared" si="19"/>
        <v>45</v>
      </c>
      <c r="U70" s="47">
        <f t="shared" si="20"/>
        <v>0.32606583589223309</v>
      </c>
      <c r="V70" s="48">
        <f t="shared" si="21"/>
        <v>0</v>
      </c>
      <c r="W70" s="49">
        <f t="shared" si="22"/>
        <v>7.245907464271846E-3</v>
      </c>
      <c r="X70" s="44">
        <f t="shared" si="23"/>
        <v>1511.9621364379836</v>
      </c>
      <c r="Y70" s="44">
        <f t="shared" si="24"/>
        <v>0</v>
      </c>
      <c r="Z70" s="44">
        <f t="shared" si="25"/>
        <v>12640.723019809839</v>
      </c>
      <c r="AA70" s="50">
        <f t="shared" si="26"/>
        <v>27213.582136437981</v>
      </c>
      <c r="AB70" s="51">
        <f t="shared" si="27"/>
        <v>11817.073029643674</v>
      </c>
      <c r="AC70" s="44">
        <f t="shared" si="28"/>
        <v>25440.387151947256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3.1346149049506007</v>
      </c>
      <c r="AG70" s="44">
        <f t="shared" si="31"/>
        <v>24228.065523344183</v>
      </c>
      <c r="AH70" s="52">
        <f>HLOOKUP(I70,ElecAvoidedCostsWOCC!$A$5:$Q$50,T70+1,FALSE)</f>
        <v>3.1346149049506007</v>
      </c>
      <c r="AI70" s="44">
        <f t="shared" si="32"/>
        <v>0</v>
      </c>
      <c r="AJ70" s="44">
        <f t="shared" si="33"/>
        <v>24228.065523344183</v>
      </c>
      <c r="AK70" s="44">
        <f>HLOOKUP(I70,ElecAvoidedCostsWOCC!$A$5:$Q$50,G70+1,FALSE)*J70*L70</f>
        <v>0</v>
      </c>
      <c r="AL70" s="44">
        <f t="shared" si="34"/>
        <v>24228.065523344183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24228.065523344179</v>
      </c>
      <c r="AN70" s="48">
        <f t="shared" si="35"/>
        <v>26650.872075678599</v>
      </c>
      <c r="AO70" s="47">
        <f t="shared" si="36"/>
        <v>2.0502594392509006</v>
      </c>
      <c r="AP70" s="47">
        <f t="shared" si="37"/>
        <v>1.04758123044675</v>
      </c>
    </row>
    <row r="71" spans="2:42">
      <c r="B71" s="97" t="s">
        <v>74</v>
      </c>
      <c r="C71" s="100">
        <v>18230611</v>
      </c>
      <c r="D71" s="100" t="s">
        <v>75</v>
      </c>
      <c r="E71" s="38" t="s">
        <v>1627</v>
      </c>
      <c r="F71" s="39" t="s">
        <v>1628</v>
      </c>
      <c r="G71" s="39">
        <v>45</v>
      </c>
      <c r="H71" s="39"/>
      <c r="I71" s="40" t="s">
        <v>283</v>
      </c>
      <c r="J71" s="41">
        <v>15703</v>
      </c>
      <c r="K71" s="41">
        <v>1.37</v>
      </c>
      <c r="L71" s="41"/>
      <c r="M71" s="42">
        <v>2.4300000000000002</v>
      </c>
      <c r="N71" s="42">
        <v>2.4300000000000002</v>
      </c>
      <c r="O71" s="43">
        <v>21513.11</v>
      </c>
      <c r="P71" s="44">
        <v>53021.93</v>
      </c>
      <c r="Q71" s="44">
        <v>53021.93</v>
      </c>
      <c r="R71" s="45">
        <v>0</v>
      </c>
      <c r="S71" s="46">
        <v>0</v>
      </c>
      <c r="T71" s="39">
        <f t="shared" si="19"/>
        <v>45</v>
      </c>
      <c r="U71" s="47">
        <f t="shared" si="20"/>
        <v>0.90755708155974224</v>
      </c>
      <c r="V71" s="48">
        <f t="shared" si="21"/>
        <v>0</v>
      </c>
      <c r="W71" s="49">
        <f t="shared" si="22"/>
        <v>2.0167935145772049E-2</v>
      </c>
      <c r="X71" s="44">
        <f t="shared" si="23"/>
        <v>4208.3278679585674</v>
      </c>
      <c r="Y71" s="44">
        <f t="shared" si="24"/>
        <v>0</v>
      </c>
      <c r="Z71" s="44">
        <f t="shared" si="25"/>
        <v>35183.623765034063</v>
      </c>
      <c r="AA71" s="50">
        <f t="shared" si="26"/>
        <v>57230.257867958571</v>
      </c>
      <c r="AB71" s="51">
        <f t="shared" si="27"/>
        <v>32891.11317662341</v>
      </c>
      <c r="AC71" s="44">
        <f t="shared" si="28"/>
        <v>53501.222649302203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3.4276422079642828</v>
      </c>
      <c r="AG71" s="44">
        <f t="shared" si="31"/>
        <v>73739.243860578499</v>
      </c>
      <c r="AH71" s="52">
        <f>HLOOKUP(I71,ElecAvoidedCostsWOCC!$A$5:$Q$50,T71+1,FALSE)</f>
        <v>3.4276422079642828</v>
      </c>
      <c r="AI71" s="44">
        <f t="shared" si="32"/>
        <v>0</v>
      </c>
      <c r="AJ71" s="44">
        <f t="shared" si="33"/>
        <v>73739.243860578499</v>
      </c>
      <c r="AK71" s="44">
        <f>HLOOKUP(I71,ElecAvoidedCostsWOCC!$A$5:$Q$50,G71+1,FALSE)*J71*L71</f>
        <v>0</v>
      </c>
      <c r="AL71" s="44">
        <f t="shared" si="34"/>
        <v>73739.243860578499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73739.243860578499</v>
      </c>
      <c r="AN71" s="48">
        <f t="shared" si="35"/>
        <v>81113.168246636356</v>
      </c>
      <c r="AO71" s="47">
        <f t="shared" si="36"/>
        <v>2.2419199819903617</v>
      </c>
      <c r="AP71" s="47">
        <f t="shared" si="37"/>
        <v>1.5160993381091317</v>
      </c>
    </row>
    <row r="72" spans="2:42">
      <c r="B72" s="97" t="s">
        <v>74</v>
      </c>
      <c r="C72" s="100">
        <v>18230611</v>
      </c>
      <c r="D72" s="100" t="s">
        <v>75</v>
      </c>
      <c r="E72" s="38" t="s">
        <v>1631</v>
      </c>
      <c r="F72" s="39" t="s">
        <v>1632</v>
      </c>
      <c r="G72" s="39">
        <v>45</v>
      </c>
      <c r="H72" s="39"/>
      <c r="I72" s="40" t="s">
        <v>283</v>
      </c>
      <c r="J72" s="41">
        <v>14725</v>
      </c>
      <c r="K72" s="41">
        <v>0.38</v>
      </c>
      <c r="L72" s="41"/>
      <c r="M72" s="42">
        <v>1.82</v>
      </c>
      <c r="N72" s="42">
        <v>1.82</v>
      </c>
      <c r="O72" s="43">
        <v>5595.5</v>
      </c>
      <c r="P72" s="44">
        <v>38621.49</v>
      </c>
      <c r="Q72" s="44">
        <v>38621.49</v>
      </c>
      <c r="R72" s="45">
        <v>0</v>
      </c>
      <c r="S72" s="46">
        <v>0</v>
      </c>
      <c r="T72" s="39">
        <f t="shared" si="19"/>
        <v>45</v>
      </c>
      <c r="U72" s="47">
        <f t="shared" si="20"/>
        <v>0.23605306949425428</v>
      </c>
      <c r="V72" s="48">
        <f t="shared" si="21"/>
        <v>0</v>
      </c>
      <c r="W72" s="49">
        <f t="shared" si="22"/>
        <v>5.2456237665389838E-3</v>
      </c>
      <c r="X72" s="44">
        <f t="shared" si="23"/>
        <v>1094.5743588519817</v>
      </c>
      <c r="Y72" s="44">
        <f t="shared" si="24"/>
        <v>0</v>
      </c>
      <c r="Z72" s="44">
        <f t="shared" si="25"/>
        <v>9151.1625598180854</v>
      </c>
      <c r="AA72" s="50">
        <f t="shared" si="26"/>
        <v>39716.064358851982</v>
      </c>
      <c r="AB72" s="51">
        <f t="shared" si="27"/>
        <v>8554.8869400935637</v>
      </c>
      <c r="AC72" s="44">
        <f t="shared" si="28"/>
        <v>37128.226941060093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3.4276422079642828</v>
      </c>
      <c r="AG72" s="44">
        <f t="shared" si="31"/>
        <v>19179.371974664144</v>
      </c>
      <c r="AH72" s="52">
        <f>HLOOKUP(I72,ElecAvoidedCostsWOCC!$A$5:$Q$50,T72+1,FALSE)</f>
        <v>3.4276422079642828</v>
      </c>
      <c r="AI72" s="44">
        <f t="shared" si="32"/>
        <v>0</v>
      </c>
      <c r="AJ72" s="44">
        <f t="shared" si="33"/>
        <v>19179.371974664144</v>
      </c>
      <c r="AK72" s="44">
        <f>HLOOKUP(I72,ElecAvoidedCostsWOCC!$A$5:$Q$50,G72+1,FALSE)*J72*L72</f>
        <v>0</v>
      </c>
      <c r="AL72" s="44">
        <f t="shared" si="34"/>
        <v>19179.371974664144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19179.371974664144</v>
      </c>
      <c r="AN72" s="48">
        <f t="shared" si="35"/>
        <v>21097.309172130561</v>
      </c>
      <c r="AO72" s="47">
        <f t="shared" si="36"/>
        <v>2.2419199819903617</v>
      </c>
      <c r="AP72" s="47">
        <f t="shared" si="37"/>
        <v>0.56822829718267676</v>
      </c>
    </row>
    <row r="73" spans="2:42">
      <c r="B73" s="97" t="s">
        <v>74</v>
      </c>
      <c r="C73" s="100">
        <v>18230611</v>
      </c>
      <c r="D73" s="100" t="s">
        <v>75</v>
      </c>
      <c r="E73" s="38" t="s">
        <v>1635</v>
      </c>
      <c r="F73" s="39" t="s">
        <v>1636</v>
      </c>
      <c r="G73" s="39">
        <v>45</v>
      </c>
      <c r="H73" s="39"/>
      <c r="I73" s="40" t="s">
        <v>281</v>
      </c>
      <c r="J73" s="41">
        <v>2646</v>
      </c>
      <c r="K73" s="41">
        <v>0.28999999999999998</v>
      </c>
      <c r="L73" s="41"/>
      <c r="M73" s="42">
        <v>1.82</v>
      </c>
      <c r="N73" s="42">
        <v>1.82</v>
      </c>
      <c r="O73" s="43">
        <v>767.34</v>
      </c>
      <c r="P73" s="44">
        <v>6260.44</v>
      </c>
      <c r="Q73" s="44">
        <v>6260.44</v>
      </c>
      <c r="R73" s="45"/>
      <c r="S73" s="46"/>
      <c r="T73" s="39">
        <f t="shared" si="19"/>
        <v>45</v>
      </c>
      <c r="U73" s="47">
        <f t="shared" si="20"/>
        <v>3.2371184406348154E-2</v>
      </c>
      <c r="V73" s="48">
        <f t="shared" si="21"/>
        <v>0</v>
      </c>
      <c r="W73" s="49">
        <f t="shared" si="22"/>
        <v>7.1935965347440342E-4</v>
      </c>
      <c r="X73" s="44">
        <f t="shared" si="23"/>
        <v>150.10467134688227</v>
      </c>
      <c r="Y73" s="44">
        <f t="shared" si="24"/>
        <v>0</v>
      </c>
      <c r="Z73" s="44">
        <f t="shared" si="25"/>
        <v>1254.9464889019409</v>
      </c>
      <c r="AA73" s="50">
        <f t="shared" si="26"/>
        <v>6410.5446713468818</v>
      </c>
      <c r="AB73" s="51">
        <f t="shared" si="27"/>
        <v>1173.1761137720302</v>
      </c>
      <c r="AC73" s="44">
        <f t="shared" si="28"/>
        <v>5992.8434807393487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3.1346149049506007</v>
      </c>
      <c r="AG73" s="44">
        <f t="shared" si="31"/>
        <v>2405.3154011647939</v>
      </c>
      <c r="AH73" s="52">
        <f>HLOOKUP(I73,ElecAvoidedCostsWOCC!$A$5:$Q$50,T73+1,FALSE)</f>
        <v>3.1346149049506007</v>
      </c>
      <c r="AI73" s="44">
        <f t="shared" si="32"/>
        <v>0</v>
      </c>
      <c r="AJ73" s="44">
        <f t="shared" si="33"/>
        <v>2405.3154011647939</v>
      </c>
      <c r="AK73" s="44">
        <f>HLOOKUP(I73,ElecAvoidedCostsWOCC!$A$5:$Q$50,G73+1,FALSE)*J73*L73</f>
        <v>0</v>
      </c>
      <c r="AL73" s="44">
        <f t="shared" si="34"/>
        <v>2405.3154011647939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2405.3154011647939</v>
      </c>
      <c r="AN73" s="48">
        <f t="shared" si="35"/>
        <v>2645.8469412812733</v>
      </c>
      <c r="AO73" s="47">
        <f t="shared" si="36"/>
        <v>2.050259439250901</v>
      </c>
      <c r="AP73" s="47">
        <f t="shared" si="37"/>
        <v>0.44150109205836457</v>
      </c>
    </row>
    <row r="74" spans="2:42">
      <c r="B74" s="97" t="s">
        <v>74</v>
      </c>
      <c r="C74" s="100">
        <v>18230611</v>
      </c>
      <c r="D74" s="100" t="s">
        <v>75</v>
      </c>
      <c r="E74" s="38" t="s">
        <v>1637</v>
      </c>
      <c r="F74" s="39" t="s">
        <v>1638</v>
      </c>
      <c r="G74" s="39">
        <v>10</v>
      </c>
      <c r="H74" s="39"/>
      <c r="I74" s="40" t="s">
        <v>279</v>
      </c>
      <c r="J74" s="41">
        <v>2</v>
      </c>
      <c r="K74" s="41">
        <v>0</v>
      </c>
      <c r="L74" s="41"/>
      <c r="M74" s="42">
        <v>11.35</v>
      </c>
      <c r="N74" s="42">
        <v>11.35</v>
      </c>
      <c r="O74" s="43">
        <v>0</v>
      </c>
      <c r="P74" s="44">
        <v>16.12</v>
      </c>
      <c r="Q74" s="44">
        <v>16.12</v>
      </c>
      <c r="R74" s="45">
        <v>5.22</v>
      </c>
      <c r="S74" s="46">
        <v>0</v>
      </c>
      <c r="T74" s="39">
        <f t="shared" si="19"/>
        <v>10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16.12</v>
      </c>
      <c r="AB74" s="51">
        <f t="shared" si="27"/>
        <v>0</v>
      </c>
      <c r="AC74" s="44">
        <f t="shared" si="28"/>
        <v>15.069645695054687</v>
      </c>
      <c r="AD74" s="44">
        <f t="shared" si="29"/>
        <v>73.427984394888838</v>
      </c>
      <c r="AE74" s="44">
        <f t="shared" si="30"/>
        <v>0</v>
      </c>
      <c r="AF74" s="52">
        <f>HLOOKUP(I74,ElecAvoidedCostsWOCC!$A$5:$Q$50,G74+1,FALSE)</f>
        <v>0.74487332198138856</v>
      </c>
      <c r="AG74" s="44">
        <f t="shared" si="31"/>
        <v>0</v>
      </c>
      <c r="AH74" s="52">
        <f>HLOOKUP(I74,ElecAvoidedCostsWOCC!$A$5:$Q$50,T74+1,FALSE)</f>
        <v>0.74487332198138856</v>
      </c>
      <c r="AI74" s="44">
        <f t="shared" si="32"/>
        <v>0</v>
      </c>
      <c r="AJ74" s="44">
        <f t="shared" si="33"/>
        <v>0</v>
      </c>
      <c r="AK74" s="44">
        <f>HLOOKUP(I74,ElecAvoidedCostsWOCC!$A$5:$Q$50,G74+1,FALSE)*J74*L74</f>
        <v>0</v>
      </c>
      <c r="AL74" s="44">
        <f t="shared" si="34"/>
        <v>0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73.427984394888838</v>
      </c>
      <c r="AO74" s="47">
        <f t="shared" si="36"/>
        <v>0</v>
      </c>
      <c r="AP74" s="47">
        <f t="shared" si="37"/>
        <v>4.8725753664523941</v>
      </c>
    </row>
    <row r="75" spans="2:42">
      <c r="B75" s="97" t="s">
        <v>74</v>
      </c>
      <c r="C75" s="100">
        <v>18230611</v>
      </c>
      <c r="D75" s="100" t="s">
        <v>75</v>
      </c>
      <c r="E75" s="38" t="s">
        <v>1639</v>
      </c>
      <c r="F75" s="39" t="s">
        <v>1640</v>
      </c>
      <c r="G75" s="39"/>
      <c r="H75" s="39"/>
      <c r="I75" s="40"/>
      <c r="J75" s="41">
        <v>27</v>
      </c>
      <c r="K75" s="41">
        <v>0</v>
      </c>
      <c r="L75" s="41"/>
      <c r="M75" s="42">
        <v>15.287777777777777</v>
      </c>
      <c r="N75" s="42">
        <v>15.287777777777777</v>
      </c>
      <c r="O75" s="43">
        <v>0</v>
      </c>
      <c r="P75" s="44">
        <v>412.77</v>
      </c>
      <c r="Q75" s="44">
        <v>412.77</v>
      </c>
      <c r="R75" s="45">
        <v>0</v>
      </c>
      <c r="S75" s="46">
        <v>0</v>
      </c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412.77</v>
      </c>
      <c r="AB75" s="51">
        <f t="shared" si="27"/>
        <v>0</v>
      </c>
      <c r="AC75" s="44">
        <f t="shared" si="28"/>
        <v>385.8745442647471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>
        <f t="shared" si="37"/>
        <v>0</v>
      </c>
    </row>
    <row r="76" spans="2:42">
      <c r="B76" s="97" t="s">
        <v>74</v>
      </c>
      <c r="C76" s="100">
        <v>18230611</v>
      </c>
      <c r="D76" s="100" t="s">
        <v>75</v>
      </c>
      <c r="E76" s="38" t="s">
        <v>1641</v>
      </c>
      <c r="F76" s="39" t="s">
        <v>1642</v>
      </c>
      <c r="G76" s="39"/>
      <c r="H76" s="39"/>
      <c r="I76" s="40"/>
      <c r="J76" s="41">
        <v>33</v>
      </c>
      <c r="K76" s="41">
        <v>0</v>
      </c>
      <c r="L76" s="41"/>
      <c r="M76" s="42">
        <v>15.287878787878787</v>
      </c>
      <c r="N76" s="42">
        <v>15.287878787878787</v>
      </c>
      <c r="O76" s="43">
        <v>0</v>
      </c>
      <c r="P76" s="44">
        <v>504.5</v>
      </c>
      <c r="Q76" s="44">
        <v>504.5</v>
      </c>
      <c r="R76" s="45">
        <v>0</v>
      </c>
      <c r="S76" s="46">
        <v>0</v>
      </c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504.5</v>
      </c>
      <c r="AB76" s="51">
        <f t="shared" si="27"/>
        <v>0</v>
      </c>
      <c r="AC76" s="44">
        <f t="shared" si="28"/>
        <v>471.62755912872763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>
        <f t="shared" si="37"/>
        <v>0</v>
      </c>
    </row>
    <row r="77" spans="2:42">
      <c r="B77" s="97" t="s">
        <v>74</v>
      </c>
      <c r="C77" s="100">
        <v>18230611</v>
      </c>
      <c r="D77" s="100" t="s">
        <v>75</v>
      </c>
      <c r="E77" s="38" t="s">
        <v>1643</v>
      </c>
      <c r="F77" s="39" t="s">
        <v>1644</v>
      </c>
      <c r="G77" s="39">
        <v>30</v>
      </c>
      <c r="H77" s="39"/>
      <c r="I77" s="40" t="s">
        <v>281</v>
      </c>
      <c r="J77" s="41">
        <v>4</v>
      </c>
      <c r="K77" s="41">
        <v>8167.25</v>
      </c>
      <c r="L77" s="41"/>
      <c r="M77" s="42"/>
      <c r="N77" s="42"/>
      <c r="O77" s="43">
        <v>32669</v>
      </c>
      <c r="P77" s="44">
        <v>0</v>
      </c>
      <c r="Q77" s="44">
        <v>0</v>
      </c>
      <c r="R77" s="45"/>
      <c r="S77" s="46"/>
      <c r="T77" s="39">
        <f t="shared" si="19"/>
        <v>30</v>
      </c>
      <c r="U77" s="47">
        <f t="shared" si="20"/>
        <v>0.9187880412602738</v>
      </c>
      <c r="V77" s="48">
        <f t="shared" si="21"/>
        <v>0</v>
      </c>
      <c r="W77" s="49">
        <f t="shared" si="22"/>
        <v>3.0626268042009127E-2</v>
      </c>
      <c r="X77" s="44">
        <f t="shared" si="23"/>
        <v>6390.6084763355184</v>
      </c>
      <c r="Y77" s="44">
        <f t="shared" si="24"/>
        <v>0</v>
      </c>
      <c r="Z77" s="44">
        <f t="shared" si="25"/>
        <v>53428.528222088651</v>
      </c>
      <c r="AA77" s="50">
        <f t="shared" si="26"/>
        <v>6390.6084763355184</v>
      </c>
      <c r="AB77" s="51">
        <f t="shared" si="27"/>
        <v>49947.207835924695</v>
      </c>
      <c r="AC77" s="44">
        <f t="shared" si="28"/>
        <v>5974.2062974062992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2.1643436258224993</v>
      </c>
      <c r="AG77" s="44">
        <f t="shared" si="31"/>
        <v>70706.941911995236</v>
      </c>
      <c r="AH77" s="52">
        <f>HLOOKUP(I77,ElecAvoidedCostsWOCC!$A$5:$Q$50,T77+1,FALSE)</f>
        <v>2.1643436258224993</v>
      </c>
      <c r="AI77" s="44">
        <f t="shared" si="32"/>
        <v>0</v>
      </c>
      <c r="AJ77" s="44">
        <f t="shared" si="33"/>
        <v>70706.941911995236</v>
      </c>
      <c r="AK77" s="44">
        <f>HLOOKUP(I77,ElecAvoidedCostsWOCC!$A$5:$Q$50,G77+1,FALSE)*J77*L77</f>
        <v>0</v>
      </c>
      <c r="AL77" s="44">
        <f t="shared" si="34"/>
        <v>70706.941911995236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70706.941911995236</v>
      </c>
      <c r="AN77" s="48">
        <f t="shared" si="35"/>
        <v>77777.63610319476</v>
      </c>
      <c r="AO77" s="47">
        <f t="shared" si="36"/>
        <v>1.4156335253867591</v>
      </c>
      <c r="AP77" s="47">
        <f t="shared" si="37"/>
        <v>13.018906986349284</v>
      </c>
    </row>
    <row r="78" spans="2:42">
      <c r="B78" s="97" t="s">
        <v>74</v>
      </c>
      <c r="C78" s="100">
        <v>18230611</v>
      </c>
      <c r="D78" s="100" t="s">
        <v>75</v>
      </c>
      <c r="E78" s="38" t="s">
        <v>1645</v>
      </c>
      <c r="F78" s="39" t="s">
        <v>1646</v>
      </c>
      <c r="G78" s="39">
        <v>15</v>
      </c>
      <c r="H78" s="39"/>
      <c r="I78" s="40" t="s">
        <v>280</v>
      </c>
      <c r="J78" s="41">
        <v>82</v>
      </c>
      <c r="K78" s="41">
        <v>1300</v>
      </c>
      <c r="L78" s="41"/>
      <c r="M78" s="42">
        <v>3758.92</v>
      </c>
      <c r="N78" s="42">
        <v>3758.92</v>
      </c>
      <c r="O78" s="43">
        <v>106600</v>
      </c>
      <c r="P78" s="44">
        <v>181918.52</v>
      </c>
      <c r="Q78" s="44">
        <v>181918.52</v>
      </c>
      <c r="R78" s="45">
        <v>0</v>
      </c>
      <c r="S78" s="46">
        <v>0</v>
      </c>
      <c r="T78" s="39">
        <f t="shared" si="19"/>
        <v>15</v>
      </c>
      <c r="U78" s="47">
        <f t="shared" si="20"/>
        <v>1.4990174966840917</v>
      </c>
      <c r="V78" s="48">
        <f t="shared" si="21"/>
        <v>0</v>
      </c>
      <c r="W78" s="49">
        <f t="shared" si="22"/>
        <v>9.9934499778939451E-2</v>
      </c>
      <c r="X78" s="44">
        <f t="shared" si="23"/>
        <v>20852.761442877538</v>
      </c>
      <c r="Y78" s="44">
        <f t="shared" si="24"/>
        <v>0</v>
      </c>
      <c r="Z78" s="44">
        <f t="shared" si="25"/>
        <v>174339.00971791759</v>
      </c>
      <c r="AA78" s="50">
        <f t="shared" si="26"/>
        <v>202771.28144287752</v>
      </c>
      <c r="AB78" s="51">
        <f t="shared" si="27"/>
        <v>162979.34908658275</v>
      </c>
      <c r="AC78" s="44">
        <f t="shared" si="28"/>
        <v>189559.01789555716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1.3961506916040443</v>
      </c>
      <c r="AG78" s="44">
        <f t="shared" si="31"/>
        <v>148829.66372499111</v>
      </c>
      <c r="AH78" s="52">
        <f>HLOOKUP(I78,ElecAvoidedCostsWOCC!$A$5:$Q$50,T78+1,FALSE)</f>
        <v>1.3961506916040443</v>
      </c>
      <c r="AI78" s="44">
        <f t="shared" si="32"/>
        <v>0</v>
      </c>
      <c r="AJ78" s="44">
        <f t="shared" si="33"/>
        <v>148829.66372499111</v>
      </c>
      <c r="AK78" s="44">
        <f>HLOOKUP(I78,ElecAvoidedCostsWOCC!$A$5:$Q$50,G78+1,FALSE)*J78*L78</f>
        <v>0</v>
      </c>
      <c r="AL78" s="44">
        <f t="shared" si="34"/>
        <v>148829.66372499111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148829.66372499111</v>
      </c>
      <c r="AN78" s="48">
        <f t="shared" si="35"/>
        <v>163712.63009749024</v>
      </c>
      <c r="AO78" s="47">
        <f t="shared" si="36"/>
        <v>0.91318111502534827</v>
      </c>
      <c r="AP78" s="47">
        <f t="shared" si="37"/>
        <v>0.86364991713394657</v>
      </c>
    </row>
    <row r="79" spans="2:42">
      <c r="B79" s="97" t="s">
        <v>74</v>
      </c>
      <c r="C79" s="100">
        <v>18230611</v>
      </c>
      <c r="D79" s="100" t="s">
        <v>75</v>
      </c>
      <c r="E79" s="38" t="s">
        <v>1649</v>
      </c>
      <c r="F79" s="39" t="s">
        <v>1650</v>
      </c>
      <c r="G79" s="39">
        <v>25</v>
      </c>
      <c r="H79" s="39"/>
      <c r="I79" s="40" t="s">
        <v>283</v>
      </c>
      <c r="J79" s="41">
        <v>14399</v>
      </c>
      <c r="K79" s="41">
        <v>0.68</v>
      </c>
      <c r="L79" s="41"/>
      <c r="M79" s="42">
        <v>1.55</v>
      </c>
      <c r="N79" s="42">
        <v>1.55</v>
      </c>
      <c r="O79" s="43">
        <v>9791.32</v>
      </c>
      <c r="P79" s="44">
        <v>33485.43</v>
      </c>
      <c r="Q79" s="44">
        <v>33485.43</v>
      </c>
      <c r="R79" s="45">
        <v>0</v>
      </c>
      <c r="S79" s="46">
        <v>0</v>
      </c>
      <c r="T79" s="39">
        <f t="shared" si="19"/>
        <v>25</v>
      </c>
      <c r="U79" s="47">
        <f t="shared" si="20"/>
        <v>0.22947717316499189</v>
      </c>
      <c r="V79" s="48">
        <f t="shared" si="21"/>
        <v>0</v>
      </c>
      <c r="W79" s="49">
        <f t="shared" si="22"/>
        <v>9.179086926599675E-3</v>
      </c>
      <c r="X79" s="44">
        <f t="shared" si="23"/>
        <v>1915.3476563872016</v>
      </c>
      <c r="Y79" s="44">
        <f t="shared" si="24"/>
        <v>0</v>
      </c>
      <c r="Z79" s="44">
        <f t="shared" si="25"/>
        <v>16013.217942131716</v>
      </c>
      <c r="AA79" s="50">
        <f t="shared" si="26"/>
        <v>35400.777656387203</v>
      </c>
      <c r="AB79" s="51">
        <f t="shared" si="27"/>
        <v>14969.82139116735</v>
      </c>
      <c r="AC79" s="44">
        <f t="shared" si="28"/>
        <v>33094.117655779381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2.0508206305871441</v>
      </c>
      <c r="AG79" s="44">
        <f t="shared" si="31"/>
        <v>20080.241056680519</v>
      </c>
      <c r="AH79" s="52">
        <f>HLOOKUP(I79,ElecAvoidedCostsWOCC!$A$5:$Q$50,T79+1,FALSE)</f>
        <v>2.0508206305871441</v>
      </c>
      <c r="AI79" s="44">
        <f t="shared" si="32"/>
        <v>0</v>
      </c>
      <c r="AJ79" s="44">
        <f t="shared" si="33"/>
        <v>20080.241056680519</v>
      </c>
      <c r="AK79" s="44">
        <f>HLOOKUP(I79,ElecAvoidedCostsWOCC!$A$5:$Q$50,G79+1,FALSE)*J79*L79</f>
        <v>0</v>
      </c>
      <c r="AL79" s="44">
        <f t="shared" si="34"/>
        <v>20080.241056680519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20080.241056680516</v>
      </c>
      <c r="AN79" s="48">
        <f t="shared" si="35"/>
        <v>22088.265162348569</v>
      </c>
      <c r="AO79" s="47">
        <f t="shared" si="36"/>
        <v>1.3413814722284174</v>
      </c>
      <c r="AP79" s="47">
        <f t="shared" si="37"/>
        <v>0.66743780245463624</v>
      </c>
    </row>
    <row r="80" spans="2:42">
      <c r="B80" s="97" t="s">
        <v>74</v>
      </c>
      <c r="C80" s="100">
        <v>18230611</v>
      </c>
      <c r="D80" s="100" t="s">
        <v>75</v>
      </c>
      <c r="E80" s="38" t="s">
        <v>1655</v>
      </c>
      <c r="F80" s="39" t="s">
        <v>1656</v>
      </c>
      <c r="G80" s="39">
        <v>13</v>
      </c>
      <c r="H80" s="39"/>
      <c r="I80" s="40" t="s">
        <v>279</v>
      </c>
      <c r="J80" s="41">
        <v>1</v>
      </c>
      <c r="K80" s="41">
        <v>1225</v>
      </c>
      <c r="L80" s="41"/>
      <c r="M80" s="42">
        <v>1369</v>
      </c>
      <c r="N80" s="42">
        <v>1369</v>
      </c>
      <c r="O80" s="43">
        <v>1225</v>
      </c>
      <c r="P80" s="44">
        <v>1779.7</v>
      </c>
      <c r="Q80" s="44">
        <v>1779.7</v>
      </c>
      <c r="R80" s="45"/>
      <c r="S80" s="46"/>
      <c r="T80" s="39">
        <f t="shared" si="19"/>
        <v>13</v>
      </c>
      <c r="U80" s="47">
        <f t="shared" si="20"/>
        <v>1.4929239296244004E-2</v>
      </c>
      <c r="V80" s="48">
        <f t="shared" si="21"/>
        <v>0</v>
      </c>
      <c r="W80" s="49">
        <f t="shared" si="22"/>
        <v>1.1484030227880003E-3</v>
      </c>
      <c r="X80" s="44">
        <f t="shared" si="23"/>
        <v>239.63070138391168</v>
      </c>
      <c r="Y80" s="44">
        <f t="shared" si="24"/>
        <v>0</v>
      </c>
      <c r="Z80" s="44">
        <f t="shared" si="25"/>
        <v>2003.4267064207231</v>
      </c>
      <c r="AA80" s="50">
        <f t="shared" si="26"/>
        <v>2019.3307013839117</v>
      </c>
      <c r="AB80" s="51">
        <f t="shared" si="27"/>
        <v>1872.8865162388734</v>
      </c>
      <c r="AC80" s="44">
        <f t="shared" si="28"/>
        <v>1887.7542314517261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0.95298626106018935</v>
      </c>
      <c r="AG80" s="44">
        <f t="shared" si="31"/>
        <v>1167.4081697987319</v>
      </c>
      <c r="AH80" s="52">
        <f>HLOOKUP(I80,ElecAvoidedCostsWOCC!$A$5:$Q$50,T80+1,FALSE)</f>
        <v>0.95298626106018935</v>
      </c>
      <c r="AI80" s="44">
        <f t="shared" si="32"/>
        <v>0</v>
      </c>
      <c r="AJ80" s="44">
        <f t="shared" si="33"/>
        <v>1167.4081697987319</v>
      </c>
      <c r="AK80" s="44">
        <f>HLOOKUP(I80,ElecAvoidedCostsWOCC!$A$5:$Q$50,G80+1,FALSE)*J80*L80</f>
        <v>0</v>
      </c>
      <c r="AL80" s="44">
        <f t="shared" si="34"/>
        <v>1167.4081697987319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1167.4081697987319</v>
      </c>
      <c r="AN80" s="48">
        <f t="shared" si="35"/>
        <v>1284.1489867786051</v>
      </c>
      <c r="AO80" s="47">
        <f t="shared" si="36"/>
        <v>0.62332029179382342</v>
      </c>
      <c r="AP80" s="47">
        <f t="shared" si="37"/>
        <v>0.68025220941555786</v>
      </c>
    </row>
    <row r="81" spans="2:42">
      <c r="B81" s="97" t="s">
        <v>74</v>
      </c>
      <c r="C81" s="100">
        <v>18230611</v>
      </c>
      <c r="D81" s="100" t="s">
        <v>75</v>
      </c>
      <c r="E81" s="38" t="s">
        <v>1671</v>
      </c>
      <c r="F81" s="39" t="s">
        <v>1672</v>
      </c>
      <c r="G81" s="39"/>
      <c r="H81" s="39"/>
      <c r="I81" s="40"/>
      <c r="J81" s="41">
        <v>1</v>
      </c>
      <c r="K81" s="41">
        <v>0</v>
      </c>
      <c r="L81" s="41"/>
      <c r="M81" s="42">
        <v>15.29</v>
      </c>
      <c r="N81" s="42">
        <v>15.29</v>
      </c>
      <c r="O81" s="43">
        <v>0</v>
      </c>
      <c r="P81" s="44">
        <v>15.29</v>
      </c>
      <c r="Q81" s="44">
        <v>15.29</v>
      </c>
      <c r="R81" s="45">
        <v>0</v>
      </c>
      <c r="S81" s="46">
        <v>0</v>
      </c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15.29</v>
      </c>
      <c r="AB81" s="51">
        <f t="shared" si="27"/>
        <v>0</v>
      </c>
      <c r="AC81" s="44">
        <f t="shared" si="28"/>
        <v>14.293727213237354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>
        <f t="shared" si="37"/>
        <v>0</v>
      </c>
    </row>
    <row r="82" spans="2:42">
      <c r="B82" s="97" t="s">
        <v>74</v>
      </c>
      <c r="C82" s="100">
        <v>18230611</v>
      </c>
      <c r="D82" s="100" t="s">
        <v>75</v>
      </c>
      <c r="E82" s="38" t="s">
        <v>1675</v>
      </c>
      <c r="F82" s="39" t="s">
        <v>1676</v>
      </c>
      <c r="G82" s="39">
        <v>41</v>
      </c>
      <c r="H82" s="39"/>
      <c r="I82" s="40" t="s">
        <v>283</v>
      </c>
      <c r="J82" s="41">
        <v>1</v>
      </c>
      <c r="K82" s="41">
        <v>8471</v>
      </c>
      <c r="L82" s="41"/>
      <c r="M82" s="42">
        <v>13500</v>
      </c>
      <c r="N82" s="42">
        <v>75400</v>
      </c>
      <c r="O82" s="43">
        <v>8471</v>
      </c>
      <c r="P82" s="44">
        <v>17550</v>
      </c>
      <c r="Q82" s="44">
        <v>17550</v>
      </c>
      <c r="R82" s="45">
        <v>25000</v>
      </c>
      <c r="S82" s="46"/>
      <c r="T82" s="39">
        <f t="shared" si="19"/>
        <v>41</v>
      </c>
      <c r="U82" s="47">
        <f t="shared" si="20"/>
        <v>0.3255942875489985</v>
      </c>
      <c r="V82" s="48">
        <f t="shared" si="21"/>
        <v>61900</v>
      </c>
      <c r="W82" s="49">
        <f t="shared" si="22"/>
        <v>7.9413240865609386E-3</v>
      </c>
      <c r="X82" s="44">
        <f t="shared" si="23"/>
        <v>1657.0707521821353</v>
      </c>
      <c r="Y82" s="44">
        <f t="shared" si="24"/>
        <v>0</v>
      </c>
      <c r="Z82" s="44">
        <f t="shared" si="25"/>
        <v>13853.900106195872</v>
      </c>
      <c r="AA82" s="50">
        <f t="shared" si="26"/>
        <v>19207.070752182135</v>
      </c>
      <c r="AB82" s="51">
        <f t="shared" si="27"/>
        <v>12951.201370660812</v>
      </c>
      <c r="AC82" s="44">
        <f t="shared" si="28"/>
        <v>17955.567684567759</v>
      </c>
      <c r="AD82" s="44">
        <f t="shared" si="29"/>
        <v>336035.41833482741</v>
      </c>
      <c r="AE82" s="44">
        <f t="shared" si="30"/>
        <v>0</v>
      </c>
      <c r="AF82" s="52">
        <f>HLOOKUP(I82,ElecAvoidedCostsWOCC!$A$5:$Q$50,G82+1,FALSE)</f>
        <v>3.105274668448097</v>
      </c>
      <c r="AG82" s="44">
        <f t="shared" si="31"/>
        <v>26304.781716423829</v>
      </c>
      <c r="AH82" s="52">
        <f>HLOOKUP(I82,ElecAvoidedCostsWOCC!$A$5:$Q$50,T82+1,FALSE)</f>
        <v>3.105274668448097</v>
      </c>
      <c r="AI82" s="44">
        <f t="shared" si="32"/>
        <v>0</v>
      </c>
      <c r="AJ82" s="44">
        <f t="shared" si="33"/>
        <v>26304.781716423829</v>
      </c>
      <c r="AK82" s="44">
        <f>HLOOKUP(I82,ElecAvoidedCostsWOCC!$A$5:$Q$50,G82+1,FALSE)*J82*L82</f>
        <v>0</v>
      </c>
      <c r="AL82" s="44">
        <f t="shared" si="34"/>
        <v>26304.781716423829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26304.781716423829</v>
      </c>
      <c r="AN82" s="48">
        <f t="shared" si="35"/>
        <v>364970.67822289362</v>
      </c>
      <c r="AO82" s="47">
        <f t="shared" si="36"/>
        <v>2.0310688532736227</v>
      </c>
      <c r="AP82" s="47">
        <f t="shared" si="37"/>
        <v>20.326323546794587</v>
      </c>
    </row>
    <row r="83" spans="2:42">
      <c r="B83" s="97" t="s">
        <v>74</v>
      </c>
      <c r="C83" s="100">
        <v>18230611</v>
      </c>
      <c r="D83" s="100" t="s">
        <v>75</v>
      </c>
      <c r="E83" s="38" t="s">
        <v>1687</v>
      </c>
      <c r="F83" s="39" t="s">
        <v>1688</v>
      </c>
      <c r="G83" s="39">
        <v>6</v>
      </c>
      <c r="H83" s="39">
        <v>12</v>
      </c>
      <c r="I83" s="40" t="s">
        <v>282</v>
      </c>
      <c r="J83" s="41">
        <v>19</v>
      </c>
      <c r="K83" s="41">
        <v>4193</v>
      </c>
      <c r="L83" s="41">
        <v>2096</v>
      </c>
      <c r="M83" s="42">
        <v>5829.66</v>
      </c>
      <c r="N83" s="42">
        <v>5829.66</v>
      </c>
      <c r="O83" s="43">
        <v>79667</v>
      </c>
      <c r="P83" s="44">
        <v>142318.31</v>
      </c>
      <c r="Q83" s="44">
        <v>142318.31</v>
      </c>
      <c r="R83" s="45">
        <v>0</v>
      </c>
      <c r="S83" s="46">
        <v>0</v>
      </c>
      <c r="T83" s="39">
        <f t="shared" si="19"/>
        <v>18</v>
      </c>
      <c r="U83" s="47">
        <f t="shared" si="20"/>
        <v>1.3443402653845951</v>
      </c>
      <c r="V83" s="48">
        <f t="shared" si="21"/>
        <v>0</v>
      </c>
      <c r="W83" s="49">
        <f t="shared" si="22"/>
        <v>7.4685570299144174E-2</v>
      </c>
      <c r="X83" s="44">
        <f t="shared" si="23"/>
        <v>15584.211499715992</v>
      </c>
      <c r="Y83" s="44">
        <f t="shared" si="24"/>
        <v>0</v>
      </c>
      <c r="Z83" s="44">
        <f t="shared" si="25"/>
        <v>130291.4248329957</v>
      </c>
      <c r="AA83" s="50">
        <f t="shared" si="26"/>
        <v>157902.52149971598</v>
      </c>
      <c r="AB83" s="51">
        <f t="shared" si="27"/>
        <v>121801.8368075121</v>
      </c>
      <c r="AC83" s="44">
        <f t="shared" si="28"/>
        <v>147613.83705685328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0.61270729802506985</v>
      </c>
      <c r="AG83" s="44">
        <f t="shared" si="31"/>
        <v>48812.55231176324</v>
      </c>
      <c r="AH83" s="52">
        <f>HLOOKUP(I83,ElecAvoidedCostsWOCC!$A$5:$Q$50,T83+1,FALSE)</f>
        <v>1.6039068652152917</v>
      </c>
      <c r="AI83" s="44">
        <f t="shared" si="32"/>
        <v>63873.987000333771</v>
      </c>
      <c r="AJ83" s="44">
        <f t="shared" si="33"/>
        <v>112686.53931209701</v>
      </c>
      <c r="AK83" s="44">
        <f>HLOOKUP(I83,ElecAvoidedCostsWOCC!$A$5:$Q$50,G83+1,FALSE)*J83*L83</f>
        <v>24400.455436550383</v>
      </c>
      <c r="AL83" s="44">
        <f t="shared" si="34"/>
        <v>88286.083875546625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88286.083875546625</v>
      </c>
      <c r="AN83" s="48">
        <f t="shared" si="35"/>
        <v>97114.6922631013</v>
      </c>
      <c r="AO83" s="47">
        <f t="shared" si="36"/>
        <v>0.72483376433040458</v>
      </c>
      <c r="AP83" s="47">
        <f t="shared" si="37"/>
        <v>0.65789694380546249</v>
      </c>
    </row>
    <row r="84" spans="2:42">
      <c r="B84" s="97" t="s">
        <v>74</v>
      </c>
      <c r="C84" s="100">
        <v>18230611</v>
      </c>
      <c r="D84" s="100" t="s">
        <v>75</v>
      </c>
      <c r="E84" s="38" t="s">
        <v>1689</v>
      </c>
      <c r="F84" s="39" t="s">
        <v>1690</v>
      </c>
      <c r="G84" s="39">
        <v>6</v>
      </c>
      <c r="H84" s="39">
        <v>12</v>
      </c>
      <c r="I84" s="40" t="s">
        <v>282</v>
      </c>
      <c r="J84" s="41">
        <v>12</v>
      </c>
      <c r="K84" s="41">
        <v>4566</v>
      </c>
      <c r="L84" s="41">
        <v>2283</v>
      </c>
      <c r="M84" s="42">
        <v>6453.87</v>
      </c>
      <c r="N84" s="42">
        <v>6453.87</v>
      </c>
      <c r="O84" s="43">
        <v>54792</v>
      </c>
      <c r="P84" s="44">
        <v>103077.36</v>
      </c>
      <c r="Q84" s="44">
        <v>103077.36</v>
      </c>
      <c r="R84" s="45">
        <v>0</v>
      </c>
      <c r="S84" s="46">
        <v>0</v>
      </c>
      <c r="T84" s="39">
        <f t="shared" si="19"/>
        <v>18</v>
      </c>
      <c r="U84" s="47">
        <f t="shared" si="20"/>
        <v>0.92458724215738941</v>
      </c>
      <c r="V84" s="48">
        <f t="shared" si="21"/>
        <v>0</v>
      </c>
      <c r="W84" s="49">
        <f t="shared" si="22"/>
        <v>5.1365957897632743E-2</v>
      </c>
      <c r="X84" s="44">
        <f t="shared" si="23"/>
        <v>10718.241134879419</v>
      </c>
      <c r="Y84" s="44">
        <f t="shared" si="24"/>
        <v>0</v>
      </c>
      <c r="Z84" s="44">
        <f t="shared" si="25"/>
        <v>89609.596814860619</v>
      </c>
      <c r="AA84" s="50">
        <f t="shared" si="26"/>
        <v>113795.60113487943</v>
      </c>
      <c r="AB84" s="51">
        <f t="shared" si="27"/>
        <v>83770.773875722734</v>
      </c>
      <c r="AC84" s="44">
        <f t="shared" si="28"/>
        <v>106380.85550610397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0.61270729802506985</v>
      </c>
      <c r="AG84" s="44">
        <f t="shared" si="31"/>
        <v>33571.458273389624</v>
      </c>
      <c r="AH84" s="52">
        <f>HLOOKUP(I84,ElecAvoidedCostsWOCC!$A$5:$Q$50,T84+1,FALSE)</f>
        <v>1.6039068652152917</v>
      </c>
      <c r="AI84" s="44">
        <f t="shared" si="32"/>
        <v>43940.632479438129</v>
      </c>
      <c r="AJ84" s="44">
        <f t="shared" si="33"/>
        <v>77512.09075282776</v>
      </c>
      <c r="AK84" s="44">
        <f>HLOOKUP(I84,ElecAvoidedCostsWOCC!$A$5:$Q$50,G84+1,FALSE)*J84*L84</f>
        <v>16785.729136694812</v>
      </c>
      <c r="AL84" s="44">
        <f t="shared" si="34"/>
        <v>60726.361616132948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60726.361616132941</v>
      </c>
      <c r="AN84" s="48">
        <f t="shared" si="35"/>
        <v>66798.997777746234</v>
      </c>
      <c r="AO84" s="47">
        <f t="shared" si="36"/>
        <v>0.72491107347561223</v>
      </c>
      <c r="AP84" s="47">
        <f t="shared" si="37"/>
        <v>0.62792311135261936</v>
      </c>
    </row>
    <row r="85" spans="2:42">
      <c r="B85" s="97" t="s">
        <v>74</v>
      </c>
      <c r="C85" s="100">
        <v>18230611</v>
      </c>
      <c r="D85" s="100" t="s">
        <v>75</v>
      </c>
      <c r="E85" s="38" t="s">
        <v>1691</v>
      </c>
      <c r="F85" s="39" t="s">
        <v>1692</v>
      </c>
      <c r="G85" s="39"/>
      <c r="H85" s="39"/>
      <c r="I85" s="40"/>
      <c r="J85" s="41">
        <v>6</v>
      </c>
      <c r="K85" s="41">
        <v>0</v>
      </c>
      <c r="L85" s="41"/>
      <c r="M85" s="42">
        <v>50.038333333333334</v>
      </c>
      <c r="N85" s="42">
        <v>50.038333333333334</v>
      </c>
      <c r="O85" s="43">
        <v>0</v>
      </c>
      <c r="P85" s="44">
        <v>300.23</v>
      </c>
      <c r="Q85" s="44">
        <v>300.23</v>
      </c>
      <c r="R85" s="45">
        <v>0</v>
      </c>
      <c r="S85" s="46">
        <v>0</v>
      </c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300.23</v>
      </c>
      <c r="AB85" s="51">
        <f t="shared" si="27"/>
        <v>0</v>
      </c>
      <c r="AC85" s="44">
        <f t="shared" si="28"/>
        <v>280.66747686267178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>
        <f t="shared" si="37"/>
        <v>0</v>
      </c>
    </row>
    <row r="86" spans="2:42">
      <c r="B86" s="97" t="s">
        <v>74</v>
      </c>
      <c r="C86" s="100">
        <v>18230611</v>
      </c>
      <c r="D86" s="100" t="s">
        <v>75</v>
      </c>
      <c r="E86" s="38" t="s">
        <v>1693</v>
      </c>
      <c r="F86" s="39" t="s">
        <v>1694</v>
      </c>
      <c r="G86" s="39"/>
      <c r="H86" s="39"/>
      <c r="I86" s="40"/>
      <c r="J86" s="41">
        <v>25</v>
      </c>
      <c r="K86" s="41">
        <v>0</v>
      </c>
      <c r="L86" s="41"/>
      <c r="M86" s="42">
        <v>20.735199999999999</v>
      </c>
      <c r="N86" s="42">
        <v>20.735199999999999</v>
      </c>
      <c r="O86" s="43">
        <v>0</v>
      </c>
      <c r="P86" s="44">
        <v>518.38</v>
      </c>
      <c r="Q86" s="44">
        <v>518.38</v>
      </c>
      <c r="R86" s="45">
        <v>0</v>
      </c>
      <c r="S86" s="46">
        <v>0</v>
      </c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518.38</v>
      </c>
      <c r="AB86" s="51">
        <f t="shared" si="27"/>
        <v>0</v>
      </c>
      <c r="AC86" s="44">
        <f t="shared" si="28"/>
        <v>484.6031597644199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97" t="s">
        <v>74</v>
      </c>
      <c r="C87" s="100">
        <v>18230611</v>
      </c>
      <c r="D87" s="100" t="s">
        <v>75</v>
      </c>
      <c r="E87" s="38" t="s">
        <v>1697</v>
      </c>
      <c r="F87" s="39" t="s">
        <v>1698</v>
      </c>
      <c r="G87" s="39">
        <v>30</v>
      </c>
      <c r="H87" s="39"/>
      <c r="I87" s="40" t="s">
        <v>283</v>
      </c>
      <c r="J87" s="41">
        <v>1</v>
      </c>
      <c r="K87" s="41">
        <v>48185</v>
      </c>
      <c r="L87" s="41"/>
      <c r="M87" s="42">
        <v>12000</v>
      </c>
      <c r="N87" s="42">
        <v>12000</v>
      </c>
      <c r="O87" s="43">
        <v>48185</v>
      </c>
      <c r="P87" s="44">
        <v>12000</v>
      </c>
      <c r="Q87" s="44">
        <v>12000</v>
      </c>
      <c r="R87" s="45">
        <v>0</v>
      </c>
      <c r="S87" s="46">
        <v>0</v>
      </c>
      <c r="T87" s="39">
        <f t="shared" si="19"/>
        <v>30</v>
      </c>
      <c r="U87" s="47">
        <f t="shared" si="20"/>
        <v>1.3551624404826073</v>
      </c>
      <c r="V87" s="48">
        <f t="shared" si="21"/>
        <v>0</v>
      </c>
      <c r="W87" s="49">
        <f t="shared" si="22"/>
        <v>4.5172081349420239E-2</v>
      </c>
      <c r="X87" s="44">
        <f t="shared" si="23"/>
        <v>9425.8002825990079</v>
      </c>
      <c r="Y87" s="44">
        <f t="shared" si="24"/>
        <v>0</v>
      </c>
      <c r="Z87" s="44">
        <f t="shared" si="25"/>
        <v>78804.176203169423</v>
      </c>
      <c r="AA87" s="50">
        <f t="shared" si="26"/>
        <v>21425.800282599008</v>
      </c>
      <c r="AB87" s="51">
        <f t="shared" si="27"/>
        <v>73669.417783649071</v>
      </c>
      <c r="AC87" s="44">
        <f t="shared" si="28"/>
        <v>20029.728225295883</v>
      </c>
      <c r="AD87" s="44">
        <f t="shared" si="29"/>
        <v>0</v>
      </c>
      <c r="AE87" s="44">
        <f t="shared" si="30"/>
        <v>0</v>
      </c>
      <c r="AF87" s="52">
        <f>HLOOKUP(I87,ElecAvoidedCostsWOCC!$A$5:$Q$50,G87+1,FALSE)</f>
        <v>2.3666688857668672</v>
      </c>
      <c r="AG87" s="44">
        <f t="shared" si="31"/>
        <v>114037.94026067649</v>
      </c>
      <c r="AH87" s="52">
        <f>HLOOKUP(I87,ElecAvoidedCostsWOCC!$A$5:$Q$50,T87+1,FALSE)</f>
        <v>2.3666688857668672</v>
      </c>
      <c r="AI87" s="44">
        <f t="shared" si="32"/>
        <v>0</v>
      </c>
      <c r="AJ87" s="44">
        <f t="shared" si="33"/>
        <v>114037.94026067649</v>
      </c>
      <c r="AK87" s="44">
        <f>HLOOKUP(I87,ElecAvoidedCostsWOCC!$A$5:$Q$50,G87+1,FALSE)*J87*L87</f>
        <v>0</v>
      </c>
      <c r="AL87" s="44">
        <f t="shared" si="34"/>
        <v>114037.94026067649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114037.94026067649</v>
      </c>
      <c r="AN87" s="48">
        <f t="shared" si="35"/>
        <v>125441.73428674415</v>
      </c>
      <c r="AO87" s="47">
        <f t="shared" si="36"/>
        <v>1.5479685287534228</v>
      </c>
      <c r="AP87" s="47">
        <f t="shared" si="37"/>
        <v>6.2627776510877293</v>
      </c>
    </row>
    <row r="88" spans="2:42">
      <c r="B88" s="97" t="s">
        <v>74</v>
      </c>
      <c r="C88" s="100">
        <v>18230611</v>
      </c>
      <c r="D88" s="100" t="s">
        <v>75</v>
      </c>
      <c r="E88" s="38" t="s">
        <v>1599</v>
      </c>
      <c r="F88" s="39" t="s">
        <v>1600</v>
      </c>
      <c r="G88" s="39">
        <v>25</v>
      </c>
      <c r="H88" s="39"/>
      <c r="I88" s="40" t="s">
        <v>283</v>
      </c>
      <c r="J88" s="41">
        <v>80858</v>
      </c>
      <c r="K88" s="41">
        <v>0.34</v>
      </c>
      <c r="L88" s="41"/>
      <c r="M88" s="42">
        <v>1.1499999999999999</v>
      </c>
      <c r="N88" s="42">
        <v>1.1499999999999999</v>
      </c>
      <c r="O88" s="43">
        <v>27491.72</v>
      </c>
      <c r="P88" s="44">
        <v>113097.33</v>
      </c>
      <c r="Q88" s="44">
        <v>113097.33</v>
      </c>
      <c r="R88" s="45">
        <v>0</v>
      </c>
      <c r="S88" s="46">
        <v>0</v>
      </c>
      <c r="T88" s="39">
        <f t="shared" si="19"/>
        <v>25</v>
      </c>
      <c r="U88" s="47">
        <f t="shared" si="20"/>
        <v>0.64431784387023117</v>
      </c>
      <c r="V88" s="48">
        <f t="shared" si="21"/>
        <v>0</v>
      </c>
      <c r="W88" s="49">
        <f t="shared" si="22"/>
        <v>2.5772713754809246E-2</v>
      </c>
      <c r="X88" s="44">
        <f t="shared" si="23"/>
        <v>5377.8450170205006</v>
      </c>
      <c r="Y88" s="44">
        <f t="shared" si="24"/>
        <v>0</v>
      </c>
      <c r="Z88" s="44">
        <f t="shared" si="25"/>
        <v>44961.343717094474</v>
      </c>
      <c r="AA88" s="50">
        <f t="shared" si="26"/>
        <v>118475.17501702051</v>
      </c>
      <c r="AB88" s="51">
        <f t="shared" si="27"/>
        <v>42031.731996909853</v>
      </c>
      <c r="AC88" s="44">
        <f t="shared" si="28"/>
        <v>110755.51558102318</v>
      </c>
      <c r="AD88" s="44">
        <f t="shared" si="29"/>
        <v>0</v>
      </c>
      <c r="AE88" s="44">
        <f t="shared" si="30"/>
        <v>0</v>
      </c>
      <c r="AF88" s="52">
        <f>HLOOKUP(I88,ElecAvoidedCostsWOCC!$A$5:$Q$50,G88+1,FALSE)</f>
        <v>2.0508206305871441</v>
      </c>
      <c r="AG88" s="44">
        <f t="shared" si="31"/>
        <v>56380.586546325205</v>
      </c>
      <c r="AH88" s="52">
        <f>HLOOKUP(I88,ElecAvoidedCostsWOCC!$A$5:$Q$50,T88+1,FALSE)</f>
        <v>2.0508206305871441</v>
      </c>
      <c r="AI88" s="44">
        <f t="shared" si="32"/>
        <v>0</v>
      </c>
      <c r="AJ88" s="44">
        <f t="shared" si="33"/>
        <v>56380.586546325205</v>
      </c>
      <c r="AK88" s="44">
        <f>HLOOKUP(I88,ElecAvoidedCostsWOCC!$A$5:$Q$50,G88+1,FALSE)*J88*L88</f>
        <v>0</v>
      </c>
      <c r="AL88" s="44">
        <f t="shared" si="34"/>
        <v>56380.586546325205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56380.586546325205</v>
      </c>
      <c r="AN88" s="48">
        <f t="shared" si="35"/>
        <v>62018.645200957733</v>
      </c>
      <c r="AO88" s="47">
        <f t="shared" si="36"/>
        <v>1.3413814722284172</v>
      </c>
      <c r="AP88" s="47">
        <f t="shared" si="37"/>
        <v>0.55995987988144935</v>
      </c>
    </row>
    <row r="89" spans="2:42">
      <c r="B89" s="97" t="s">
        <v>74</v>
      </c>
      <c r="C89" s="100">
        <v>18230611</v>
      </c>
      <c r="D89" s="100" t="s">
        <v>75</v>
      </c>
      <c r="E89" s="38" t="s">
        <v>1603</v>
      </c>
      <c r="F89" s="39" t="s">
        <v>1604</v>
      </c>
      <c r="G89" s="39">
        <v>15</v>
      </c>
      <c r="H89" s="39"/>
      <c r="I89" s="40" t="s">
        <v>283</v>
      </c>
      <c r="J89" s="41">
        <v>28434</v>
      </c>
      <c r="K89" s="41">
        <v>0.13</v>
      </c>
      <c r="L89" s="41"/>
      <c r="M89" s="42">
        <v>1.32</v>
      </c>
      <c r="N89" s="42">
        <v>1.32</v>
      </c>
      <c r="O89" s="43">
        <v>3696.42</v>
      </c>
      <c r="P89" s="44">
        <v>43514.080000000002</v>
      </c>
      <c r="Q89" s="44">
        <v>43514.080000000002</v>
      </c>
      <c r="R89" s="45">
        <v>0</v>
      </c>
      <c r="S89" s="46">
        <v>0</v>
      </c>
      <c r="T89" s="39">
        <f t="shared" ref="T89:T152" si="38">G89+H89</f>
        <v>15</v>
      </c>
      <c r="U89" s="47">
        <f t="shared" ref="U89:U152" si="39">(O89/$A$10)*T89</f>
        <v>5.1979345732579833E-2</v>
      </c>
      <c r="V89" s="48">
        <f t="shared" ref="V89:V152" si="40">N89-M89</f>
        <v>0</v>
      </c>
      <c r="W89" s="49">
        <f t="shared" ref="W89:W152" si="41">(O89/A$10)</f>
        <v>3.4652897155053224E-3</v>
      </c>
      <c r="X89" s="44">
        <f t="shared" ref="X89:X152" si="42">W89*A$8</f>
        <v>723.08221813021942</v>
      </c>
      <c r="Y89" s="44">
        <f t="shared" ref="Y89:Y152" si="43">Q89-P89</f>
        <v>0</v>
      </c>
      <c r="Z89" s="44">
        <f t="shared" ref="Z89:Z152" si="44">X89+(A$6*W89)</f>
        <v>6045.3114662430107</v>
      </c>
      <c r="AA89" s="50">
        <f t="shared" ref="AA89:AA152" si="45">Q89+X89</f>
        <v>44237.162218130223</v>
      </c>
      <c r="AB89" s="51">
        <f t="shared" ref="AB89:AB152" si="46">Z89/(1+ElecDiscountRate)^1</f>
        <v>5651.4083072291396</v>
      </c>
      <c r="AC89" s="44">
        <f t="shared" ref="AC89:AC152" si="47">AA89/(1+ElecDiscountRate)^1</f>
        <v>41354.737046022456</v>
      </c>
      <c r="AD89" s="44">
        <f t="shared" ref="AD89:AD152" si="48">-PV(ElecDiscountRate,T89,R89)*J89</f>
        <v>0</v>
      </c>
      <c r="AE89" s="44">
        <f t="shared" ref="AE89:AE152" si="49">-PV(ElecDiscountRate,T89,S89)*J89</f>
        <v>0</v>
      </c>
      <c r="AF89" s="52">
        <f>HLOOKUP(I89,ElecAvoidedCostsWOCC!$A$5:$Q$50,G89+1,FALSE)</f>
        <v>1.3893373920773078</v>
      </c>
      <c r="AG89" s="44">
        <f t="shared" ref="AG89:AG152" si="50">AF89*J89*K89</f>
        <v>5135.5745228224023</v>
      </c>
      <c r="AH89" s="52">
        <f>HLOOKUP(I89,ElecAvoidedCostsWOCC!$A$5:$Q$50,T89+1,FALSE)</f>
        <v>1.3893373920773078</v>
      </c>
      <c r="AI89" s="44">
        <f t="shared" ref="AI89:AI152" si="51">AH89*J89*L89</f>
        <v>0</v>
      </c>
      <c r="AJ89" s="44">
        <f t="shared" ref="AJ89:AJ152" si="52">AG89+AI89</f>
        <v>5135.5745228224023</v>
      </c>
      <c r="AK89" s="44">
        <f>HLOOKUP(I89,ElecAvoidedCostsWOCC!$A$5:$Q$50,G89+1,FALSE)*J89*L89</f>
        <v>0</v>
      </c>
      <c r="AL89" s="44">
        <f t="shared" ref="AL89:AL152" si="53">AG89+AI89-AK89</f>
        <v>5135.5745228224023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5135.5745228224023</v>
      </c>
      <c r="AN89" s="48">
        <f t="shared" ref="AN89:AN152" si="54">AM89*1.1+AD89+AE89</f>
        <v>5649.1319751046431</v>
      </c>
      <c r="AO89" s="47">
        <f t="shared" ref="AO89:AO152" si="55">IFERROR(AM89/AB89,0)</f>
        <v>0.9087247361428662</v>
      </c>
      <c r="AP89" s="47">
        <f t="shared" ref="AP89:AP152" si="56">AN89/AC89</f>
        <v>0.13660181102875571</v>
      </c>
    </row>
    <row r="90" spans="2:42">
      <c r="B90" s="97" t="s">
        <v>74</v>
      </c>
      <c r="C90" s="100">
        <v>18230611</v>
      </c>
      <c r="D90" s="100" t="s">
        <v>75</v>
      </c>
      <c r="E90" s="38" t="s">
        <v>1486</v>
      </c>
      <c r="F90" s="39" t="s">
        <v>1487</v>
      </c>
      <c r="G90" s="39">
        <v>15</v>
      </c>
      <c r="H90" s="39"/>
      <c r="I90" s="40" t="s">
        <v>283</v>
      </c>
      <c r="J90" s="41">
        <v>49</v>
      </c>
      <c r="K90" s="41">
        <v>52.938775510204081</v>
      </c>
      <c r="L90" s="41"/>
      <c r="M90" s="42">
        <v>0</v>
      </c>
      <c r="N90" s="42">
        <v>1352.0122448979594</v>
      </c>
      <c r="O90" s="43">
        <v>2594</v>
      </c>
      <c r="P90" s="44">
        <v>0</v>
      </c>
      <c r="Q90" s="44">
        <v>66248.600000000006</v>
      </c>
      <c r="R90" s="45">
        <v>0</v>
      </c>
      <c r="S90" s="46">
        <v>0</v>
      </c>
      <c r="T90" s="39">
        <f t="shared" si="38"/>
        <v>15</v>
      </c>
      <c r="U90" s="47">
        <f t="shared" si="39"/>
        <v>3.6477029891168238E-2</v>
      </c>
      <c r="V90" s="48">
        <f t="shared" si="40"/>
        <v>1352.0122448979594</v>
      </c>
      <c r="W90" s="49">
        <f t="shared" si="41"/>
        <v>2.4318019927445493E-3</v>
      </c>
      <c r="X90" s="44">
        <f t="shared" si="42"/>
        <v>507.43023623662606</v>
      </c>
      <c r="Y90" s="44">
        <f t="shared" si="43"/>
        <v>66248.600000000006</v>
      </c>
      <c r="Z90" s="44">
        <f t="shared" si="44"/>
        <v>4242.3582664941678</v>
      </c>
      <c r="AA90" s="50">
        <f t="shared" si="45"/>
        <v>66756.030236236635</v>
      </c>
      <c r="AB90" s="51">
        <f t="shared" si="46"/>
        <v>3965.9327535703164</v>
      </c>
      <c r="AC90" s="44">
        <f t="shared" si="47"/>
        <v>62406.310401268231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3603.9411950485364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3603.9411950485364</v>
      </c>
      <c r="AK90" s="44">
        <f>HLOOKUP(I90,ElecAvoidedCostsWOCC!$A$5:$Q$50,G90+1,FALSE)*J90*L90</f>
        <v>0</v>
      </c>
      <c r="AL90" s="44">
        <f t="shared" si="53"/>
        <v>3603.9411950485364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3603.941195048536</v>
      </c>
      <c r="AN90" s="48">
        <f t="shared" si="54"/>
        <v>3964.3353145533897</v>
      </c>
      <c r="AO90" s="47">
        <f t="shared" si="55"/>
        <v>0.90872473614286609</v>
      </c>
      <c r="AP90" s="47">
        <f t="shared" si="56"/>
        <v>6.3524590527191713E-2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38"/>
        <v>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0">
        <f t="shared" si="45"/>
        <v>0</v>
      </c>
      <c r="AB151" s="51">
        <f t="shared" si="46"/>
        <v>0</v>
      </c>
      <c r="AC151" s="44">
        <f t="shared" si="47"/>
        <v>0</v>
      </c>
      <c r="AD151" s="44">
        <f t="shared" si="48"/>
        <v>0</v>
      </c>
      <c r="AE151" s="44">
        <f t="shared" si="49"/>
        <v>0</v>
      </c>
      <c r="AF151" s="52" t="e">
        <f>HLOOKUP(I151,ElecAvoidedCostsWOCC!$A$5:$Q$50,G151+1,FALSE)</f>
        <v>#N/A</v>
      </c>
      <c r="AG151" s="44" t="e">
        <f t="shared" si="50"/>
        <v>#N/A</v>
      </c>
      <c r="AH151" s="52" t="e">
        <f>HLOOKUP(I151,ElecAvoidedCostsWOCC!$A$5:$Q$50,T151+1,FALSE)</f>
        <v>#N/A</v>
      </c>
      <c r="AI151" s="44" t="e">
        <f t="shared" si="51"/>
        <v>#N/A</v>
      </c>
      <c r="AJ151" s="44" t="e">
        <f t="shared" si="52"/>
        <v>#N/A</v>
      </c>
      <c r="AK151" s="44" t="e">
        <f>HLOOKUP(I151,ElecAvoidedCostsWOCC!$A$5:$Q$50,G151+1,FALSE)*J151*L151</f>
        <v>#N/A</v>
      </c>
      <c r="AL151" s="44" t="e">
        <f t="shared" si="53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4"/>
        <v>0</v>
      </c>
      <c r="AO151" s="47">
        <f t="shared" si="55"/>
        <v>0</v>
      </c>
      <c r="AP151" s="47" t="e">
        <f t="shared" si="56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38"/>
        <v>0</v>
      </c>
      <c r="U152" s="47">
        <f t="shared" si="39"/>
        <v>0</v>
      </c>
      <c r="V152" s="48">
        <f t="shared" si="40"/>
        <v>0</v>
      </c>
      <c r="W152" s="49">
        <f t="shared" si="41"/>
        <v>0</v>
      </c>
      <c r="X152" s="44">
        <f t="shared" si="42"/>
        <v>0</v>
      </c>
      <c r="Y152" s="44">
        <f t="shared" si="43"/>
        <v>0</v>
      </c>
      <c r="Z152" s="44">
        <f t="shared" si="44"/>
        <v>0</v>
      </c>
      <c r="AA152" s="50">
        <f t="shared" si="45"/>
        <v>0</v>
      </c>
      <c r="AB152" s="51">
        <f t="shared" si="46"/>
        <v>0</v>
      </c>
      <c r="AC152" s="44">
        <f t="shared" si="47"/>
        <v>0</v>
      </c>
      <c r="AD152" s="44">
        <f t="shared" si="48"/>
        <v>0</v>
      </c>
      <c r="AE152" s="44">
        <f t="shared" si="49"/>
        <v>0</v>
      </c>
      <c r="AF152" s="52" t="e">
        <f>HLOOKUP(I152,ElecAvoidedCostsWOCC!$A$5:$Q$50,G152+1,FALSE)</f>
        <v>#N/A</v>
      </c>
      <c r="AG152" s="44" t="e">
        <f t="shared" si="50"/>
        <v>#N/A</v>
      </c>
      <c r="AH152" s="52" t="e">
        <f>HLOOKUP(I152,ElecAvoidedCostsWOCC!$A$5:$Q$50,T152+1,FALSE)</f>
        <v>#N/A</v>
      </c>
      <c r="AI152" s="44" t="e">
        <f t="shared" si="51"/>
        <v>#N/A</v>
      </c>
      <c r="AJ152" s="44" t="e">
        <f t="shared" si="52"/>
        <v>#N/A</v>
      </c>
      <c r="AK152" s="44" t="e">
        <f>HLOOKUP(I152,ElecAvoidedCostsWOCC!$A$5:$Q$50,G152+1,FALSE)*J152*L152</f>
        <v>#N/A</v>
      </c>
      <c r="AL152" s="44" t="e">
        <f t="shared" si="53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4"/>
        <v>0</v>
      </c>
      <c r="AO152" s="47">
        <f t="shared" si="55"/>
        <v>0</v>
      </c>
      <c r="AP152" s="47" t="e">
        <f t="shared" si="56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57">G153+H153</f>
        <v>0</v>
      </c>
      <c r="U153" s="47">
        <f t="shared" ref="U153:U216" si="58">(O153/$A$10)*T153</f>
        <v>0</v>
      </c>
      <c r="V153" s="48">
        <f t="shared" ref="V153:V216" si="59">N153-M153</f>
        <v>0</v>
      </c>
      <c r="W153" s="49">
        <f t="shared" ref="W153:W216" si="60">(O153/A$10)</f>
        <v>0</v>
      </c>
      <c r="X153" s="44">
        <f t="shared" ref="X153:X216" si="61">W153*A$8</f>
        <v>0</v>
      </c>
      <c r="Y153" s="44">
        <f t="shared" ref="Y153:Y216" si="62">Q153-P153</f>
        <v>0</v>
      </c>
      <c r="Z153" s="44">
        <f t="shared" ref="Z153:Z216" si="63">X153+(A$6*W153)</f>
        <v>0</v>
      </c>
      <c r="AA153" s="50">
        <f t="shared" ref="AA153:AA216" si="64">Q153+X153</f>
        <v>0</v>
      </c>
      <c r="AB153" s="51">
        <f t="shared" ref="AB153:AB216" si="65">Z153/(1+ElecDiscountRate)^1</f>
        <v>0</v>
      </c>
      <c r="AC153" s="44">
        <f t="shared" ref="AC153:AC216" si="66">AA153/(1+ElecDiscountRate)^1</f>
        <v>0</v>
      </c>
      <c r="AD153" s="44">
        <f t="shared" ref="AD153:AD216" si="67">-PV(ElecDiscountRate,T153,R153)*J153</f>
        <v>0</v>
      </c>
      <c r="AE153" s="44">
        <f t="shared" ref="AE153:AE216" si="68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69">AF153*J153*K153</f>
        <v>#N/A</v>
      </c>
      <c r="AH153" s="52" t="e">
        <f>HLOOKUP(I153,ElecAvoidedCostsWOCC!$A$5:$Q$50,T153+1,FALSE)</f>
        <v>#N/A</v>
      </c>
      <c r="AI153" s="44" t="e">
        <f t="shared" ref="AI153:AI216" si="70">AH153*J153*L153</f>
        <v>#N/A</v>
      </c>
      <c r="AJ153" s="44" t="e">
        <f t="shared" ref="AJ153:AJ216" si="71">AG153+AI153</f>
        <v>#N/A</v>
      </c>
      <c r="AK153" s="44" t="e">
        <f>HLOOKUP(I153,ElecAvoidedCostsWOCC!$A$5:$Q$50,G153+1,FALSE)*J153*L153</f>
        <v>#N/A</v>
      </c>
      <c r="AL153" s="44" t="e">
        <f t="shared" ref="AL153:AL216" si="72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3">AM153*1.1+AD153+AE153</f>
        <v>0</v>
      </c>
      <c r="AO153" s="47">
        <f t="shared" ref="AO153:AO216" si="74">IFERROR(AM153/AB153,0)</f>
        <v>0</v>
      </c>
      <c r="AP153" s="47" t="e">
        <f t="shared" ref="AP153:AP216" si="75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HLOOKUP(I196,ElecAvoidedCostsWOCC!$A$5:$Q$50,G196+1,FALSE)</f>
        <v>#N/A</v>
      </c>
      <c r="AG196" s="44" t="e">
        <f t="shared" si="69"/>
        <v>#N/A</v>
      </c>
      <c r="AH196" s="52" t="e">
        <f>HLOOKUP(I196,ElecAvoidedCostsWOCC!$A$5:$Q$50,T196+1,FALSE)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HLOOKUP(I196,ElecAvoidedCostsWOCC!$A$5:$Q$50,G196+1,FALSE)*J196*L196</f>
        <v>#N/A</v>
      </c>
      <c r="AL196" s="44" t="e">
        <f t="shared" si="72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HLOOKUP(I197,ElecAvoidedCostsWOCC!$A$5:$Q$50,G197+1,FALSE)</f>
        <v>#N/A</v>
      </c>
      <c r="AG197" s="44" t="e">
        <f t="shared" si="69"/>
        <v>#N/A</v>
      </c>
      <c r="AH197" s="52" t="e">
        <f>HLOOKUP(I197,ElecAvoidedCostsWOCC!$A$5:$Q$50,T197+1,FALSE)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HLOOKUP(I197,ElecAvoidedCostsWOCC!$A$5:$Q$50,G197+1,FALSE)*J197*L197</f>
        <v>#N/A</v>
      </c>
      <c r="AL197" s="44" t="e">
        <f t="shared" si="72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HLOOKUP(I198,ElecAvoidedCostsWOCC!$A$5:$Q$50,G198+1,FALSE)</f>
        <v>#N/A</v>
      </c>
      <c r="AG198" s="44" t="e">
        <f t="shared" si="69"/>
        <v>#N/A</v>
      </c>
      <c r="AH198" s="52" t="e">
        <f>HLOOKUP(I198,ElecAvoidedCostsWOCC!$A$5:$Q$50,T198+1,FALSE)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HLOOKUP(I198,ElecAvoidedCostsWOCC!$A$5:$Q$50,G198+1,FALSE)*J198*L198</f>
        <v>#N/A</v>
      </c>
      <c r="AL198" s="44" t="e">
        <f t="shared" si="72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HLOOKUP(I199,ElecAvoidedCostsWOCC!$A$5:$Q$50,G199+1,FALSE)</f>
        <v>#N/A</v>
      </c>
      <c r="AG199" s="44" t="e">
        <f t="shared" si="69"/>
        <v>#N/A</v>
      </c>
      <c r="AH199" s="52" t="e">
        <f>HLOOKUP(I199,ElecAvoidedCostsWOCC!$A$5:$Q$50,T199+1,FALSE)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HLOOKUP(I199,ElecAvoidedCostsWOCC!$A$5:$Q$50,G199+1,FALSE)*J199*L199</f>
        <v>#N/A</v>
      </c>
      <c r="AL199" s="44" t="e">
        <f t="shared" si="72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HLOOKUP(I200,ElecAvoidedCostsWOCC!$A$5:$Q$50,G200+1,FALSE)</f>
        <v>#N/A</v>
      </c>
      <c r="AG200" s="44" t="e">
        <f t="shared" si="69"/>
        <v>#N/A</v>
      </c>
      <c r="AH200" s="52" t="e">
        <f>HLOOKUP(I200,ElecAvoidedCostsWOCC!$A$5:$Q$50,T200+1,FALSE)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HLOOKUP(I200,ElecAvoidedCostsWOCC!$A$5:$Q$50,G200+1,FALSE)*J200*L200</f>
        <v>#N/A</v>
      </c>
      <c r="AL200" s="44" t="e">
        <f t="shared" si="72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HLOOKUP(I201,ElecAvoidedCostsWOCC!$A$5:$Q$50,G201+1,FALSE)</f>
        <v>#N/A</v>
      </c>
      <c r="AG201" s="44" t="e">
        <f t="shared" si="69"/>
        <v>#N/A</v>
      </c>
      <c r="AH201" s="52" t="e">
        <f>HLOOKUP(I201,ElecAvoidedCostsWOCC!$A$5:$Q$50,T201+1,FALSE)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HLOOKUP(I201,ElecAvoidedCostsWOCC!$A$5:$Q$50,G201+1,FALSE)*J201*L201</f>
        <v>#N/A</v>
      </c>
      <c r="AL201" s="44" t="e">
        <f t="shared" si="72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HLOOKUP(I202,ElecAvoidedCostsWOCC!$A$5:$Q$50,G202+1,FALSE)</f>
        <v>#N/A</v>
      </c>
      <c r="AG202" s="44" t="e">
        <f t="shared" si="69"/>
        <v>#N/A</v>
      </c>
      <c r="AH202" s="52" t="e">
        <f>HLOOKUP(I202,ElecAvoidedCostsWOCC!$A$5:$Q$50,T202+1,FALSE)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HLOOKUP(I202,ElecAvoidedCostsWOCC!$A$5:$Q$50,G202+1,FALSE)*J202*L202</f>
        <v>#N/A</v>
      </c>
      <c r="AL202" s="44" t="e">
        <f t="shared" si="72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HLOOKUP(I203,ElecAvoidedCostsWOCC!$A$5:$Q$50,G203+1,FALSE)</f>
        <v>#N/A</v>
      </c>
      <c r="AG203" s="44" t="e">
        <f t="shared" si="69"/>
        <v>#N/A</v>
      </c>
      <c r="AH203" s="52" t="e">
        <f>HLOOKUP(I203,ElecAvoidedCostsWOCC!$A$5:$Q$50,T203+1,FALSE)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HLOOKUP(I203,ElecAvoidedCostsWOCC!$A$5:$Q$50,G203+1,FALSE)*J203*L203</f>
        <v>#N/A</v>
      </c>
      <c r="AL203" s="44" t="e">
        <f t="shared" si="72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HLOOKUP(I204,ElecAvoidedCostsWOCC!$A$5:$Q$50,G204+1,FALSE)</f>
        <v>#N/A</v>
      </c>
      <c r="AG204" s="44" t="e">
        <f t="shared" si="69"/>
        <v>#N/A</v>
      </c>
      <c r="AH204" s="52" t="e">
        <f>HLOOKUP(I204,ElecAvoidedCostsWOCC!$A$5:$Q$50,T204+1,FALSE)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HLOOKUP(I204,ElecAvoidedCostsWOCC!$A$5:$Q$50,G204+1,FALSE)*J204*L204</f>
        <v>#N/A</v>
      </c>
      <c r="AL204" s="44" t="e">
        <f t="shared" si="72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HLOOKUP(I205,ElecAvoidedCostsWOCC!$A$5:$Q$50,G205+1,FALSE)</f>
        <v>#N/A</v>
      </c>
      <c r="AG205" s="44" t="e">
        <f t="shared" si="69"/>
        <v>#N/A</v>
      </c>
      <c r="AH205" s="52" t="e">
        <f>HLOOKUP(I205,ElecAvoidedCostsWOCC!$A$5:$Q$50,T205+1,FALSE)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HLOOKUP(I205,ElecAvoidedCostsWOCC!$A$5:$Q$50,G205+1,FALSE)*J205*L205</f>
        <v>#N/A</v>
      </c>
      <c r="AL205" s="44" t="e">
        <f t="shared" si="72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HLOOKUP(I206,ElecAvoidedCostsWOCC!$A$5:$Q$50,G206+1,FALSE)</f>
        <v>#N/A</v>
      </c>
      <c r="AG206" s="44" t="e">
        <f t="shared" si="69"/>
        <v>#N/A</v>
      </c>
      <c r="AH206" s="52" t="e">
        <f>HLOOKUP(I206,ElecAvoidedCostsWOCC!$A$5:$Q$50,T206+1,FALSE)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HLOOKUP(I206,ElecAvoidedCostsWOCC!$A$5:$Q$50,G206+1,FALSE)*J206*L206</f>
        <v>#N/A</v>
      </c>
      <c r="AL206" s="44" t="e">
        <f t="shared" si="72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HLOOKUP(I207,ElecAvoidedCostsWOCC!$A$5:$Q$50,G207+1,FALSE)</f>
        <v>#N/A</v>
      </c>
      <c r="AG207" s="44" t="e">
        <f t="shared" si="69"/>
        <v>#N/A</v>
      </c>
      <c r="AH207" s="52" t="e">
        <f>HLOOKUP(I207,ElecAvoidedCostsWOCC!$A$5:$Q$50,T207+1,FALSE)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HLOOKUP(I207,ElecAvoidedCostsWOCC!$A$5:$Q$50,G207+1,FALSE)*J207*L207</f>
        <v>#N/A</v>
      </c>
      <c r="AL207" s="44" t="e">
        <f t="shared" si="72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HLOOKUP(I208,ElecAvoidedCostsWOCC!$A$5:$Q$50,G208+1,FALSE)</f>
        <v>#N/A</v>
      </c>
      <c r="AG208" s="44" t="e">
        <f t="shared" si="69"/>
        <v>#N/A</v>
      </c>
      <c r="AH208" s="52" t="e">
        <f>HLOOKUP(I208,ElecAvoidedCostsWOCC!$A$5:$Q$50,T208+1,FALSE)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HLOOKUP(I208,ElecAvoidedCostsWOCC!$A$5:$Q$50,G208+1,FALSE)*J208*L208</f>
        <v>#N/A</v>
      </c>
      <c r="AL208" s="44" t="e">
        <f t="shared" si="72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0">
        <f t="shared" si="64"/>
        <v>0</v>
      </c>
      <c r="AB209" s="51">
        <f t="shared" si="65"/>
        <v>0</v>
      </c>
      <c r="AC209" s="44">
        <f t="shared" si="66"/>
        <v>0</v>
      </c>
      <c r="AD209" s="44">
        <f t="shared" si="67"/>
        <v>0</v>
      </c>
      <c r="AE209" s="44">
        <f t="shared" si="68"/>
        <v>0</v>
      </c>
      <c r="AF209" s="52" t="e">
        <f>HLOOKUP(I209,ElecAvoidedCostsWOCC!$A$5:$Q$50,G209+1,FALSE)</f>
        <v>#N/A</v>
      </c>
      <c r="AG209" s="44" t="e">
        <f t="shared" si="69"/>
        <v>#N/A</v>
      </c>
      <c r="AH209" s="52" t="e">
        <f>HLOOKUP(I209,ElecAvoidedCostsWOCC!$A$5:$Q$50,T209+1,FALSE)</f>
        <v>#N/A</v>
      </c>
      <c r="AI209" s="44" t="e">
        <f t="shared" si="70"/>
        <v>#N/A</v>
      </c>
      <c r="AJ209" s="44" t="e">
        <f t="shared" si="71"/>
        <v>#N/A</v>
      </c>
      <c r="AK209" s="44" t="e">
        <f>HLOOKUP(I209,ElecAvoidedCostsWOCC!$A$5:$Q$50,G209+1,FALSE)*J209*L209</f>
        <v>#N/A</v>
      </c>
      <c r="AL209" s="44" t="e">
        <f t="shared" si="72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3"/>
        <v>0</v>
      </c>
      <c r="AO209" s="47">
        <f t="shared" si="74"/>
        <v>0</v>
      </c>
      <c r="AP209" s="47" t="e">
        <f t="shared" si="75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0">
        <f t="shared" si="64"/>
        <v>0</v>
      </c>
      <c r="AB210" s="51">
        <f t="shared" si="65"/>
        <v>0</v>
      </c>
      <c r="AC210" s="44">
        <f t="shared" si="66"/>
        <v>0</v>
      </c>
      <c r="AD210" s="44">
        <f t="shared" si="67"/>
        <v>0</v>
      </c>
      <c r="AE210" s="44">
        <f t="shared" si="68"/>
        <v>0</v>
      </c>
      <c r="AF210" s="52" t="e">
        <f>HLOOKUP(I210,ElecAvoidedCostsWOCC!$A$5:$Q$50,G210+1,FALSE)</f>
        <v>#N/A</v>
      </c>
      <c r="AG210" s="44" t="e">
        <f t="shared" si="69"/>
        <v>#N/A</v>
      </c>
      <c r="AH210" s="52" t="e">
        <f>HLOOKUP(I210,ElecAvoidedCostsWOCC!$A$5:$Q$50,T210+1,FALSE)</f>
        <v>#N/A</v>
      </c>
      <c r="AI210" s="44" t="e">
        <f t="shared" si="70"/>
        <v>#N/A</v>
      </c>
      <c r="AJ210" s="44" t="e">
        <f t="shared" si="71"/>
        <v>#N/A</v>
      </c>
      <c r="AK210" s="44" t="e">
        <f>HLOOKUP(I210,ElecAvoidedCostsWOCC!$A$5:$Q$50,G210+1,FALSE)*J210*L210</f>
        <v>#N/A</v>
      </c>
      <c r="AL210" s="44" t="e">
        <f t="shared" si="72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3"/>
        <v>0</v>
      </c>
      <c r="AO210" s="47">
        <f t="shared" si="74"/>
        <v>0</v>
      </c>
      <c r="AP210" s="47" t="e">
        <f t="shared" si="75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0">
        <f t="shared" si="64"/>
        <v>0</v>
      </c>
      <c r="AB211" s="51">
        <f t="shared" si="65"/>
        <v>0</v>
      </c>
      <c r="AC211" s="44">
        <f t="shared" si="66"/>
        <v>0</v>
      </c>
      <c r="AD211" s="44">
        <f t="shared" si="67"/>
        <v>0</v>
      </c>
      <c r="AE211" s="44">
        <f t="shared" si="68"/>
        <v>0</v>
      </c>
      <c r="AF211" s="52" t="e">
        <f>HLOOKUP(I211,ElecAvoidedCostsWOCC!$A$5:$Q$50,G211+1,FALSE)</f>
        <v>#N/A</v>
      </c>
      <c r="AG211" s="44" t="e">
        <f t="shared" si="69"/>
        <v>#N/A</v>
      </c>
      <c r="AH211" s="52" t="e">
        <f>HLOOKUP(I211,ElecAvoidedCostsWOCC!$A$5:$Q$50,T211+1,FALSE)</f>
        <v>#N/A</v>
      </c>
      <c r="AI211" s="44" t="e">
        <f t="shared" si="70"/>
        <v>#N/A</v>
      </c>
      <c r="AJ211" s="44" t="e">
        <f t="shared" si="71"/>
        <v>#N/A</v>
      </c>
      <c r="AK211" s="44" t="e">
        <f>HLOOKUP(I211,ElecAvoidedCostsWOCC!$A$5:$Q$50,G211+1,FALSE)*J211*L211</f>
        <v>#N/A</v>
      </c>
      <c r="AL211" s="44" t="e">
        <f t="shared" si="72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3"/>
        <v>0</v>
      </c>
      <c r="AO211" s="47">
        <f t="shared" si="74"/>
        <v>0</v>
      </c>
      <c r="AP211" s="47" t="e">
        <f t="shared" si="75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0">
        <f t="shared" si="64"/>
        <v>0</v>
      </c>
      <c r="AB212" s="51">
        <f t="shared" si="65"/>
        <v>0</v>
      </c>
      <c r="AC212" s="44">
        <f t="shared" si="66"/>
        <v>0</v>
      </c>
      <c r="AD212" s="44">
        <f t="shared" si="67"/>
        <v>0</v>
      </c>
      <c r="AE212" s="44">
        <f t="shared" si="68"/>
        <v>0</v>
      </c>
      <c r="AF212" s="52" t="e">
        <f>HLOOKUP(I212,ElecAvoidedCostsWOCC!$A$5:$Q$50,G212+1,FALSE)</f>
        <v>#N/A</v>
      </c>
      <c r="AG212" s="44" t="e">
        <f t="shared" si="69"/>
        <v>#N/A</v>
      </c>
      <c r="AH212" s="52" t="e">
        <f>HLOOKUP(I212,ElecAvoidedCostsWOCC!$A$5:$Q$50,T212+1,FALSE)</f>
        <v>#N/A</v>
      </c>
      <c r="AI212" s="44" t="e">
        <f t="shared" si="70"/>
        <v>#N/A</v>
      </c>
      <c r="AJ212" s="44" t="e">
        <f t="shared" si="71"/>
        <v>#N/A</v>
      </c>
      <c r="AK212" s="44" t="e">
        <f>HLOOKUP(I212,ElecAvoidedCostsWOCC!$A$5:$Q$50,G212+1,FALSE)*J212*L212</f>
        <v>#N/A</v>
      </c>
      <c r="AL212" s="44" t="e">
        <f t="shared" si="72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3"/>
        <v>0</v>
      </c>
      <c r="AO212" s="47">
        <f t="shared" si="74"/>
        <v>0</v>
      </c>
      <c r="AP212" s="47" t="e">
        <f t="shared" si="75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0">
        <f t="shared" si="64"/>
        <v>0</v>
      </c>
      <c r="AB213" s="51">
        <f t="shared" si="65"/>
        <v>0</v>
      </c>
      <c r="AC213" s="44">
        <f t="shared" si="66"/>
        <v>0</v>
      </c>
      <c r="AD213" s="44">
        <f t="shared" si="67"/>
        <v>0</v>
      </c>
      <c r="AE213" s="44">
        <f t="shared" si="68"/>
        <v>0</v>
      </c>
      <c r="AF213" s="52" t="e">
        <f>HLOOKUP(I213,ElecAvoidedCostsWOCC!$A$5:$Q$50,G213+1,FALSE)</f>
        <v>#N/A</v>
      </c>
      <c r="AG213" s="44" t="e">
        <f t="shared" si="69"/>
        <v>#N/A</v>
      </c>
      <c r="AH213" s="52" t="e">
        <f>HLOOKUP(I213,ElecAvoidedCostsWOCC!$A$5:$Q$50,T213+1,FALSE)</f>
        <v>#N/A</v>
      </c>
      <c r="AI213" s="44" t="e">
        <f t="shared" si="70"/>
        <v>#N/A</v>
      </c>
      <c r="AJ213" s="44" t="e">
        <f t="shared" si="71"/>
        <v>#N/A</v>
      </c>
      <c r="AK213" s="44" t="e">
        <f>HLOOKUP(I213,ElecAvoidedCostsWOCC!$A$5:$Q$50,G213+1,FALSE)*J213*L213</f>
        <v>#N/A</v>
      </c>
      <c r="AL213" s="44" t="e">
        <f t="shared" si="72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3"/>
        <v>0</v>
      </c>
      <c r="AO213" s="47">
        <f t="shared" si="74"/>
        <v>0</v>
      </c>
      <c r="AP213" s="47" t="e">
        <f t="shared" si="75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0">
        <f t="shared" si="64"/>
        <v>0</v>
      </c>
      <c r="AB214" s="51">
        <f t="shared" si="65"/>
        <v>0</v>
      </c>
      <c r="AC214" s="44">
        <f t="shared" si="66"/>
        <v>0</v>
      </c>
      <c r="AD214" s="44">
        <f t="shared" si="67"/>
        <v>0</v>
      </c>
      <c r="AE214" s="44">
        <f t="shared" si="68"/>
        <v>0</v>
      </c>
      <c r="AF214" s="52" t="e">
        <f>HLOOKUP(I214,ElecAvoidedCostsWOCC!$A$5:$Q$50,G214+1,FALSE)</f>
        <v>#N/A</v>
      </c>
      <c r="AG214" s="44" t="e">
        <f t="shared" si="69"/>
        <v>#N/A</v>
      </c>
      <c r="AH214" s="52" t="e">
        <f>HLOOKUP(I214,ElecAvoidedCostsWOCC!$A$5:$Q$50,T214+1,FALSE)</f>
        <v>#N/A</v>
      </c>
      <c r="AI214" s="44" t="e">
        <f t="shared" si="70"/>
        <v>#N/A</v>
      </c>
      <c r="AJ214" s="44" t="e">
        <f t="shared" si="71"/>
        <v>#N/A</v>
      </c>
      <c r="AK214" s="44" t="e">
        <f>HLOOKUP(I214,ElecAvoidedCostsWOCC!$A$5:$Q$50,G214+1,FALSE)*J214*L214</f>
        <v>#N/A</v>
      </c>
      <c r="AL214" s="44" t="e">
        <f t="shared" si="72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3"/>
        <v>0</v>
      </c>
      <c r="AO214" s="47">
        <f t="shared" si="74"/>
        <v>0</v>
      </c>
      <c r="AP214" s="47" t="e">
        <f t="shared" si="75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0">
        <f t="shared" si="64"/>
        <v>0</v>
      </c>
      <c r="AB215" s="51">
        <f t="shared" si="65"/>
        <v>0</v>
      </c>
      <c r="AC215" s="44">
        <f t="shared" si="66"/>
        <v>0</v>
      </c>
      <c r="AD215" s="44">
        <f t="shared" si="67"/>
        <v>0</v>
      </c>
      <c r="AE215" s="44">
        <f t="shared" si="68"/>
        <v>0</v>
      </c>
      <c r="AF215" s="52" t="e">
        <f>HLOOKUP(I215,ElecAvoidedCostsWOCC!$A$5:$Q$50,G215+1,FALSE)</f>
        <v>#N/A</v>
      </c>
      <c r="AG215" s="44" t="e">
        <f t="shared" si="69"/>
        <v>#N/A</v>
      </c>
      <c r="AH215" s="52" t="e">
        <f>HLOOKUP(I215,ElecAvoidedCostsWOCC!$A$5:$Q$50,T215+1,FALSE)</f>
        <v>#N/A</v>
      </c>
      <c r="AI215" s="44" t="e">
        <f t="shared" si="70"/>
        <v>#N/A</v>
      </c>
      <c r="AJ215" s="44" t="e">
        <f t="shared" si="71"/>
        <v>#N/A</v>
      </c>
      <c r="AK215" s="44" t="e">
        <f>HLOOKUP(I215,ElecAvoidedCostsWOCC!$A$5:$Q$50,G215+1,FALSE)*J215*L215</f>
        <v>#N/A</v>
      </c>
      <c r="AL215" s="44" t="e">
        <f t="shared" si="72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3"/>
        <v>0</v>
      </c>
      <c r="AO215" s="47">
        <f t="shared" si="74"/>
        <v>0</v>
      </c>
      <c r="AP215" s="47" t="e">
        <f t="shared" si="75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57"/>
        <v>0</v>
      </c>
      <c r="U216" s="47">
        <f t="shared" si="58"/>
        <v>0</v>
      </c>
      <c r="V216" s="48">
        <f t="shared" si="59"/>
        <v>0</v>
      </c>
      <c r="W216" s="49">
        <f t="shared" si="60"/>
        <v>0</v>
      </c>
      <c r="X216" s="44">
        <f t="shared" si="61"/>
        <v>0</v>
      </c>
      <c r="Y216" s="44">
        <f t="shared" si="62"/>
        <v>0</v>
      </c>
      <c r="Z216" s="44">
        <f t="shared" si="63"/>
        <v>0</v>
      </c>
      <c r="AA216" s="50">
        <f t="shared" si="64"/>
        <v>0</v>
      </c>
      <c r="AB216" s="51">
        <f t="shared" si="65"/>
        <v>0</v>
      </c>
      <c r="AC216" s="44">
        <f t="shared" si="66"/>
        <v>0</v>
      </c>
      <c r="AD216" s="44">
        <f t="shared" si="67"/>
        <v>0</v>
      </c>
      <c r="AE216" s="44">
        <f t="shared" si="68"/>
        <v>0</v>
      </c>
      <c r="AF216" s="52" t="e">
        <f>HLOOKUP(I216,ElecAvoidedCostsWOCC!$A$5:$Q$50,G216+1,FALSE)</f>
        <v>#N/A</v>
      </c>
      <c r="AG216" s="44" t="e">
        <f t="shared" si="69"/>
        <v>#N/A</v>
      </c>
      <c r="AH216" s="52" t="e">
        <f>HLOOKUP(I216,ElecAvoidedCostsWOCC!$A$5:$Q$50,T216+1,FALSE)</f>
        <v>#N/A</v>
      </c>
      <c r="AI216" s="44" t="e">
        <f t="shared" si="70"/>
        <v>#N/A</v>
      </c>
      <c r="AJ216" s="44" t="e">
        <f t="shared" si="71"/>
        <v>#N/A</v>
      </c>
      <c r="AK216" s="44" t="e">
        <f>HLOOKUP(I216,ElecAvoidedCostsWOCC!$A$5:$Q$50,G216+1,FALSE)*J216*L216</f>
        <v>#N/A</v>
      </c>
      <c r="AL216" s="44" t="e">
        <f t="shared" si="72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3"/>
        <v>0</v>
      </c>
      <c r="AO216" s="47">
        <f t="shared" si="74"/>
        <v>0</v>
      </c>
      <c r="AP216" s="47" t="e">
        <f t="shared" si="75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76">G217+H217</f>
        <v>0</v>
      </c>
      <c r="U217" s="47">
        <f t="shared" ref="U217:U233" si="77">(O217/$A$10)*T217</f>
        <v>0</v>
      </c>
      <c r="V217" s="48">
        <f t="shared" ref="V217:V233" si="78">N217-M217</f>
        <v>0</v>
      </c>
      <c r="W217" s="49">
        <f t="shared" ref="W217:W233" si="79">(O217/A$10)</f>
        <v>0</v>
      </c>
      <c r="X217" s="44">
        <f t="shared" ref="X217:X233" si="80">W217*A$8</f>
        <v>0</v>
      </c>
      <c r="Y217" s="44">
        <f t="shared" ref="Y217:Y233" si="81">Q217-P217</f>
        <v>0</v>
      </c>
      <c r="Z217" s="44">
        <f t="shared" ref="Z217:Z233" si="82">X217+(A$6*W217)</f>
        <v>0</v>
      </c>
      <c r="AA217" s="50">
        <f t="shared" ref="AA217:AA233" si="83">Q217+X217</f>
        <v>0</v>
      </c>
      <c r="AB217" s="51">
        <f t="shared" ref="AB217:AB233" si="84">Z217/(1+ElecDiscountRate)^1</f>
        <v>0</v>
      </c>
      <c r="AC217" s="44">
        <f t="shared" ref="AC217:AC233" si="85">AA217/(1+ElecDiscountRate)^1</f>
        <v>0</v>
      </c>
      <c r="AD217" s="44">
        <f t="shared" ref="AD217:AD233" si="86">-PV(ElecDiscountRate,T217,R217)*J217</f>
        <v>0</v>
      </c>
      <c r="AE217" s="44">
        <f t="shared" ref="AE217:AE233" si="87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88">AF217*J217*K217</f>
        <v>#N/A</v>
      </c>
      <c r="AH217" s="52" t="e">
        <f>HLOOKUP(I217,ElecAvoidedCostsWOCC!$A$5:$Q$50,T217+1,FALSE)</f>
        <v>#N/A</v>
      </c>
      <c r="AI217" s="44" t="e">
        <f t="shared" ref="AI217:AI233" si="89">AH217*J217*L217</f>
        <v>#N/A</v>
      </c>
      <c r="AJ217" s="44" t="e">
        <f t="shared" ref="AJ217:AJ233" si="90">AG217+AI217</f>
        <v>#N/A</v>
      </c>
      <c r="AK217" s="44" t="e">
        <f>HLOOKUP(I217,ElecAvoidedCostsWOCC!$A$5:$Q$50,G217+1,FALSE)*J217*L217</f>
        <v>#N/A</v>
      </c>
      <c r="AL217" s="44" t="e">
        <f t="shared" ref="AL217:AL233" si="91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2">AM217*1.1+AD217+AE217</f>
        <v>0</v>
      </c>
      <c r="AO217" s="47">
        <f t="shared" ref="AO217:AO233" si="93">IFERROR(AM217/AB217,0)</f>
        <v>0</v>
      </c>
      <c r="AP217" s="47" t="e">
        <f t="shared" ref="AP217:AP233" si="94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</sheetData>
  <conditionalFormatting sqref="R5:S233">
    <cfRule type="expression" dxfId="314" priority="1">
      <formula>"istext($AB17)"</formula>
    </cfRule>
  </conditionalFormatting>
  <conditionalFormatting sqref="J5:L233">
    <cfRule type="expression" dxfId="313" priority="4">
      <formula>ISTEXT(J5)</formula>
    </cfRule>
    <cfRule type="notContainsBlanks" dxfId="312" priority="5">
      <formula>LEN(TRIM(J5))&gt;0</formula>
    </cfRule>
  </conditionalFormatting>
  <conditionalFormatting sqref="M5:N233 R5:S233">
    <cfRule type="expression" dxfId="311" priority="2">
      <formula>ISTEXT(M5)</formula>
    </cfRule>
  </conditionalFormatting>
  <conditionalFormatting sqref="M5:N233 R5:S233">
    <cfRule type="notContainsBlanks" dxfId="31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M6" sqref="AM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879</v>
      </c>
      <c r="F5" s="39" t="s">
        <v>880</v>
      </c>
      <c r="G5" s="39">
        <v>27</v>
      </c>
      <c r="H5" s="39"/>
      <c r="I5" s="40" t="s">
        <v>283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24.502434274586175</v>
      </c>
      <c r="V5" s="48">
        <f t="shared" ref="V5:V24" si="2">N5-M5</f>
        <v>1465</v>
      </c>
      <c r="W5" s="49">
        <f t="shared" ref="W5:W24" si="3">(O5/A$10)</f>
        <v>0.90749756572541385</v>
      </c>
      <c r="X5" s="44">
        <f t="shared" ref="X5:X24" si="4">W5*A$8</f>
        <v>16730.833846153848</v>
      </c>
      <c r="Y5" s="44">
        <f t="shared" ref="Y5:Y24" si="5">Q5-P5</f>
        <v>10716.02</v>
      </c>
      <c r="Z5" s="44">
        <f t="shared" ref="Z5:Z24" si="6">X5+(A$6*W5)</f>
        <v>21722.070457643626</v>
      </c>
      <c r="AA5" s="50">
        <f t="shared" ref="AA5:AA24" si="7">Q5+X5</f>
        <v>32696.853846153848</v>
      </c>
      <c r="AB5" s="51">
        <f t="shared" ref="AB5:AB24" si="8">Z5/(1+GasDiscountRate)^1</f>
        <v>20306.693893281878</v>
      </c>
      <c r="AC5" s="44">
        <f t="shared" ref="AC5:AC24" si="9">AA5/(1+GasDiscountRate)^1</f>
        <v>30566.377345193836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0.80266494529840127</v>
      </c>
      <c r="AP5" s="47">
        <f>AN5/AC5</f>
        <v>0.61033049609959644</v>
      </c>
    </row>
    <row r="6" spans="1:42" ht="13.5" customHeight="1">
      <c r="A6" s="53">
        <f>SUMIF('Program Costs'!D:D,C2,'Program Costs'!L:L)</f>
        <v>5500</v>
      </c>
      <c r="B6" s="97"/>
      <c r="C6" s="99"/>
      <c r="D6" s="100"/>
      <c r="E6" s="38" t="s">
        <v>881</v>
      </c>
      <c r="F6" s="39" t="s">
        <v>882</v>
      </c>
      <c r="G6" s="39">
        <v>27</v>
      </c>
      <c r="H6" s="39"/>
      <c r="I6" s="40" t="s">
        <v>283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2.4975657254138266</v>
      </c>
      <c r="V6" s="48">
        <f t="shared" si="2"/>
        <v>2773</v>
      </c>
      <c r="W6" s="49">
        <f t="shared" si="3"/>
        <v>9.2502434274586168E-2</v>
      </c>
      <c r="X6" s="44">
        <f t="shared" si="4"/>
        <v>1705.3961538461538</v>
      </c>
      <c r="Y6" s="44">
        <f t="shared" si="5"/>
        <v>2773</v>
      </c>
      <c r="Z6" s="44">
        <f t="shared" si="6"/>
        <v>2214.1595423563776</v>
      </c>
      <c r="AA6" s="50">
        <f t="shared" si="7"/>
        <v>5478.3961538461535</v>
      </c>
      <c r="AB6" s="51">
        <f t="shared" si="8"/>
        <v>2069.8883260319503</v>
      </c>
      <c r="AC6" s="44">
        <f t="shared" si="9"/>
        <v>5121.4323210677321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0.8026649452984016</v>
      </c>
      <c r="AP6" s="47">
        <f t="shared" ref="AP6:AP24" si="17">AN6/AC6</f>
        <v>0.39196065467063063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18436.23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1027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6250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13489.02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23936.23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38175.25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0.80266494529840138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0.57899300651143548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H8" sqref="AH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18230752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18230752</v>
      </c>
      <c r="D5" s="61" t="s">
        <v>333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8" sqref="F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923</v>
      </c>
      <c r="F5" s="39" t="s">
        <v>924</v>
      </c>
      <c r="G5" s="39">
        <v>15</v>
      </c>
      <c r="H5" s="39"/>
      <c r="I5" s="40" t="s">
        <v>269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0.75978769990066541</v>
      </c>
      <c r="V5" s="48">
        <f t="shared" ref="V5:V24" si="2">N5-M5</f>
        <v>2.1399999999999997</v>
      </c>
      <c r="W5" s="49">
        <f t="shared" ref="W5:W24" si="3">(O5/A$10)</f>
        <v>5.0652513326711029E-2</v>
      </c>
      <c r="X5" s="44">
        <f t="shared" ref="X5:X24" si="4">W5*A$8</f>
        <v>5271.6522200753161</v>
      </c>
      <c r="Y5" s="44">
        <f t="shared" ref="Y5:Y24" si="5">Q5-P5</f>
        <v>46260</v>
      </c>
      <c r="Z5" s="44">
        <f t="shared" ref="Z5:Z24" si="6">X5+(A$6*W5)</f>
        <v>17841.529274718599</v>
      </c>
      <c r="AA5" s="50">
        <f t="shared" ref="AA5:AA24" si="7">Q5+X5</f>
        <v>60271.652220075317</v>
      </c>
      <c r="AB5" s="51">
        <f t="shared" ref="AB5:AB24" si="8">Z5/(1+GasDiscountRate)^1</f>
        <v>16679.002780890529</v>
      </c>
      <c r="AC5" s="44">
        <f t="shared" ref="AC5:AC24" si="9">AA5/(1+GasDiscountRate)^1</f>
        <v>56344.444442437423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1.0631040144653405</v>
      </c>
      <c r="AP5" s="47">
        <f>AN5/AC5</f>
        <v>0.3461684020140437</v>
      </c>
    </row>
    <row r="6" spans="1:42" ht="13.5" customHeight="1">
      <c r="A6" s="53">
        <f>SUMIF('Program Costs'!D:D,C2,'Program Costs'!L:L)</f>
        <v>248159</v>
      </c>
      <c r="B6" s="97" t="s">
        <v>145</v>
      </c>
      <c r="C6" s="98">
        <v>18230736</v>
      </c>
      <c r="D6" s="61" t="s">
        <v>146</v>
      </c>
      <c r="E6" s="38" t="s">
        <v>925</v>
      </c>
      <c r="F6" s="39" t="s">
        <v>926</v>
      </c>
      <c r="G6" s="39">
        <v>24</v>
      </c>
      <c r="H6" s="39"/>
      <c r="I6" s="40" t="s">
        <v>275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2.3325656251412648</v>
      </c>
      <c r="V6" s="48">
        <f t="shared" si="2"/>
        <v>2.1399999999999997</v>
      </c>
      <c r="W6" s="49">
        <f t="shared" si="3"/>
        <v>9.7190234380886031E-2</v>
      </c>
      <c r="X6" s="44">
        <f t="shared" si="4"/>
        <v>10115.05809275321</v>
      </c>
      <c r="Y6" s="44">
        <f t="shared" si="5"/>
        <v>54304</v>
      </c>
      <c r="Z6" s="44">
        <f t="shared" si="6"/>
        <v>34233.689466479511</v>
      </c>
      <c r="AA6" s="50">
        <f t="shared" si="7"/>
        <v>81189.058092753214</v>
      </c>
      <c r="AB6" s="51">
        <f t="shared" si="8"/>
        <v>32003.075129923818</v>
      </c>
      <c r="AC6" s="44">
        <f t="shared" si="9"/>
        <v>75898.904452419563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1.7591819319809743</v>
      </c>
      <c r="AP6" s="47">
        <f t="shared" ref="AP6:AP24" si="17">AN6/AC6</f>
        <v>0.81594266922329195</v>
      </c>
    </row>
    <row r="7" spans="1:42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104074.83999999997</v>
      </c>
      <c r="B8" s="97" t="s">
        <v>145</v>
      </c>
      <c r="C8" s="98">
        <v>18230736</v>
      </c>
      <c r="D8" s="61" t="s">
        <v>146</v>
      </c>
      <c r="E8" s="38" t="s">
        <v>946</v>
      </c>
      <c r="F8" s="39" t="s">
        <v>947</v>
      </c>
      <c r="G8" s="39">
        <v>45</v>
      </c>
      <c r="H8" s="39"/>
      <c r="I8" s="40" t="s">
        <v>283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36.799717412294072</v>
      </c>
      <c r="V8" s="48">
        <f t="shared" si="2"/>
        <v>16.3</v>
      </c>
      <c r="W8" s="49">
        <f t="shared" si="3"/>
        <v>0.81777149805097937</v>
      </c>
      <c r="X8" s="44">
        <f t="shared" si="4"/>
        <v>85109.43781621597</v>
      </c>
      <c r="Y8" s="44">
        <f t="shared" si="5"/>
        <v>354768</v>
      </c>
      <c r="Z8" s="44">
        <f t="shared" si="6"/>
        <v>288046.79500104894</v>
      </c>
      <c r="AA8" s="50">
        <f t="shared" si="7"/>
        <v>656891.43781621591</v>
      </c>
      <c r="AB8" s="51">
        <f t="shared" si="8"/>
        <v>269278.11068621941</v>
      </c>
      <c r="AC8" s="44">
        <f t="shared" si="9"/>
        <v>614089.40620381024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2.8762222590437321</v>
      </c>
      <c r="AP8" s="47">
        <f t="shared" si="17"/>
        <v>1.3873453226924513</v>
      </c>
    </row>
    <row r="9" spans="1:42" ht="13.5" customHeight="1">
      <c r="A9" s="36" t="s">
        <v>317</v>
      </c>
      <c r="B9" s="97" t="s">
        <v>145</v>
      </c>
      <c r="C9" s="98">
        <v>18230736</v>
      </c>
      <c r="D9" s="61" t="s">
        <v>146</v>
      </c>
      <c r="E9" s="38" t="s">
        <v>952</v>
      </c>
      <c r="F9" s="39" t="s">
        <v>953</v>
      </c>
      <c r="G9" s="39">
        <v>18</v>
      </c>
      <c r="H9" s="39"/>
      <c r="I9" s="40" t="s">
        <v>283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0.19194636629069445</v>
      </c>
      <c r="V9" s="48">
        <f t="shared" si="2"/>
        <v>187</v>
      </c>
      <c r="W9" s="49">
        <f t="shared" si="3"/>
        <v>1.0663687016149691E-2</v>
      </c>
      <c r="X9" s="44">
        <f t="shared" si="4"/>
        <v>1109.8215200158561</v>
      </c>
      <c r="Y9" s="44">
        <f t="shared" si="5"/>
        <v>374</v>
      </c>
      <c r="Z9" s="44">
        <f t="shared" si="6"/>
        <v>3756.111426256547</v>
      </c>
      <c r="AA9" s="50">
        <f t="shared" si="7"/>
        <v>3083.8215200158561</v>
      </c>
      <c r="AB9" s="51">
        <f t="shared" si="8"/>
        <v>3511.3690065032688</v>
      </c>
      <c r="AC9" s="44">
        <f t="shared" si="9"/>
        <v>2882.884472296771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1.3203815178646074</v>
      </c>
      <c r="AP9" s="47">
        <f t="shared" si="17"/>
        <v>1.7690550771135698</v>
      </c>
    </row>
    <row r="10" spans="1:42" ht="13.5" customHeight="1">
      <c r="A10" s="54">
        <f>SUM(O5:O999)</f>
        <v>34509.64</v>
      </c>
      <c r="B10" s="97" t="s">
        <v>145</v>
      </c>
      <c r="C10" s="98">
        <v>18230736</v>
      </c>
      <c r="D10" s="61" t="s">
        <v>146</v>
      </c>
      <c r="E10" s="38" t="s">
        <v>954</v>
      </c>
      <c r="F10" s="39" t="s">
        <v>953</v>
      </c>
      <c r="G10" s="39">
        <v>20</v>
      </c>
      <c r="H10" s="39"/>
      <c r="I10" s="40" t="s">
        <v>283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0.10663687016149691</v>
      </c>
      <c r="V10" s="48">
        <f t="shared" si="2"/>
        <v>187</v>
      </c>
      <c r="W10" s="49">
        <f t="shared" si="3"/>
        <v>5.3318435080748454E-3</v>
      </c>
      <c r="X10" s="44">
        <f t="shared" si="4"/>
        <v>554.91076000792805</v>
      </c>
      <c r="Y10" s="44">
        <f t="shared" si="5"/>
        <v>187</v>
      </c>
      <c r="Z10" s="44">
        <f t="shared" si="6"/>
        <v>1878.0557131282735</v>
      </c>
      <c r="AA10" s="50">
        <f t="shared" si="7"/>
        <v>1541.910760007928</v>
      </c>
      <c r="AB10" s="51">
        <f t="shared" si="8"/>
        <v>1755.6845032516344</v>
      </c>
      <c r="AC10" s="44">
        <f t="shared" si="9"/>
        <v>1441.4422361483855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1.4426557564663871</v>
      </c>
      <c r="AP10" s="47">
        <f t="shared" si="17"/>
        <v>1.9328788353773954</v>
      </c>
    </row>
    <row r="11" spans="1:42" ht="13.5" customHeight="1">
      <c r="A11" s="36" t="s">
        <v>252</v>
      </c>
      <c r="B11" s="97" t="s">
        <v>145</v>
      </c>
      <c r="C11" s="98">
        <v>18230736</v>
      </c>
      <c r="D11" s="61" t="s">
        <v>146</v>
      </c>
      <c r="E11" s="38" t="s">
        <v>955</v>
      </c>
      <c r="F11" s="39" t="s">
        <v>956</v>
      </c>
      <c r="G11" s="39">
        <v>20</v>
      </c>
      <c r="H11" s="39"/>
      <c r="I11" s="40" t="s">
        <v>283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0.12750060562787674</v>
      </c>
      <c r="V11" s="48">
        <f t="shared" si="2"/>
        <v>253</v>
      </c>
      <c r="W11" s="49">
        <f t="shared" si="3"/>
        <v>6.3750302813938365E-3</v>
      </c>
      <c r="X11" s="44">
        <f t="shared" si="4"/>
        <v>663.48025653121829</v>
      </c>
      <c r="Y11" s="44">
        <f t="shared" si="5"/>
        <v>506</v>
      </c>
      <c r="Z11" s="44">
        <f t="shared" si="6"/>
        <v>2245.5013961316313</v>
      </c>
      <c r="AA11" s="50">
        <f t="shared" si="7"/>
        <v>1869.4802565312184</v>
      </c>
      <c r="AB11" s="51">
        <f t="shared" si="8"/>
        <v>2099.1879930182586</v>
      </c>
      <c r="AC11" s="44">
        <f t="shared" si="9"/>
        <v>1747.6678101628665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1.4426557564663871</v>
      </c>
      <c r="AP11" s="47">
        <f t="shared" si="17"/>
        <v>1.906109494530178</v>
      </c>
    </row>
    <row r="12" spans="1:42" ht="13.5" customHeight="1">
      <c r="A12" s="55">
        <f>SUM(P5:P1000)</f>
        <v>248159</v>
      </c>
      <c r="B12" s="97" t="s">
        <v>145</v>
      </c>
      <c r="C12" s="98">
        <v>18230736</v>
      </c>
      <c r="D12" s="61" t="s">
        <v>146</v>
      </c>
      <c r="E12" s="38" t="s">
        <v>957</v>
      </c>
      <c r="F12" s="39" t="s">
        <v>958</v>
      </c>
      <c r="G12" s="39">
        <v>20</v>
      </c>
      <c r="H12" s="39"/>
      <c r="I12" s="40" t="s">
        <v>279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4.868204942155293E-2</v>
      </c>
      <c r="V12" s="48">
        <f t="shared" si="2"/>
        <v>675.6</v>
      </c>
      <c r="W12" s="49">
        <f t="shared" si="3"/>
        <v>2.4341024710776466E-3</v>
      </c>
      <c r="X12" s="44">
        <f t="shared" si="4"/>
        <v>253.32882522101062</v>
      </c>
      <c r="Y12" s="44">
        <f t="shared" si="5"/>
        <v>1351.2</v>
      </c>
      <c r="Z12" s="44">
        <f t="shared" si="6"/>
        <v>857.37326034116836</v>
      </c>
      <c r="AA12" s="50">
        <f t="shared" si="7"/>
        <v>2104.5288252210107</v>
      </c>
      <c r="AB12" s="51">
        <f t="shared" si="8"/>
        <v>801.50814278878966</v>
      </c>
      <c r="AC12" s="44">
        <f t="shared" si="9"/>
        <v>1967.4009771160236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1.374439119200868</v>
      </c>
      <c r="AP12" s="47">
        <f t="shared" si="17"/>
        <v>0.77817716612164889</v>
      </c>
    </row>
    <row r="13" spans="1:42" ht="13.5" customHeight="1">
      <c r="A13" s="56" t="s">
        <v>255</v>
      </c>
      <c r="B13" s="97" t="s">
        <v>145</v>
      </c>
      <c r="C13" s="98">
        <v>18230736</v>
      </c>
      <c r="D13" s="61" t="s">
        <v>146</v>
      </c>
      <c r="E13" s="38" t="s">
        <v>967</v>
      </c>
      <c r="F13" s="39" t="s">
        <v>968</v>
      </c>
      <c r="G13" s="39">
        <v>45</v>
      </c>
      <c r="H13" s="39"/>
      <c r="I13" s="40" t="s">
        <v>283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0.26841195677497653</v>
      </c>
      <c r="V13" s="48">
        <f t="shared" si="2"/>
        <v>18.3</v>
      </c>
      <c r="W13" s="49">
        <f t="shared" si="3"/>
        <v>5.9647101505550335E-3</v>
      </c>
      <c r="X13" s="44">
        <f t="shared" si="4"/>
        <v>620.77625456539079</v>
      </c>
      <c r="Y13" s="44">
        <f t="shared" si="5"/>
        <v>5700.6</v>
      </c>
      <c r="Z13" s="44">
        <f t="shared" si="6"/>
        <v>2100.9727608169774</v>
      </c>
      <c r="AA13" s="50">
        <f t="shared" si="7"/>
        <v>8356.3762545653917</v>
      </c>
      <c r="AB13" s="51">
        <f t="shared" si="8"/>
        <v>1964.0766203767198</v>
      </c>
      <c r="AC13" s="44">
        <f t="shared" si="9"/>
        <v>7811.8876830563622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2.8762222590437325</v>
      </c>
      <c r="AP13" s="47">
        <f t="shared" si="17"/>
        <v>0.79545856718759045</v>
      </c>
    </row>
    <row r="14" spans="1:42" ht="13.5" customHeight="1">
      <c r="A14" s="55">
        <f>SUM(Y5:Y1000)</f>
        <v>463450.8</v>
      </c>
      <c r="B14" s="97" t="s">
        <v>145</v>
      </c>
      <c r="C14" s="98">
        <v>18230736</v>
      </c>
      <c r="D14" s="61" t="s">
        <v>146</v>
      </c>
      <c r="E14" s="38" t="s">
        <v>648</v>
      </c>
      <c r="F14" s="39" t="s">
        <v>649</v>
      </c>
      <c r="G14" s="39">
        <v>14</v>
      </c>
      <c r="H14" s="39"/>
      <c r="I14" s="40" t="s">
        <v>279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5.0629331398415051E-2</v>
      </c>
      <c r="V14" s="48">
        <f t="shared" si="2"/>
        <v>0</v>
      </c>
      <c r="W14" s="49">
        <f t="shared" si="3"/>
        <v>3.6163808141725035E-3</v>
      </c>
      <c r="X14" s="44">
        <f t="shared" si="4"/>
        <v>376.37425461407292</v>
      </c>
      <c r="Y14" s="44">
        <f t="shared" si="5"/>
        <v>0</v>
      </c>
      <c r="Z14" s="44">
        <f t="shared" si="6"/>
        <v>1273.8117010783071</v>
      </c>
      <c r="AA14" s="50">
        <f t="shared" si="7"/>
        <v>376.37425461407292</v>
      </c>
      <c r="AB14" s="51">
        <f t="shared" si="8"/>
        <v>1190.8120978576301</v>
      </c>
      <c r="AC14" s="44">
        <f t="shared" si="9"/>
        <v>351.85028944009804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1.0067245554546544</v>
      </c>
      <c r="AP14" s="47">
        <f t="shared" si="17"/>
        <v>32.842564360759873</v>
      </c>
    </row>
    <row r="15" spans="1:42" ht="13.5" customHeight="1">
      <c r="A15" s="57" t="s">
        <v>258</v>
      </c>
      <c r="B15" s="97" t="s">
        <v>145</v>
      </c>
      <c r="C15" s="98">
        <v>18230736</v>
      </c>
      <c r="D15" s="61" t="s">
        <v>146</v>
      </c>
      <c r="E15" s="38" t="s">
        <v>658</v>
      </c>
      <c r="F15" s="39" t="s">
        <v>659</v>
      </c>
      <c r="G15" s="39">
        <v>14</v>
      </c>
      <c r="H15" s="39"/>
      <c r="I15" s="40" t="s">
        <v>279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40.685877917011005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352233.83999999997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815684.6399999999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2.6320279612926871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1.2652555057263479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1" sqref="F2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3.1706541104606769</v>
      </c>
      <c r="V5" s="48">
        <f t="shared" ref="V5:V24" si="2">N5-M5</f>
        <v>0</v>
      </c>
      <c r="W5" s="49">
        <f t="shared" ref="W5:W24" si="3">(O5/A$10)</f>
        <v>0.21137694069737847</v>
      </c>
      <c r="X5" s="44">
        <f t="shared" ref="X5:X24" si="4">W5*A$8</f>
        <v>27574.333290913721</v>
      </c>
      <c r="Y5" s="44">
        <f t="shared" ref="Y5:Y24" si="5">Q5-P5</f>
        <v>0</v>
      </c>
      <c r="Z5" s="44">
        <f t="shared" ref="Z5:Z24" si="6">X5+(A$6*W5)</f>
        <v>41990.809250445411</v>
      </c>
      <c r="AA5" s="50">
        <f t="shared" ref="AA5:AA24" si="7">Q5+X5</f>
        <v>40860.333290913724</v>
      </c>
      <c r="AB5" s="51">
        <f t="shared" ref="AB5:AB24" si="8">Z5/(1+GasDiscountRate)^1</f>
        <v>39254.752968538291</v>
      </c>
      <c r="AC5" s="44">
        <f t="shared" ref="AC5:AC24" si="9">AA5/(1+GasDiscountRate)^1</f>
        <v>38197.937076669834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0.81631028243869175</v>
      </c>
      <c r="AP5" s="47">
        <f>AN5/AC5</f>
        <v>0.922784501695463</v>
      </c>
    </row>
    <row r="6" spans="1:42" ht="13.5" customHeight="1">
      <c r="A6" s="53">
        <f>SUMIF('Program Costs'!D:D,C2,'Program Costs'!L:L)</f>
        <v>68202.69</v>
      </c>
      <c r="B6" s="97" t="s">
        <v>102</v>
      </c>
      <c r="C6" s="98">
        <v>18230673</v>
      </c>
      <c r="D6" s="61" t="s">
        <v>103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3.635467039959277</v>
      </c>
      <c r="V6" s="48">
        <f t="shared" si="2"/>
        <v>0</v>
      </c>
      <c r="W6" s="49">
        <f t="shared" si="3"/>
        <v>0.24236446933061848</v>
      </c>
      <c r="X6" s="44">
        <f t="shared" si="4"/>
        <v>31616.687388648512</v>
      </c>
      <c r="Y6" s="44">
        <f t="shared" si="5"/>
        <v>0</v>
      </c>
      <c r="Z6" s="44">
        <f t="shared" si="6"/>
        <v>48146.59615741919</v>
      </c>
      <c r="AA6" s="50">
        <f t="shared" si="7"/>
        <v>41968.687388648512</v>
      </c>
      <c r="AB6" s="51">
        <f t="shared" si="8"/>
        <v>45009.438307393837</v>
      </c>
      <c r="AC6" s="44">
        <f t="shared" si="9"/>
        <v>39234.072533091996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0.81631028243869186</v>
      </c>
      <c r="AP6" s="47">
        <f t="shared" ref="AP6:AP24" si="17">AN6/AC6</f>
        <v>1.0301207959672896</v>
      </c>
    </row>
    <row r="7" spans="1:42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0.5535759735301603</v>
      </c>
      <c r="V7" s="48">
        <f t="shared" si="2"/>
        <v>0</v>
      </c>
      <c r="W7" s="49">
        <f t="shared" si="3"/>
        <v>3.690506490201069E-2</v>
      </c>
      <c r="X7" s="44">
        <f t="shared" si="4"/>
        <v>4814.3026215321961</v>
      </c>
      <c r="Y7" s="44">
        <f t="shared" si="5"/>
        <v>0</v>
      </c>
      <c r="Z7" s="44">
        <f t="shared" si="6"/>
        <v>7331.3273224739114</v>
      </c>
      <c r="AA7" s="50">
        <f t="shared" si="7"/>
        <v>7134.9926215321957</v>
      </c>
      <c r="AB7" s="51">
        <f t="shared" si="8"/>
        <v>6853.6293563372074</v>
      </c>
      <c r="AC7" s="44">
        <f t="shared" si="9"/>
        <v>6670.0875212977426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0.81631028243869197</v>
      </c>
      <c r="AP7" s="47">
        <f t="shared" si="17"/>
        <v>0.92265010129350566</v>
      </c>
    </row>
    <row r="8" spans="1:42" ht="13.5" customHeight="1">
      <c r="A8" s="53">
        <f>SUMIF('Program Costs'!D:D,C2,'Program Costs'!O:O)</f>
        <v>130451</v>
      </c>
      <c r="B8" s="97" t="s">
        <v>102</v>
      </c>
      <c r="C8" s="98">
        <v>18230673</v>
      </c>
      <c r="D8" s="61" t="s">
        <v>103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7.6403028760498852</v>
      </c>
      <c r="V8" s="48">
        <f t="shared" si="2"/>
        <v>0</v>
      </c>
      <c r="W8" s="49">
        <f t="shared" si="3"/>
        <v>0.50935352506999232</v>
      </c>
      <c r="X8" s="44">
        <f t="shared" si="4"/>
        <v>66445.676698905561</v>
      </c>
      <c r="Y8" s="44">
        <f t="shared" si="5"/>
        <v>0</v>
      </c>
      <c r="Z8" s="44">
        <f t="shared" si="6"/>
        <v>101184.95726966148</v>
      </c>
      <c r="AA8" s="50">
        <f t="shared" si="7"/>
        <v>108689.67669890556</v>
      </c>
      <c r="AB8" s="51">
        <f t="shared" si="8"/>
        <v>94591.901719791975</v>
      </c>
      <c r="AC8" s="44">
        <f t="shared" si="9"/>
        <v>101607.62522100173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0.81631028243869197</v>
      </c>
      <c r="AP8" s="47">
        <f t="shared" si="17"/>
        <v>0.83594096432705356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15716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68202.69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198653.69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198653.69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0.81631028243869186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0.89794131068256111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2.018641133725195E-2</v>
      </c>
      <c r="V5" s="48">
        <f t="shared" ref="V5:V24" si="2">N5-M5</f>
        <v>1566.5500000000002</v>
      </c>
      <c r="W5" s="49">
        <f t="shared" ref="W5:W24" si="3">(O5/A$10)</f>
        <v>8.4110047238549791E-4</v>
      </c>
      <c r="X5" s="44">
        <f t="shared" ref="X5:X24" si="4">W5*A$8</f>
        <v>370.00855086212806</v>
      </c>
      <c r="Y5" s="44">
        <f t="shared" ref="Y5:Y24" si="5">Q5-P5</f>
        <v>1566.5500000000002</v>
      </c>
      <c r="Z5" s="44">
        <f t="shared" ref="Z5:Z24" si="6">X5+(A$6*W5)</f>
        <v>1289.9339736129177</v>
      </c>
      <c r="AA5" s="50">
        <f t="shared" ref="AA5:AA24" si="7">Q5+X5</f>
        <v>3742.5585508621284</v>
      </c>
      <c r="AB5" s="51">
        <f t="shared" ref="AB5:AB24" si="8">Z5/(1+GasDiscountRate)^1</f>
        <v>1205.88386801245</v>
      </c>
      <c r="AC5" s="44">
        <f t="shared" ref="AC5:AC24" si="9">AA5/(1+GasDiscountRate)^1</f>
        <v>3498.6992155390558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3.5913160736795442</v>
      </c>
      <c r="AP5" s="47">
        <f>AN5/AC5</f>
        <v>1.3615863601090956</v>
      </c>
    </row>
    <row r="6" spans="1:42" ht="13.5" customHeight="1">
      <c r="A6" s="53">
        <f>SUMIF('Program Costs'!D:D,C2,'Program Costs'!L:L)</f>
        <v>1093716.45</v>
      </c>
      <c r="B6" s="97" t="s">
        <v>141</v>
      </c>
      <c r="C6" s="98">
        <v>18230731</v>
      </c>
      <c r="D6" s="61" t="s">
        <v>142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0.26372411904505755</v>
      </c>
      <c r="V6" s="48">
        <f t="shared" si="2"/>
        <v>14697</v>
      </c>
      <c r="W6" s="49">
        <f t="shared" si="3"/>
        <v>1.758160793633717E-2</v>
      </c>
      <c r="X6" s="44">
        <f t="shared" si="4"/>
        <v>7734.3260263544826</v>
      </c>
      <c r="Y6" s="44">
        <f t="shared" si="5"/>
        <v>14697</v>
      </c>
      <c r="Z6" s="44">
        <f t="shared" si="6"/>
        <v>26963.619843777</v>
      </c>
      <c r="AA6" s="50">
        <f t="shared" si="7"/>
        <v>49396.32602635448</v>
      </c>
      <c r="AB6" s="51">
        <f t="shared" si="8"/>
        <v>25206.712016244739</v>
      </c>
      <c r="AC6" s="44">
        <f t="shared" si="9"/>
        <v>46177.737708099914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2.4373007899803558</v>
      </c>
      <c r="AP6" s="47">
        <f t="shared" ref="AP6:AP24" si="17">AN6/AC6</f>
        <v>1.4634751803604851</v>
      </c>
    </row>
    <row r="7" spans="1:42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1.3060040881395052</v>
      </c>
      <c r="V7" s="48">
        <f t="shared" si="2"/>
        <v>31696</v>
      </c>
      <c r="W7" s="49">
        <f t="shared" si="3"/>
        <v>8.7066939209300351E-2</v>
      </c>
      <c r="X7" s="44">
        <f t="shared" si="4"/>
        <v>38301.62158091028</v>
      </c>
      <c r="Y7" s="44">
        <f t="shared" si="5"/>
        <v>31696</v>
      </c>
      <c r="Z7" s="44">
        <f t="shared" si="6"/>
        <v>133528.16524527207</v>
      </c>
      <c r="AA7" s="50">
        <f t="shared" si="7"/>
        <v>143956.62158091029</v>
      </c>
      <c r="AB7" s="51">
        <f t="shared" si="8"/>
        <v>124827.67621321123</v>
      </c>
      <c r="AC7" s="44">
        <f t="shared" si="9"/>
        <v>134576.63043929165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2.0637738641826138</v>
      </c>
      <c r="AP7" s="47">
        <f t="shared" si="17"/>
        <v>2.1056977302820497</v>
      </c>
    </row>
    <row r="8" spans="1:42" ht="13.5" customHeight="1">
      <c r="A8" s="53">
        <f>SUMIF('Program Costs'!D:D,C2,'Program Costs'!O:O)</f>
        <v>439910.05000000005</v>
      </c>
      <c r="B8" s="97" t="s">
        <v>141</v>
      </c>
      <c r="C8" s="98">
        <v>18230731</v>
      </c>
      <c r="D8" s="61" t="s">
        <v>142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2.5122497481588701</v>
      </c>
      <c r="V8" s="48">
        <f t="shared" si="2"/>
        <v>70846.97</v>
      </c>
      <c r="W8" s="49">
        <f t="shared" si="3"/>
        <v>0.16748331654392468</v>
      </c>
      <c r="X8" s="44">
        <f t="shared" si="4"/>
        <v>73677.594155003739</v>
      </c>
      <c r="Y8" s="44">
        <f t="shared" si="5"/>
        <v>70846.97</v>
      </c>
      <c r="Z8" s="44">
        <f t="shared" si="6"/>
        <v>256856.85255965131</v>
      </c>
      <c r="AA8" s="50">
        <f t="shared" si="7"/>
        <v>236010.69415500376</v>
      </c>
      <c r="AB8" s="51">
        <f t="shared" si="8"/>
        <v>240120.45672585891</v>
      </c>
      <c r="AC8" s="44">
        <f t="shared" si="9"/>
        <v>220632.60180892187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2.0637738641826142</v>
      </c>
      <c r="AP8" s="47">
        <f t="shared" si="17"/>
        <v>2.4706673023923837</v>
      </c>
    </row>
    <row r="9" spans="1:42" ht="13.5" customHeight="1">
      <c r="A9" s="36" t="s">
        <v>317</v>
      </c>
      <c r="B9" s="97" t="s">
        <v>141</v>
      </c>
      <c r="C9" s="98">
        <v>18230731</v>
      </c>
      <c r="D9" s="61" t="s">
        <v>142</v>
      </c>
      <c r="E9" s="38" t="s">
        <v>997</v>
      </c>
      <c r="F9" s="39" t="s">
        <v>998</v>
      </c>
      <c r="G9" s="39">
        <v>15</v>
      </c>
      <c r="H9" s="39"/>
      <c r="I9" s="40" t="s">
        <v>270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2.59684880729997</v>
      </c>
      <c r="V9" s="48">
        <f t="shared" si="2"/>
        <v>348219</v>
      </c>
      <c r="W9" s="49">
        <f t="shared" si="3"/>
        <v>0.17312325381999799</v>
      </c>
      <c r="X9" s="44">
        <f t="shared" si="4"/>
        <v>76158.659244118011</v>
      </c>
      <c r="Y9" s="44">
        <f t="shared" si="5"/>
        <v>348219</v>
      </c>
      <c r="Z9" s="44">
        <f t="shared" si="6"/>
        <v>265506.40982457512</v>
      </c>
      <c r="AA9" s="50">
        <f t="shared" si="7"/>
        <v>681053.65924411803</v>
      </c>
      <c r="AB9" s="51">
        <f t="shared" si="8"/>
        <v>248206.42219741526</v>
      </c>
      <c r="AC9" s="44">
        <f t="shared" si="9"/>
        <v>636677.25459859578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2.0637738641826142</v>
      </c>
      <c r="AP9" s="47">
        <f t="shared" si="17"/>
        <v>0.88501060103659301</v>
      </c>
    </row>
    <row r="10" spans="1:42" ht="13.5" customHeight="1">
      <c r="A10" s="54">
        <f>SUM(O5:O999)</f>
        <v>306741</v>
      </c>
      <c r="B10" s="97" t="s">
        <v>141</v>
      </c>
      <c r="C10" s="98">
        <v>18230731</v>
      </c>
      <c r="D10" s="61" t="s">
        <v>142</v>
      </c>
      <c r="E10" s="38" t="s">
        <v>999</v>
      </c>
      <c r="F10" s="39" t="s">
        <v>1000</v>
      </c>
      <c r="G10" s="39">
        <v>30</v>
      </c>
      <c r="H10" s="39"/>
      <c r="I10" s="40" t="s">
        <v>275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0.17907615871370308</v>
      </c>
      <c r="V10" s="48">
        <f t="shared" si="2"/>
        <v>48067</v>
      </c>
      <c r="W10" s="49">
        <f t="shared" si="3"/>
        <v>5.9692052904567697E-3</v>
      </c>
      <c r="X10" s="44">
        <f t="shared" si="4"/>
        <v>2625.9133977851025</v>
      </c>
      <c r="Y10" s="44">
        <f t="shared" si="5"/>
        <v>48067</v>
      </c>
      <c r="Z10" s="44">
        <f t="shared" si="6"/>
        <v>9154.5314173847</v>
      </c>
      <c r="AA10" s="50">
        <f t="shared" si="7"/>
        <v>59685.913397785102</v>
      </c>
      <c r="AB10" s="51">
        <f t="shared" si="8"/>
        <v>8558.03628810386</v>
      </c>
      <c r="AC10" s="44">
        <f t="shared" si="9"/>
        <v>55796.871457217065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4.2558228068280703</v>
      </c>
      <c r="AP10" s="47">
        <f t="shared" si="17"/>
        <v>0.71802654112876929</v>
      </c>
    </row>
    <row r="11" spans="1:42" ht="13.5" customHeight="1">
      <c r="A11" s="36" t="s">
        <v>252</v>
      </c>
      <c r="B11" s="97" t="s">
        <v>141</v>
      </c>
      <c r="C11" s="98">
        <v>18230731</v>
      </c>
      <c r="D11" s="61" t="s">
        <v>142</v>
      </c>
      <c r="E11" s="38" t="s">
        <v>1001</v>
      </c>
      <c r="F11" s="39" t="s">
        <v>1002</v>
      </c>
      <c r="G11" s="39">
        <v>15</v>
      </c>
      <c r="H11" s="39"/>
      <c r="I11" s="40" t="s">
        <v>270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9.384138409928898E-2</v>
      </c>
      <c r="V11" s="48">
        <f t="shared" si="2"/>
        <v>6755</v>
      </c>
      <c r="W11" s="49">
        <f t="shared" si="3"/>
        <v>6.2560922732859316E-3</v>
      </c>
      <c r="X11" s="44">
        <f t="shared" si="4"/>
        <v>2752.1178647458282</v>
      </c>
      <c r="Y11" s="44">
        <f t="shared" si="5"/>
        <v>6755</v>
      </c>
      <c r="Z11" s="44">
        <f t="shared" si="6"/>
        <v>9594.5088967565462</v>
      </c>
      <c r="AA11" s="50">
        <f t="shared" si="7"/>
        <v>19102.117864745829</v>
      </c>
      <c r="AB11" s="51">
        <f t="shared" si="8"/>
        <v>8969.3455144026793</v>
      </c>
      <c r="AC11" s="44">
        <f t="shared" si="9"/>
        <v>17857.453365191948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2.0637738641826142</v>
      </c>
      <c r="AP11" s="47">
        <f t="shared" si="17"/>
        <v>1.1402393454534849</v>
      </c>
    </row>
    <row r="12" spans="1:42" ht="13.5" customHeight="1">
      <c r="A12" s="55">
        <f>SUM(P5:P1000)</f>
        <v>1090356.1299999999</v>
      </c>
      <c r="B12" s="97" t="s">
        <v>141</v>
      </c>
      <c r="C12" s="98">
        <v>18230731</v>
      </c>
      <c r="D12" s="61" t="s">
        <v>142</v>
      </c>
      <c r="E12" s="38" t="s">
        <v>1003</v>
      </c>
      <c r="F12" s="39" t="s">
        <v>1004</v>
      </c>
      <c r="G12" s="39">
        <v>10</v>
      </c>
      <c r="H12" s="39"/>
      <c r="I12" s="40" t="s">
        <v>270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0.17901095712669648</v>
      </c>
      <c r="V12" s="48">
        <f t="shared" si="2"/>
        <v>0</v>
      </c>
      <c r="W12" s="49">
        <f t="shared" si="3"/>
        <v>1.7901095712669648E-2</v>
      </c>
      <c r="X12" s="44">
        <f t="shared" si="4"/>
        <v>7874.8719100152912</v>
      </c>
      <c r="Y12" s="44">
        <f t="shared" si="5"/>
        <v>0</v>
      </c>
      <c r="Z12" s="44">
        <f t="shared" si="6"/>
        <v>27453.594763986559</v>
      </c>
      <c r="AA12" s="50">
        <f t="shared" si="7"/>
        <v>33678.871910015288</v>
      </c>
      <c r="AB12" s="51">
        <f t="shared" si="8"/>
        <v>25664.760927350246</v>
      </c>
      <c r="AC12" s="44">
        <f t="shared" si="9"/>
        <v>31484.408628601745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1.4364231019378741</v>
      </c>
      <c r="AP12" s="47">
        <f t="shared" si="17"/>
        <v>1.2880026279132686</v>
      </c>
    </row>
    <row r="13" spans="1:42" ht="13.5" customHeight="1">
      <c r="A13" s="56" t="s">
        <v>255</v>
      </c>
      <c r="B13" s="97" t="s">
        <v>141</v>
      </c>
      <c r="C13" s="98">
        <v>18230731</v>
      </c>
      <c r="D13" s="61" t="s">
        <v>142</v>
      </c>
      <c r="E13" s="38" t="s">
        <v>1003</v>
      </c>
      <c r="F13" s="39" t="s">
        <v>1004</v>
      </c>
      <c r="G13" s="39">
        <v>10</v>
      </c>
      <c r="H13" s="39"/>
      <c r="I13" s="40" t="s">
        <v>270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9.7541574161915098E-2</v>
      </c>
      <c r="V13" s="48">
        <f t="shared" si="2"/>
        <v>0</v>
      </c>
      <c r="W13" s="49">
        <f t="shared" si="3"/>
        <v>9.7541574161915095E-3</v>
      </c>
      <c r="X13" s="44">
        <f t="shared" si="4"/>
        <v>4290.9518766646779</v>
      </c>
      <c r="Y13" s="44">
        <f t="shared" si="5"/>
        <v>0</v>
      </c>
      <c r="Z13" s="44">
        <f t="shared" si="6"/>
        <v>14959.234298642828</v>
      </c>
      <c r="AA13" s="50">
        <f t="shared" si="7"/>
        <v>9868.9518766646779</v>
      </c>
      <c r="AB13" s="51">
        <f t="shared" si="8"/>
        <v>13984.513694159883</v>
      </c>
      <c r="AC13" s="44">
        <f t="shared" si="9"/>
        <v>9225.9062135782715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1.4364231019378746</v>
      </c>
      <c r="AP13" s="47">
        <f t="shared" si="17"/>
        <v>2.3950434658768867</v>
      </c>
    </row>
    <row r="14" spans="1:42" ht="13.5" customHeight="1">
      <c r="A14" s="55">
        <f>SUM(Y5:Y1000)</f>
        <v>1167670.97</v>
      </c>
      <c r="B14" s="97" t="s">
        <v>141</v>
      </c>
      <c r="C14" s="98">
        <v>18230731</v>
      </c>
      <c r="D14" s="61" t="s">
        <v>142</v>
      </c>
      <c r="E14" s="38" t="s">
        <v>1005</v>
      </c>
      <c r="F14" s="39" t="s">
        <v>1006</v>
      </c>
      <c r="G14" s="39">
        <v>15</v>
      </c>
      <c r="H14" s="39"/>
      <c r="I14" s="40" t="s">
        <v>275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0.20763445382260604</v>
      </c>
      <c r="V14" s="48">
        <f t="shared" si="2"/>
        <v>68652</v>
      </c>
      <c r="W14" s="49">
        <f t="shared" si="3"/>
        <v>1.3842296921507069E-2</v>
      </c>
      <c r="X14" s="44">
        <f t="shared" si="4"/>
        <v>6089.3655308550215</v>
      </c>
      <c r="Y14" s="44">
        <f t="shared" si="5"/>
        <v>68652</v>
      </c>
      <c r="Z14" s="44">
        <f t="shared" si="6"/>
        <v>21228.913379691661</v>
      </c>
      <c r="AA14" s="50">
        <f t="shared" si="7"/>
        <v>100631.36553085502</v>
      </c>
      <c r="AB14" s="51">
        <f t="shared" si="8"/>
        <v>19845.67016891807</v>
      </c>
      <c r="AC14" s="44">
        <f t="shared" si="9"/>
        <v>94074.38116374219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2.4373007899803563</v>
      </c>
      <c r="AP14" s="47">
        <f t="shared" si="17"/>
        <v>0.56558282584738129</v>
      </c>
    </row>
    <row r="15" spans="1:42" ht="13.5" customHeight="1">
      <c r="A15" s="57" t="s">
        <v>258</v>
      </c>
      <c r="B15" s="97" t="s">
        <v>141</v>
      </c>
      <c r="C15" s="98">
        <v>18230731</v>
      </c>
      <c r="D15" s="61" t="s">
        <v>142</v>
      </c>
      <c r="E15" s="38" t="s">
        <v>1007</v>
      </c>
      <c r="F15" s="39" t="s">
        <v>1008</v>
      </c>
      <c r="G15" s="39">
        <v>10</v>
      </c>
      <c r="H15" s="39"/>
      <c r="I15" s="40" t="s">
        <v>270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0.35029552619310755</v>
      </c>
      <c r="V15" s="48">
        <f t="shared" si="2"/>
        <v>54235</v>
      </c>
      <c r="W15" s="49">
        <f t="shared" si="3"/>
        <v>3.5029552619310754E-2</v>
      </c>
      <c r="X15" s="44">
        <f t="shared" si="4"/>
        <v>15409.852244238626</v>
      </c>
      <c r="Y15" s="44">
        <f t="shared" si="5"/>
        <v>54235</v>
      </c>
      <c r="Z15" s="44">
        <f t="shared" si="6"/>
        <v>53722.250180119379</v>
      </c>
      <c r="AA15" s="50">
        <f t="shared" si="7"/>
        <v>112023.85224423863</v>
      </c>
      <c r="AB15" s="51">
        <f t="shared" si="8"/>
        <v>50221.791324782062</v>
      </c>
      <c r="AC15" s="44">
        <f t="shared" si="9"/>
        <v>104724.55103696235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1.4364231019378748</v>
      </c>
      <c r="AP15" s="47">
        <f t="shared" si="17"/>
        <v>0.75773746100448169</v>
      </c>
    </row>
    <row r="16" spans="1:42" ht="13.5" customHeight="1">
      <c r="A16" s="54">
        <f>SUM(U5:U999)</f>
        <v>16.702426477060452</v>
      </c>
      <c r="B16" s="97" t="s">
        <v>141</v>
      </c>
      <c r="C16" s="98">
        <v>18230731</v>
      </c>
      <c r="D16" s="61" t="s">
        <v>142</v>
      </c>
      <c r="E16" s="38" t="s">
        <v>1013</v>
      </c>
      <c r="F16" s="39" t="s">
        <v>1014</v>
      </c>
      <c r="G16" s="39">
        <v>15</v>
      </c>
      <c r="H16" s="39"/>
      <c r="I16" s="40" t="s">
        <v>270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0.20714544192005632</v>
      </c>
      <c r="V16" s="48">
        <f t="shared" si="2"/>
        <v>44907</v>
      </c>
      <c r="W16" s="49">
        <f t="shared" si="3"/>
        <v>1.3809696128003755E-2</v>
      </c>
      <c r="X16" s="44">
        <f t="shared" si="4"/>
        <v>6075.0241141549386</v>
      </c>
      <c r="Y16" s="44">
        <f t="shared" si="5"/>
        <v>44907</v>
      </c>
      <c r="Z16" s="44">
        <f t="shared" si="6"/>
        <v>21178.915938853952</v>
      </c>
      <c r="AA16" s="50">
        <f t="shared" si="7"/>
        <v>80634.024114154934</v>
      </c>
      <c r="AB16" s="51">
        <f t="shared" si="8"/>
        <v>19798.930484111388</v>
      </c>
      <c r="AC16" s="44">
        <f t="shared" si="9"/>
        <v>75380.035630695449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2.0637738641826138</v>
      </c>
      <c r="AP16" s="47">
        <f t="shared" si="17"/>
        <v>0.59626619200963338</v>
      </c>
    </row>
    <row r="17" spans="1:42" ht="13.5" customHeight="1">
      <c r="A17" s="58" t="s">
        <v>261</v>
      </c>
      <c r="B17" s="97" t="s">
        <v>141</v>
      </c>
      <c r="C17" s="98">
        <v>18230731</v>
      </c>
      <c r="D17" s="61" t="s">
        <v>142</v>
      </c>
      <c r="E17" s="38" t="s">
        <v>1021</v>
      </c>
      <c r="F17" s="39" t="s">
        <v>1022</v>
      </c>
      <c r="G17" s="39">
        <v>24</v>
      </c>
      <c r="H17" s="39"/>
      <c r="I17" s="40" t="s">
        <v>269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0.19443113245376392</v>
      </c>
      <c r="V17" s="48">
        <f t="shared" si="2"/>
        <v>41539</v>
      </c>
      <c r="W17" s="49">
        <f t="shared" si="3"/>
        <v>8.1012971855734962E-3</v>
      </c>
      <c r="X17" s="44">
        <f t="shared" si="4"/>
        <v>3563.8420499704962</v>
      </c>
      <c r="Y17" s="44">
        <f t="shared" si="5"/>
        <v>41539</v>
      </c>
      <c r="Z17" s="44">
        <f t="shared" si="6"/>
        <v>12424.36404817093</v>
      </c>
      <c r="AA17" s="50">
        <f t="shared" si="7"/>
        <v>57527.842049970495</v>
      </c>
      <c r="AB17" s="51">
        <f t="shared" si="8"/>
        <v>11614.811674460998</v>
      </c>
      <c r="AC17" s="44">
        <f t="shared" si="9"/>
        <v>53779.416705590811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3.2426989226682257</v>
      </c>
      <c r="AP17" s="47">
        <f t="shared" si="17"/>
        <v>0.77036296732164011</v>
      </c>
    </row>
    <row r="18" spans="1:42" ht="13.5" customHeight="1">
      <c r="A18" s="59">
        <f>A6+A8</f>
        <v>1533626.5</v>
      </c>
      <c r="B18" s="97" t="s">
        <v>141</v>
      </c>
      <c r="C18" s="98">
        <v>18230731</v>
      </c>
      <c r="D18" s="61" t="s">
        <v>142</v>
      </c>
      <c r="E18" s="38" t="s">
        <v>1021</v>
      </c>
      <c r="F18" s="39" t="s">
        <v>1022</v>
      </c>
      <c r="G18" s="39">
        <v>24</v>
      </c>
      <c r="H18" s="39"/>
      <c r="I18" s="40" t="s">
        <v>269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0.84485608379707966</v>
      </c>
      <c r="V18" s="48">
        <f t="shared" si="2"/>
        <v>139436</v>
      </c>
      <c r="W18" s="49">
        <f t="shared" si="3"/>
        <v>3.5202336824878319E-2</v>
      </c>
      <c r="X18" s="44">
        <f t="shared" si="4"/>
        <v>15485.861752749064</v>
      </c>
      <c r="Y18" s="44">
        <f t="shared" si="5"/>
        <v>139436</v>
      </c>
      <c r="Z18" s="44">
        <f t="shared" si="6"/>
        <v>53987.236616559247</v>
      </c>
      <c r="AA18" s="50">
        <f t="shared" si="7"/>
        <v>202712.86175274907</v>
      </c>
      <c r="AB18" s="51">
        <f t="shared" si="8"/>
        <v>50469.511654257498</v>
      </c>
      <c r="AC18" s="44">
        <f t="shared" si="9"/>
        <v>189504.40474221655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3.2426989226682252</v>
      </c>
      <c r="AP18" s="47">
        <f t="shared" si="17"/>
        <v>0.94996828395953936</v>
      </c>
    </row>
    <row r="19" spans="1:42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1021</v>
      </c>
      <c r="F19" s="39" t="s">
        <v>1022</v>
      </c>
      <c r="G19" s="39">
        <v>24</v>
      </c>
      <c r="H19" s="39"/>
      <c r="I19" s="40" t="s">
        <v>269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0.42180210666327617</v>
      </c>
      <c r="V19" s="48">
        <f t="shared" si="2"/>
        <v>40771</v>
      </c>
      <c r="W19" s="49">
        <f t="shared" si="3"/>
        <v>1.7575087777636507E-2</v>
      </c>
      <c r="X19" s="44">
        <f t="shared" si="4"/>
        <v>7731.4577430144654</v>
      </c>
      <c r="Y19" s="44">
        <f t="shared" si="5"/>
        <v>40771</v>
      </c>
      <c r="Z19" s="44">
        <f t="shared" si="6"/>
        <v>26953.620355609455</v>
      </c>
      <c r="AA19" s="50">
        <f t="shared" si="7"/>
        <v>75457.457743014471</v>
      </c>
      <c r="AB19" s="51">
        <f t="shared" si="8"/>
        <v>25197.364079283401</v>
      </c>
      <c r="AC19" s="44">
        <f t="shared" si="9"/>
        <v>70540.766329825623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3.2426989226682252</v>
      </c>
      <c r="AP19" s="47">
        <f t="shared" si="17"/>
        <v>1.2741314925489644</v>
      </c>
    </row>
    <row r="20" spans="1:42" ht="13.5" customHeight="1">
      <c r="A20" s="59">
        <f>A8+SUM(Q5:Q906)</f>
        <v>2697937.1500000004</v>
      </c>
      <c r="B20" s="97" t="s">
        <v>141</v>
      </c>
      <c r="C20" s="98">
        <v>18230731</v>
      </c>
      <c r="D20" s="61" t="s">
        <v>142</v>
      </c>
      <c r="E20" s="38" t="s">
        <v>1021</v>
      </c>
      <c r="F20" s="39" t="s">
        <v>1022</v>
      </c>
      <c r="G20" s="39">
        <v>24</v>
      </c>
      <c r="H20" s="39"/>
      <c r="I20" s="40" t="s">
        <v>269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0.30663002337476897</v>
      </c>
      <c r="V20" s="48">
        <f t="shared" si="2"/>
        <v>23276</v>
      </c>
      <c r="W20" s="49">
        <f t="shared" si="3"/>
        <v>1.2776250973948706E-2</v>
      </c>
      <c r="X20" s="44">
        <f t="shared" si="4"/>
        <v>5620.4012047623246</v>
      </c>
      <c r="Y20" s="44">
        <f t="shared" si="5"/>
        <v>23276</v>
      </c>
      <c r="Z20" s="44">
        <f t="shared" si="6"/>
        <v>19593.997064298546</v>
      </c>
      <c r="AA20" s="50">
        <f t="shared" si="7"/>
        <v>48491.401204762326</v>
      </c>
      <c r="AB20" s="51">
        <f t="shared" si="8"/>
        <v>18317.282475739503</v>
      </c>
      <c r="AC20" s="44">
        <f t="shared" si="9"/>
        <v>45331.776390354607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3.2426989226682248</v>
      </c>
      <c r="AP20" s="47">
        <f t="shared" si="17"/>
        <v>1.441310722145472</v>
      </c>
    </row>
    <row r="21" spans="1:42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1023</v>
      </c>
      <c r="F21" s="39" t="s">
        <v>1024</v>
      </c>
      <c r="G21" s="39">
        <v>30</v>
      </c>
      <c r="H21" s="39"/>
      <c r="I21" s="40" t="s">
        <v>269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0.58681428305964967</v>
      </c>
      <c r="V21" s="48">
        <f t="shared" si="2"/>
        <v>65197</v>
      </c>
      <c r="W21" s="49">
        <f t="shared" si="3"/>
        <v>1.9560476101988321E-2</v>
      </c>
      <c r="X21" s="44">
        <f t="shared" si="4"/>
        <v>8604.8500200494891</v>
      </c>
      <c r="Y21" s="44">
        <f t="shared" si="5"/>
        <v>65197</v>
      </c>
      <c r="Z21" s="44">
        <f t="shared" si="6"/>
        <v>29998.464502625993</v>
      </c>
      <c r="AA21" s="50">
        <f t="shared" si="7"/>
        <v>103801.85002004949</v>
      </c>
      <c r="AB21" s="51">
        <f t="shared" si="8"/>
        <v>28043.810884010461</v>
      </c>
      <c r="AC21" s="44">
        <f t="shared" si="9"/>
        <v>97038.281779984551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3.8662793783824596</v>
      </c>
      <c r="AP21" s="47">
        <f t="shared" si="17"/>
        <v>1.229079145833748</v>
      </c>
    </row>
    <row r="22" spans="1:42" ht="13.5" customHeight="1">
      <c r="A22" s="60">
        <f>(SUM(AM5:AM1000)/(SUM(AB5:AB1000)))</f>
        <v>2.2847297710262722</v>
      </c>
      <c r="B22" s="97" t="s">
        <v>141</v>
      </c>
      <c r="C22" s="98">
        <v>18230731</v>
      </c>
      <c r="D22" s="61" t="s">
        <v>142</v>
      </c>
      <c r="E22" s="38" t="s">
        <v>1025</v>
      </c>
      <c r="F22" s="39" t="s">
        <v>1026</v>
      </c>
      <c r="G22" s="39">
        <v>15</v>
      </c>
      <c r="H22" s="39"/>
      <c r="I22" s="40" t="s">
        <v>270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0.34543800796111379</v>
      </c>
      <c r="V22" s="48">
        <f t="shared" si="2"/>
        <v>5588.33</v>
      </c>
      <c r="W22" s="49">
        <f t="shared" si="3"/>
        <v>2.302920053074092E-2</v>
      </c>
      <c r="X22" s="44">
        <f t="shared" si="4"/>
        <v>10130.776756938265</v>
      </c>
      <c r="Y22" s="44">
        <f t="shared" si="5"/>
        <v>5588.33</v>
      </c>
      <c r="Z22" s="44">
        <f t="shared" si="6"/>
        <v>35318.192207758337</v>
      </c>
      <c r="AA22" s="50">
        <f t="shared" si="7"/>
        <v>25330.106756938265</v>
      </c>
      <c r="AB22" s="51">
        <f t="shared" si="8"/>
        <v>33016.913347441652</v>
      </c>
      <c r="AC22" s="44">
        <f t="shared" si="9"/>
        <v>23679.636119415034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2.0637738641826138</v>
      </c>
      <c r="AP22" s="47">
        <f t="shared" si="17"/>
        <v>3.1653099206714921</v>
      </c>
    </row>
    <row r="23" spans="1:42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1025</v>
      </c>
      <c r="F23" s="39" t="s">
        <v>1026</v>
      </c>
      <c r="G23" s="39">
        <v>15</v>
      </c>
      <c r="H23" s="39"/>
      <c r="I23" s="40" t="s">
        <v>270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0.23012900133989261</v>
      </c>
      <c r="V23" s="48">
        <f t="shared" si="2"/>
        <v>1939.5</v>
      </c>
      <c r="W23" s="49">
        <f t="shared" si="3"/>
        <v>1.5341933422659508E-2</v>
      </c>
      <c r="X23" s="44">
        <f t="shared" si="4"/>
        <v>6749.070699058816</v>
      </c>
      <c r="Y23" s="44">
        <f t="shared" si="5"/>
        <v>1939.5</v>
      </c>
      <c r="Z23" s="44">
        <f t="shared" si="6"/>
        <v>23528.795658226321</v>
      </c>
      <c r="AA23" s="50">
        <f t="shared" si="7"/>
        <v>12187.570699058815</v>
      </c>
      <c r="AB23" s="51">
        <f t="shared" si="8"/>
        <v>21995.69567002554</v>
      </c>
      <c r="AC23" s="44">
        <f t="shared" si="9"/>
        <v>11393.44741428327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2.0637738641826138</v>
      </c>
      <c r="AP23" s="47">
        <f t="shared" si="17"/>
        <v>4.3826555929460023</v>
      </c>
    </row>
    <row r="24" spans="1:42" ht="13.5" customHeight="1">
      <c r="A24" s="60">
        <f>(SUM(AN5:AN1000)/SUM(AC5:AC1000))</f>
        <v>1.4286153161141304</v>
      </c>
      <c r="B24" s="97" t="s">
        <v>141</v>
      </c>
      <c r="C24" s="98">
        <v>18230731</v>
      </c>
      <c r="D24" s="61" t="s">
        <v>142</v>
      </c>
      <c r="E24" s="38" t="s">
        <v>1027</v>
      </c>
      <c r="F24" s="39" t="s">
        <v>1028</v>
      </c>
      <c r="G24" s="39">
        <v>20</v>
      </c>
      <c r="H24" s="39"/>
      <c r="I24" s="40" t="s">
        <v>270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1.8581800281018839</v>
      </c>
      <c r="V24" s="48">
        <f t="shared" si="2"/>
        <v>65817.040000000008</v>
      </c>
      <c r="W24" s="49">
        <f t="shared" si="3"/>
        <v>9.2909001405094199E-2</v>
      </c>
      <c r="X24" s="44">
        <f t="shared" si="4"/>
        <v>40871.603453565061</v>
      </c>
      <c r="Y24" s="44">
        <f t="shared" si="5"/>
        <v>65817.040000000008</v>
      </c>
      <c r="Z24" s="44">
        <f t="shared" si="6"/>
        <v>142487.70664338968</v>
      </c>
      <c r="AA24" s="50">
        <f t="shared" si="7"/>
        <v>193675.64345356508</v>
      </c>
      <c r="AB24" s="51">
        <f t="shared" si="8"/>
        <v>133203.427730569</v>
      </c>
      <c r="AC24" s="44">
        <f t="shared" si="9"/>
        <v>181056.03763070493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2.6641987072523188</v>
      </c>
      <c r="AP24" s="47">
        <f t="shared" si="17"/>
        <v>2.1560641946319374</v>
      </c>
    </row>
    <row r="25" spans="1:42" ht="13.5" customHeight="1">
      <c r="B25" s="97" t="s">
        <v>141</v>
      </c>
      <c r="C25" s="98">
        <v>18230731</v>
      </c>
      <c r="D25" s="61" t="s">
        <v>142</v>
      </c>
      <c r="E25" s="38" t="s">
        <v>1027</v>
      </c>
      <c r="F25" s="39" t="s">
        <v>1028</v>
      </c>
      <c r="G25" s="39">
        <v>20</v>
      </c>
      <c r="H25" s="39"/>
      <c r="I25" s="40" t="s">
        <v>270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2.037353989196097</v>
      </c>
      <c r="V25" s="48">
        <f t="shared" ref="V25:V55" si="21">N25-M25</f>
        <v>21801</v>
      </c>
      <c r="W25" s="49">
        <f t="shared" ref="W25:W55" si="22">(O25/A$10)</f>
        <v>0.10186769945980485</v>
      </c>
      <c r="X25" s="44">
        <f t="shared" ref="X25:X55" si="23">W25*A$8</f>
        <v>44812.624762747728</v>
      </c>
      <c r="Y25" s="44">
        <f t="shared" ref="Y25:Y55" si="24">Q25-P25</f>
        <v>21801</v>
      </c>
      <c r="Z25" s="44">
        <f t="shared" ref="Z25:Z55" si="25">X25+(A$6*W25)</f>
        <v>156227.0033855924</v>
      </c>
      <c r="AA25" s="50">
        <f t="shared" ref="AA25:AA55" si="26">Q25+X25</f>
        <v>248500.62476274773</v>
      </c>
      <c r="AB25" s="51">
        <f t="shared" ref="AB25:AB55" si="27">Z25/(1+GasDiscountRate)^1</f>
        <v>146047.4931154458</v>
      </c>
      <c r="AC25" s="44">
        <f t="shared" ref="AC25:AC55" si="28">AA25/(1+GasDiscountRate)^1</f>
        <v>232308.70782719238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2.6641987072523188</v>
      </c>
      <c r="AP25" s="47">
        <f t="shared" ref="AP25:AP55" si="37">AN25/AC25</f>
        <v>1.8424169313083072</v>
      </c>
    </row>
    <row r="26" spans="1:42" ht="13.5" customHeight="1">
      <c r="B26" s="97" t="s">
        <v>141</v>
      </c>
      <c r="C26" s="98">
        <v>18230731</v>
      </c>
      <c r="D26" s="61" t="s">
        <v>142</v>
      </c>
      <c r="E26" s="38" t="s">
        <v>1027</v>
      </c>
      <c r="F26" s="39" t="s">
        <v>1028</v>
      </c>
      <c r="G26" s="39">
        <v>20</v>
      </c>
      <c r="H26" s="39"/>
      <c r="I26" s="40" t="s">
        <v>270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1.4635148219507663</v>
      </c>
      <c r="V26" s="48">
        <f t="shared" si="21"/>
        <v>54955</v>
      </c>
      <c r="W26" s="49">
        <f t="shared" si="22"/>
        <v>7.3175741097538313E-2</v>
      </c>
      <c r="X26" s="44">
        <f t="shared" si="23"/>
        <v>32190.743925005139</v>
      </c>
      <c r="Y26" s="44">
        <f t="shared" si="24"/>
        <v>54955</v>
      </c>
      <c r="Z26" s="44">
        <f t="shared" si="25"/>
        <v>112224.25570432385</v>
      </c>
      <c r="AA26" s="50">
        <f t="shared" si="26"/>
        <v>131030.74392500514</v>
      </c>
      <c r="AB26" s="51">
        <f t="shared" si="27"/>
        <v>104911.89651708314</v>
      </c>
      <c r="AC26" s="44">
        <f t="shared" si="28"/>
        <v>122492.98300925973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2.6641987072523183</v>
      </c>
      <c r="AP26" s="47">
        <f t="shared" si="37"/>
        <v>2.509994821177473</v>
      </c>
    </row>
    <row r="27" spans="1:42" ht="13.5" customHeight="1">
      <c r="B27" s="97" t="s">
        <v>141</v>
      </c>
      <c r="C27" s="98">
        <v>18230731</v>
      </c>
      <c r="D27" s="61" t="s">
        <v>142</v>
      </c>
      <c r="E27" s="38" t="s">
        <v>1029</v>
      </c>
      <c r="F27" s="39" t="s">
        <v>1030</v>
      </c>
      <c r="G27" s="39">
        <v>10</v>
      </c>
      <c r="H27" s="39"/>
      <c r="I27" s="40" t="s">
        <v>270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0.11556981296924768</v>
      </c>
      <c r="V27" s="48">
        <f t="shared" si="21"/>
        <v>12594</v>
      </c>
      <c r="W27" s="49">
        <f t="shared" si="22"/>
        <v>1.1556981296924767E-2</v>
      </c>
      <c r="X27" s="44">
        <f t="shared" si="23"/>
        <v>5084.0322201792396</v>
      </c>
      <c r="Y27" s="44">
        <f t="shared" si="24"/>
        <v>12594</v>
      </c>
      <c r="Z27" s="44">
        <f t="shared" si="25"/>
        <v>17724.092776968191</v>
      </c>
      <c r="AA27" s="50">
        <f t="shared" si="26"/>
        <v>34274.032220179237</v>
      </c>
      <c r="AB27" s="51">
        <f t="shared" si="27"/>
        <v>16569.218263969513</v>
      </c>
      <c r="AC27" s="44">
        <f t="shared" si="28"/>
        <v>32040.789212096133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1.4364231019378744</v>
      </c>
      <c r="AP27" s="47">
        <f t="shared" si="37"/>
        <v>0.81709749755710537</v>
      </c>
    </row>
    <row r="28" spans="1:42" ht="13.5" customHeight="1">
      <c r="B28" s="97" t="s">
        <v>141</v>
      </c>
      <c r="C28" s="98">
        <v>18230731</v>
      </c>
      <c r="D28" s="61" t="s">
        <v>142</v>
      </c>
      <c r="E28" s="38" t="s">
        <v>1029</v>
      </c>
      <c r="F28" s="39" t="s">
        <v>1030</v>
      </c>
      <c r="G28" s="39">
        <v>10</v>
      </c>
      <c r="H28" s="39"/>
      <c r="I28" s="40" t="s">
        <v>270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0.16584023655135766</v>
      </c>
      <c r="V28" s="48">
        <f t="shared" si="21"/>
        <v>0</v>
      </c>
      <c r="W28" s="49">
        <f t="shared" si="22"/>
        <v>1.6584023655135765E-2</v>
      </c>
      <c r="X28" s="44">
        <f t="shared" si="23"/>
        <v>7295.4786753319577</v>
      </c>
      <c r="Y28" s="44">
        <f t="shared" si="24"/>
        <v>0</v>
      </c>
      <c r="Z28" s="44">
        <f t="shared" si="25"/>
        <v>25433.698154143069</v>
      </c>
      <c r="AA28" s="50">
        <f t="shared" si="26"/>
        <v>8621.4786753319568</v>
      </c>
      <c r="AB28" s="51">
        <f t="shared" si="27"/>
        <v>23776.477661160199</v>
      </c>
      <c r="AC28" s="44">
        <f t="shared" si="28"/>
        <v>8059.716439498884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1.4364231019378746</v>
      </c>
      <c r="AP28" s="47">
        <f t="shared" si="37"/>
        <v>4.6612545561287977</v>
      </c>
    </row>
    <row r="29" spans="1:42">
      <c r="B29" s="97" t="s">
        <v>141</v>
      </c>
      <c r="C29" s="98">
        <v>18230731</v>
      </c>
      <c r="D29" s="61" t="s">
        <v>142</v>
      </c>
      <c r="E29" s="38" t="s">
        <v>1041</v>
      </c>
      <c r="F29" s="39" t="s">
        <v>1042</v>
      </c>
      <c r="G29" s="39">
        <v>5</v>
      </c>
      <c r="H29" s="39"/>
      <c r="I29" s="40" t="s">
        <v>270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0.11830827962352604</v>
      </c>
      <c r="V29" s="48">
        <f t="shared" si="21"/>
        <v>5115.58</v>
      </c>
      <c r="W29" s="49">
        <f t="shared" si="22"/>
        <v>2.3661655924705208E-2</v>
      </c>
      <c r="X29" s="44">
        <f t="shared" si="23"/>
        <v>10409.000240919866</v>
      </c>
      <c r="Y29" s="44">
        <f t="shared" si="24"/>
        <v>5115.58</v>
      </c>
      <c r="Z29" s="44">
        <f t="shared" si="25"/>
        <v>36288.14256000991</v>
      </c>
      <c r="AA29" s="50">
        <f t="shared" si="26"/>
        <v>26540.580240919866</v>
      </c>
      <c r="AB29" s="51">
        <f t="shared" si="27"/>
        <v>33923.663232691324</v>
      </c>
      <c r="AC29" s="44">
        <f t="shared" si="28"/>
        <v>24811.237020585082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0.74735734204443038</v>
      </c>
      <c r="AP29" s="47">
        <f t="shared" si="37"/>
        <v>1.124023306111497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18230220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18230220</v>
      </c>
      <c r="D5" s="100" t="s">
        <v>334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567.38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567.38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567.38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1.6045218255485054</v>
      </c>
      <c r="V5" s="48">
        <f t="shared" ref="V5:V24" si="2">N5-M5</f>
        <v>599</v>
      </c>
      <c r="W5" s="49">
        <f t="shared" ref="W5:W24" si="3">(O5/A$10)</f>
        <v>0.10696812170323369</v>
      </c>
      <c r="X5" s="44">
        <f t="shared" ref="X5:X24" si="4">W5*A$8</f>
        <v>6211.1211015977406</v>
      </c>
      <c r="Y5" s="44">
        <f t="shared" ref="Y5:Y24" si="5">Q5-P5</f>
        <v>599</v>
      </c>
      <c r="Z5" s="44">
        <f t="shared" ref="Z5:Z24" si="6">X5+(A$6*W5)</f>
        <v>34035.989823407996</v>
      </c>
      <c r="AA5" s="50">
        <f t="shared" ref="AA5:AA24" si="7">Q5+X5</f>
        <v>10989.121101597741</v>
      </c>
      <c r="AB5" s="51">
        <f t="shared" ref="AB5:AB24" si="8">Z5/(1+GasDiscountRate)^1</f>
        <v>31818.257290275771</v>
      </c>
      <c r="AC5" s="44">
        <f t="shared" ref="AC5:AC24" si="9">AA5/(1+GasDiscountRate)^1</f>
        <v>10273.086941757259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1.7843634898717993</v>
      </c>
      <c r="AP5" s="47">
        <f>AN5/AC5</f>
        <v>6.0792701002337646</v>
      </c>
    </row>
    <row r="6" spans="1:42" ht="13.5" customHeight="1">
      <c r="A6" s="53">
        <f>SUMIF('Program Costs'!D:D,C2,'Program Costs'!L:L)</f>
        <v>260123</v>
      </c>
      <c r="B6" s="97" t="s">
        <v>123</v>
      </c>
      <c r="C6" s="98">
        <v>18230706</v>
      </c>
      <c r="D6" s="61" t="s">
        <v>124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1.0692989832581608</v>
      </c>
      <c r="V6" s="48">
        <f t="shared" si="2"/>
        <v>0</v>
      </c>
      <c r="W6" s="49">
        <f t="shared" si="3"/>
        <v>7.1286598883877381E-2</v>
      </c>
      <c r="X6" s="44">
        <f t="shared" si="4"/>
        <v>4139.2677700481636</v>
      </c>
      <c r="Y6" s="44">
        <f t="shared" si="5"/>
        <v>0</v>
      </c>
      <c r="Z6" s="44">
        <f t="shared" si="6"/>
        <v>22682.551731519001</v>
      </c>
      <c r="AA6" s="50">
        <f t="shared" si="7"/>
        <v>22788.267770048165</v>
      </c>
      <c r="AB6" s="51">
        <f t="shared" si="8"/>
        <v>21204.591690678695</v>
      </c>
      <c r="AC6" s="44">
        <f t="shared" si="9"/>
        <v>21303.419435400734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1.6967849566059252</v>
      </c>
      <c r="AP6" s="47">
        <f t="shared" ref="AP6:AP24" si="17">AN6/AC6</f>
        <v>1.8578048247558991</v>
      </c>
    </row>
    <row r="7" spans="1:42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12.326179191193333</v>
      </c>
      <c r="V7" s="48">
        <f t="shared" si="2"/>
        <v>0</v>
      </c>
      <c r="W7" s="49">
        <f t="shared" si="3"/>
        <v>0.82174527941288888</v>
      </c>
      <c r="X7" s="44">
        <f t="shared" si="4"/>
        <v>47714.771128354128</v>
      </c>
      <c r="Y7" s="44">
        <f t="shared" si="5"/>
        <v>0</v>
      </c>
      <c r="Z7" s="44">
        <f t="shared" si="6"/>
        <v>261469.61844507302</v>
      </c>
      <c r="AA7" s="50">
        <f t="shared" si="7"/>
        <v>285009.77112835413</v>
      </c>
      <c r="AB7" s="51">
        <f t="shared" si="8"/>
        <v>244432.66190994953</v>
      </c>
      <c r="AC7" s="44">
        <f t="shared" si="9"/>
        <v>266438.9745988166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1.6967849566059254</v>
      </c>
      <c r="AP7" s="47">
        <f t="shared" si="17"/>
        <v>1.7123044054725371</v>
      </c>
    </row>
    <row r="8" spans="1:42" ht="13.5" customHeight="1">
      <c r="A8" s="53">
        <f>SUMIF('Program Costs'!D:D,C2,'Program Costs'!O:O)</f>
        <v>58065.160000000033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52324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260123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599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318188.16000000003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318787.16000000003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1.7061530678109003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1.873241933136881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0.84733268998657985</v>
      </c>
      <c r="V5" s="48">
        <f t="shared" ref="V5:V24" si="2">N5-M5</f>
        <v>10804</v>
      </c>
      <c r="W5" s="49">
        <f t="shared" ref="W5:W24" si="3">(O5/A$10)</f>
        <v>0.2824442299955266</v>
      </c>
      <c r="X5" s="44">
        <f t="shared" ref="X5:X24" si="4">W5*A$8</f>
        <v>123321.36176466451</v>
      </c>
      <c r="Y5" s="44">
        <f t="shared" ref="Y5:Y24" si="5">Q5-P5</f>
        <v>10804</v>
      </c>
      <c r="Z5" s="44">
        <f t="shared" ref="Z5:Z24" si="6">X5+(A$6*W5)</f>
        <v>155457.58380932553</v>
      </c>
      <c r="AA5" s="50">
        <f t="shared" ref="AA5:AA24" si="7">Q5+X5</f>
        <v>152434.36176466453</v>
      </c>
      <c r="AB5" s="51">
        <f t="shared" ref="AB5:AB24" si="8">Z5/(1+GasDiscountRate)^1</f>
        <v>145328.20773050905</v>
      </c>
      <c r="AC5" s="44">
        <f t="shared" ref="AC5:AC24" si="9">AA5/(1+GasDiscountRate)^1</f>
        <v>142501.9741653403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1.4878240021690314</v>
      </c>
      <c r="AP5" s="47">
        <f>AN5/AC5</f>
        <v>1.6690651242702115</v>
      </c>
    </row>
    <row r="6" spans="1:42" ht="13.5" customHeight="1">
      <c r="A6" s="53">
        <f>SUMIF('Program Costs'!D:D,C2,'Program Costs'!L:L)</f>
        <v>113779</v>
      </c>
      <c r="B6" s="97" t="s">
        <v>112</v>
      </c>
      <c r="C6" s="98">
        <v>18230691</v>
      </c>
      <c r="D6" s="61" t="s">
        <v>113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0.49049750585905083</v>
      </c>
      <c r="V6" s="48">
        <f t="shared" si="2"/>
        <v>6856</v>
      </c>
      <c r="W6" s="49">
        <f t="shared" si="3"/>
        <v>0.16349916861968361</v>
      </c>
      <c r="X6" s="44">
        <f t="shared" si="4"/>
        <v>71387.332366071816</v>
      </c>
      <c r="Y6" s="44">
        <f t="shared" si="5"/>
        <v>6856</v>
      </c>
      <c r="Z6" s="44">
        <f t="shared" si="6"/>
        <v>89990.104272450801</v>
      </c>
      <c r="AA6" s="50">
        <f t="shared" si="7"/>
        <v>88240.332366071816</v>
      </c>
      <c r="AB6" s="51">
        <f t="shared" si="8"/>
        <v>84126.488055016162</v>
      </c>
      <c r="AC6" s="44">
        <f t="shared" si="9"/>
        <v>82490.728583782184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1.4878240021690312</v>
      </c>
      <c r="AP6" s="47">
        <f t="shared" ref="AP6:AP24" si="17">AN6/AC6</f>
        <v>1.6690596788855592</v>
      </c>
    </row>
    <row r="7" spans="1:42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1.8687066198130167E-2</v>
      </c>
      <c r="V7" s="48">
        <f t="shared" si="2"/>
        <v>239</v>
      </c>
      <c r="W7" s="49">
        <f t="shared" si="3"/>
        <v>6.2290220660433894E-3</v>
      </c>
      <c r="X7" s="44">
        <f t="shared" si="4"/>
        <v>2719.7280102297759</v>
      </c>
      <c r="Y7" s="44">
        <f t="shared" si="5"/>
        <v>239</v>
      </c>
      <c r="Z7" s="44">
        <f t="shared" si="6"/>
        <v>3428.4599118821266</v>
      </c>
      <c r="AA7" s="50">
        <f t="shared" si="7"/>
        <v>3361.7280102297759</v>
      </c>
      <c r="AB7" s="51">
        <f t="shared" si="8"/>
        <v>3205.0667587941725</v>
      </c>
      <c r="AC7" s="44">
        <f t="shared" si="9"/>
        <v>3142.6830047955273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1.4878240021690317</v>
      </c>
      <c r="AP7" s="47">
        <f t="shared" si="17"/>
        <v>1.6690938187251767</v>
      </c>
    </row>
    <row r="8" spans="1:42" ht="13.5" customHeight="1">
      <c r="A8" s="53">
        <f>SUMIF('Program Costs'!D:D,C2,'Program Costs'!O:O)</f>
        <v>436621.99</v>
      </c>
      <c r="B8" s="97" t="s">
        <v>112</v>
      </c>
      <c r="C8" s="98">
        <v>18230691</v>
      </c>
      <c r="D8" s="61" t="s">
        <v>113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1.6434827379562393</v>
      </c>
      <c r="V8" s="48">
        <f t="shared" si="2"/>
        <v>21662</v>
      </c>
      <c r="W8" s="49">
        <f t="shared" si="3"/>
        <v>0.54782757931874648</v>
      </c>
      <c r="X8" s="44">
        <f t="shared" si="4"/>
        <v>239193.56785903394</v>
      </c>
      <c r="Y8" s="44">
        <f t="shared" si="5"/>
        <v>21662</v>
      </c>
      <c r="Z8" s="44">
        <f t="shared" si="6"/>
        <v>301524.84200634161</v>
      </c>
      <c r="AA8" s="50">
        <f t="shared" si="7"/>
        <v>292424.56785903394</v>
      </c>
      <c r="AB8" s="51">
        <f t="shared" si="8"/>
        <v>281877.94896358007</v>
      </c>
      <c r="AC8" s="44">
        <f t="shared" si="9"/>
        <v>273370.63462562766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1.4878240021690312</v>
      </c>
      <c r="AP8" s="47">
        <f t="shared" si="17"/>
        <v>1.687537714491457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355433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60278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39561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550400.99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536460.99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1.4878240021690312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1.6791338063808832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18231039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18231039</v>
      </c>
      <c r="D5" s="61" t="s">
        <v>335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Q9" sqref="Q9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543</v>
      </c>
      <c r="F5" s="39" t="s">
        <v>544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0.32697214454302792</v>
      </c>
      <c r="V5" s="48">
        <f t="shared" ref="V5:V24" si="2">N5-M5</f>
        <v>-2.71</v>
      </c>
      <c r="W5" s="49">
        <f t="shared" ref="W5:W24" si="3">(O5/A$10)</f>
        <v>2.1798142969535195E-2</v>
      </c>
      <c r="X5" s="44">
        <f t="shared" ref="X5:X24" si="4">W5*A$8</f>
        <v>10291.608247861202</v>
      </c>
      <c r="Y5" s="44">
        <f t="shared" ref="Y5:Y24" si="5">Q5-P5</f>
        <v>-11842.700000000041</v>
      </c>
      <c r="Z5" s="44">
        <f t="shared" ref="Z5:Z24" si="6">X5+(A$6*W5)</f>
        <v>33788.266659229739</v>
      </c>
      <c r="AA5" s="50">
        <f t="shared" ref="AA5:AA24" si="7">Q5+X5</f>
        <v>15928.908247861164</v>
      </c>
      <c r="AB5" s="51">
        <f t="shared" ref="AB5:AC20" si="8">Z5/(1+ElecDiscountRate)^1</f>
        <v>31586.675384902061</v>
      </c>
      <c r="AC5" s="44">
        <f t="shared" si="8"/>
        <v>14891.005186371096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28074.498185132838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0.88880826623975784</v>
      </c>
      <c r="AP5" s="47">
        <f>AN5/AC5</f>
        <v>2.0738659087910762</v>
      </c>
    </row>
    <row r="6" spans="1:42" ht="13.5" customHeight="1">
      <c r="A6" s="53">
        <f>SUMIF('Program Costs'!D:D,C2,'Program Costs'!L:L)</f>
        <v>1077920.19</v>
      </c>
      <c r="B6" s="97" t="s">
        <v>17</v>
      </c>
      <c r="C6" s="100">
        <v>18230441</v>
      </c>
      <c r="D6" s="100" t="s">
        <v>53</v>
      </c>
      <c r="E6" s="38" t="s">
        <v>545</v>
      </c>
      <c r="F6" s="39" t="s">
        <v>544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3.5209775950248825</v>
      </c>
      <c r="V6" s="48">
        <f t="shared" si="2"/>
        <v>-3.71</v>
      </c>
      <c r="W6" s="49">
        <f t="shared" si="3"/>
        <v>0.2347318396683255</v>
      </c>
      <c r="X6" s="44">
        <f t="shared" si="4"/>
        <v>110824.49273511136</v>
      </c>
      <c r="Y6" s="44">
        <f t="shared" si="5"/>
        <v>-197981.0699999955</v>
      </c>
      <c r="Z6" s="44">
        <f t="shared" si="6"/>
        <v>363846.68194944231</v>
      </c>
      <c r="AA6" s="50">
        <f t="shared" si="7"/>
        <v>179861.42273511586</v>
      </c>
      <c r="AB6" s="51">
        <f t="shared" si="8"/>
        <v>340138.99406323483</v>
      </c>
      <c r="AC6" s="44">
        <f t="shared" si="8"/>
        <v>168141.93020016438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302318.34959386667</v>
      </c>
      <c r="AK6" s="44">
        <f>HLOOKUP(I6,ElecAvoidedCostsWOCC!$A$5:$Q$50,G6+1,FALSE)*J6*L6</f>
        <v>0</v>
      </c>
      <c r="AL6" s="44">
        <f t="shared" ref="AL6:AL24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4" si="14">AM6*1.1+AD6+AE6</f>
        <v>332550.18455325335</v>
      </c>
      <c r="AO6" s="47">
        <f t="shared" ref="AO6:AO24" si="15">IFERROR(AM6/AB6,0)</f>
        <v>0.88880826623972153</v>
      </c>
      <c r="AP6" s="47">
        <f t="shared" ref="AP6:AP24" si="16">AN6/AC6</f>
        <v>1.9777944987152778</v>
      </c>
    </row>
    <row r="7" spans="1:42" ht="13.5" customHeight="1">
      <c r="A7" s="36" t="s">
        <v>249</v>
      </c>
      <c r="B7" s="97" t="s">
        <v>250</v>
      </c>
      <c r="C7" s="100">
        <v>18230442</v>
      </c>
      <c r="D7" s="100" t="s">
        <v>53</v>
      </c>
      <c r="E7" s="38" t="s">
        <v>546</v>
      </c>
      <c r="F7" s="39" t="s">
        <v>547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0.60785780654916999</v>
      </c>
      <c r="V7" s="48">
        <f t="shared" si="2"/>
        <v>-2.81</v>
      </c>
      <c r="W7" s="49">
        <f t="shared" si="3"/>
        <v>4.0523853769944669E-2</v>
      </c>
      <c r="X7" s="44">
        <f t="shared" si="4"/>
        <v>19132.621906221801</v>
      </c>
      <c r="Y7" s="44">
        <f t="shared" si="5"/>
        <v>-7157.0700000000097</v>
      </c>
      <c r="Z7" s="44">
        <f t="shared" si="6"/>
        <v>62814.102061452773</v>
      </c>
      <c r="AA7" s="50">
        <f t="shared" si="7"/>
        <v>24710.55190622179</v>
      </c>
      <c r="AB7" s="51">
        <f t="shared" si="8"/>
        <v>58721.232178604063</v>
      </c>
      <c r="AC7" s="44">
        <f t="shared" si="8"/>
        <v>23100.450505956611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0.8888082662397544</v>
      </c>
      <c r="AP7" s="47">
        <f t="shared" si="16"/>
        <v>2.4852808911988977</v>
      </c>
    </row>
    <row r="8" spans="1:42" ht="13.5" customHeight="1">
      <c r="A8" s="53">
        <f>SUMIF('Program Costs'!D:D,C2,'Program Costs'!O:O)</f>
        <v>472132.34000000008</v>
      </c>
      <c r="B8" s="97" t="s">
        <v>39</v>
      </c>
      <c r="C8" s="100">
        <v>18230443</v>
      </c>
      <c r="D8" s="100" t="s">
        <v>53</v>
      </c>
      <c r="E8" s="38" t="s">
        <v>548</v>
      </c>
      <c r="F8" s="39" t="s">
        <v>547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6.2578644803276537</v>
      </c>
      <c r="V8" s="48">
        <f t="shared" si="2"/>
        <v>-7.8100000000000005</v>
      </c>
      <c r="W8" s="49">
        <f t="shared" si="3"/>
        <v>0.41719096535517691</v>
      </c>
      <c r="X8" s="44">
        <f t="shared" si="4"/>
        <v>196969.34669999866</v>
      </c>
      <c r="Y8" s="44">
        <f t="shared" si="5"/>
        <v>-235892.64</v>
      </c>
      <c r="Z8" s="44">
        <f t="shared" si="6"/>
        <v>646667.91134193435</v>
      </c>
      <c r="AA8" s="50">
        <f t="shared" si="7"/>
        <v>262546.70669999864</v>
      </c>
      <c r="AB8" s="51">
        <f t="shared" si="8"/>
        <v>604532.02892580559</v>
      </c>
      <c r="AC8" s="44">
        <f t="shared" si="8"/>
        <v>245439.5687575943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0.88880826623974341</v>
      </c>
      <c r="AP8" s="47">
        <f t="shared" si="16"/>
        <v>2.4081054817663574</v>
      </c>
    </row>
    <row r="9" spans="1:42" ht="13.5" customHeight="1">
      <c r="A9" s="36" t="s">
        <v>251</v>
      </c>
      <c r="B9" s="97" t="s">
        <v>59</v>
      </c>
      <c r="C9" s="100">
        <v>18230444</v>
      </c>
      <c r="D9" s="100" t="s">
        <v>53</v>
      </c>
      <c r="E9" s="38" t="s">
        <v>549</v>
      </c>
      <c r="F9" s="39" t="s">
        <v>550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2.74746387817392E-2</v>
      </c>
      <c r="V9" s="48">
        <f t="shared" si="2"/>
        <v>1.62</v>
      </c>
      <c r="W9" s="49">
        <f t="shared" si="3"/>
        <v>2.2895532318116E-3</v>
      </c>
      <c r="X9" s="44">
        <f t="shared" si="4"/>
        <v>1080.9721248897733</v>
      </c>
      <c r="Y9" s="44">
        <f t="shared" si="5"/>
        <v>422.81999999999994</v>
      </c>
      <c r="Z9" s="44">
        <f t="shared" si="6"/>
        <v>3548.9277795392472</v>
      </c>
      <c r="AA9" s="50">
        <f t="shared" si="7"/>
        <v>2156.2921248897733</v>
      </c>
      <c r="AB9" s="51">
        <f t="shared" si="8"/>
        <v>3317.6851262402984</v>
      </c>
      <c r="AC9" s="44">
        <f t="shared" si="8"/>
        <v>2015.7914601194475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0.73113718552427309</v>
      </c>
      <c r="AP9" s="47">
        <f t="shared" si="16"/>
        <v>1.3236742564940089</v>
      </c>
    </row>
    <row r="10" spans="1:42" ht="13.5" customHeight="1">
      <c r="A10" s="54">
        <f>SUM(O5:O999)</f>
        <v>1162759.6000000159</v>
      </c>
      <c r="B10" s="97" t="s">
        <v>173</v>
      </c>
      <c r="C10" s="100">
        <v>18230445</v>
      </c>
      <c r="D10" s="100" t="s">
        <v>53</v>
      </c>
      <c r="E10" s="38" t="s">
        <v>551</v>
      </c>
      <c r="F10" s="39" t="s">
        <v>550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0.21195782860016518</v>
      </c>
      <c r="V10" s="48">
        <f t="shared" si="2"/>
        <v>2.12</v>
      </c>
      <c r="W10" s="49">
        <f t="shared" si="3"/>
        <v>1.7663152383347099E-2</v>
      </c>
      <c r="X10" s="44">
        <f t="shared" si="4"/>
        <v>8339.3454665262434</v>
      </c>
      <c r="Y10" s="44">
        <f t="shared" si="5"/>
        <v>4800.8399999999892</v>
      </c>
      <c r="Z10" s="44">
        <f t="shared" si="6"/>
        <v>27378.814039582699</v>
      </c>
      <c r="AA10" s="50">
        <f t="shared" si="7"/>
        <v>17741.185466526233</v>
      </c>
      <c r="AB10" s="51">
        <f t="shared" si="8"/>
        <v>25594.852799460314</v>
      </c>
      <c r="AC10" s="44">
        <f t="shared" si="8"/>
        <v>16585.197220273189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0.73113718552427309</v>
      </c>
      <c r="AP10" s="47">
        <f t="shared" si="16"/>
        <v>1.2411479483954524</v>
      </c>
    </row>
    <row r="11" spans="1:42" ht="13.5" customHeight="1">
      <c r="A11" s="36" t="s">
        <v>252</v>
      </c>
      <c r="B11" s="97" t="s">
        <v>253</v>
      </c>
      <c r="C11" s="100">
        <v>18230446</v>
      </c>
      <c r="D11" s="100" t="s">
        <v>53</v>
      </c>
      <c r="E11" s="38" t="s">
        <v>552</v>
      </c>
      <c r="F11" s="39" t="s">
        <v>553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1.6834950233908824E-2</v>
      </c>
      <c r="V11" s="48">
        <f t="shared" si="2"/>
        <v>-0.39999999999999991</v>
      </c>
      <c r="W11" s="49">
        <f t="shared" si="3"/>
        <v>1.1223300155939217E-3</v>
      </c>
      <c r="X11" s="44">
        <f t="shared" si="4"/>
        <v>529.8882965145948</v>
      </c>
      <c r="Y11" s="44">
        <f t="shared" si="5"/>
        <v>-208.79999999999995</v>
      </c>
      <c r="Z11" s="44">
        <f t="shared" si="6"/>
        <v>1739.6704801662977</v>
      </c>
      <c r="AA11" s="50">
        <f t="shared" si="7"/>
        <v>1104.0882965145947</v>
      </c>
      <c r="AB11" s="51">
        <f t="shared" si="8"/>
        <v>1626.3162383530873</v>
      </c>
      <c r="AC11" s="44">
        <f t="shared" si="8"/>
        <v>1032.1476082215524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0.8888082662397544</v>
      </c>
      <c r="AP11" s="47">
        <f t="shared" si="16"/>
        <v>1.5405080001344926</v>
      </c>
    </row>
    <row r="12" spans="1:42" ht="13.5" customHeight="1">
      <c r="A12" s="55">
        <f>SUM(P5:P1000)</f>
        <v>863418.5</v>
      </c>
      <c r="B12" s="97" t="s">
        <v>254</v>
      </c>
      <c r="C12" s="100">
        <v>18230447</v>
      </c>
      <c r="D12" s="100" t="s">
        <v>53</v>
      </c>
      <c r="E12" s="38" t="s">
        <v>554</v>
      </c>
      <c r="F12" s="39" t="s">
        <v>553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0.50744797118853446</v>
      </c>
      <c r="V12" s="48">
        <f t="shared" si="2"/>
        <v>-1.4</v>
      </c>
      <c r="W12" s="49">
        <f t="shared" si="3"/>
        <v>3.3829864745902299E-2</v>
      </c>
      <c r="X12" s="44">
        <f t="shared" si="4"/>
        <v>15972.173204366361</v>
      </c>
      <c r="Y12" s="44">
        <f t="shared" si="5"/>
        <v>-16092</v>
      </c>
      <c r="Z12" s="44">
        <f t="shared" si="6"/>
        <v>52438.067438943661</v>
      </c>
      <c r="AA12" s="50">
        <f t="shared" si="7"/>
        <v>35640.173204366365</v>
      </c>
      <c r="AB12" s="51">
        <f t="shared" si="8"/>
        <v>49021.283947783166</v>
      </c>
      <c r="AC12" s="44">
        <f t="shared" si="8"/>
        <v>33317.914559564699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0.88880826623975462</v>
      </c>
      <c r="AP12" s="47">
        <f t="shared" si="16"/>
        <v>1.4384926327918899</v>
      </c>
    </row>
    <row r="13" spans="1:42" ht="13.5" customHeight="1">
      <c r="A13" s="56" t="s">
        <v>255</v>
      </c>
      <c r="B13" s="97" t="s">
        <v>256</v>
      </c>
      <c r="C13" s="100">
        <v>18230448</v>
      </c>
      <c r="D13" s="100" t="s">
        <v>53</v>
      </c>
      <c r="E13" s="38" t="s">
        <v>555</v>
      </c>
      <c r="F13" s="39" t="s">
        <v>556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0.21476287961844959</v>
      </c>
      <c r="V13" s="48">
        <f t="shared" si="2"/>
        <v>-0.12999999999999989</v>
      </c>
      <c r="W13" s="49">
        <f t="shared" si="3"/>
        <v>1.7896906634870799E-2</v>
      </c>
      <c r="X13" s="44">
        <f t="shared" si="4"/>
        <v>8449.708408283077</v>
      </c>
      <c r="Y13" s="44">
        <f t="shared" si="5"/>
        <v>-409.88999999999942</v>
      </c>
      <c r="Z13" s="44">
        <f t="shared" si="6"/>
        <v>27741.145408555269</v>
      </c>
      <c r="AA13" s="50">
        <f t="shared" si="7"/>
        <v>17498.818408283078</v>
      </c>
      <c r="AB13" s="51">
        <f t="shared" si="8"/>
        <v>25933.575216000063</v>
      </c>
      <c r="AC13" s="44">
        <f t="shared" si="8"/>
        <v>16358.622425243597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0.73113718552427309</v>
      </c>
      <c r="AP13" s="47">
        <f t="shared" si="16"/>
        <v>1.2749913025209139</v>
      </c>
    </row>
    <row r="14" spans="1:42" ht="13.5" customHeight="1">
      <c r="A14" s="55">
        <f>SUM(Y5:Y1000)</f>
        <v>-555294.46999999555</v>
      </c>
      <c r="B14" s="97" t="s">
        <v>257</v>
      </c>
      <c r="C14" s="100">
        <v>18230449</v>
      </c>
      <c r="D14" s="100" t="s">
        <v>53</v>
      </c>
      <c r="E14" s="38" t="s">
        <v>557</v>
      </c>
      <c r="F14" s="39" t="s">
        <v>556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2.5554406947059043</v>
      </c>
      <c r="V14" s="48">
        <f t="shared" si="2"/>
        <v>-2.13</v>
      </c>
      <c r="W14" s="49">
        <f t="shared" si="3"/>
        <v>0.21295339122549203</v>
      </c>
      <c r="X14" s="44">
        <f t="shared" si="4"/>
        <v>100542.18291022704</v>
      </c>
      <c r="Y14" s="44">
        <f t="shared" si="5"/>
        <v>-90933.96</v>
      </c>
      <c r="Z14" s="44">
        <f t="shared" si="6"/>
        <v>330088.94284115371</v>
      </c>
      <c r="AA14" s="50">
        <f t="shared" si="7"/>
        <v>223068.22291022702</v>
      </c>
      <c r="AB14" s="51">
        <f t="shared" si="8"/>
        <v>308580.85710120003</v>
      </c>
      <c r="AC14" s="44">
        <f t="shared" si="8"/>
        <v>208533.44200264281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0.73113718552427309</v>
      </c>
      <c r="AP14" s="47">
        <f t="shared" si="16"/>
        <v>1.190103759478818</v>
      </c>
    </row>
    <row r="15" spans="1:42" ht="13.5" customHeight="1">
      <c r="A15" s="57" t="s">
        <v>258</v>
      </c>
      <c r="B15" s="97" t="s">
        <v>259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14.247590989573434</v>
      </c>
      <c r="B16" s="97" t="s">
        <v>260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262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1550052.53</v>
      </c>
      <c r="B18" s="97" t="s">
        <v>263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97" t="s">
        <v>264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780256.37000000454</v>
      </c>
      <c r="B20" s="97" t="s">
        <v>265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266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0.84926388563506827</v>
      </c>
      <c r="B22" s="97" t="s">
        <v>267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97" t="s">
        <v>268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1.8558566821093512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09" priority="1">
      <formula>"istext($AB17)"</formula>
    </cfRule>
  </conditionalFormatting>
  <conditionalFormatting sqref="J5:L24">
    <cfRule type="expression" dxfId="308" priority="4">
      <formula>ISTEXT(J5)</formula>
    </cfRule>
    <cfRule type="notContainsBlanks" dxfId="307" priority="5">
      <formula>LEN(TRIM(J5))&gt;0</formula>
    </cfRule>
  </conditionalFormatting>
  <conditionalFormatting sqref="M5:N24 R5:S24">
    <cfRule type="expression" dxfId="306" priority="2">
      <formula>ISTEXT(M5)</formula>
    </cfRule>
  </conditionalFormatting>
  <conditionalFormatting sqref="M5:N24 R5:S24">
    <cfRule type="notContainsBlanks" dxfId="30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1728</v>
      </c>
      <c r="F5" s="39" t="s">
        <v>1729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</row>
    <row r="6" spans="1:42" ht="13.5" customHeight="1">
      <c r="A6" s="53">
        <f>SUMIF('Program Costs'!D:D,C2,'Program Costs'!L:L)</f>
        <v>555164.26</v>
      </c>
      <c r="B6" s="97" t="s">
        <v>31</v>
      </c>
      <c r="C6" s="98">
        <v>18231027</v>
      </c>
      <c r="D6" s="61" t="s">
        <v>164</v>
      </c>
      <c r="E6" s="38" t="s">
        <v>1730</v>
      </c>
      <c r="F6" s="39" t="s">
        <v>1731</v>
      </c>
      <c r="G6" s="39">
        <v>12</v>
      </c>
      <c r="H6" s="39"/>
      <c r="I6" s="40" t="s">
        <v>272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0.80674260758123406</v>
      </c>
      <c r="V6" s="48">
        <f t="shared" si="2"/>
        <v>1088</v>
      </c>
      <c r="W6" s="49">
        <f t="shared" si="3"/>
        <v>6.722855063176951E-2</v>
      </c>
      <c r="X6" s="44">
        <f t="shared" si="4"/>
        <v>21080.105006407906</v>
      </c>
      <c r="Y6" s="44">
        <f t="shared" si="5"/>
        <v>14144</v>
      </c>
      <c r="Z6" s="44">
        <f t="shared" si="6"/>
        <v>58402.99356876676</v>
      </c>
      <c r="AA6" s="50">
        <f t="shared" si="7"/>
        <v>67724.105006407903</v>
      </c>
      <c r="AB6" s="51">
        <f t="shared" si="8"/>
        <v>54597.544702969761</v>
      </c>
      <c r="AC6" s="44">
        <f t="shared" si="9"/>
        <v>63311.30691446938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1.5822918772544599</v>
      </c>
      <c r="AP6" s="47">
        <f t="shared" ref="AP6:AP24" si="17">AN6/AC6</f>
        <v>9.9479254247962139</v>
      </c>
    </row>
    <row r="7" spans="1:42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1732</v>
      </c>
      <c r="F7" s="39" t="s">
        <v>1731</v>
      </c>
      <c r="G7" s="39">
        <v>12</v>
      </c>
      <c r="H7" s="39"/>
      <c r="I7" s="40" t="s">
        <v>272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0.47639340794704454</v>
      </c>
      <c r="V7" s="48">
        <f t="shared" si="2"/>
        <v>31</v>
      </c>
      <c r="W7" s="49">
        <f t="shared" si="3"/>
        <v>3.9699450662253714E-2</v>
      </c>
      <c r="X7" s="44">
        <f t="shared" si="4"/>
        <v>12448.112904304497</v>
      </c>
      <c r="Y7" s="44">
        <f t="shared" si="5"/>
        <v>186</v>
      </c>
      <c r="Z7" s="44">
        <f t="shared" si="6"/>
        <v>34487.829053621092</v>
      </c>
      <c r="AA7" s="50">
        <f t="shared" si="7"/>
        <v>27634.112904304497</v>
      </c>
      <c r="AB7" s="51">
        <f t="shared" si="8"/>
        <v>32240.655374049817</v>
      </c>
      <c r="AC7" s="44">
        <f t="shared" si="9"/>
        <v>25833.516784429743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1.5822918772544594</v>
      </c>
      <c r="AP7" s="47">
        <f t="shared" si="17"/>
        <v>4.3587403136228025</v>
      </c>
    </row>
    <row r="8" spans="1:42" ht="13.5" customHeight="1">
      <c r="A8" s="53">
        <f>SUMIF('Program Costs'!D:D,C2,'Program Costs'!O:O)</f>
        <v>313558.82000000007</v>
      </c>
      <c r="B8" s="97" t="s">
        <v>31</v>
      </c>
      <c r="C8" s="98">
        <v>18231027</v>
      </c>
      <c r="D8" s="61" t="s">
        <v>164</v>
      </c>
      <c r="E8" s="38" t="s">
        <v>1733</v>
      </c>
      <c r="F8" s="39" t="s">
        <v>1734</v>
      </c>
      <c r="G8" s="39">
        <v>12</v>
      </c>
      <c r="H8" s="39"/>
      <c r="I8" s="40" t="s">
        <v>272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0.30655285898257423</v>
      </c>
      <c r="V8" s="48">
        <f t="shared" si="2"/>
        <v>890</v>
      </c>
      <c r="W8" s="49">
        <f t="shared" si="3"/>
        <v>2.5546071581881186E-2</v>
      </c>
      <c r="X8" s="44">
        <f t="shared" si="4"/>
        <v>8010.1960608501995</v>
      </c>
      <c r="Y8" s="44">
        <f t="shared" si="5"/>
        <v>1780</v>
      </c>
      <c r="Z8" s="44">
        <f t="shared" si="6"/>
        <v>22192.461986512295</v>
      </c>
      <c r="AA8" s="50">
        <f t="shared" si="7"/>
        <v>23790.196060850198</v>
      </c>
      <c r="AB8" s="51">
        <f t="shared" si="8"/>
        <v>20746.435436582495</v>
      </c>
      <c r="AC8" s="44">
        <f t="shared" si="9"/>
        <v>22240.063626110306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1.5822918772544596</v>
      </c>
      <c r="AP8" s="47">
        <f t="shared" si="17"/>
        <v>4.445670424878859</v>
      </c>
    </row>
    <row r="9" spans="1:42" ht="13.5" customHeight="1">
      <c r="A9" s="36" t="s">
        <v>317</v>
      </c>
      <c r="B9" s="97" t="s">
        <v>31</v>
      </c>
      <c r="C9" s="98">
        <v>18231027</v>
      </c>
      <c r="D9" s="61" t="s">
        <v>164</v>
      </c>
      <c r="E9" s="38" t="s">
        <v>1735</v>
      </c>
      <c r="F9" s="39" t="s">
        <v>1736</v>
      </c>
      <c r="G9" s="39">
        <v>12</v>
      </c>
      <c r="H9" s="39"/>
      <c r="I9" s="40" t="s">
        <v>272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0.11151618462227586</v>
      </c>
      <c r="V9" s="48">
        <f t="shared" si="2"/>
        <v>361</v>
      </c>
      <c r="W9" s="49">
        <f t="shared" si="3"/>
        <v>9.2930153851896544E-3</v>
      </c>
      <c r="X9" s="44">
        <f t="shared" si="4"/>
        <v>2913.9069384219142</v>
      </c>
      <c r="Y9" s="44">
        <f t="shared" si="5"/>
        <v>361</v>
      </c>
      <c r="Z9" s="44">
        <f t="shared" si="6"/>
        <v>8073.0569479093447</v>
      </c>
      <c r="AA9" s="50">
        <f t="shared" si="7"/>
        <v>6274.9069384219147</v>
      </c>
      <c r="AB9" s="51">
        <f t="shared" si="8"/>
        <v>7547.02902487552</v>
      </c>
      <c r="AC9" s="44">
        <f t="shared" si="9"/>
        <v>5866.0436930185233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1.5822918772544596</v>
      </c>
      <c r="AP9" s="47">
        <f t="shared" si="17"/>
        <v>4.9141057937344765</v>
      </c>
    </row>
    <row r="10" spans="1:42" ht="13.5" customHeight="1">
      <c r="A10" s="54">
        <f>SUM(O5:O999)</f>
        <v>154309.44</v>
      </c>
      <c r="B10" s="97" t="s">
        <v>31</v>
      </c>
      <c r="C10" s="98">
        <v>18231027</v>
      </c>
      <c r="D10" s="61" t="s">
        <v>164</v>
      </c>
      <c r="E10" s="38" t="s">
        <v>1737</v>
      </c>
      <c r="F10" s="39" t="s">
        <v>1738</v>
      </c>
      <c r="G10" s="39">
        <v>15</v>
      </c>
      <c r="H10" s="39"/>
      <c r="I10" s="40" t="s">
        <v>269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5.8227157068290833E-2</v>
      </c>
      <c r="V10" s="48">
        <f t="shared" si="2"/>
        <v>1909</v>
      </c>
      <c r="W10" s="49">
        <f t="shared" si="3"/>
        <v>3.8818104712193889E-3</v>
      </c>
      <c r="X10" s="44">
        <f t="shared" si="4"/>
        <v>1217.1759108191959</v>
      </c>
      <c r="Y10" s="44">
        <f t="shared" si="5"/>
        <v>1909</v>
      </c>
      <c r="Z10" s="44">
        <f t="shared" si="6"/>
        <v>3372.2183485339592</v>
      </c>
      <c r="AA10" s="50">
        <f t="shared" si="7"/>
        <v>3876.1759108191959</v>
      </c>
      <c r="AB10" s="51">
        <f t="shared" si="8"/>
        <v>3152.4898088566506</v>
      </c>
      <c r="AC10" s="44">
        <f t="shared" si="9"/>
        <v>3623.6102746743904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1.9274252407199468</v>
      </c>
      <c r="AP10" s="47">
        <f t="shared" si="17"/>
        <v>26.014384429254719</v>
      </c>
    </row>
    <row r="11" spans="1:42" ht="13.5" customHeight="1">
      <c r="A11" s="36" t="s">
        <v>252</v>
      </c>
      <c r="B11" s="97" t="s">
        <v>31</v>
      </c>
      <c r="C11" s="98">
        <v>18231027</v>
      </c>
      <c r="D11" s="61" t="s">
        <v>164</v>
      </c>
      <c r="E11" s="38" t="s">
        <v>1160</v>
      </c>
      <c r="F11" s="39" t="s">
        <v>1161</v>
      </c>
      <c r="G11" s="39">
        <v>10</v>
      </c>
      <c r="H11" s="39"/>
      <c r="I11" s="40" t="s">
        <v>269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2.5921939707641995E-3</v>
      </c>
      <c r="V11" s="48">
        <f t="shared" si="2"/>
        <v>57</v>
      </c>
      <c r="W11" s="49">
        <f t="shared" si="3"/>
        <v>2.5921939707641996E-4</v>
      </c>
      <c r="X11" s="44">
        <f t="shared" si="4"/>
        <v>81.280528268393709</v>
      </c>
      <c r="Y11" s="44">
        <f t="shared" si="5"/>
        <v>57</v>
      </c>
      <c r="Z11" s="44">
        <f t="shared" si="6"/>
        <v>225.18987302397056</v>
      </c>
      <c r="AA11" s="50">
        <f t="shared" si="7"/>
        <v>138.28052826839371</v>
      </c>
      <c r="AB11" s="51">
        <f t="shared" si="8"/>
        <v>210.51684867156263</v>
      </c>
      <c r="AC11" s="44">
        <f t="shared" si="9"/>
        <v>129.27038260109723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1.3476716550556591</v>
      </c>
      <c r="AP11" s="47">
        <f t="shared" si="17"/>
        <v>28.512540080908902</v>
      </c>
    </row>
    <row r="12" spans="1:42" ht="13.5" customHeight="1">
      <c r="A12" s="55">
        <f>SUM(P5:P1000)</f>
        <v>337200</v>
      </c>
      <c r="B12" s="97" t="s">
        <v>31</v>
      </c>
      <c r="C12" s="98">
        <v>18231027</v>
      </c>
      <c r="D12" s="61" t="s">
        <v>164</v>
      </c>
      <c r="E12" s="38" t="s">
        <v>1739</v>
      </c>
      <c r="F12" s="39" t="s">
        <v>1740</v>
      </c>
      <c r="G12" s="39">
        <v>10</v>
      </c>
      <c r="H12" s="39"/>
      <c r="I12" s="40" t="s">
        <v>269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6.0916558312958686E-3</v>
      </c>
      <c r="V12" s="48">
        <f t="shared" si="2"/>
        <v>82</v>
      </c>
      <c r="W12" s="49">
        <f t="shared" si="3"/>
        <v>6.0916558312958688E-4</v>
      </c>
      <c r="X12" s="44">
        <f t="shared" si="4"/>
        <v>191.00924143072521</v>
      </c>
      <c r="Y12" s="44">
        <f t="shared" si="5"/>
        <v>82</v>
      </c>
      <c r="Z12" s="44">
        <f t="shared" si="6"/>
        <v>529.19620160633076</v>
      </c>
      <c r="AA12" s="50">
        <f t="shared" si="7"/>
        <v>423.00924143072518</v>
      </c>
      <c r="AB12" s="51">
        <f t="shared" si="8"/>
        <v>494.71459437817214</v>
      </c>
      <c r="AC12" s="44">
        <f t="shared" si="9"/>
        <v>395.44661253690299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1.3476716550556593</v>
      </c>
      <c r="AP12" s="47">
        <f t="shared" si="17"/>
        <v>21.885110392584838</v>
      </c>
    </row>
    <row r="13" spans="1:42" ht="13.5" customHeight="1">
      <c r="A13" s="56" t="s">
        <v>255</v>
      </c>
      <c r="B13" s="97" t="s">
        <v>31</v>
      </c>
      <c r="C13" s="98">
        <v>18231027</v>
      </c>
      <c r="D13" s="61" t="s">
        <v>164</v>
      </c>
      <c r="E13" s="38" t="s">
        <v>1741</v>
      </c>
      <c r="F13" s="39" t="s">
        <v>1742</v>
      </c>
      <c r="G13" s="39">
        <v>12</v>
      </c>
      <c r="H13" s="39"/>
      <c r="I13" s="40" t="s">
        <v>272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1.5767797485364474</v>
      </c>
      <c r="V13" s="48">
        <f t="shared" si="2"/>
        <v>17</v>
      </c>
      <c r="W13" s="49">
        <f t="shared" si="3"/>
        <v>0.13139831237803729</v>
      </c>
      <c r="X13" s="44">
        <f t="shared" si="4"/>
        <v>41201.099779248776</v>
      </c>
      <c r="Y13" s="44">
        <f t="shared" si="5"/>
        <v>629</v>
      </c>
      <c r="Z13" s="44">
        <f t="shared" si="6"/>
        <v>114148.74663585069</v>
      </c>
      <c r="AA13" s="50">
        <f t="shared" si="7"/>
        <v>78830.099779248776</v>
      </c>
      <c r="AB13" s="51">
        <f t="shared" si="8"/>
        <v>106710.9905916151</v>
      </c>
      <c r="AC13" s="44">
        <f t="shared" si="9"/>
        <v>73693.652219546391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1.5822918772544594</v>
      </c>
      <c r="AP13" s="47">
        <f t="shared" si="17"/>
        <v>7.940513641739642</v>
      </c>
    </row>
    <row r="14" spans="1:42" ht="13.5" customHeight="1">
      <c r="A14" s="55">
        <f>SUM(Y5:Y1000)</f>
        <v>19201.379999999997</v>
      </c>
      <c r="B14" s="97" t="s">
        <v>31</v>
      </c>
      <c r="C14" s="98">
        <v>18231027</v>
      </c>
      <c r="D14" s="61" t="s">
        <v>164</v>
      </c>
      <c r="E14" s="38" t="s">
        <v>1743</v>
      </c>
      <c r="F14" s="39" t="s">
        <v>1742</v>
      </c>
      <c r="G14" s="39">
        <v>12</v>
      </c>
      <c r="H14" s="39"/>
      <c r="I14" s="40" t="s">
        <v>272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5.610103957347004</v>
      </c>
      <c r="V14" s="48">
        <f t="shared" si="2"/>
        <v>192</v>
      </c>
      <c r="W14" s="49">
        <f t="shared" si="3"/>
        <v>0.46750866311225031</v>
      </c>
      <c r="X14" s="44">
        <f t="shared" si="4"/>
        <v>146591.46474525478</v>
      </c>
      <c r="Y14" s="44">
        <f t="shared" si="5"/>
        <v>26688</v>
      </c>
      <c r="Z14" s="44">
        <f t="shared" si="6"/>
        <v>406135.56574555649</v>
      </c>
      <c r="AA14" s="50">
        <f t="shared" si="7"/>
        <v>312279.46474525478</v>
      </c>
      <c r="AB14" s="51">
        <f t="shared" si="8"/>
        <v>379672.39950037998</v>
      </c>
      <c r="AC14" s="44">
        <f t="shared" si="9"/>
        <v>291931.81709381577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1.5822918772544596</v>
      </c>
      <c r="AP14" s="47">
        <f t="shared" si="17"/>
        <v>7.4037815217569554</v>
      </c>
    </row>
    <row r="15" spans="1:42" ht="13.5" customHeight="1">
      <c r="A15" s="57" t="s">
        <v>258</v>
      </c>
      <c r="B15" s="97" t="s">
        <v>31</v>
      </c>
      <c r="C15" s="98">
        <v>18231027</v>
      </c>
      <c r="D15" s="61" t="s">
        <v>164</v>
      </c>
      <c r="E15" s="38" t="s">
        <v>1744</v>
      </c>
      <c r="F15" s="39" t="s">
        <v>1745</v>
      </c>
      <c r="G15" s="39">
        <v>12</v>
      </c>
      <c r="H15" s="39"/>
      <c r="I15" s="40" t="s">
        <v>272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0.40360460124798592</v>
      </c>
      <c r="V15" s="48">
        <f t="shared" si="2"/>
        <v>901</v>
      </c>
      <c r="W15" s="49">
        <f t="shared" si="3"/>
        <v>3.3633716770665491E-2</v>
      </c>
      <c r="X15" s="44">
        <f t="shared" si="4"/>
        <v>10546.148542824085</v>
      </c>
      <c r="Y15" s="44">
        <f t="shared" si="5"/>
        <v>1802</v>
      </c>
      <c r="Z15" s="44">
        <f t="shared" si="6"/>
        <v>29218.386024860181</v>
      </c>
      <c r="AA15" s="50">
        <f t="shared" si="7"/>
        <v>16348.148542824085</v>
      </c>
      <c r="AB15" s="51">
        <f t="shared" si="8"/>
        <v>27314.561115135253</v>
      </c>
      <c r="AC15" s="44">
        <f t="shared" si="9"/>
        <v>15282.928431171435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1.5822918772544592</v>
      </c>
      <c r="AP15" s="47">
        <f t="shared" si="17"/>
        <v>13.877677925973602</v>
      </c>
    </row>
    <row r="16" spans="1:42" ht="13.5" customHeight="1">
      <c r="A16" s="54">
        <f>SUM(U5:U999)</f>
        <v>12.113661225133086</v>
      </c>
      <c r="B16" s="97" t="s">
        <v>31</v>
      </c>
      <c r="C16" s="98">
        <v>18231027</v>
      </c>
      <c r="D16" s="61" t="s">
        <v>164</v>
      </c>
      <c r="E16" s="38" t="s">
        <v>1746</v>
      </c>
      <c r="F16" s="39" t="s">
        <v>1747</v>
      </c>
      <c r="G16" s="39">
        <v>12</v>
      </c>
      <c r="H16" s="39"/>
      <c r="I16" s="40" t="s">
        <v>272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7.7765819122925989E-2</v>
      </c>
      <c r="V16" s="48">
        <f t="shared" si="2"/>
        <v>-2000</v>
      </c>
      <c r="W16" s="49">
        <f t="shared" si="3"/>
        <v>6.4804849269104988E-3</v>
      </c>
      <c r="X16" s="44">
        <f t="shared" si="4"/>
        <v>2032.0132067098427</v>
      </c>
      <c r="Y16" s="44">
        <f t="shared" si="5"/>
        <v>-4000</v>
      </c>
      <c r="Z16" s="44">
        <f t="shared" si="6"/>
        <v>5629.7468255992635</v>
      </c>
      <c r="AA16" s="50">
        <f t="shared" si="7"/>
        <v>2032.0132067098427</v>
      </c>
      <c r="AB16" s="51">
        <f t="shared" si="8"/>
        <v>5262.9212167890655</v>
      </c>
      <c r="AC16" s="44">
        <f t="shared" si="9"/>
        <v>1899.6103643169511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1.5822918772544594</v>
      </c>
      <c r="AP16" s="47">
        <f t="shared" si="17"/>
        <v>4.8221600667275872</v>
      </c>
    </row>
    <row r="17" spans="1:42" ht="13.5" customHeight="1">
      <c r="A17" s="58" t="s">
        <v>261</v>
      </c>
      <c r="B17" s="97" t="s">
        <v>31</v>
      </c>
      <c r="C17" s="98">
        <v>18231027</v>
      </c>
      <c r="D17" s="61" t="s">
        <v>164</v>
      </c>
      <c r="E17" s="38" t="s">
        <v>1748</v>
      </c>
      <c r="F17" s="39" t="s">
        <v>1749</v>
      </c>
      <c r="G17" s="39">
        <v>12</v>
      </c>
      <c r="H17" s="39"/>
      <c r="I17" s="40" t="s">
        <v>272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7.7765819122925989E-2</v>
      </c>
      <c r="V17" s="48">
        <f t="shared" si="2"/>
        <v>286</v>
      </c>
      <c r="W17" s="49">
        <f t="shared" si="3"/>
        <v>6.4804849269104988E-3</v>
      </c>
      <c r="X17" s="44">
        <f t="shared" si="4"/>
        <v>2032.0132067098427</v>
      </c>
      <c r="Y17" s="44">
        <f t="shared" si="5"/>
        <v>1144</v>
      </c>
      <c r="Z17" s="44">
        <f t="shared" si="6"/>
        <v>5629.7468255992635</v>
      </c>
      <c r="AA17" s="50">
        <f t="shared" si="7"/>
        <v>7176.013206709843</v>
      </c>
      <c r="AB17" s="51">
        <f t="shared" si="8"/>
        <v>5262.9212167890655</v>
      </c>
      <c r="AC17" s="44">
        <f t="shared" si="9"/>
        <v>6708.435268495693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1.5822918772544594</v>
      </c>
      <c r="AP17" s="47">
        <f t="shared" si="17"/>
        <v>1.3654786659669365</v>
      </c>
    </row>
    <row r="18" spans="1:42" ht="13.5" customHeight="1">
      <c r="A18" s="59">
        <f>A6+A8</f>
        <v>868723.08000000007</v>
      </c>
      <c r="B18" s="97" t="s">
        <v>31</v>
      </c>
      <c r="C18" s="98">
        <v>18231027</v>
      </c>
      <c r="D18" s="61" t="s">
        <v>164</v>
      </c>
      <c r="E18" s="38" t="s">
        <v>1185</v>
      </c>
      <c r="F18" s="39" t="s">
        <v>1186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</row>
    <row r="19" spans="1:42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1750</v>
      </c>
      <c r="F19" s="39" t="s">
        <v>1751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</row>
    <row r="20" spans="1:42" ht="13.5" customHeight="1">
      <c r="A20" s="59">
        <f>A8+SUM(Q5:Q906)</f>
        <v>669960.20000000007</v>
      </c>
      <c r="B20" s="97" t="s">
        <v>31</v>
      </c>
      <c r="C20" s="98">
        <v>18231027</v>
      </c>
      <c r="D20" s="61" t="s">
        <v>164</v>
      </c>
      <c r="E20" s="38" t="s">
        <v>1752</v>
      </c>
      <c r="F20" s="39" t="s">
        <v>1751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1753</v>
      </c>
      <c r="F21" s="39" t="s">
        <v>1754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</row>
    <row r="22" spans="1:42" ht="13.5" customHeight="1">
      <c r="A22" s="60">
        <f>(SUM(AM5:AM1000)/(SUM(AB5:AB1000)))</f>
        <v>1.5952176493758452</v>
      </c>
      <c r="B22" s="97" t="s">
        <v>31</v>
      </c>
      <c r="C22" s="98">
        <v>18231027</v>
      </c>
      <c r="D22" s="61" t="s">
        <v>164</v>
      </c>
      <c r="E22" s="38" t="s">
        <v>1755</v>
      </c>
      <c r="F22" s="39" t="s">
        <v>1754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1756</v>
      </c>
      <c r="F23" s="39" t="s">
        <v>1757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7.1215523413297142</v>
      </c>
      <c r="B24" s="97" t="s">
        <v>31</v>
      </c>
      <c r="C24" s="98">
        <v>18231027</v>
      </c>
      <c r="D24" s="61" t="s">
        <v>164</v>
      </c>
      <c r="E24" s="38" t="s">
        <v>1758</v>
      </c>
      <c r="F24" s="39" t="s">
        <v>1757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164</v>
      </c>
      <c r="E25" s="38" t="s">
        <v>1759</v>
      </c>
      <c r="F25" s="39" t="s">
        <v>1760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164</v>
      </c>
      <c r="E26" s="38" t="s">
        <v>1761</v>
      </c>
      <c r="F26" s="39" t="s">
        <v>1762</v>
      </c>
      <c r="G26" s="39">
        <v>12</v>
      </c>
      <c r="H26" s="39"/>
      <c r="I26" s="40" t="s">
        <v>272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7.8655460093692259E-2</v>
      </c>
      <c r="V26" s="48">
        <f t="shared" si="21"/>
        <v>294.77999999999997</v>
      </c>
      <c r="W26" s="49">
        <f t="shared" si="22"/>
        <v>6.5546216744743549E-3</v>
      </c>
      <c r="X26" s="44">
        <f t="shared" si="23"/>
        <v>2055.2594377946034</v>
      </c>
      <c r="Y26" s="44">
        <f t="shared" si="24"/>
        <v>589.55999999999995</v>
      </c>
      <c r="Z26" s="44">
        <f t="shared" si="25"/>
        <v>5694.1511292841196</v>
      </c>
      <c r="AA26" s="50">
        <f t="shared" si="26"/>
        <v>5644.8194377946038</v>
      </c>
      <c r="AB26" s="51">
        <f t="shared" si="27"/>
        <v>5323.1290355091323</v>
      </c>
      <c r="AC26" s="44">
        <f t="shared" si="28"/>
        <v>5277.0117208512702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1.5822918772544596</v>
      </c>
      <c r="AP26" s="47">
        <f t="shared" si="37"/>
        <v>1.755731976357106</v>
      </c>
    </row>
    <row r="27" spans="1:42" ht="13.5" customHeight="1">
      <c r="B27" s="97" t="s">
        <v>31</v>
      </c>
      <c r="C27" s="98">
        <v>18231027</v>
      </c>
      <c r="D27" s="61" t="s">
        <v>164</v>
      </c>
      <c r="E27" s="38" t="s">
        <v>1763</v>
      </c>
      <c r="F27" s="39" t="s">
        <v>1764</v>
      </c>
      <c r="G27" s="39">
        <v>12</v>
      </c>
      <c r="H27" s="39"/>
      <c r="I27" s="40" t="s">
        <v>272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0.88404183178942264</v>
      </c>
      <c r="V27" s="48">
        <f t="shared" si="21"/>
        <v>648</v>
      </c>
      <c r="W27" s="49">
        <f t="shared" si="22"/>
        <v>7.3670152649118553E-2</v>
      </c>
      <c r="X27" s="44">
        <f t="shared" si="23"/>
        <v>23099.926133877492</v>
      </c>
      <c r="Y27" s="44">
        <f t="shared" si="24"/>
        <v>-22704</v>
      </c>
      <c r="Z27" s="44">
        <f t="shared" si="25"/>
        <v>63998.961913412437</v>
      </c>
      <c r="AA27" s="50">
        <f t="shared" si="26"/>
        <v>28395.926133877492</v>
      </c>
      <c r="AB27" s="51">
        <f t="shared" si="27"/>
        <v>59828.888392458102</v>
      </c>
      <c r="AC27" s="44">
        <f t="shared" si="28"/>
        <v>26545.691440476294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1.5822918772544592</v>
      </c>
      <c r="AP27" s="47">
        <f t="shared" si="37"/>
        <v>3.9228000813203403</v>
      </c>
    </row>
    <row r="28" spans="1:42" ht="13.5" customHeight="1">
      <c r="B28" s="97" t="s">
        <v>31</v>
      </c>
      <c r="C28" s="98">
        <v>18231027</v>
      </c>
      <c r="D28" s="61" t="s">
        <v>164</v>
      </c>
      <c r="E28" s="38" t="s">
        <v>1765</v>
      </c>
      <c r="F28" s="39" t="s">
        <v>1766</v>
      </c>
      <c r="G28" s="39">
        <v>12</v>
      </c>
      <c r="H28" s="39"/>
      <c r="I28" s="40" t="s">
        <v>272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0.34730214820298744</v>
      </c>
      <c r="V28" s="48">
        <f t="shared" si="21"/>
        <v>324</v>
      </c>
      <c r="W28" s="49">
        <f t="shared" si="22"/>
        <v>2.8941845683582289E-2</v>
      </c>
      <c r="X28" s="44">
        <f t="shared" si="23"/>
        <v>9074.9709811661578</v>
      </c>
      <c r="Y28" s="44">
        <f t="shared" si="24"/>
        <v>3564</v>
      </c>
      <c r="Z28" s="44">
        <f t="shared" si="25"/>
        <v>25142.449323126311</v>
      </c>
      <c r="AA28" s="50">
        <f t="shared" si="26"/>
        <v>23638.97098116616</v>
      </c>
      <c r="AB28" s="51">
        <f t="shared" si="27"/>
        <v>23504.206154179967</v>
      </c>
      <c r="AC28" s="44">
        <f t="shared" si="28"/>
        <v>22098.692139072784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1.5822918772544594</v>
      </c>
      <c r="AP28" s="47">
        <f t="shared" si="37"/>
        <v>1.8512211342429716</v>
      </c>
    </row>
    <row r="29" spans="1:42">
      <c r="B29" s="97" t="s">
        <v>31</v>
      </c>
      <c r="C29" s="98">
        <v>18231027</v>
      </c>
      <c r="D29" s="61" t="s">
        <v>164</v>
      </c>
      <c r="E29" s="38" t="s">
        <v>1767</v>
      </c>
      <c r="F29" s="39" t="s">
        <v>1768</v>
      </c>
      <c r="G29" s="39">
        <v>12</v>
      </c>
      <c r="H29" s="39"/>
      <c r="I29" s="40" t="s">
        <v>272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0.76311598305327255</v>
      </c>
      <c r="V29" s="48">
        <f t="shared" si="21"/>
        <v>209</v>
      </c>
      <c r="W29" s="49">
        <f t="shared" si="22"/>
        <v>6.3592998587772717E-2</v>
      </c>
      <c r="X29" s="44">
        <f t="shared" si="23"/>
        <v>19940.145597443683</v>
      </c>
      <c r="Y29" s="44">
        <f t="shared" si="24"/>
        <v>627</v>
      </c>
      <c r="Z29" s="44">
        <f t="shared" si="25"/>
        <v>55244.705599605571</v>
      </c>
      <c r="AA29" s="50">
        <f t="shared" si="26"/>
        <v>28067.145597443683</v>
      </c>
      <c r="AB29" s="51">
        <f t="shared" si="27"/>
        <v>51645.045900351099</v>
      </c>
      <c r="AC29" s="44">
        <f t="shared" si="28"/>
        <v>26238.333736041583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1.5822918772544594</v>
      </c>
      <c r="AP29" s="47">
        <f t="shared" si="37"/>
        <v>5.1424056653124337</v>
      </c>
    </row>
    <row r="30" spans="1:42">
      <c r="B30" s="97" t="s">
        <v>31</v>
      </c>
      <c r="C30" s="98">
        <v>18231027</v>
      </c>
      <c r="D30" s="61" t="s">
        <v>164</v>
      </c>
      <c r="E30" s="38" t="s">
        <v>1769</v>
      </c>
      <c r="F30" s="39" t="s">
        <v>1770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164</v>
      </c>
      <c r="E31" s="38" t="s">
        <v>1217</v>
      </c>
      <c r="F31" s="39" t="s">
        <v>1218</v>
      </c>
      <c r="G31" s="39">
        <v>15</v>
      </c>
      <c r="H31" s="39"/>
      <c r="I31" s="40" t="s">
        <v>272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2.5662720310565573E-2</v>
      </c>
      <c r="V31" s="48">
        <f t="shared" si="21"/>
        <v>59.139999999999986</v>
      </c>
      <c r="W31" s="49">
        <f t="shared" si="22"/>
        <v>1.7108480207043717E-3</v>
      </c>
      <c r="X31" s="44">
        <f t="shared" si="23"/>
        <v>536.4514865713985</v>
      </c>
      <c r="Y31" s="44">
        <f t="shared" si="24"/>
        <v>59.139999999999986</v>
      </c>
      <c r="Z31" s="44">
        <f t="shared" si="25"/>
        <v>1486.2531619582057</v>
      </c>
      <c r="AA31" s="50">
        <f t="shared" si="26"/>
        <v>795.59148657139849</v>
      </c>
      <c r="AB31" s="51">
        <f t="shared" si="27"/>
        <v>1389.4112012323133</v>
      </c>
      <c r="AC31" s="44">
        <f t="shared" si="28"/>
        <v>743.75197398466707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1.9241749630248777</v>
      </c>
      <c r="AP31" s="47">
        <f t="shared" si="37"/>
        <v>13.317101221983185</v>
      </c>
    </row>
    <row r="32" spans="1:42">
      <c r="B32" s="97" t="s">
        <v>31</v>
      </c>
      <c r="C32" s="98">
        <v>18231027</v>
      </c>
      <c r="D32" s="61" t="s">
        <v>164</v>
      </c>
      <c r="E32" s="38" t="s">
        <v>1771</v>
      </c>
      <c r="F32" s="39" t="s">
        <v>1772</v>
      </c>
      <c r="G32" s="39">
        <v>15</v>
      </c>
      <c r="H32" s="39"/>
      <c r="I32" s="40" t="s">
        <v>272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0.46581725654632666</v>
      </c>
      <c r="V32" s="48">
        <f t="shared" si="21"/>
        <v>159</v>
      </c>
      <c r="W32" s="49">
        <f t="shared" si="22"/>
        <v>3.1054483769755111E-2</v>
      </c>
      <c r="X32" s="44">
        <f t="shared" si="23"/>
        <v>9737.4072865535672</v>
      </c>
      <c r="Y32" s="44">
        <f t="shared" si="24"/>
        <v>1272</v>
      </c>
      <c r="Z32" s="44">
        <f t="shared" si="25"/>
        <v>26977.746788271674</v>
      </c>
      <c r="AA32" s="50">
        <f t="shared" si="26"/>
        <v>31009.407286553567</v>
      </c>
      <c r="AB32" s="51">
        <f t="shared" si="27"/>
        <v>25219.918470853205</v>
      </c>
      <c r="AC32" s="44">
        <f t="shared" si="28"/>
        <v>28988.882197395124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1.9241749630248774</v>
      </c>
      <c r="AP32" s="47">
        <f t="shared" si="37"/>
        <v>6.2615332374674697</v>
      </c>
    </row>
    <row r="33" spans="2:42">
      <c r="B33" s="97" t="s">
        <v>31</v>
      </c>
      <c r="C33" s="98">
        <v>18231027</v>
      </c>
      <c r="D33" s="61" t="s">
        <v>164</v>
      </c>
      <c r="E33" s="38" t="s">
        <v>1773</v>
      </c>
      <c r="F33" s="39" t="s">
        <v>1774</v>
      </c>
      <c r="G33" s="39">
        <v>20</v>
      </c>
      <c r="H33" s="39"/>
      <c r="I33" s="40" t="s">
        <v>272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2.0737551766113596E-2</v>
      </c>
      <c r="V33" s="48">
        <f t="shared" si="21"/>
        <v>27.690000000000055</v>
      </c>
      <c r="W33" s="49">
        <f t="shared" si="22"/>
        <v>1.0368775883056798E-3</v>
      </c>
      <c r="X33" s="44">
        <f t="shared" si="23"/>
        <v>325.12211307357484</v>
      </c>
      <c r="Y33" s="44">
        <f t="shared" si="24"/>
        <v>27.690000000000055</v>
      </c>
      <c r="Z33" s="44">
        <f t="shared" si="25"/>
        <v>900.75949209588225</v>
      </c>
      <c r="AA33" s="50">
        <f t="shared" si="26"/>
        <v>2652.8121130735749</v>
      </c>
      <c r="AB33" s="51">
        <f t="shared" si="27"/>
        <v>842.06739468625051</v>
      </c>
      <c r="AC33" s="44">
        <f t="shared" si="28"/>
        <v>2479.9589726779236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2.4738748902589118</v>
      </c>
      <c r="AP33" s="47">
        <f t="shared" si="37"/>
        <v>8.8598585237789003</v>
      </c>
    </row>
    <row r="34" spans="2:42">
      <c r="B34" s="97" t="s">
        <v>31</v>
      </c>
      <c r="C34" s="98">
        <v>18231027</v>
      </c>
      <c r="D34" s="61" t="s">
        <v>164</v>
      </c>
      <c r="E34" s="38" t="s">
        <v>1775</v>
      </c>
      <c r="F34" s="39" t="s">
        <v>1776</v>
      </c>
      <c r="G34" s="39">
        <v>10</v>
      </c>
      <c r="H34" s="39"/>
      <c r="I34" s="40" t="s">
        <v>272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7.9709964600999141E-3</v>
      </c>
      <c r="V34" s="48">
        <f t="shared" si="21"/>
        <v>17.329999999999998</v>
      </c>
      <c r="W34" s="49">
        <f t="shared" si="22"/>
        <v>7.9709964600999138E-4</v>
      </c>
      <c r="X34" s="44">
        <f t="shared" si="23"/>
        <v>249.93762442531064</v>
      </c>
      <c r="Y34" s="44">
        <f t="shared" si="24"/>
        <v>51.989999999999995</v>
      </c>
      <c r="Z34" s="44">
        <f t="shared" si="25"/>
        <v>692.45885954870948</v>
      </c>
      <c r="AA34" s="50">
        <f t="shared" si="26"/>
        <v>376.92762442531063</v>
      </c>
      <c r="AB34" s="51">
        <f t="shared" si="27"/>
        <v>647.33930966505511</v>
      </c>
      <c r="AC34" s="44">
        <f t="shared" si="28"/>
        <v>352.36760252903673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1.3451170779004467</v>
      </c>
      <c r="AP34" s="47">
        <f t="shared" si="37"/>
        <v>3.9218468912520961</v>
      </c>
    </row>
    <row r="35" spans="2:42">
      <c r="B35" s="97" t="s">
        <v>31</v>
      </c>
      <c r="C35" s="98">
        <v>18231027</v>
      </c>
      <c r="D35" s="61" t="s">
        <v>164</v>
      </c>
      <c r="E35" s="38" t="s">
        <v>1777</v>
      </c>
      <c r="F35" s="39" t="s">
        <v>1778</v>
      </c>
      <c r="G35" s="39">
        <v>10</v>
      </c>
      <c r="H35" s="39"/>
      <c r="I35" s="40" t="s">
        <v>272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6.2212655298340786E-3</v>
      </c>
      <c r="V35" s="48">
        <f t="shared" si="21"/>
        <v>32</v>
      </c>
      <c r="W35" s="49">
        <f t="shared" si="22"/>
        <v>6.2212655298340784E-4</v>
      </c>
      <c r="X35" s="44">
        <f t="shared" si="23"/>
        <v>195.07326784414488</v>
      </c>
      <c r="Y35" s="44">
        <f t="shared" si="24"/>
        <v>32</v>
      </c>
      <c r="Z35" s="44">
        <f t="shared" si="25"/>
        <v>540.45569525752921</v>
      </c>
      <c r="AA35" s="50">
        <f t="shared" si="26"/>
        <v>427.07326784414488</v>
      </c>
      <c r="AB35" s="51">
        <f t="shared" si="27"/>
        <v>505.24043681175016</v>
      </c>
      <c r="AC35" s="44">
        <f t="shared" si="28"/>
        <v>399.24583326553693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1.3451170779004473</v>
      </c>
      <c r="AP35" s="47">
        <f t="shared" si="37"/>
        <v>6.4286178929492523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0.46271304079586639</v>
      </c>
      <c r="V5" s="48">
        <f t="shared" ref="V5:V24" si="2">N5-M5</f>
        <v>337.91</v>
      </c>
      <c r="W5" s="49">
        <f t="shared" ref="W5:W24" si="3">(O5/A$10)</f>
        <v>3.0847536053057761E-2</v>
      </c>
      <c r="X5" s="44">
        <f t="shared" ref="X5:X24" si="4">W5*A$8</f>
        <v>439.29914398087453</v>
      </c>
      <c r="Y5" s="44">
        <f t="shared" ref="Y5:Y24" si="5">Q5-P5</f>
        <v>10137.299999999999</v>
      </c>
      <c r="Z5" s="44">
        <f t="shared" ref="Z5:Z24" si="6">X5+(A$6*W5)</f>
        <v>485.57044806046116</v>
      </c>
      <c r="AA5" s="50">
        <f t="shared" ref="AA5:AA24" si="7">Q5+X5</f>
        <v>12076.599143980873</v>
      </c>
      <c r="AB5" s="51">
        <f t="shared" ref="AB5:AB24" si="8">Z5/(1+GasDiscountRate)^1</f>
        <v>453.93142755955978</v>
      </c>
      <c r="AC5" s="44">
        <f t="shared" ref="AC5:AC24" si="9">AA5/(1+GasDiscountRate)^1</f>
        <v>11289.706594354373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9.6899710253371314</v>
      </c>
      <c r="AP5" s="47">
        <f>AN5/AC5</f>
        <v>0.42857097995937404</v>
      </c>
    </row>
    <row r="6" spans="1:42" ht="13.5" customHeight="1">
      <c r="A6" s="53">
        <f>SUMIF('Program Costs'!D:D,C2,'Program Costs'!L:L)</f>
        <v>1500</v>
      </c>
      <c r="B6" s="97" t="s">
        <v>31</v>
      </c>
      <c r="C6" s="98">
        <v>18231029</v>
      </c>
      <c r="D6" s="61" t="s">
        <v>165</v>
      </c>
      <c r="E6" s="38" t="s">
        <v>1241</v>
      </c>
      <c r="F6" s="39" t="s">
        <v>1242</v>
      </c>
      <c r="G6" s="39">
        <v>10</v>
      </c>
      <c r="H6" s="39"/>
      <c r="I6" s="40" t="s">
        <v>275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1.8920498593595889</v>
      </c>
      <c r="V6" s="48">
        <f t="shared" si="2"/>
        <v>0</v>
      </c>
      <c r="W6" s="49">
        <f t="shared" si="3"/>
        <v>0.18920498593595889</v>
      </c>
      <c r="X6" s="44">
        <f t="shared" si="4"/>
        <v>2694.4644206142716</v>
      </c>
      <c r="Y6" s="44">
        <f t="shared" si="5"/>
        <v>0</v>
      </c>
      <c r="Z6" s="44">
        <f t="shared" si="6"/>
        <v>2978.2718995182099</v>
      </c>
      <c r="AA6" s="50">
        <f t="shared" si="7"/>
        <v>2694.4644206142716</v>
      </c>
      <c r="AB6" s="51">
        <f t="shared" si="8"/>
        <v>2784.2123020643262</v>
      </c>
      <c r="AC6" s="44">
        <f t="shared" si="9"/>
        <v>2518.8972801853524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8.0880901170548807</v>
      </c>
      <c r="AP6" s="47">
        <f t="shared" ref="AP6:AP24" si="17">AN6/AC6</f>
        <v>9.8340079999996046</v>
      </c>
    </row>
    <row r="7" spans="1:42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1245</v>
      </c>
      <c r="F7" s="39" t="s">
        <v>1246</v>
      </c>
      <c r="G7" s="39">
        <v>10</v>
      </c>
      <c r="H7" s="39"/>
      <c r="I7" s="40" t="s">
        <v>275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0.20326902704435959</v>
      </c>
      <c r="V7" s="48">
        <f t="shared" si="2"/>
        <v>0</v>
      </c>
      <c r="W7" s="49">
        <f t="shared" si="3"/>
        <v>2.0326902704435958E-2</v>
      </c>
      <c r="X7" s="44">
        <f t="shared" si="4"/>
        <v>289.47501487581837</v>
      </c>
      <c r="Y7" s="44">
        <f t="shared" si="5"/>
        <v>0</v>
      </c>
      <c r="Z7" s="44">
        <f t="shared" si="6"/>
        <v>319.9653689324723</v>
      </c>
      <c r="AA7" s="50">
        <f t="shared" si="7"/>
        <v>289.47501487581837</v>
      </c>
      <c r="AB7" s="51">
        <f t="shared" si="8"/>
        <v>299.11691963398363</v>
      </c>
      <c r="AC7" s="44">
        <f t="shared" si="9"/>
        <v>270.61326995963202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8.0880901170548789</v>
      </c>
      <c r="AP7" s="47">
        <f t="shared" si="17"/>
        <v>9.8340079999996046</v>
      </c>
    </row>
    <row r="8" spans="1:42" ht="13.5" customHeight="1">
      <c r="A8" s="53">
        <f>SUMIF('Program Costs'!D:D,C2,'Program Costs'!O:O)</f>
        <v>14240.98</v>
      </c>
      <c r="B8" s="97" t="s">
        <v>31</v>
      </c>
      <c r="C8" s="98">
        <v>18231029</v>
      </c>
      <c r="D8" s="61" t="s">
        <v>165</v>
      </c>
      <c r="E8" s="38" t="s">
        <v>1261</v>
      </c>
      <c r="F8" s="39" t="s">
        <v>1262</v>
      </c>
      <c r="G8" s="39">
        <v>15</v>
      </c>
      <c r="H8" s="39"/>
      <c r="I8" s="40" t="s">
        <v>270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8.097478213927662</v>
      </c>
      <c r="V8" s="48">
        <f t="shared" si="2"/>
        <v>0</v>
      </c>
      <c r="W8" s="49">
        <f t="shared" si="3"/>
        <v>0.53983188092851075</v>
      </c>
      <c r="X8" s="44">
        <f t="shared" si="4"/>
        <v>7687.7350196653033</v>
      </c>
      <c r="Y8" s="44">
        <f t="shared" si="5"/>
        <v>0</v>
      </c>
      <c r="Z8" s="44">
        <f t="shared" si="6"/>
        <v>8497.4828410580703</v>
      </c>
      <c r="AA8" s="50">
        <f t="shared" si="7"/>
        <v>7687.7350196653033</v>
      </c>
      <c r="AB8" s="51">
        <f t="shared" si="8"/>
        <v>7943.7999822922966</v>
      </c>
      <c r="AC8" s="44">
        <f t="shared" si="9"/>
        <v>7186.8140784007692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9.6899710253371314</v>
      </c>
      <c r="AP8" s="47">
        <f t="shared" si="17"/>
        <v>11.781675426933569</v>
      </c>
    </row>
    <row r="9" spans="1:42" ht="13.5" customHeight="1">
      <c r="A9" s="36" t="s">
        <v>317</v>
      </c>
      <c r="B9" s="97" t="s">
        <v>31</v>
      </c>
      <c r="C9" s="98">
        <v>18231029</v>
      </c>
      <c r="D9" s="61" t="s">
        <v>165</v>
      </c>
      <c r="E9" s="38" t="s">
        <v>1263</v>
      </c>
      <c r="F9" s="39" t="s">
        <v>1264</v>
      </c>
      <c r="G9" s="39">
        <v>15</v>
      </c>
      <c r="H9" s="39"/>
      <c r="I9" s="40" t="s">
        <v>270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3.2968304156705477</v>
      </c>
      <c r="V9" s="48">
        <f t="shared" si="2"/>
        <v>0</v>
      </c>
      <c r="W9" s="49">
        <f t="shared" si="3"/>
        <v>0.21978869437803653</v>
      </c>
      <c r="X9" s="44">
        <f t="shared" si="4"/>
        <v>3130.0064008637305</v>
      </c>
      <c r="Y9" s="44">
        <f t="shared" si="5"/>
        <v>0</v>
      </c>
      <c r="Z9" s="44">
        <f t="shared" si="6"/>
        <v>3459.6894424307852</v>
      </c>
      <c r="AA9" s="50">
        <f t="shared" si="7"/>
        <v>3130.0064008637305</v>
      </c>
      <c r="AB9" s="51">
        <f t="shared" si="8"/>
        <v>3234.2614213618631</v>
      </c>
      <c r="AC9" s="44">
        <f t="shared" si="9"/>
        <v>2926.0600176345988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9.6899710253371332</v>
      </c>
      <c r="AP9" s="47">
        <f t="shared" si="17"/>
        <v>11.781675426933571</v>
      </c>
    </row>
    <row r="10" spans="1:42" ht="13.5" customHeight="1">
      <c r="A10" s="54">
        <f>SUM(O5:O999)</f>
        <v>14782.380000000001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10137.299999999999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13.952340556798024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15740.98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25878.28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9.3543258932477595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6.2589508452263694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1779</v>
      </c>
      <c r="F5" s="39" t="s">
        <v>1780</v>
      </c>
      <c r="G5" s="39">
        <v>15</v>
      </c>
      <c r="H5" s="39"/>
      <c r="I5" s="40" t="s">
        <v>269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-0.1718816819101105</v>
      </c>
      <c r="V5" s="48">
        <f t="shared" ref="V5:V24" si="2">N5-M5</f>
        <v>0.67999999999999972</v>
      </c>
      <c r="W5" s="49">
        <f t="shared" ref="W5:W24" si="3">(O5/A$10)</f>
        <v>-1.1458778794007366E-2</v>
      </c>
      <c r="X5" s="44">
        <f t="shared" ref="X5:X24" si="4">W5*A$8</f>
        <v>-4679.4818838730325</v>
      </c>
      <c r="Y5" s="44">
        <f t="shared" ref="Y5:Y24" si="5">Q5-P5</f>
        <v>-6812.59</v>
      </c>
      <c r="Z5" s="44">
        <f t="shared" ref="Z5:Z24" si="6">X5+(A$6*W5)</f>
        <v>-24271.65202017907</v>
      </c>
      <c r="AA5" s="50">
        <f t="shared" ref="AA5:AA24" si="7">Q5+X5</f>
        <v>-11492.071883873032</v>
      </c>
      <c r="AB5" s="51">
        <f t="shared" ref="AB5:AB24" si="8">Z5/(1+GasDiscountRate)^1</f>
        <v>-22690.148658669783</v>
      </c>
      <c r="AC5" s="44">
        <f t="shared" ref="AC5:AC24" si="9">AA5/(1+GasDiscountRate)^1</f>
        <v>-10743.266227795672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2.9626751873828785</v>
      </c>
      <c r="AP5" s="47">
        <f>AN5/AC5</f>
        <v>6.8829993508547034</v>
      </c>
    </row>
    <row r="6" spans="1:42" ht="13.5" customHeight="1">
      <c r="A6" s="53">
        <f>SUMIF('Program Costs'!D:D,C2,'Program Costs'!L:L)</f>
        <v>1709795.65</v>
      </c>
      <c r="B6" s="97" t="s">
        <v>31</v>
      </c>
      <c r="C6" s="98">
        <v>18230248</v>
      </c>
      <c r="D6" s="61" t="s">
        <v>32</v>
      </c>
      <c r="E6" s="38" t="s">
        <v>1781</v>
      </c>
      <c r="F6" s="39" t="s">
        <v>1780</v>
      </c>
      <c r="G6" s="39">
        <v>11</v>
      </c>
      <c r="H6" s="39"/>
      <c r="I6" s="40" t="s">
        <v>269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5.5860574517958383</v>
      </c>
      <c r="V6" s="48">
        <f t="shared" si="2"/>
        <v>0.67999999999999972</v>
      </c>
      <c r="W6" s="49">
        <f t="shared" si="3"/>
        <v>0.50782340470871257</v>
      </c>
      <c r="X6" s="44">
        <f t="shared" si="4"/>
        <v>207382.52001023976</v>
      </c>
      <c r="Y6" s="44">
        <f t="shared" si="5"/>
        <v>36963.00999999902</v>
      </c>
      <c r="Z6" s="44">
        <f t="shared" si="6"/>
        <v>1075656.7683493861</v>
      </c>
      <c r="AA6" s="50">
        <f t="shared" si="7"/>
        <v>541193.03001023876</v>
      </c>
      <c r="AB6" s="51">
        <f t="shared" si="8"/>
        <v>1005568.6345231242</v>
      </c>
      <c r="AC6" s="44">
        <f t="shared" si="9"/>
        <v>505929.72797068214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2.2561276210658132</v>
      </c>
      <c r="AP6" s="47">
        <f t="shared" ref="AP6:AP24" si="17">AN6/AC6</f>
        <v>4.9326223591513756</v>
      </c>
    </row>
    <row r="7" spans="1:42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1782</v>
      </c>
      <c r="F7" s="39" t="s">
        <v>1783</v>
      </c>
      <c r="G7" s="39">
        <v>11</v>
      </c>
      <c r="H7" s="39"/>
      <c r="I7" s="40" t="s">
        <v>269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2.1975538939548209</v>
      </c>
      <c r="V7" s="48">
        <f t="shared" si="2"/>
        <v>5.24</v>
      </c>
      <c r="W7" s="49">
        <f t="shared" si="3"/>
        <v>0.19977762672316554</v>
      </c>
      <c r="X7" s="44">
        <f t="shared" si="4"/>
        <v>81584.242253031945</v>
      </c>
      <c r="Y7" s="44">
        <f t="shared" si="5"/>
        <v>275382.38999999996</v>
      </c>
      <c r="Z7" s="44">
        <f t="shared" si="6"/>
        <v>423163.1593916241</v>
      </c>
      <c r="AA7" s="50">
        <f t="shared" si="7"/>
        <v>619736.0822530319</v>
      </c>
      <c r="AB7" s="51">
        <f t="shared" si="8"/>
        <v>395590.50144117419</v>
      </c>
      <c r="AC7" s="44">
        <f t="shared" si="9"/>
        <v>579355.03622794419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2.2561276210658137</v>
      </c>
      <c r="AP7" s="47">
        <f t="shared" si="17"/>
        <v>1.6945618165640903</v>
      </c>
    </row>
    <row r="8" spans="1:42" ht="13.5" customHeight="1">
      <c r="A8" s="53">
        <f>SUMIF('Program Costs'!D:D,C2,'Program Costs'!O:O)</f>
        <v>408375.27</v>
      </c>
      <c r="B8" s="97" t="s">
        <v>31</v>
      </c>
      <c r="C8" s="98">
        <v>18230248</v>
      </c>
      <c r="D8" s="61" t="s">
        <v>32</v>
      </c>
      <c r="E8" s="38" t="s">
        <v>1784</v>
      </c>
      <c r="F8" s="39" t="s">
        <v>1785</v>
      </c>
      <c r="G8" s="39">
        <v>11</v>
      </c>
      <c r="H8" s="39"/>
      <c r="I8" s="40" t="s">
        <v>269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1.7080880857265359</v>
      </c>
      <c r="V8" s="48">
        <f t="shared" si="2"/>
        <v>0.43000000000000016</v>
      </c>
      <c r="W8" s="49">
        <f t="shared" si="3"/>
        <v>0.15528073506604873</v>
      </c>
      <c r="X8" s="44">
        <f t="shared" si="4"/>
        <v>63412.812108396116</v>
      </c>
      <c r="Y8" s="44">
        <f t="shared" si="5"/>
        <v>8764.6699999999983</v>
      </c>
      <c r="Z8" s="44">
        <f t="shared" si="6"/>
        <v>328911.1374531287</v>
      </c>
      <c r="AA8" s="50">
        <f t="shared" si="7"/>
        <v>133304.73210839613</v>
      </c>
      <c r="AB8" s="51">
        <f t="shared" si="8"/>
        <v>307479.79569330532</v>
      </c>
      <c r="AC8" s="44">
        <f t="shared" si="9"/>
        <v>124618.80163447333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2.2561276210658128</v>
      </c>
      <c r="AP8" s="47">
        <f t="shared" si="17"/>
        <v>6.1233539078631356</v>
      </c>
    </row>
    <row r="9" spans="1:42" ht="13.5" customHeight="1">
      <c r="A9" s="36" t="s">
        <v>317</v>
      </c>
      <c r="B9" s="97" t="s">
        <v>31</v>
      </c>
      <c r="C9" s="98">
        <v>18230248</v>
      </c>
      <c r="D9" s="61" t="s">
        <v>32</v>
      </c>
      <c r="E9" s="38" t="s">
        <v>1786</v>
      </c>
      <c r="F9" s="39" t="s">
        <v>1787</v>
      </c>
      <c r="G9" s="39">
        <v>11</v>
      </c>
      <c r="H9" s="39"/>
      <c r="I9" s="40" t="s">
        <v>269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0.49212216306608231</v>
      </c>
      <c r="V9" s="48">
        <f t="shared" si="2"/>
        <v>0.67999999999999972</v>
      </c>
      <c r="W9" s="49">
        <f t="shared" si="3"/>
        <v>4.4738378460552938E-2</v>
      </c>
      <c r="X9" s="44">
        <f t="shared" si="4"/>
        <v>18270.047383190493</v>
      </c>
      <c r="Y9" s="44">
        <f t="shared" si="5"/>
        <v>4848.8899999999994</v>
      </c>
      <c r="Z9" s="44">
        <f t="shared" si="6"/>
        <v>94763.532263097601</v>
      </c>
      <c r="AA9" s="50">
        <f t="shared" si="7"/>
        <v>92017.437383190496</v>
      </c>
      <c r="AB9" s="51">
        <f t="shared" si="8"/>
        <v>88588.886849675226</v>
      </c>
      <c r="AC9" s="44">
        <f t="shared" si="9"/>
        <v>86021.723271188646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2.2561276210658132</v>
      </c>
      <c r="AP9" s="47">
        <f t="shared" si="17"/>
        <v>2.5558034602727502</v>
      </c>
    </row>
    <row r="10" spans="1:42" ht="13.5" customHeight="1">
      <c r="A10" s="54">
        <f>SUM(O5:O999)</f>
        <v>578333.87999999989</v>
      </c>
      <c r="B10" s="97" t="s">
        <v>31</v>
      </c>
      <c r="C10" s="98">
        <v>18230248</v>
      </c>
      <c r="D10" s="61" t="s">
        <v>32</v>
      </c>
      <c r="E10" s="38" t="s">
        <v>1788</v>
      </c>
      <c r="F10" s="39" t="s">
        <v>1789</v>
      </c>
      <c r="G10" s="39">
        <v>11</v>
      </c>
      <c r="H10" s="39"/>
      <c r="I10" s="40" t="s">
        <v>269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0.3296898497456176</v>
      </c>
      <c r="V10" s="48">
        <f t="shared" si="2"/>
        <v>5.24</v>
      </c>
      <c r="W10" s="49">
        <f t="shared" si="3"/>
        <v>2.9971804522328872E-2</v>
      </c>
      <c r="X10" s="44">
        <f t="shared" si="4"/>
        <v>12239.743764193276</v>
      </c>
      <c r="Y10" s="44">
        <f t="shared" si="5"/>
        <v>78603.700000000012</v>
      </c>
      <c r="Z10" s="44">
        <f t="shared" si="6"/>
        <v>63485.404759121506</v>
      </c>
      <c r="AA10" s="50">
        <f t="shared" si="7"/>
        <v>165846.94376419327</v>
      </c>
      <c r="AB10" s="51">
        <f t="shared" si="8"/>
        <v>59348.793829224553</v>
      </c>
      <c r="AC10" s="44">
        <f t="shared" si="9"/>
        <v>155040.61303561117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2.2561276210658132</v>
      </c>
      <c r="AP10" s="47">
        <f t="shared" si="17"/>
        <v>0.94999816792990011</v>
      </c>
    </row>
    <row r="11" spans="1:42" ht="13.5" customHeight="1">
      <c r="A11" s="36" t="s">
        <v>252</v>
      </c>
      <c r="B11" s="97" t="s">
        <v>31</v>
      </c>
      <c r="C11" s="98">
        <v>18230248</v>
      </c>
      <c r="D11" s="61" t="s">
        <v>32</v>
      </c>
      <c r="E11" s="38" t="s">
        <v>1790</v>
      </c>
      <c r="F11" s="39" t="s">
        <v>1791</v>
      </c>
      <c r="G11" s="39">
        <v>11</v>
      </c>
      <c r="H11" s="39"/>
      <c r="I11" s="40" t="s">
        <v>269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0.51442462613464746</v>
      </c>
      <c r="V11" s="48">
        <f t="shared" si="2"/>
        <v>0.67999999999999972</v>
      </c>
      <c r="W11" s="49">
        <f t="shared" si="3"/>
        <v>4.6765875103149772E-2</v>
      </c>
      <c r="X11" s="44">
        <f t="shared" si="4"/>
        <v>19098.026872035065</v>
      </c>
      <c r="Y11" s="44">
        <f t="shared" si="5"/>
        <v>5445.9199999999983</v>
      </c>
      <c r="Z11" s="44">
        <f t="shared" si="6"/>
        <v>99058.116691843839</v>
      </c>
      <c r="AA11" s="50">
        <f t="shared" si="7"/>
        <v>122766.44687203507</v>
      </c>
      <c r="AB11" s="51">
        <f t="shared" si="8"/>
        <v>92603.642789421181</v>
      </c>
      <c r="AC11" s="44">
        <f t="shared" si="9"/>
        <v>114767.174789226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2.2561276210658132</v>
      </c>
      <c r="AP11" s="47">
        <f t="shared" si="17"/>
        <v>2.0024732713116533</v>
      </c>
    </row>
    <row r="12" spans="1:42" ht="13.5" customHeight="1">
      <c r="A12" s="55">
        <f>SUM(P5:P1000)</f>
        <v>945172.2</v>
      </c>
      <c r="B12" s="97" t="s">
        <v>31</v>
      </c>
      <c r="C12" s="98">
        <v>18230248</v>
      </c>
      <c r="D12" s="61" t="s">
        <v>32</v>
      </c>
      <c r="E12" s="38" t="s">
        <v>1792</v>
      </c>
      <c r="F12" s="39" t="s">
        <v>1793</v>
      </c>
      <c r="G12" s="39">
        <v>11</v>
      </c>
      <c r="H12" s="39"/>
      <c r="I12" s="40" t="s">
        <v>269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0.28674462232784986</v>
      </c>
      <c r="V12" s="48">
        <f t="shared" si="2"/>
        <v>5.24</v>
      </c>
      <c r="W12" s="49">
        <f t="shared" si="3"/>
        <v>2.6067692938895441E-2</v>
      </c>
      <c r="X12" s="44">
        <f t="shared" si="4"/>
        <v>10645.40114219852</v>
      </c>
      <c r="Y12" s="44">
        <f t="shared" si="5"/>
        <v>84377.12</v>
      </c>
      <c r="Z12" s="44">
        <f t="shared" si="6"/>
        <v>55215.829134657659</v>
      </c>
      <c r="AA12" s="50">
        <f t="shared" si="7"/>
        <v>175535.02114219853</v>
      </c>
      <c r="AB12" s="51">
        <f t="shared" si="8"/>
        <v>51618.050981263579</v>
      </c>
      <c r="AC12" s="44">
        <f t="shared" si="9"/>
        <v>164097.43025352765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2.2561276210658132</v>
      </c>
      <c r="AP12" s="47">
        <f t="shared" si="17"/>
        <v>0.78064965077720594</v>
      </c>
    </row>
    <row r="13" spans="1:42" ht="13.5" customHeight="1">
      <c r="A13" s="56" t="s">
        <v>255</v>
      </c>
      <c r="B13" s="97" t="s">
        <v>31</v>
      </c>
      <c r="C13" s="98">
        <v>18230248</v>
      </c>
      <c r="D13" s="61" t="s">
        <v>32</v>
      </c>
      <c r="E13" s="38" t="s">
        <v>1794</v>
      </c>
      <c r="F13" s="39" t="s">
        <v>1795</v>
      </c>
      <c r="G13" s="39">
        <v>11</v>
      </c>
      <c r="H13" s="39"/>
      <c r="I13" s="40" t="s">
        <v>269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1.1365873982689727E-2</v>
      </c>
      <c r="V13" s="48">
        <f t="shared" si="2"/>
        <v>0.43000000000000016</v>
      </c>
      <c r="W13" s="49">
        <f t="shared" si="3"/>
        <v>1.0332612711536114E-3</v>
      </c>
      <c r="X13" s="44">
        <f t="shared" si="4"/>
        <v>421.9583505878993</v>
      </c>
      <c r="Y13" s="44">
        <f t="shared" si="5"/>
        <v>256.71000000000004</v>
      </c>
      <c r="Z13" s="44">
        <f t="shared" si="6"/>
        <v>2188.6239773198145</v>
      </c>
      <c r="AA13" s="50">
        <f t="shared" si="7"/>
        <v>2469.6683505878991</v>
      </c>
      <c r="AB13" s="51">
        <f t="shared" si="8"/>
        <v>2046.0166189771098</v>
      </c>
      <c r="AC13" s="44">
        <f t="shared" si="9"/>
        <v>2308.748574916237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2.2561276210658132</v>
      </c>
      <c r="AP13" s="47">
        <f t="shared" si="17"/>
        <v>2.1993222315866778</v>
      </c>
    </row>
    <row r="14" spans="1:42" ht="13.5" customHeight="1">
      <c r="A14" s="55">
        <f>SUM(Y5:Y1000)</f>
        <v>487829.81999999896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10.954164884823973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2118170.92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1841377.2899999991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2.2480314487959414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2.844548129673925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12.228618421052632</v>
      </c>
      <c r="V5" s="48">
        <f t="shared" ref="V5:V24" si="2">N5-M5</f>
        <v>0</v>
      </c>
      <c r="W5" s="49">
        <f t="shared" ref="W5:W24" si="3">(O5/A$10)</f>
        <v>0.81524122807017541</v>
      </c>
      <c r="X5" s="44">
        <f t="shared" ref="X5:X24" si="4">W5*A$8</f>
        <v>4288.2829934210522</v>
      </c>
      <c r="Y5" s="44">
        <f t="shared" ref="Y5:Y24" si="5">Q5-P5</f>
        <v>0</v>
      </c>
      <c r="Z5" s="44">
        <f t="shared" ref="Z5:Z24" si="6">X5+(A$6*W5)</f>
        <v>12338.349890350875</v>
      </c>
      <c r="AA5" s="50">
        <f t="shared" ref="AA5:AA24" si="7">Q5+X5</f>
        <v>4288.2829934210522</v>
      </c>
      <c r="AB5" s="51">
        <f t="shared" ref="AB5:AB24" si="8">Z5/(1+GasDiscountRate)^1</f>
        <v>11534.402066327824</v>
      </c>
      <c r="AC5" s="44">
        <f t="shared" ref="AC5:AC24" si="9">AA5/(1+GasDiscountRate)^1</f>
        <v>4008.8650962148749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1.2435514840077273</v>
      </c>
      <c r="AP5" s="47">
        <f>AN5/AC5</f>
        <v>3.9357735191173022</v>
      </c>
    </row>
    <row r="6" spans="1:42" ht="13.5" customHeight="1">
      <c r="A6" s="53">
        <f>SUMIF('Program Costs'!D:D,C2,'Program Costs'!L:L)</f>
        <v>9874.4599999999991</v>
      </c>
      <c r="B6" s="97" t="s">
        <v>31</v>
      </c>
      <c r="C6" s="98">
        <v>18231022</v>
      </c>
      <c r="D6" s="61" t="s">
        <v>163</v>
      </c>
      <c r="E6" s="38" t="s">
        <v>1069</v>
      </c>
      <c r="F6" s="39" t="s">
        <v>1070</v>
      </c>
      <c r="G6" s="39">
        <v>15</v>
      </c>
      <c r="H6" s="39"/>
      <c r="I6" s="40" t="s">
        <v>269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2.34375</v>
      </c>
      <c r="V6" s="48">
        <f t="shared" si="2"/>
        <v>0</v>
      </c>
      <c r="W6" s="49">
        <f t="shared" si="3"/>
        <v>0.15625</v>
      </c>
      <c r="X6" s="44">
        <f t="shared" si="4"/>
        <v>821.89687499999991</v>
      </c>
      <c r="Y6" s="44">
        <f t="shared" si="5"/>
        <v>0</v>
      </c>
      <c r="Z6" s="44">
        <f t="shared" si="6"/>
        <v>2364.78125</v>
      </c>
      <c r="AA6" s="50">
        <f t="shared" si="7"/>
        <v>821.89687499999991</v>
      </c>
      <c r="AB6" s="51">
        <f t="shared" si="8"/>
        <v>2210.6957558193885</v>
      </c>
      <c r="AC6" s="44">
        <f t="shared" si="9"/>
        <v>768.34334392820404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1.3077366446469667</v>
      </c>
      <c r="AP6" s="47">
        <f t="shared" ref="AP6:AP24" si="17">AN6/AC6</f>
        <v>4.1389160981041169</v>
      </c>
    </row>
    <row r="7" spans="1:42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1796</v>
      </c>
      <c r="F7" s="39" t="s">
        <v>1797</v>
      </c>
      <c r="G7" s="39">
        <v>10</v>
      </c>
      <c r="H7" s="39"/>
      <c r="I7" s="40" t="s">
        <v>269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0.28508771929824561</v>
      </c>
      <c r="V7" s="48">
        <f t="shared" si="2"/>
        <v>0</v>
      </c>
      <c r="W7" s="49">
        <f t="shared" si="3"/>
        <v>2.850877192982456E-2</v>
      </c>
      <c r="X7" s="44">
        <f t="shared" si="4"/>
        <v>149.96013157894734</v>
      </c>
      <c r="Y7" s="44">
        <f t="shared" si="5"/>
        <v>0</v>
      </c>
      <c r="Z7" s="44">
        <f t="shared" si="6"/>
        <v>431.46885964912269</v>
      </c>
      <c r="AA7" s="50">
        <f t="shared" si="7"/>
        <v>254.68013157894734</v>
      </c>
      <c r="AB7" s="51">
        <f t="shared" si="8"/>
        <v>403.35501509687077</v>
      </c>
      <c r="AC7" s="44">
        <f t="shared" si="9"/>
        <v>238.08556752262066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0.91438026805647077</v>
      </c>
      <c r="AP7" s="47">
        <f t="shared" si="17"/>
        <v>33.062584803935742</v>
      </c>
    </row>
    <row r="8" spans="1:42" ht="13.5" customHeight="1">
      <c r="A8" s="53">
        <f>SUMIF('Program Costs'!D:D,C2,'Program Costs'!O:O)</f>
        <v>5260.1399999999994</v>
      </c>
      <c r="B8" s="97" t="s">
        <v>31</v>
      </c>
      <c r="C8" s="98">
        <v>18231022</v>
      </c>
      <c r="D8" s="61" t="s">
        <v>163</v>
      </c>
      <c r="E8" s="38" t="s">
        <v>1798</v>
      </c>
      <c r="F8" s="39" t="s">
        <v>1799</v>
      </c>
      <c r="G8" s="39">
        <v>1</v>
      </c>
      <c r="H8" s="39"/>
      <c r="I8" s="40" t="s">
        <v>275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1824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5384.72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21120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14.857456140350877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15134.599999999999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31764.86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1.2441961482361912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0.90350961103285454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426222.28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182666.71999999997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608889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182666.71999999997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18230622</v>
      </c>
      <c r="D2" s="20" t="s">
        <v>336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18230622</v>
      </c>
      <c r="D5" s="61" t="s">
        <v>336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300</v>
      </c>
      <c r="B4" s="70" t="s">
        <v>299</v>
      </c>
      <c r="C4" s="70" t="s">
        <v>298</v>
      </c>
      <c r="D4" s="70" t="s">
        <v>297</v>
      </c>
      <c r="E4" s="70" t="s">
        <v>296</v>
      </c>
      <c r="F4" s="70" t="s">
        <v>295</v>
      </c>
      <c r="G4" s="70" t="s">
        <v>294</v>
      </c>
      <c r="H4" s="70" t="s">
        <v>293</v>
      </c>
      <c r="I4" s="70" t="s">
        <v>292</v>
      </c>
      <c r="J4" s="70" t="s">
        <v>291</v>
      </c>
      <c r="K4" s="70" t="s">
        <v>290</v>
      </c>
      <c r="L4" s="70" t="s">
        <v>289</v>
      </c>
      <c r="M4" s="70" t="s">
        <v>288</v>
      </c>
      <c r="N4" s="70" t="s">
        <v>287</v>
      </c>
      <c r="O4" s="70" t="s">
        <v>286</v>
      </c>
      <c r="P4" s="70" t="s">
        <v>285</v>
      </c>
      <c r="Q4" s="70" t="s">
        <v>284</v>
      </c>
    </row>
    <row r="5" spans="1:17">
      <c r="A5" s="69"/>
      <c r="B5" s="68" t="s">
        <v>283</v>
      </c>
      <c r="C5" s="67" t="s">
        <v>282</v>
      </c>
      <c r="D5" s="67" t="s">
        <v>281</v>
      </c>
      <c r="E5" s="67" t="s">
        <v>280</v>
      </c>
      <c r="F5" s="67" t="s">
        <v>279</v>
      </c>
      <c r="G5" s="67" t="s">
        <v>278</v>
      </c>
      <c r="H5" s="67" t="s">
        <v>277</v>
      </c>
      <c r="I5" s="67" t="s">
        <v>248</v>
      </c>
      <c r="J5" s="67" t="s">
        <v>276</v>
      </c>
      <c r="K5" s="67" t="s">
        <v>275</v>
      </c>
      <c r="L5" s="67" t="s">
        <v>274</v>
      </c>
      <c r="M5" s="67" t="s">
        <v>273</v>
      </c>
      <c r="N5" s="67" t="s">
        <v>272</v>
      </c>
      <c r="O5" s="67" t="s">
        <v>271</v>
      </c>
      <c r="P5" s="67" t="s">
        <v>270</v>
      </c>
      <c r="Q5" s="66" t="s">
        <v>269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310</v>
      </c>
      <c r="B1" s="91"/>
      <c r="C1" s="91"/>
      <c r="D1" s="91"/>
      <c r="E1" s="91"/>
      <c r="F1" s="92"/>
      <c r="G1" s="92"/>
    </row>
    <row r="2" spans="1:7">
      <c r="A2" s="95"/>
      <c r="B2" s="94" t="s">
        <v>309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308</v>
      </c>
      <c r="E3" s="91"/>
      <c r="F3" s="91" t="s">
        <v>308</v>
      </c>
      <c r="G3" s="91" t="s">
        <v>308</v>
      </c>
    </row>
    <row r="4" spans="1:7" ht="25.5">
      <c r="A4" s="90" t="s">
        <v>300</v>
      </c>
      <c r="B4" s="90" t="s">
        <v>299</v>
      </c>
      <c r="C4" s="90" t="s">
        <v>307</v>
      </c>
      <c r="D4" s="89" t="s">
        <v>306</v>
      </c>
      <c r="E4" s="89" t="s">
        <v>305</v>
      </c>
      <c r="F4" s="89" t="s">
        <v>304</v>
      </c>
      <c r="G4" s="89" t="s">
        <v>303</v>
      </c>
    </row>
    <row r="5" spans="1:7">
      <c r="A5" s="88"/>
      <c r="B5" s="87" t="s">
        <v>283</v>
      </c>
      <c r="C5" s="87" t="s">
        <v>279</v>
      </c>
      <c r="D5" s="87" t="s">
        <v>275</v>
      </c>
      <c r="E5" s="87" t="s">
        <v>272</v>
      </c>
      <c r="F5" s="87" t="s">
        <v>269</v>
      </c>
      <c r="G5" s="87" t="s">
        <v>270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C34" sqref="C3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558</v>
      </c>
      <c r="F5" s="39" t="s">
        <v>559</v>
      </c>
      <c r="G5" s="39">
        <v>15</v>
      </c>
      <c r="H5" s="39"/>
      <c r="I5" s="40" t="s">
        <v>282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8.1689874382026388E-4</v>
      </c>
      <c r="V5" s="48">
        <f t="shared" ref="V5:V24" si="2">N5-M5</f>
        <v>886</v>
      </c>
      <c r="W5" s="49">
        <f t="shared" ref="W5:W24" si="3">(O5/A$10)</f>
        <v>5.4459916254684261E-5</v>
      </c>
      <c r="X5" s="44">
        <f t="shared" ref="X5:X24" si="4">W5*A$8</f>
        <v>47.068436702874884</v>
      </c>
      <c r="Y5" s="44">
        <f t="shared" ref="Y5:Y24" si="5">Q5-P5</f>
        <v>886</v>
      </c>
      <c r="Z5" s="44">
        <f t="shared" ref="Z5:Z24" si="6">X5+(A$6*W5)</f>
        <v>439.46366139294776</v>
      </c>
      <c r="AA5" s="50">
        <f t="shared" ref="AA5:AA24" si="7">Q5+X5</f>
        <v>1733.0684367028748</v>
      </c>
      <c r="AB5" s="51">
        <f t="shared" ref="AB5:AC20" si="8">Z5/(1+ElecDiscountRate)^1</f>
        <v>410.82888790590607</v>
      </c>
      <c r="AC5" s="44">
        <f t="shared" si="8"/>
        <v>1620.1443738458208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3.1910742842320725</v>
      </c>
      <c r="AP5" s="47">
        <f>AN5/AC5</f>
        <v>0.8900960140574804</v>
      </c>
    </row>
    <row r="6" spans="1:42" ht="13.5" customHeight="1">
      <c r="A6" s="53">
        <f>SUMIF('Program Costs'!D:D,C2,'Program Costs'!L:L)</f>
        <v>7205211.6799999997</v>
      </c>
      <c r="B6" s="97" t="s">
        <v>15</v>
      </c>
      <c r="C6" s="100">
        <v>18230628</v>
      </c>
      <c r="D6" s="100" t="s">
        <v>81</v>
      </c>
      <c r="E6" s="38" t="s">
        <v>560</v>
      </c>
      <c r="F6" s="39" t="s">
        <v>561</v>
      </c>
      <c r="G6" s="39">
        <v>15</v>
      </c>
      <c r="H6" s="39"/>
      <c r="I6" s="40" t="s">
        <v>282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1.0423941159163367E-2</v>
      </c>
      <c r="V6" s="48">
        <f t="shared" si="2"/>
        <v>1553.13</v>
      </c>
      <c r="W6" s="49">
        <f t="shared" si="3"/>
        <v>6.9492941061089115E-4</v>
      </c>
      <c r="X6" s="44">
        <f t="shared" si="4"/>
        <v>600.61129773572611</v>
      </c>
      <c r="Y6" s="44">
        <f t="shared" si="5"/>
        <v>9524.9999999999982</v>
      </c>
      <c r="Z6" s="44">
        <f t="shared" si="6"/>
        <v>5607.7248038448352</v>
      </c>
      <c r="AA6" s="50">
        <f t="shared" si="7"/>
        <v>24319.391297735725</v>
      </c>
      <c r="AB6" s="51">
        <f t="shared" si="8"/>
        <v>5242.3341159622651</v>
      </c>
      <c r="AC6" s="44">
        <f t="shared" si="8"/>
        <v>22734.777318627392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3.1910742842320725</v>
      </c>
      <c r="AP6" s="47">
        <f t="shared" ref="AP6:AP24" si="16">AN6/AC6</f>
        <v>0.80940072944557062</v>
      </c>
    </row>
    <row r="7" spans="1:42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562</v>
      </c>
      <c r="F7" s="39" t="s">
        <v>561</v>
      </c>
      <c r="G7" s="39">
        <v>15</v>
      </c>
      <c r="H7" s="39"/>
      <c r="I7" s="40" t="s">
        <v>282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3.5181453887211368E-2</v>
      </c>
      <c r="V7" s="48">
        <f t="shared" si="2"/>
        <v>1244.31</v>
      </c>
      <c r="W7" s="49">
        <f t="shared" si="3"/>
        <v>2.3454302591474244E-3</v>
      </c>
      <c r="X7" s="44">
        <f t="shared" si="4"/>
        <v>2027.1007244560813</v>
      </c>
      <c r="Y7" s="44">
        <f t="shared" si="5"/>
        <v>31148.46</v>
      </c>
      <c r="Z7" s="44">
        <f t="shared" si="6"/>
        <v>18926.42222229053</v>
      </c>
      <c r="AA7" s="50">
        <f t="shared" si="7"/>
        <v>89490.540724456077</v>
      </c>
      <c r="AB7" s="51">
        <f t="shared" si="8"/>
        <v>17693.205779462027</v>
      </c>
      <c r="AC7" s="44">
        <f t="shared" si="8"/>
        <v>83659.475296303703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3.1910742842320721</v>
      </c>
      <c r="AP7" s="47">
        <f t="shared" si="16"/>
        <v>0.8477640785015812</v>
      </c>
    </row>
    <row r="8" spans="1:42" ht="13.5" customHeight="1">
      <c r="A8" s="53">
        <f>SUMIF('Program Costs'!D:D,C2,'Program Costs'!O:O)</f>
        <v>864276.70000000019</v>
      </c>
      <c r="B8" s="97" t="s">
        <v>15</v>
      </c>
      <c r="C8" s="100">
        <v>18230628</v>
      </c>
      <c r="D8" s="100" t="s">
        <v>81</v>
      </c>
      <c r="E8" s="38" t="s">
        <v>563</v>
      </c>
      <c r="F8" s="39" t="s">
        <v>564</v>
      </c>
      <c r="G8" s="39">
        <v>15</v>
      </c>
      <c r="H8" s="39"/>
      <c r="I8" s="40" t="s">
        <v>282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0.38916046994209907</v>
      </c>
      <c r="V8" s="48">
        <f t="shared" si="2"/>
        <v>3153.13</v>
      </c>
      <c r="W8" s="49">
        <f t="shared" si="3"/>
        <v>2.5944031329473271E-2</v>
      </c>
      <c r="X8" s="44">
        <f t="shared" si="4"/>
        <v>22422.821782133775</v>
      </c>
      <c r="Y8" s="44">
        <f t="shared" si="5"/>
        <v>706648.55000000098</v>
      </c>
      <c r="Z8" s="44">
        <f t="shared" si="6"/>
        <v>209355.05934354052</v>
      </c>
      <c r="AA8" s="50">
        <f t="shared" si="7"/>
        <v>907923.94178213482</v>
      </c>
      <c r="AB8" s="51">
        <f t="shared" si="8"/>
        <v>195713.80699592456</v>
      </c>
      <c r="AC8" s="44">
        <f t="shared" si="8"/>
        <v>848765.01989542367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3.1910742842320725</v>
      </c>
      <c r="AP8" s="47">
        <f t="shared" si="16"/>
        <v>0.80940072944556973</v>
      </c>
    </row>
    <row r="9" spans="1:42" ht="13.5" customHeight="1">
      <c r="A9" s="36" t="s">
        <v>251</v>
      </c>
      <c r="B9" s="97" t="s">
        <v>15</v>
      </c>
      <c r="C9" s="100">
        <v>18230628</v>
      </c>
      <c r="D9" s="100" t="s">
        <v>81</v>
      </c>
      <c r="E9" s="38" t="s">
        <v>565</v>
      </c>
      <c r="F9" s="39" t="s">
        <v>564</v>
      </c>
      <c r="G9" s="39">
        <v>15</v>
      </c>
      <c r="H9" s="39"/>
      <c r="I9" s="40" t="s">
        <v>282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1.534790925829596</v>
      </c>
      <c r="V9" s="48">
        <f t="shared" si="2"/>
        <v>2844.31</v>
      </c>
      <c r="W9" s="49">
        <f t="shared" si="3"/>
        <v>0.10231939505530639</v>
      </c>
      <c r="X9" s="44">
        <f t="shared" si="4"/>
        <v>88432.269104396546</v>
      </c>
      <c r="Y9" s="44">
        <f t="shared" si="5"/>
        <v>2977994.5700000501</v>
      </c>
      <c r="Z9" s="44">
        <f t="shared" si="6"/>
        <v>825665.16944742436</v>
      </c>
      <c r="AA9" s="50">
        <f t="shared" si="7"/>
        <v>3904024.8391044466</v>
      </c>
      <c r="AB9" s="51">
        <f t="shared" si="8"/>
        <v>771866.10212903086</v>
      </c>
      <c r="AC9" s="44">
        <f t="shared" si="8"/>
        <v>3649644.6098012957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3.1910742842320721</v>
      </c>
      <c r="AP9" s="47">
        <f t="shared" si="16"/>
        <v>0.84776407850157021</v>
      </c>
    </row>
    <row r="10" spans="1:42" ht="13.5" customHeight="1">
      <c r="A10" s="54">
        <f>SUM(O5:O999)</f>
        <v>17242039</v>
      </c>
      <c r="B10" s="97" t="s">
        <v>15</v>
      </c>
      <c r="C10" s="100">
        <v>18230628</v>
      </c>
      <c r="D10" s="100" t="s">
        <v>81</v>
      </c>
      <c r="E10" s="38" t="s">
        <v>566</v>
      </c>
      <c r="F10" s="39" t="s">
        <v>567</v>
      </c>
      <c r="G10" s="39">
        <v>15</v>
      </c>
      <c r="H10" s="39"/>
      <c r="I10" s="40" t="s">
        <v>282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0.44118621933287588</v>
      </c>
      <c r="V10" s="48">
        <f t="shared" si="2"/>
        <v>1495.1599999999999</v>
      </c>
      <c r="W10" s="49">
        <f t="shared" si="3"/>
        <v>2.9412414622191727E-2</v>
      </c>
      <c r="X10" s="44">
        <f t="shared" si="4"/>
        <v>25420.464648699617</v>
      </c>
      <c r="Y10" s="44">
        <f t="shared" si="5"/>
        <v>252136.05999999901</v>
      </c>
      <c r="Z10" s="44">
        <f t="shared" si="6"/>
        <v>237343.13802151821</v>
      </c>
      <c r="AA10" s="50">
        <f t="shared" si="7"/>
        <v>672017.02464869863</v>
      </c>
      <c r="AB10" s="51">
        <f t="shared" si="8"/>
        <v>221878.2256908649</v>
      </c>
      <c r="AC10" s="44">
        <f t="shared" si="8"/>
        <v>628229.43315761292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3.1910742842320725</v>
      </c>
      <c r="AP10" s="47">
        <f t="shared" si="16"/>
        <v>1.2397268404663842</v>
      </c>
    </row>
    <row r="11" spans="1:42" ht="13.5" customHeight="1">
      <c r="A11" s="36" t="s">
        <v>252</v>
      </c>
      <c r="B11" s="97" t="s">
        <v>15</v>
      </c>
      <c r="C11" s="100">
        <v>18230628</v>
      </c>
      <c r="D11" s="100" t="s">
        <v>81</v>
      </c>
      <c r="E11" s="38" t="s">
        <v>568</v>
      </c>
      <c r="F11" s="39" t="s">
        <v>569</v>
      </c>
      <c r="G11" s="39">
        <v>15</v>
      </c>
      <c r="H11" s="39"/>
      <c r="I11" s="40" t="s">
        <v>282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0.28395713523209176</v>
      </c>
      <c r="V11" s="48">
        <f t="shared" si="2"/>
        <v>3239.18</v>
      </c>
      <c r="W11" s="49">
        <f t="shared" si="3"/>
        <v>1.8930475682139451E-2</v>
      </c>
      <c r="X11" s="44">
        <f t="shared" si="4"/>
        <v>16361.169051989737</v>
      </c>
      <c r="Y11" s="44">
        <f t="shared" si="5"/>
        <v>414615.03999999899</v>
      </c>
      <c r="Z11" s="44">
        <f t="shared" si="6"/>
        <v>152759.25354489687</v>
      </c>
      <c r="AA11" s="50">
        <f t="shared" si="7"/>
        <v>533376.20905198867</v>
      </c>
      <c r="AB11" s="51">
        <f t="shared" si="8"/>
        <v>142805.69649892199</v>
      </c>
      <c r="AC11" s="44">
        <f t="shared" si="8"/>
        <v>498622.23899409984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3.1910742842320721</v>
      </c>
      <c r="AP11" s="47">
        <f t="shared" si="16"/>
        <v>1.005318064683127</v>
      </c>
    </row>
    <row r="12" spans="1:42" ht="13.5" customHeight="1">
      <c r="A12" s="55">
        <f>SUM(P5:P1000)</f>
        <v>5683130.1600000001</v>
      </c>
      <c r="B12" s="97" t="s">
        <v>15</v>
      </c>
      <c r="C12" s="100">
        <v>18230628</v>
      </c>
      <c r="D12" s="100" t="s">
        <v>81</v>
      </c>
      <c r="E12" s="38" t="s">
        <v>570</v>
      </c>
      <c r="F12" s="39" t="s">
        <v>571</v>
      </c>
      <c r="G12" s="39">
        <v>15</v>
      </c>
      <c r="H12" s="39"/>
      <c r="I12" s="40" t="s">
        <v>282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0.18969972170924795</v>
      </c>
      <c r="V12" s="48">
        <f t="shared" si="2"/>
        <v>3456.6800000000003</v>
      </c>
      <c r="W12" s="49">
        <f t="shared" si="3"/>
        <v>1.2646648113949863E-2</v>
      </c>
      <c r="X12" s="44">
        <f t="shared" si="4"/>
        <v>10930.203297985814</v>
      </c>
      <c r="Y12" s="44">
        <f t="shared" si="5"/>
        <v>214314.15999999997</v>
      </c>
      <c r="Z12" s="44">
        <f t="shared" si="6"/>
        <v>102051.98000146734</v>
      </c>
      <c r="AA12" s="50">
        <f t="shared" si="7"/>
        <v>318244.36329798581</v>
      </c>
      <c r="AB12" s="51">
        <f t="shared" si="8"/>
        <v>95402.430589387048</v>
      </c>
      <c r="AC12" s="44">
        <f t="shared" si="8"/>
        <v>297508.05206879106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3.191074284232073</v>
      </c>
      <c r="AP12" s="47">
        <f t="shared" si="16"/>
        <v>1.1256161467532275</v>
      </c>
    </row>
    <row r="13" spans="1:42" ht="13.5" customHeight="1">
      <c r="A13" s="56" t="s">
        <v>255</v>
      </c>
      <c r="B13" s="97" t="s">
        <v>15</v>
      </c>
      <c r="C13" s="100">
        <v>18230628</v>
      </c>
      <c r="D13" s="100" t="s">
        <v>81</v>
      </c>
      <c r="E13" s="38" t="s">
        <v>572</v>
      </c>
      <c r="F13" s="39" t="s">
        <v>571</v>
      </c>
      <c r="G13" s="39">
        <v>10</v>
      </c>
      <c r="H13" s="39">
        <v>8</v>
      </c>
      <c r="I13" s="40" t="s">
        <v>282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1.9604734683641534</v>
      </c>
      <c r="V13" s="48">
        <f t="shared" si="2"/>
        <v>3192.1000000000004</v>
      </c>
      <c r="W13" s="49">
        <f t="shared" si="3"/>
        <v>0.10891519268689741</v>
      </c>
      <c r="X13" s="44">
        <f t="shared" si="4"/>
        <v>94132.86331529585</v>
      </c>
      <c r="Y13" s="44">
        <f t="shared" si="5"/>
        <v>1404524.00000002</v>
      </c>
      <c r="Z13" s="44">
        <f t="shared" si="6"/>
        <v>878889.88179237966</v>
      </c>
      <c r="AA13" s="50">
        <f t="shared" si="7"/>
        <v>2158656.8633153159</v>
      </c>
      <c r="AB13" s="51">
        <f t="shared" si="8"/>
        <v>821622.77441561141</v>
      </c>
      <c r="AC13" s="44">
        <f t="shared" si="8"/>
        <v>2018002.1158411852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3.3116221769168641</v>
      </c>
      <c r="AP13" s="47">
        <f t="shared" si="16"/>
        <v>1.4831474146639183</v>
      </c>
    </row>
    <row r="14" spans="1:42" ht="13.5" customHeight="1">
      <c r="A14" s="55">
        <f>SUM(Y5:Y1000)</f>
        <v>7787171.8500000667</v>
      </c>
      <c r="B14" s="97" t="s">
        <v>15</v>
      </c>
      <c r="C14" s="100">
        <v>18230628</v>
      </c>
      <c r="D14" s="100" t="s">
        <v>81</v>
      </c>
      <c r="E14" s="38" t="s">
        <v>573</v>
      </c>
      <c r="F14" s="39" t="s">
        <v>574</v>
      </c>
      <c r="G14" s="39">
        <v>15</v>
      </c>
      <c r="H14" s="39"/>
      <c r="I14" s="40" t="s">
        <v>282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0.14712877055898088</v>
      </c>
      <c r="V14" s="48">
        <f t="shared" si="2"/>
        <v>2234</v>
      </c>
      <c r="W14" s="49">
        <f t="shared" si="3"/>
        <v>9.8085847039320589E-3</v>
      </c>
      <c r="X14" s="44">
        <f t="shared" si="4"/>
        <v>8477.3312195848794</v>
      </c>
      <c r="Y14" s="44">
        <f t="shared" si="5"/>
        <v>126010.23000000001</v>
      </c>
      <c r="Z14" s="44">
        <f t="shared" si="6"/>
        <v>79150.260292625491</v>
      </c>
      <c r="AA14" s="50">
        <f t="shared" si="7"/>
        <v>267981.33121958486</v>
      </c>
      <c r="AB14" s="51">
        <f t="shared" si="8"/>
        <v>73992.951568314005</v>
      </c>
      <c r="AC14" s="44">
        <f t="shared" si="8"/>
        <v>250520.08153649137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3.1910742842320721</v>
      </c>
      <c r="AP14" s="47">
        <f t="shared" si="16"/>
        <v>1.0367580270113033</v>
      </c>
    </row>
    <row r="15" spans="1:42" ht="13.5" customHeight="1">
      <c r="A15" s="57" t="s">
        <v>258</v>
      </c>
      <c r="B15" s="97" t="s">
        <v>15</v>
      </c>
      <c r="C15" s="100">
        <v>18230628</v>
      </c>
      <c r="D15" s="100" t="s">
        <v>81</v>
      </c>
      <c r="E15" s="38" t="s">
        <v>575</v>
      </c>
      <c r="F15" s="39" t="s">
        <v>574</v>
      </c>
      <c r="G15" s="39">
        <v>10</v>
      </c>
      <c r="H15" s="39">
        <v>8</v>
      </c>
      <c r="I15" s="40" t="s">
        <v>282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1.1574009315255578</v>
      </c>
      <c r="V15" s="48">
        <f t="shared" si="2"/>
        <v>1858.1099999999997</v>
      </c>
      <c r="W15" s="49">
        <f t="shared" si="3"/>
        <v>6.4300051751419882E-2</v>
      </c>
      <c r="X15" s="44">
        <f t="shared" si="4"/>
        <v>55573.03653754641</v>
      </c>
      <c r="Y15" s="44">
        <f t="shared" si="5"/>
        <v>521438.02</v>
      </c>
      <c r="Z15" s="44">
        <f t="shared" si="6"/>
        <v>518868.52044148138</v>
      </c>
      <c r="AA15" s="50">
        <f t="shared" si="7"/>
        <v>1239327.6165375465</v>
      </c>
      <c r="AB15" s="51">
        <f t="shared" si="8"/>
        <v>485059.8489683849</v>
      </c>
      <c r="AC15" s="44">
        <f t="shared" si="8"/>
        <v>1158574.9430097658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3.3116221769168646</v>
      </c>
      <c r="AP15" s="47">
        <f t="shared" si="16"/>
        <v>1.5251222710573669</v>
      </c>
    </row>
    <row r="16" spans="1:42" ht="13.5" customHeight="1">
      <c r="A16" s="54">
        <f>SUM(U5:U999)</f>
        <v>15.594329939747848</v>
      </c>
      <c r="B16" s="97" t="s">
        <v>15</v>
      </c>
      <c r="C16" s="100">
        <v>18230628</v>
      </c>
      <c r="D16" s="100" t="s">
        <v>81</v>
      </c>
      <c r="E16" s="38" t="s">
        <v>576</v>
      </c>
      <c r="F16" s="39" t="s">
        <v>577</v>
      </c>
      <c r="G16" s="39">
        <v>15</v>
      </c>
      <c r="H16" s="39"/>
      <c r="I16" s="40" t="s">
        <v>282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1.7373235265272281E-3</v>
      </c>
      <c r="V16" s="48">
        <f t="shared" si="2"/>
        <v>2353.13</v>
      </c>
      <c r="W16" s="49">
        <f t="shared" si="3"/>
        <v>1.1582156843514853E-4</v>
      </c>
      <c r="X16" s="44">
        <f t="shared" si="4"/>
        <v>100.10188295595437</v>
      </c>
      <c r="Y16" s="44">
        <f t="shared" si="5"/>
        <v>2353.13</v>
      </c>
      <c r="Z16" s="44">
        <f t="shared" si="6"/>
        <v>934.6208006408059</v>
      </c>
      <c r="AA16" s="50">
        <f t="shared" si="7"/>
        <v>4053.2318829559545</v>
      </c>
      <c r="AB16" s="51">
        <f t="shared" si="8"/>
        <v>873.72235266037751</v>
      </c>
      <c r="AC16" s="44">
        <f t="shared" si="8"/>
        <v>3789.1295531045657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3.1910742842320725</v>
      </c>
      <c r="AP16" s="47">
        <f t="shared" si="16"/>
        <v>0.80940072944557062</v>
      </c>
    </row>
    <row r="17" spans="1:42" ht="13.5" customHeight="1">
      <c r="A17" s="58" t="s">
        <v>261</v>
      </c>
      <c r="B17" s="97" t="s">
        <v>15</v>
      </c>
      <c r="C17" s="100">
        <v>18230628</v>
      </c>
      <c r="D17" s="100" t="s">
        <v>81</v>
      </c>
      <c r="E17" s="38" t="s">
        <v>578</v>
      </c>
      <c r="F17" s="39" t="s">
        <v>577</v>
      </c>
      <c r="G17" s="39">
        <v>15</v>
      </c>
      <c r="H17" s="39"/>
      <c r="I17" s="40" t="s">
        <v>282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2.4920196503441384E-2</v>
      </c>
      <c r="V17" s="48">
        <f t="shared" si="2"/>
        <v>2044.31</v>
      </c>
      <c r="W17" s="49">
        <f t="shared" si="3"/>
        <v>1.661346433562759E-3</v>
      </c>
      <c r="X17" s="44">
        <f t="shared" si="4"/>
        <v>1435.8630131563909</v>
      </c>
      <c r="Y17" s="44">
        <f t="shared" si="5"/>
        <v>34753.269999999997</v>
      </c>
      <c r="Z17" s="44">
        <f t="shared" si="6"/>
        <v>13406.215740789126</v>
      </c>
      <c r="AA17" s="50">
        <f t="shared" si="7"/>
        <v>63389.133013156388</v>
      </c>
      <c r="AB17" s="51">
        <f t="shared" si="8"/>
        <v>12532.687427118935</v>
      </c>
      <c r="AC17" s="44">
        <f t="shared" si="8"/>
        <v>59258.795001548453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3.1910742842320721</v>
      </c>
      <c r="AP17" s="47">
        <f t="shared" si="16"/>
        <v>0.8477640785015812</v>
      </c>
    </row>
    <row r="18" spans="1:42" ht="13.5" customHeight="1">
      <c r="A18" s="59">
        <f>A6+A8</f>
        <v>8069488.3799999999</v>
      </c>
      <c r="B18" s="97" t="s">
        <v>15</v>
      </c>
      <c r="C18" s="100">
        <v>18230628</v>
      </c>
      <c r="D18" s="100" t="s">
        <v>81</v>
      </c>
      <c r="E18" s="38" t="s">
        <v>579</v>
      </c>
      <c r="F18" s="39" t="s">
        <v>580</v>
      </c>
      <c r="G18" s="39">
        <v>15</v>
      </c>
      <c r="H18" s="39"/>
      <c r="I18" s="40" t="s">
        <v>282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2.2184151190007169E-3</v>
      </c>
      <c r="V18" s="48">
        <f t="shared" si="2"/>
        <v>2439.1799999999998</v>
      </c>
      <c r="W18" s="49">
        <f t="shared" si="3"/>
        <v>1.4789434126671446E-4</v>
      </c>
      <c r="X18" s="44">
        <f t="shared" si="4"/>
        <v>127.82163321866982</v>
      </c>
      <c r="Y18" s="44">
        <f t="shared" si="5"/>
        <v>2439.1799999999998</v>
      </c>
      <c r="Z18" s="44">
        <f t="shared" si="6"/>
        <v>1193.4316683195068</v>
      </c>
      <c r="AA18" s="50">
        <f t="shared" si="7"/>
        <v>4167.0016332186697</v>
      </c>
      <c r="AB18" s="51">
        <f t="shared" si="8"/>
        <v>1115.669503897828</v>
      </c>
      <c r="AC18" s="44">
        <f t="shared" si="8"/>
        <v>3895.4862421414127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3.1910742842320721</v>
      </c>
      <c r="AP18" s="47">
        <f t="shared" si="16"/>
        <v>1.005318064683125</v>
      </c>
    </row>
    <row r="19" spans="1:42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581</v>
      </c>
      <c r="F19" s="39" t="s">
        <v>582</v>
      </c>
      <c r="G19" s="39">
        <v>10</v>
      </c>
      <c r="H19" s="39">
        <v>8</v>
      </c>
      <c r="I19" s="40" t="s">
        <v>282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1.336686455702832E-2</v>
      </c>
      <c r="V19" s="48">
        <f t="shared" si="2"/>
        <v>3092.1000000000004</v>
      </c>
      <c r="W19" s="49">
        <f t="shared" si="3"/>
        <v>7.4260358650157332E-4</v>
      </c>
      <c r="X19" s="44">
        <f t="shared" si="4"/>
        <v>641.81497714974444</v>
      </c>
      <c r="Y19" s="44">
        <f t="shared" si="5"/>
        <v>9276.2999999999993</v>
      </c>
      <c r="Z19" s="44">
        <f t="shared" si="6"/>
        <v>5992.4310122207708</v>
      </c>
      <c r="AA19" s="50">
        <f t="shared" si="7"/>
        <v>14718.114977149744</v>
      </c>
      <c r="AB19" s="51">
        <f t="shared" si="8"/>
        <v>5601.9734619246237</v>
      </c>
      <c r="AC19" s="44">
        <f t="shared" si="8"/>
        <v>13759.105335280679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3.3116221769168641</v>
      </c>
      <c r="AP19" s="47">
        <f t="shared" si="16"/>
        <v>1.4831474146639325</v>
      </c>
    </row>
    <row r="20" spans="1:42" ht="13.5" customHeight="1">
      <c r="A20" s="59">
        <f>A8+SUM(Q5:Q906)</f>
        <v>14334578.710000068</v>
      </c>
      <c r="B20" s="97" t="s">
        <v>15</v>
      </c>
      <c r="C20" s="100">
        <v>18230628</v>
      </c>
      <c r="D20" s="100" t="s">
        <v>81</v>
      </c>
      <c r="E20" s="38" t="s">
        <v>583</v>
      </c>
      <c r="F20" s="39" t="s">
        <v>584</v>
      </c>
      <c r="G20" s="39">
        <v>6</v>
      </c>
      <c r="H20" s="39">
        <v>12</v>
      </c>
      <c r="I20" s="40" t="s">
        <v>282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9.6301139325807111E-2</v>
      </c>
      <c r="V20" s="48">
        <f t="shared" si="2"/>
        <v>3429.66</v>
      </c>
      <c r="W20" s="49">
        <f t="shared" si="3"/>
        <v>5.350063295878173E-3</v>
      </c>
      <c r="X20" s="44">
        <f t="shared" si="4"/>
        <v>4623.9350501527124</v>
      </c>
      <c r="Y20" s="44">
        <f t="shared" si="5"/>
        <v>75452.52</v>
      </c>
      <c r="Z20" s="44">
        <f t="shared" si="6"/>
        <v>43172.273598353422</v>
      </c>
      <c r="AA20" s="50">
        <f t="shared" si="7"/>
        <v>132876.45505015273</v>
      </c>
      <c r="AB20" s="51">
        <f t="shared" si="8"/>
        <v>40359.234924140801</v>
      </c>
      <c r="AC20" s="44">
        <f t="shared" si="8"/>
        <v>124218.43044793187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2.532902123839563</v>
      </c>
      <c r="AP20" s="47">
        <f t="shared" si="16"/>
        <v>0.90524884782391712</v>
      </c>
    </row>
    <row r="21" spans="1:42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585</v>
      </c>
      <c r="F21" s="39" t="s">
        <v>586</v>
      </c>
      <c r="G21" s="39">
        <v>15</v>
      </c>
      <c r="H21" s="39"/>
      <c r="I21" s="40" t="s">
        <v>282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2.2599125312267303E-2</v>
      </c>
      <c r="V21" s="48">
        <f t="shared" si="2"/>
        <v>1690.37</v>
      </c>
      <c r="W21" s="49">
        <f t="shared" si="3"/>
        <v>1.5066083541511535E-3</v>
      </c>
      <c r="X21" s="44">
        <f t="shared" si="4"/>
        <v>1302.1264965181906</v>
      </c>
      <c r="Y21" s="44">
        <f t="shared" si="5"/>
        <v>11832.59</v>
      </c>
      <c r="Z21" s="44">
        <f t="shared" si="6"/>
        <v>12157.558607033658</v>
      </c>
      <c r="AA21" s="50">
        <f t="shared" si="7"/>
        <v>23634.716496518191</v>
      </c>
      <c r="AB21" s="51">
        <f t="shared" ref="AB21:AC24" si="18">Z21/(1+ElecDiscountRate)^1</f>
        <v>11365.39086382505</v>
      </c>
      <c r="AC21" s="44">
        <f t="shared" si="18"/>
        <v>22094.714870074029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3.1910742842320721</v>
      </c>
      <c r="AP21" s="47">
        <f t="shared" si="16"/>
        <v>1.8056167459944423</v>
      </c>
    </row>
    <row r="22" spans="1:42" ht="13.5" customHeight="1">
      <c r="A22" s="60">
        <f>(SUM(AM5:AM1000)/(SUM(AB5:AB1000)))</f>
        <v>1.2933094398986578</v>
      </c>
      <c r="B22" s="97" t="s">
        <v>15</v>
      </c>
      <c r="C22" s="100">
        <v>18230628</v>
      </c>
      <c r="D22" s="100" t="s">
        <v>81</v>
      </c>
      <c r="E22" s="38" t="s">
        <v>587</v>
      </c>
      <c r="F22" s="39" t="s">
        <v>586</v>
      </c>
      <c r="G22" s="39">
        <v>6</v>
      </c>
      <c r="H22" s="39">
        <v>12</v>
      </c>
      <c r="I22" s="40" t="s">
        <v>282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0.33843723471452536</v>
      </c>
      <c r="V22" s="48">
        <f t="shared" si="2"/>
        <v>4953.87</v>
      </c>
      <c r="W22" s="49">
        <f t="shared" si="3"/>
        <v>1.8802068595251409E-2</v>
      </c>
      <c r="X22" s="44">
        <f t="shared" si="4"/>
        <v>16250.189798677528</v>
      </c>
      <c r="Y22" s="44">
        <f t="shared" si="5"/>
        <v>351724.77</v>
      </c>
      <c r="Z22" s="44">
        <f t="shared" si="6"/>
        <v>151723.07404934414</v>
      </c>
      <c r="AA22" s="50">
        <f t="shared" si="7"/>
        <v>474474.95979867753</v>
      </c>
      <c r="AB22" s="51">
        <f t="shared" si="18"/>
        <v>141837.03285906714</v>
      </c>
      <c r="AC22" s="44">
        <f t="shared" si="18"/>
        <v>443558.90417750535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2.5331722775047556</v>
      </c>
      <c r="AP22" s="47">
        <f t="shared" si="16"/>
        <v>0.89103701852452988</v>
      </c>
    </row>
    <row r="23" spans="1:42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588</v>
      </c>
      <c r="F23" s="39" t="s">
        <v>589</v>
      </c>
      <c r="G23" s="39">
        <v>15</v>
      </c>
      <c r="H23" s="39"/>
      <c r="I23" s="40" t="s">
        <v>282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0.84633145766576678</v>
      </c>
      <c r="V23" s="48">
        <f t="shared" si="2"/>
        <v>100</v>
      </c>
      <c r="W23" s="49">
        <f t="shared" si="3"/>
        <v>5.6422097177717789E-2</v>
      </c>
      <c r="X23" s="44">
        <f t="shared" si="4"/>
        <v>48764.303955837255</v>
      </c>
      <c r="Y23" s="44">
        <f t="shared" si="5"/>
        <v>85600</v>
      </c>
      <c r="Z23" s="44">
        <f t="shared" si="6"/>
        <v>455297.4575508245</v>
      </c>
      <c r="AA23" s="50">
        <f t="shared" si="7"/>
        <v>476764.30395583727</v>
      </c>
      <c r="AB23" s="51">
        <f t="shared" si="18"/>
        <v>425630.978359189</v>
      </c>
      <c r="AC23" s="44">
        <f t="shared" si="18"/>
        <v>445699.07820495206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(SUM(AN5:AN1000)/SUM(AC5:AC1000))</f>
        <v>0.83068710915291744</v>
      </c>
      <c r="B24" s="97" t="s">
        <v>15</v>
      </c>
      <c r="C24" s="100">
        <v>18230628</v>
      </c>
      <c r="D24" s="100" t="s">
        <v>81</v>
      </c>
      <c r="E24" s="38" t="s">
        <v>590</v>
      </c>
      <c r="F24" s="39" t="s">
        <v>591</v>
      </c>
      <c r="G24" s="39">
        <v>15</v>
      </c>
      <c r="H24" s="39"/>
      <c r="I24" s="40" t="s">
        <v>282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0.21574565513974306</v>
      </c>
      <c r="V24" s="48">
        <f t="shared" si="2"/>
        <v>100</v>
      </c>
      <c r="W24" s="49">
        <f t="shared" si="3"/>
        <v>1.438304367598287E-2</v>
      </c>
      <c r="X24" s="44">
        <f t="shared" si="4"/>
        <v>12430.929524234347</v>
      </c>
      <c r="Y24" s="44">
        <f t="shared" si="5"/>
        <v>21700</v>
      </c>
      <c r="Z24" s="44">
        <f t="shared" si="6"/>
        <v>116063.80381237625</v>
      </c>
      <c r="AA24" s="50">
        <f t="shared" si="7"/>
        <v>124930.92952423435</v>
      </c>
      <c r="AB24" s="51">
        <f t="shared" si="18"/>
        <v>108501.26560005257</v>
      </c>
      <c r="AC24" s="44">
        <f t="shared" si="18"/>
        <v>116790.62309454459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592</v>
      </c>
      <c r="F25" s="39" t="s">
        <v>593</v>
      </c>
      <c r="G25" s="39">
        <v>15</v>
      </c>
      <c r="H25" s="39"/>
      <c r="I25" s="40" t="s">
        <v>282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2.2924988744080674</v>
      </c>
      <c r="V25" s="48">
        <f t="shared" ref="V25:V52" si="21">N25-M25</f>
        <v>240</v>
      </c>
      <c r="W25" s="49">
        <f t="shared" ref="W25:W52" si="22">(O25/A$10)</f>
        <v>0.15283325829387115</v>
      </c>
      <c r="X25" s="44">
        <f t="shared" ref="X25:X52" si="23">W25*A$8</f>
        <v>132090.22412847463</v>
      </c>
      <c r="Y25" s="44">
        <f t="shared" ref="Y25:Y52" si="24">Q25-P25</f>
        <v>408240</v>
      </c>
      <c r="Z25" s="44">
        <f t="shared" ref="Z25:Z52" si="25">X25+(A$6*W25)</f>
        <v>1233286.2018799318</v>
      </c>
      <c r="AA25" s="50">
        <f t="shared" ref="AA25:AA52" si="26">Q25+X25</f>
        <v>1560930.2241284747</v>
      </c>
      <c r="AB25" s="51">
        <f t="shared" ref="AB25:AB52" si="27">Z25/(1+ElecDiscountRate)^1</f>
        <v>1152927.1776011328</v>
      </c>
      <c r="AC25" s="44">
        <f t="shared" ref="AC25:AC52" si="28">AA25/(1+ElecDiscountRate)^1</f>
        <v>1459222.4213597032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594</v>
      </c>
      <c r="F26" s="39" t="s">
        <v>595</v>
      </c>
      <c r="G26" s="39">
        <v>15</v>
      </c>
      <c r="H26" s="39"/>
      <c r="I26" s="40" t="s">
        <v>282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0.39437244052168074</v>
      </c>
      <c r="V26" s="48">
        <f t="shared" si="21"/>
        <v>240</v>
      </c>
      <c r="W26" s="49">
        <f t="shared" si="22"/>
        <v>2.6291496034778716E-2</v>
      </c>
      <c r="X26" s="44">
        <f t="shared" si="23"/>
        <v>22723.127431001638</v>
      </c>
      <c r="Y26" s="44">
        <f t="shared" si="24"/>
        <v>52080</v>
      </c>
      <c r="Z26" s="44">
        <f t="shared" si="25"/>
        <v>212158.92174546293</v>
      </c>
      <c r="AA26" s="50">
        <f t="shared" si="26"/>
        <v>255403.12743100163</v>
      </c>
      <c r="AB26" s="51">
        <f t="shared" si="27"/>
        <v>198334.97405390569</v>
      </c>
      <c r="AC26" s="44">
        <f t="shared" si="28"/>
        <v>238761.45408151968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596</v>
      </c>
      <c r="F27" s="39" t="s">
        <v>597</v>
      </c>
      <c r="G27" s="39">
        <v>15</v>
      </c>
      <c r="H27" s="39"/>
      <c r="I27" s="40" t="s">
        <v>282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1.484337206289813E-2</v>
      </c>
      <c r="V27" s="48">
        <f t="shared" si="21"/>
        <v>92</v>
      </c>
      <c r="W27" s="49">
        <f t="shared" si="22"/>
        <v>9.8955813752654199E-4</v>
      </c>
      <c r="X27" s="44">
        <f t="shared" si="23"/>
        <v>855.25204155958602</v>
      </c>
      <c r="Y27" s="44">
        <f t="shared" si="24"/>
        <v>184</v>
      </c>
      <c r="Z27" s="44">
        <f t="shared" si="25"/>
        <v>7985.2278921048728</v>
      </c>
      <c r="AA27" s="50">
        <f t="shared" si="26"/>
        <v>2039.2520415595859</v>
      </c>
      <c r="AB27" s="51">
        <f t="shared" si="27"/>
        <v>7464.9227747077421</v>
      </c>
      <c r="AC27" s="44">
        <f t="shared" si="28"/>
        <v>1906.3775278672392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598</v>
      </c>
      <c r="F28" s="39" t="s">
        <v>599</v>
      </c>
      <c r="G28" s="39">
        <v>15</v>
      </c>
      <c r="H28" s="39"/>
      <c r="I28" s="40" t="s">
        <v>282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2.3245023398914713</v>
      </c>
      <c r="V28" s="48">
        <f t="shared" si="21"/>
        <v>150</v>
      </c>
      <c r="W28" s="49">
        <f t="shared" si="22"/>
        <v>0.1549668226594314</v>
      </c>
      <c r="X28" s="44">
        <f t="shared" si="23"/>
        <v>133934.21409757863</v>
      </c>
      <c r="Y28" s="44">
        <f t="shared" si="24"/>
        <v>90450</v>
      </c>
      <c r="Z28" s="44">
        <f t="shared" si="25"/>
        <v>1250502.9747358023</v>
      </c>
      <c r="AA28" s="50">
        <f t="shared" si="26"/>
        <v>405284.21409757866</v>
      </c>
      <c r="AB28" s="51">
        <f t="shared" si="27"/>
        <v>1169022.1321265795</v>
      </c>
      <c r="AC28" s="44">
        <f t="shared" si="28"/>
        <v>378876.52061099245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600</v>
      </c>
      <c r="F29" s="39" t="s">
        <v>601</v>
      </c>
      <c r="G29" s="39">
        <v>15</v>
      </c>
      <c r="H29" s="39"/>
      <c r="I29" s="40" t="s">
        <v>282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9.2312167951829824E-3</v>
      </c>
      <c r="V29" s="48">
        <f t="shared" si="21"/>
        <v>150</v>
      </c>
      <c r="W29" s="49">
        <f t="shared" si="22"/>
        <v>6.1541445301219883E-4</v>
      </c>
      <c r="X29" s="44">
        <f t="shared" si="23"/>
        <v>531.88837258168837</v>
      </c>
      <c r="Y29" s="44">
        <f t="shared" si="24"/>
        <v>5250</v>
      </c>
      <c r="Z29" s="44">
        <f t="shared" si="25"/>
        <v>4966.079777465995</v>
      </c>
      <c r="AA29" s="50">
        <f t="shared" si="26"/>
        <v>16281.888372581689</v>
      </c>
      <c r="AB29" s="51">
        <f t="shared" si="27"/>
        <v>4642.4976885724918</v>
      </c>
      <c r="AC29" s="44">
        <f t="shared" si="28"/>
        <v>15220.985671292594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602</v>
      </c>
      <c r="F30" s="39" t="s">
        <v>603</v>
      </c>
      <c r="G30" s="39">
        <v>15</v>
      </c>
      <c r="H30" s="39"/>
      <c r="I30" s="40" t="s">
        <v>282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2.7909271635448683</v>
      </c>
      <c r="V30" s="48">
        <f t="shared" si="21"/>
        <v>232</v>
      </c>
      <c r="W30" s="49">
        <f t="shared" si="22"/>
        <v>0.18606181090299123</v>
      </c>
      <c r="X30" s="44">
        <f t="shared" si="23"/>
        <v>160808.88792326133</v>
      </c>
      <c r="Y30" s="44">
        <f t="shared" si="24"/>
        <v>127832</v>
      </c>
      <c r="Z30" s="44">
        <f t="shared" si="25"/>
        <v>1501423.6210434451</v>
      </c>
      <c r="AA30" s="50">
        <f t="shared" si="26"/>
        <v>564140.88792326138</v>
      </c>
      <c r="AB30" s="51">
        <f t="shared" si="27"/>
        <v>1403593.176632182</v>
      </c>
      <c r="AC30" s="44">
        <f t="shared" si="28"/>
        <v>527382.33890180546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604</v>
      </c>
      <c r="F31" s="39" t="s">
        <v>605</v>
      </c>
      <c r="G31" s="39">
        <v>15</v>
      </c>
      <c r="H31" s="39"/>
      <c r="I31" s="40" t="s">
        <v>282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5.6077184374771452E-2</v>
      </c>
      <c r="V31" s="48">
        <f t="shared" si="21"/>
        <v>232</v>
      </c>
      <c r="W31" s="49">
        <f t="shared" si="22"/>
        <v>3.7384789583180967E-3</v>
      </c>
      <c r="X31" s="44">
        <f t="shared" si="23"/>
        <v>3231.0802571146028</v>
      </c>
      <c r="Y31" s="44">
        <f t="shared" si="24"/>
        <v>12064</v>
      </c>
      <c r="Z31" s="44">
        <f t="shared" si="25"/>
        <v>30167.612513022385</v>
      </c>
      <c r="AA31" s="50">
        <f t="shared" si="26"/>
        <v>41295.080257114605</v>
      </c>
      <c r="AB31" s="51">
        <f t="shared" si="27"/>
        <v>28201.937471274545</v>
      </c>
      <c r="AC31" s="44">
        <f t="shared" si="28"/>
        <v>38604.356601958119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606</v>
      </c>
      <c r="F32" s="39" t="s">
        <v>607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608</v>
      </c>
      <c r="F33" s="39" t="s">
        <v>607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2 R5:S52">
    <cfRule type="expression" dxfId="302" priority="2">
      <formula>ISTEXT(M5)</formula>
    </cfRule>
  </conditionalFormatting>
  <conditionalFormatting sqref="M5:N52 R5:S52">
    <cfRule type="notContainsBlanks" dxfId="301" priority="3">
      <formula>LEN(TRIM(M5))&gt;0</formula>
    </cfRule>
  </conditionalFormatting>
  <conditionalFormatting sqref="R5:S52">
    <cfRule type="expression" dxfId="300" priority="1">
      <formula>"istext($AB17)"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609</v>
      </c>
      <c r="F5" s="39" t="s">
        <v>610</v>
      </c>
      <c r="G5" s="39">
        <v>13</v>
      </c>
      <c r="H5" s="39"/>
      <c r="I5" s="40" t="s">
        <v>279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-5.5995688108925216E-3</v>
      </c>
      <c r="V5" s="48">
        <f t="shared" ref="V5:V24" si="2">N5-M5</f>
        <v>129.16999999999996</v>
      </c>
      <c r="W5" s="49">
        <f t="shared" ref="W5:W24" si="3">(O5/A$10)</f>
        <v>-4.3073606237634782E-4</v>
      </c>
      <c r="X5" s="44">
        <f t="shared" ref="X5:X24" si="4">W5*A$8</f>
        <v>-130.4911541227859</v>
      </c>
      <c r="Y5" s="44">
        <f t="shared" ref="Y5:Y24" si="5">Q5-P5</f>
        <v>-629.16999999999996</v>
      </c>
      <c r="Z5" s="44">
        <f t="shared" ref="Z5:Z24" si="6">X5+(A$6*W5)</f>
        <v>-746.36868909889733</v>
      </c>
      <c r="AA5" s="50">
        <f t="shared" ref="AA5:AA24" si="7">Q5+X5</f>
        <v>-759.66115412278589</v>
      </c>
      <c r="AB5" s="51">
        <f t="shared" ref="AB5:AC20" si="8">Z5/(1+ElecDiscountRate)^1</f>
        <v>-697.73645797784172</v>
      </c>
      <c r="AC5" s="44">
        <f t="shared" si="8"/>
        <v>-710.16280650910142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1.7141110285346723</v>
      </c>
      <c r="AP5" s="47">
        <f>AN5/AC5</f>
        <v>1.8525294782200492</v>
      </c>
    </row>
    <row r="6" spans="1:42" ht="13.5" customHeight="1">
      <c r="A6" s="53">
        <f>SUMIF('Program Costs'!D:D,C2,'Program Costs'!L:L)</f>
        <v>1429825.8</v>
      </c>
      <c r="B6" s="97" t="s">
        <v>15</v>
      </c>
      <c r="C6" s="100">
        <v>18230626</v>
      </c>
      <c r="D6" s="100" t="s">
        <v>79</v>
      </c>
      <c r="E6" s="38" t="s">
        <v>611</v>
      </c>
      <c r="F6" s="39" t="s">
        <v>612</v>
      </c>
      <c r="G6" s="39">
        <v>13</v>
      </c>
      <c r="H6" s="39"/>
      <c r="I6" s="40" t="s">
        <v>279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5.4657145763691945E-3</v>
      </c>
      <c r="V6" s="48">
        <f t="shared" si="2"/>
        <v>369</v>
      </c>
      <c r="W6" s="49">
        <f t="shared" si="3"/>
        <v>4.2043958279763035E-4</v>
      </c>
      <c r="X6" s="44">
        <f t="shared" si="4"/>
        <v>127.37184366566753</v>
      </c>
      <c r="Y6" s="44">
        <f t="shared" si="5"/>
        <v>369</v>
      </c>
      <c r="Z6" s="44">
        <f t="shared" si="6"/>
        <v>728.52720649095556</v>
      </c>
      <c r="AA6" s="50">
        <f t="shared" si="7"/>
        <v>1496.3718436656675</v>
      </c>
      <c r="AB6" s="51">
        <f t="shared" si="8"/>
        <v>681.0574988229929</v>
      </c>
      <c r="AC6" s="44">
        <f t="shared" si="8"/>
        <v>1398.8705652665863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1.7141110285346726</v>
      </c>
      <c r="AP6" s="47">
        <f t="shared" ref="AP6:AP24" si="16">AN6/AC6</f>
        <v>0.91798985457520277</v>
      </c>
    </row>
    <row r="7" spans="1:42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613</v>
      </c>
      <c r="F7" s="39" t="s">
        <v>614</v>
      </c>
      <c r="G7" s="39">
        <v>13</v>
      </c>
      <c r="H7" s="39"/>
      <c r="I7" s="40" t="s">
        <v>279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0.35527144746399764</v>
      </c>
      <c r="V7" s="48">
        <f t="shared" si="2"/>
        <v>129.16999999999996</v>
      </c>
      <c r="W7" s="49">
        <f t="shared" si="3"/>
        <v>2.7328572881845974E-2</v>
      </c>
      <c r="X7" s="44">
        <f t="shared" si="4"/>
        <v>8279.1698382683899</v>
      </c>
      <c r="Y7" s="44">
        <f t="shared" si="5"/>
        <v>8396.049999999901</v>
      </c>
      <c r="Z7" s="44">
        <f t="shared" si="6"/>
        <v>47354.268421912115</v>
      </c>
      <c r="AA7" s="50">
        <f t="shared" si="7"/>
        <v>49175.219838268291</v>
      </c>
      <c r="AB7" s="51">
        <f t="shared" si="8"/>
        <v>44268.737423494538</v>
      </c>
      <c r="AC7" s="44">
        <f t="shared" si="8"/>
        <v>45971.038457762261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1.7141110285346726</v>
      </c>
      <c r="AP7" s="47">
        <f t="shared" si="16"/>
        <v>1.815701514276221</v>
      </c>
    </row>
    <row r="8" spans="1:42" ht="13.5" customHeight="1">
      <c r="A8" s="53">
        <f>SUMIF('Program Costs'!D:D,C2,'Program Costs'!O:O)</f>
        <v>302949.21999999997</v>
      </c>
      <c r="B8" s="97" t="s">
        <v>15</v>
      </c>
      <c r="C8" s="100">
        <v>18230626</v>
      </c>
      <c r="D8" s="100" t="s">
        <v>79</v>
      </c>
      <c r="E8" s="38" t="s">
        <v>615</v>
      </c>
      <c r="F8" s="39" t="s">
        <v>616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100">
        <v>18230626</v>
      </c>
      <c r="D9" s="100" t="s">
        <v>79</v>
      </c>
      <c r="E9" s="38" t="s">
        <v>617</v>
      </c>
      <c r="F9" s="39" t="s">
        <v>618</v>
      </c>
      <c r="G9" s="39">
        <v>13</v>
      </c>
      <c r="H9" s="39"/>
      <c r="I9" s="40" t="s">
        <v>279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7.0067159131268166</v>
      </c>
      <c r="V9" s="48">
        <f t="shared" si="2"/>
        <v>251.55999999999995</v>
      </c>
      <c r="W9" s="49">
        <f t="shared" si="3"/>
        <v>0.53897814716360126</v>
      </c>
      <c r="X9" s="44">
        <f t="shared" si="4"/>
        <v>163283.00928025821</v>
      </c>
      <c r="Y9" s="44">
        <f t="shared" si="5"/>
        <v>249044.40000001504</v>
      </c>
      <c r="Z9" s="44">
        <f t="shared" si="6"/>
        <v>933927.8697309721</v>
      </c>
      <c r="AA9" s="50">
        <f t="shared" si="7"/>
        <v>907327.40928027325</v>
      </c>
      <c r="AB9" s="51">
        <f t="shared" si="8"/>
        <v>873074.5720584949</v>
      </c>
      <c r="AC9" s="44">
        <f t="shared" si="8"/>
        <v>848207.35653012351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2913617.2</v>
      </c>
      <c r="B10" s="97" t="s">
        <v>15</v>
      </c>
      <c r="C10" s="100">
        <v>18230626</v>
      </c>
      <c r="D10" s="100" t="s">
        <v>79</v>
      </c>
      <c r="E10" s="38" t="s">
        <v>606</v>
      </c>
      <c r="F10" s="39" t="s">
        <v>607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15</v>
      </c>
      <c r="C11" s="100">
        <v>18230626</v>
      </c>
      <c r="D11" s="100" t="s">
        <v>79</v>
      </c>
      <c r="E11" s="38" t="s">
        <v>608</v>
      </c>
      <c r="F11" s="39" t="s">
        <v>607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1150099.650000002</v>
      </c>
      <c r="B12" s="97" t="s">
        <v>15</v>
      </c>
      <c r="C12" s="100">
        <v>18230626</v>
      </c>
      <c r="D12" s="100" t="s">
        <v>79</v>
      </c>
      <c r="E12" s="38" t="s">
        <v>619</v>
      </c>
      <c r="F12" s="39" t="s">
        <v>620</v>
      </c>
      <c r="G12" s="39">
        <v>13</v>
      </c>
      <c r="H12" s="39"/>
      <c r="I12" s="40" t="s">
        <v>279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5.638146493643708</v>
      </c>
      <c r="V12" s="48">
        <f t="shared" si="2"/>
        <v>60.629999999999995</v>
      </c>
      <c r="W12" s="49">
        <f t="shared" si="3"/>
        <v>0.43370357643413138</v>
      </c>
      <c r="X12" s="44">
        <f t="shared" si="4"/>
        <v>131390.16019193048</v>
      </c>
      <c r="Y12" s="44">
        <f t="shared" si="5"/>
        <v>68633.070000000997</v>
      </c>
      <c r="Z12" s="44">
        <f t="shared" si="6"/>
        <v>751510.72332972358</v>
      </c>
      <c r="AA12" s="50">
        <f t="shared" si="7"/>
        <v>769622.88019193348</v>
      </c>
      <c r="AB12" s="51">
        <f t="shared" si="8"/>
        <v>702543.44519933022</v>
      </c>
      <c r="AC12" s="44">
        <f t="shared" si="8"/>
        <v>719475.44189205708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1.7141110285346728</v>
      </c>
      <c r="AP12" s="47">
        <f t="shared" si="16"/>
        <v>1.8411486161382382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294063.35000001593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1732775.02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1747112.2200000179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0.79024264234235986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0.86213350475482553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J5" sqref="J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621</v>
      </c>
      <c r="F5" s="39" t="s">
        <v>622</v>
      </c>
      <c r="G5" s="39">
        <v>12</v>
      </c>
      <c r="H5" s="39"/>
      <c r="I5" s="40" t="s">
        <v>277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9.2097971474459179E-4</v>
      </c>
      <c r="V5" s="48">
        <f t="shared" ref="V5:V24" si="2">N5-M5</f>
        <v>-4.5599999999999987</v>
      </c>
      <c r="W5" s="49">
        <f t="shared" ref="W5:W24" si="3">(O5/A$10)</f>
        <v>7.6748309562049312E-5</v>
      </c>
      <c r="X5" s="44">
        <f t="shared" ref="X5:X24" si="4">W5*A$8</f>
        <v>19.700998653518624</v>
      </c>
      <c r="Y5" s="44">
        <f t="shared" ref="Y5:Y24" si="5">Q5-P5</f>
        <v>-9.1199999999999974</v>
      </c>
      <c r="Z5" s="44">
        <f t="shared" ref="Z5:Z24" si="6">X5+(A$6*W5)</f>
        <v>100.35218462934516</v>
      </c>
      <c r="AA5" s="50">
        <f t="shared" ref="AA5:AA24" si="7">Q5+X5</f>
        <v>60.580998653518627</v>
      </c>
      <c r="AB5" s="51">
        <f t="shared" ref="AB5:AC20" si="8">Z5/(1+ElecDiscountRate)^1</f>
        <v>93.813391258619376</v>
      </c>
      <c r="AC5" s="44">
        <f t="shared" si="8"/>
        <v>56.633634340019277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1.2689255898918808</v>
      </c>
      <c r="AP5" s="47">
        <f>AN5/AC5</f>
        <v>2.2896918323196771</v>
      </c>
    </row>
    <row r="6" spans="1:42" ht="13.5" customHeight="1">
      <c r="A6" s="53">
        <f>SUMIF('Program Costs'!D:D,C2,'Program Costs'!L:L)</f>
        <v>1050852.93</v>
      </c>
      <c r="B6" s="97" t="s">
        <v>15</v>
      </c>
      <c r="C6" s="61">
        <v>18230434</v>
      </c>
      <c r="D6" s="61" t="s">
        <v>51</v>
      </c>
      <c r="E6" s="38" t="s">
        <v>623</v>
      </c>
      <c r="F6" s="39" t="s">
        <v>624</v>
      </c>
      <c r="G6" s="39">
        <v>5</v>
      </c>
      <c r="H6" s="39"/>
      <c r="I6" s="40" t="s">
        <v>278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0.12292709023456766</v>
      </c>
      <c r="V6" s="48">
        <f t="shared" si="2"/>
        <v>0</v>
      </c>
      <c r="W6" s="49">
        <f t="shared" si="3"/>
        <v>2.4585418046913533E-2</v>
      </c>
      <c r="X6" s="44">
        <f t="shared" si="4"/>
        <v>6310.9831421999443</v>
      </c>
      <c r="Y6" s="44">
        <f t="shared" si="5"/>
        <v>10070</v>
      </c>
      <c r="Z6" s="44">
        <f t="shared" si="6"/>
        <v>32146.641732073906</v>
      </c>
      <c r="AA6" s="50">
        <f t="shared" si="7"/>
        <v>19030.983142199944</v>
      </c>
      <c r="AB6" s="51">
        <f t="shared" si="8"/>
        <v>30052.016202742736</v>
      </c>
      <c r="AC6" s="44">
        <f t="shared" si="8"/>
        <v>17790.95367130966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0.50882888690225581</v>
      </c>
      <c r="AP6" s="47">
        <f t="shared" ref="AP6:AP24" si="16">AN6/AC6</f>
        <v>1.3508142827464491</v>
      </c>
    </row>
    <row r="7" spans="1:42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625</v>
      </c>
      <c r="F7" s="39" t="s">
        <v>624</v>
      </c>
      <c r="G7" s="39">
        <v>3</v>
      </c>
      <c r="H7" s="39"/>
      <c r="I7" s="40" t="s">
        <v>278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0.48423555862047174</v>
      </c>
      <c r="V7" s="48">
        <f t="shared" si="2"/>
        <v>0</v>
      </c>
      <c r="W7" s="49">
        <f t="shared" si="3"/>
        <v>0.16141185287349058</v>
      </c>
      <c r="X7" s="44">
        <f t="shared" si="4"/>
        <v>41433.807653465577</v>
      </c>
      <c r="Y7" s="44">
        <f t="shared" si="5"/>
        <v>70395</v>
      </c>
      <c r="Z7" s="44">
        <f t="shared" si="6"/>
        <v>211053.92618230206</v>
      </c>
      <c r="AA7" s="50">
        <f t="shared" si="7"/>
        <v>130353.80765346557</v>
      </c>
      <c r="AB7" s="51">
        <f t="shared" si="8"/>
        <v>197301.97829513138</v>
      </c>
      <c r="AC7" s="44">
        <f t="shared" si="8"/>
        <v>121860.15485974157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0.31338925054810063</v>
      </c>
      <c r="AP7" s="47">
        <f t="shared" si="16"/>
        <v>1.1192083760767249</v>
      </c>
    </row>
    <row r="8" spans="1:42" ht="13.5" customHeight="1">
      <c r="A8" s="53">
        <f>SUMIF('Program Costs'!D:D,C2,'Program Costs'!O:O)</f>
        <v>256696.18999999994</v>
      </c>
      <c r="B8" s="97" t="s">
        <v>15</v>
      </c>
      <c r="C8" s="61">
        <v>18230434</v>
      </c>
      <c r="D8" s="61" t="s">
        <v>51</v>
      </c>
      <c r="E8" s="38" t="s">
        <v>626</v>
      </c>
      <c r="F8" s="39" t="s">
        <v>627</v>
      </c>
      <c r="G8" s="39">
        <v>6</v>
      </c>
      <c r="H8" s="39"/>
      <c r="I8" s="40" t="s">
        <v>278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4.636726549158985E-2</v>
      </c>
      <c r="V8" s="48">
        <f t="shared" si="2"/>
        <v>0</v>
      </c>
      <c r="W8" s="49">
        <f t="shared" si="3"/>
        <v>7.7278775819316419E-3</v>
      </c>
      <c r="X8" s="44">
        <f t="shared" si="4"/>
        <v>1983.7167320682649</v>
      </c>
      <c r="Y8" s="44">
        <f t="shared" si="5"/>
        <v>3895</v>
      </c>
      <c r="Z8" s="44">
        <f t="shared" si="6"/>
        <v>10104.579531722446</v>
      </c>
      <c r="AA8" s="50">
        <f t="shared" si="7"/>
        <v>6903.7167320682647</v>
      </c>
      <c r="AB8" s="51">
        <f t="shared" si="8"/>
        <v>9446.180734525984</v>
      </c>
      <c r="AC8" s="44">
        <f t="shared" si="8"/>
        <v>6453.8812116184572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0.6113016425907607</v>
      </c>
      <c r="AP8" s="47">
        <f t="shared" si="16"/>
        <v>1.4509555614053959</v>
      </c>
    </row>
    <row r="9" spans="1:42" ht="13.5" customHeight="1">
      <c r="A9" s="36" t="s">
        <v>251</v>
      </c>
      <c r="B9" s="97" t="s">
        <v>15</v>
      </c>
      <c r="C9" s="61">
        <v>18230434</v>
      </c>
      <c r="D9" s="61" t="s">
        <v>51</v>
      </c>
      <c r="E9" s="38" t="s">
        <v>628</v>
      </c>
      <c r="F9" s="39" t="s">
        <v>627</v>
      </c>
      <c r="G9" s="39">
        <v>3</v>
      </c>
      <c r="H9" s="39"/>
      <c r="I9" s="40" t="s">
        <v>278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0.18970827741805141</v>
      </c>
      <c r="V9" s="48">
        <f t="shared" si="2"/>
        <v>0</v>
      </c>
      <c r="W9" s="49">
        <f t="shared" si="3"/>
        <v>6.3236092472683803E-2</v>
      </c>
      <c r="X9" s="44">
        <f t="shared" si="4"/>
        <v>16232.464008225608</v>
      </c>
      <c r="Y9" s="44">
        <f t="shared" si="5"/>
        <v>30590</v>
      </c>
      <c r="Z9" s="44">
        <f t="shared" si="6"/>
        <v>82684.297064896324</v>
      </c>
      <c r="AA9" s="50">
        <f t="shared" si="7"/>
        <v>54872.464008225608</v>
      </c>
      <c r="AB9" s="51">
        <f t="shared" si="8"/>
        <v>77296.715962322443</v>
      </c>
      <c r="AC9" s="44">
        <f t="shared" si="8"/>
        <v>51297.058996191088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0.31338925054810068</v>
      </c>
      <c r="AP9" s="47">
        <f t="shared" si="16"/>
        <v>1.1421529467586256</v>
      </c>
    </row>
    <row r="10" spans="1:42" ht="13.5" customHeight="1">
      <c r="A10" s="54">
        <f>SUM(O5:O999)</f>
        <v>1772026</v>
      </c>
      <c r="B10" s="97" t="s">
        <v>15</v>
      </c>
      <c r="C10" s="61">
        <v>18230434</v>
      </c>
      <c r="D10" s="61" t="s">
        <v>51</v>
      </c>
      <c r="E10" s="38" t="s">
        <v>629</v>
      </c>
      <c r="F10" s="39" t="s">
        <v>630</v>
      </c>
      <c r="G10" s="39">
        <v>14</v>
      </c>
      <c r="H10" s="39"/>
      <c r="I10" s="40" t="s">
        <v>279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1.1218797015393679E-3</v>
      </c>
      <c r="V10" s="48">
        <f t="shared" si="2"/>
        <v>40.56</v>
      </c>
      <c r="W10" s="49">
        <f t="shared" si="3"/>
        <v>8.0134264395669138E-5</v>
      </c>
      <c r="X10" s="44">
        <f t="shared" si="4"/>
        <v>20.570160358820917</v>
      </c>
      <c r="Y10" s="44">
        <f t="shared" si="5"/>
        <v>40.56</v>
      </c>
      <c r="Z10" s="44">
        <f t="shared" si="6"/>
        <v>104.77948689240451</v>
      </c>
      <c r="AA10" s="50">
        <f t="shared" si="7"/>
        <v>86.130160358820916</v>
      </c>
      <c r="AB10" s="51">
        <f t="shared" si="8"/>
        <v>97.952217343558473</v>
      </c>
      <c r="AC10" s="44">
        <f t="shared" si="8"/>
        <v>80.518052125662251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1.4743306361455284</v>
      </c>
      <c r="AP10" s="47">
        <f t="shared" si="16"/>
        <v>3.8292260634490907</v>
      </c>
    </row>
    <row r="11" spans="1:42" ht="13.5" customHeight="1">
      <c r="A11" s="36" t="s">
        <v>252</v>
      </c>
      <c r="B11" s="97" t="s">
        <v>15</v>
      </c>
      <c r="C11" s="61">
        <v>18230434</v>
      </c>
      <c r="D11" s="61" t="s">
        <v>51</v>
      </c>
      <c r="E11" s="38" t="s">
        <v>631</v>
      </c>
      <c r="F11" s="39" t="s">
        <v>630</v>
      </c>
      <c r="G11" s="39">
        <v>14</v>
      </c>
      <c r="H11" s="39"/>
      <c r="I11" s="40" t="s">
        <v>279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0.60020564032356183</v>
      </c>
      <c r="V11" s="48">
        <f t="shared" si="2"/>
        <v>15.560000000000002</v>
      </c>
      <c r="W11" s="49">
        <f t="shared" si="3"/>
        <v>4.2871831451682989E-2</v>
      </c>
      <c r="X11" s="44">
        <f t="shared" si="4"/>
        <v>11005.035791969191</v>
      </c>
      <c r="Y11" s="44">
        <f t="shared" si="5"/>
        <v>7599.6000000002023</v>
      </c>
      <c r="Z11" s="44">
        <f t="shared" si="6"/>
        <v>56057.025487436411</v>
      </c>
      <c r="AA11" s="50">
        <f t="shared" si="7"/>
        <v>46079.635791969391</v>
      </c>
      <c r="AB11" s="51">
        <f t="shared" si="8"/>
        <v>52404.436278803783</v>
      </c>
      <c r="AC11" s="44">
        <f t="shared" si="8"/>
        <v>43077.157887229492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1.4743306361455284</v>
      </c>
      <c r="AP11" s="47">
        <f t="shared" si="16"/>
        <v>3.8292260634490742</v>
      </c>
    </row>
    <row r="12" spans="1:42" ht="13.5" customHeight="1">
      <c r="A12" s="55">
        <f>SUM(P5:P1000)</f>
        <v>926131</v>
      </c>
      <c r="B12" s="97" t="s">
        <v>15</v>
      </c>
      <c r="C12" s="61">
        <v>18230434</v>
      </c>
      <c r="D12" s="61" t="s">
        <v>51</v>
      </c>
      <c r="E12" s="38" t="s">
        <v>632</v>
      </c>
      <c r="F12" s="39" t="s">
        <v>633</v>
      </c>
      <c r="G12" s="39">
        <v>14</v>
      </c>
      <c r="H12" s="39"/>
      <c r="I12" s="40" t="s">
        <v>279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0.4408987227049716</v>
      </c>
      <c r="V12" s="48">
        <f t="shared" si="2"/>
        <v>15.560000000000002</v>
      </c>
      <c r="W12" s="49">
        <f t="shared" si="3"/>
        <v>3.1492765907497972E-2</v>
      </c>
      <c r="X12" s="44">
        <f t="shared" si="4"/>
        <v>8084.0730210166203</v>
      </c>
      <c r="Y12" s="44">
        <f t="shared" si="5"/>
        <v>5665.0800000001</v>
      </c>
      <c r="Z12" s="44">
        <f t="shared" si="6"/>
        <v>41178.338348714969</v>
      </c>
      <c r="AA12" s="50">
        <f t="shared" si="7"/>
        <v>33849.153021016718</v>
      </c>
      <c r="AB12" s="51">
        <f t="shared" si="8"/>
        <v>38495.221416018481</v>
      </c>
      <c r="AC12" s="44">
        <f t="shared" si="8"/>
        <v>31643.594485385354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1.4743306361455284</v>
      </c>
      <c r="AP12" s="47">
        <f t="shared" si="16"/>
        <v>3.82922606344908</v>
      </c>
    </row>
    <row r="13" spans="1:42" ht="13.5" customHeight="1">
      <c r="A13" s="56" t="s">
        <v>255</v>
      </c>
      <c r="B13" s="97" t="s">
        <v>15</v>
      </c>
      <c r="C13" s="61">
        <v>18230434</v>
      </c>
      <c r="D13" s="61" t="s">
        <v>51</v>
      </c>
      <c r="E13" s="38" t="s">
        <v>634</v>
      </c>
      <c r="F13" s="39" t="s">
        <v>635</v>
      </c>
      <c r="G13" s="39"/>
      <c r="H13" s="39"/>
      <c r="I13" s="40" t="s">
        <v>279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134581.20999999146</v>
      </c>
      <c r="B14" s="97" t="s">
        <v>15</v>
      </c>
      <c r="C14" s="61">
        <v>18230434</v>
      </c>
      <c r="D14" s="61" t="s">
        <v>51</v>
      </c>
      <c r="E14" s="38" t="s">
        <v>636</v>
      </c>
      <c r="F14" s="39" t="s">
        <v>637</v>
      </c>
      <c r="G14" s="39">
        <v>12</v>
      </c>
      <c r="H14" s="39"/>
      <c r="I14" s="40" t="s">
        <v>277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5.2008266244400478E-3</v>
      </c>
      <c r="V14" s="48">
        <f t="shared" si="2"/>
        <v>286.45</v>
      </c>
      <c r="W14" s="49">
        <f t="shared" si="3"/>
        <v>4.3340221870333734E-4</v>
      </c>
      <c r="X14" s="44">
        <f t="shared" si="4"/>
        <v>111.25269827869342</v>
      </c>
      <c r="Y14" s="44">
        <f t="shared" si="5"/>
        <v>1145.8</v>
      </c>
      <c r="Z14" s="44">
        <f t="shared" si="6"/>
        <v>566.69468967159628</v>
      </c>
      <c r="AA14" s="50">
        <f t="shared" si="7"/>
        <v>1657.0526982786935</v>
      </c>
      <c r="AB14" s="51">
        <f t="shared" si="8"/>
        <v>529.76973887220367</v>
      </c>
      <c r="AC14" s="44">
        <f t="shared" si="8"/>
        <v>1549.0817035418279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1.2689255898918803</v>
      </c>
      <c r="AP14" s="47">
        <f t="shared" si="16"/>
        <v>0.47242506945173823</v>
      </c>
    </row>
    <row r="15" spans="1:42" ht="13.5" customHeight="1">
      <c r="A15" s="57" t="s">
        <v>258</v>
      </c>
      <c r="B15" s="97" t="s">
        <v>15</v>
      </c>
      <c r="C15" s="61">
        <v>18230434</v>
      </c>
      <c r="D15" s="61" t="s">
        <v>51</v>
      </c>
      <c r="E15" s="38" t="s">
        <v>638</v>
      </c>
      <c r="F15" s="39" t="s">
        <v>639</v>
      </c>
      <c r="G15" s="39">
        <v>12</v>
      </c>
      <c r="H15" s="39"/>
      <c r="I15" s="40" t="s">
        <v>277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0.18373545309154604</v>
      </c>
      <c r="V15" s="48">
        <f t="shared" si="2"/>
        <v>286.45</v>
      </c>
      <c r="W15" s="49">
        <f t="shared" si="3"/>
        <v>1.5311287757628838E-2</v>
      </c>
      <c r="X15" s="44">
        <f t="shared" si="4"/>
        <v>3930.3492313769652</v>
      </c>
      <c r="Y15" s="44">
        <f t="shared" si="5"/>
        <v>32605.300000000003</v>
      </c>
      <c r="Z15" s="44">
        <f t="shared" si="6"/>
        <v>20020.260833554359</v>
      </c>
      <c r="AA15" s="50">
        <f t="shared" si="7"/>
        <v>47985.64923137697</v>
      </c>
      <c r="AB15" s="51">
        <f t="shared" si="8"/>
        <v>18715.771556094565</v>
      </c>
      <c r="AC15" s="44">
        <f t="shared" si="8"/>
        <v>44858.978434492819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1.2689255898918808</v>
      </c>
      <c r="AP15" s="47">
        <f t="shared" si="16"/>
        <v>0.66140280141766983</v>
      </c>
    </row>
    <row r="16" spans="1:42" ht="13.5" customHeight="1">
      <c r="A16" s="54">
        <f>SUM(U5:U999)</f>
        <v>10.826714732176615</v>
      </c>
      <c r="B16" s="97" t="s">
        <v>15</v>
      </c>
      <c r="C16" s="61">
        <v>18230434</v>
      </c>
      <c r="D16" s="61" t="s">
        <v>51</v>
      </c>
      <c r="E16" s="38" t="s">
        <v>640</v>
      </c>
      <c r="F16" s="39" t="s">
        <v>641</v>
      </c>
      <c r="G16" s="39"/>
      <c r="H16" s="39"/>
      <c r="I16" s="40" t="s">
        <v>277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18230434</v>
      </c>
      <c r="D17" s="61" t="s">
        <v>51</v>
      </c>
      <c r="E17" s="38" t="s">
        <v>642</v>
      </c>
      <c r="F17" s="39" t="s">
        <v>643</v>
      </c>
      <c r="G17" s="39">
        <v>12</v>
      </c>
      <c r="H17" s="39"/>
      <c r="I17" s="40" t="s">
        <v>277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0.32326387987535171</v>
      </c>
      <c r="V17" s="48">
        <f t="shared" si="2"/>
        <v>-4.5599999999999987</v>
      </c>
      <c r="W17" s="49">
        <f t="shared" si="3"/>
        <v>2.693865665627931E-2</v>
      </c>
      <c r="X17" s="44">
        <f t="shared" si="4"/>
        <v>6915.0505273850367</v>
      </c>
      <c r="Y17" s="44">
        <f t="shared" si="5"/>
        <v>-3676.1199999999008</v>
      </c>
      <c r="Z17" s="44">
        <f t="shared" si="6"/>
        <v>35223.61680490015</v>
      </c>
      <c r="AA17" s="50">
        <f t="shared" si="7"/>
        <v>21263.930527385135</v>
      </c>
      <c r="AB17" s="51">
        <f t="shared" si="8"/>
        <v>32928.500331775402</v>
      </c>
      <c r="AC17" s="44">
        <f t="shared" si="8"/>
        <v>19878.405653346857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1.2689255898918805</v>
      </c>
      <c r="AP17" s="47">
        <f t="shared" si="16"/>
        <v>2.2896918323196664</v>
      </c>
    </row>
    <row r="18" spans="1:42" ht="13.5" customHeight="1">
      <c r="A18" s="59">
        <f>A6+A8</f>
        <v>1307549.1199999999</v>
      </c>
      <c r="B18" s="97" t="s">
        <v>15</v>
      </c>
      <c r="C18" s="61">
        <v>18230434</v>
      </c>
      <c r="D18" s="61" t="s">
        <v>51</v>
      </c>
      <c r="E18" s="38" t="s">
        <v>644</v>
      </c>
      <c r="F18" s="39" t="s">
        <v>643</v>
      </c>
      <c r="G18" s="39">
        <v>12</v>
      </c>
      <c r="H18" s="39"/>
      <c r="I18" s="40" t="s">
        <v>277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1.9580028735470023</v>
      </c>
      <c r="V18" s="48">
        <f t="shared" si="2"/>
        <v>50</v>
      </c>
      <c r="W18" s="49">
        <f t="shared" si="3"/>
        <v>0.16316690612891685</v>
      </c>
      <c r="X18" s="44">
        <f t="shared" si="4"/>
        <v>41884.323137380597</v>
      </c>
      <c r="Y18" s="44">
        <f t="shared" si="5"/>
        <v>212747</v>
      </c>
      <c r="Z18" s="44">
        <f t="shared" si="6"/>
        <v>213348.7445219878</v>
      </c>
      <c r="AA18" s="50">
        <f t="shared" si="7"/>
        <v>467084.32313738059</v>
      </c>
      <c r="AB18" s="51">
        <f t="shared" si="8"/>
        <v>199447.26981582478</v>
      </c>
      <c r="AC18" s="44">
        <f t="shared" si="8"/>
        <v>436649.82998726796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1.2689255898918808</v>
      </c>
      <c r="AP18" s="47">
        <f t="shared" si="16"/>
        <v>0.63136635090807036</v>
      </c>
    </row>
    <row r="19" spans="1:42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645</v>
      </c>
      <c r="F19" s="39" t="s">
        <v>646</v>
      </c>
      <c r="G19" s="39">
        <v>12</v>
      </c>
      <c r="H19" s="39"/>
      <c r="I19" s="40" t="s">
        <v>277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7.9908534073427819E-4</v>
      </c>
      <c r="V19" s="48">
        <f t="shared" si="2"/>
        <v>159.88</v>
      </c>
      <c r="W19" s="49">
        <f t="shared" si="3"/>
        <v>6.6590445061189845E-5</v>
      </c>
      <c r="X19" s="44">
        <f t="shared" si="4"/>
        <v>17.093513537611745</v>
      </c>
      <c r="Y19" s="44">
        <f t="shared" si="5"/>
        <v>159.88</v>
      </c>
      <c r="Z19" s="44">
        <f t="shared" si="6"/>
        <v>87.070277840167108</v>
      </c>
      <c r="AA19" s="50">
        <f t="shared" si="7"/>
        <v>201.97351353761175</v>
      </c>
      <c r="AB19" s="51">
        <f t="shared" si="8"/>
        <v>81.396913003802098</v>
      </c>
      <c r="AC19" s="44">
        <f t="shared" si="8"/>
        <v>188.8132313149591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1.2689255898918808</v>
      </c>
      <c r="AP19" s="47">
        <f t="shared" si="16"/>
        <v>0.78965004416044937</v>
      </c>
    </row>
    <row r="20" spans="1:42" ht="13.5" customHeight="1">
      <c r="A20" s="59">
        <f>A8+SUM(Q5:Q906)</f>
        <v>1317408.3999999915</v>
      </c>
      <c r="B20" s="97" t="s">
        <v>15</v>
      </c>
      <c r="C20" s="61">
        <v>18230434</v>
      </c>
      <c r="D20" s="61" t="s">
        <v>51</v>
      </c>
      <c r="E20" s="38" t="s">
        <v>647</v>
      </c>
      <c r="F20" s="39" t="s">
        <v>646</v>
      </c>
      <c r="G20" s="39">
        <v>12</v>
      </c>
      <c r="H20" s="39"/>
      <c r="I20" s="40" t="s">
        <v>277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2.7967986925699739E-2</v>
      </c>
      <c r="V20" s="48">
        <f t="shared" si="2"/>
        <v>134.88</v>
      </c>
      <c r="W20" s="49">
        <f t="shared" si="3"/>
        <v>2.3306655771416448E-3</v>
      </c>
      <c r="X20" s="44">
        <f t="shared" si="4"/>
        <v>598.2729738164112</v>
      </c>
      <c r="Y20" s="44">
        <f t="shared" si="5"/>
        <v>4720.8</v>
      </c>
      <c r="Z20" s="44">
        <f t="shared" si="6"/>
        <v>3047.4597244058496</v>
      </c>
      <c r="AA20" s="50">
        <f t="shared" si="7"/>
        <v>7069.0729738164118</v>
      </c>
      <c r="AB20" s="51">
        <f t="shared" si="8"/>
        <v>2848.8919551330741</v>
      </c>
      <c r="AC20" s="44">
        <f t="shared" si="8"/>
        <v>6608.4630960235681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1.2689255898918805</v>
      </c>
      <c r="AP20" s="47">
        <f t="shared" si="16"/>
        <v>0.78965004416044948</v>
      </c>
    </row>
    <row r="21" spans="1:42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648</v>
      </c>
      <c r="F21" s="39" t="s">
        <v>649</v>
      </c>
      <c r="G21" s="39">
        <v>14</v>
      </c>
      <c r="H21" s="39"/>
      <c r="I21" s="40" t="s">
        <v>279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0.15180138440406632</v>
      </c>
      <c r="V21" s="48">
        <f t="shared" si="2"/>
        <v>-24.99</v>
      </c>
      <c r="W21" s="49">
        <f t="shared" si="3"/>
        <v>1.0842956028861879E-2</v>
      </c>
      <c r="X21" s="44">
        <f t="shared" si="4"/>
        <v>2783.3455009463737</v>
      </c>
      <c r="Y21" s="44">
        <f t="shared" si="5"/>
        <v>-18543.61</v>
      </c>
      <c r="Z21" s="44">
        <f t="shared" si="6"/>
        <v>14177.697613737044</v>
      </c>
      <c r="AA21" s="50">
        <f t="shared" si="7"/>
        <v>2790.7355009463736</v>
      </c>
      <c r="AB21" s="51">
        <f t="shared" ref="AB21:AC24" si="18">Z21/(1+ElecDiscountRate)^1</f>
        <v>13253.900732669947</v>
      </c>
      <c r="AC21" s="44">
        <f t="shared" si="18"/>
        <v>2608.8954856000501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1.4743306361455284</v>
      </c>
      <c r="AP21" s="47">
        <f t="shared" si="16"/>
        <v>26.827073538978592</v>
      </c>
    </row>
    <row r="22" spans="1:42" ht="13.5" customHeight="1">
      <c r="A22" s="60">
        <f>(SUM(AM5:AM1000)/(SUM(AB5:AB1000)))</f>
        <v>1.1400817482790113</v>
      </c>
      <c r="B22" s="97" t="s">
        <v>15</v>
      </c>
      <c r="C22" s="61">
        <v>18230434</v>
      </c>
      <c r="D22" s="61" t="s">
        <v>51</v>
      </c>
      <c r="E22" s="38" t="s">
        <v>650</v>
      </c>
      <c r="F22" s="39" t="s">
        <v>651</v>
      </c>
      <c r="G22" s="39">
        <v>14</v>
      </c>
      <c r="H22" s="39"/>
      <c r="I22" s="40" t="s">
        <v>279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0.127151633215314</v>
      </c>
      <c r="V22" s="48">
        <f t="shared" si="2"/>
        <v>-24.99</v>
      </c>
      <c r="W22" s="49">
        <f t="shared" si="3"/>
        <v>9.0822595153795711E-3</v>
      </c>
      <c r="X22" s="44">
        <f t="shared" si="4"/>
        <v>2331.3814141891817</v>
      </c>
      <c r="Y22" s="44">
        <f t="shared" si="5"/>
        <v>-15468.81</v>
      </c>
      <c r="Z22" s="44">
        <f t="shared" si="6"/>
        <v>11875.500436946184</v>
      </c>
      <c r="AA22" s="50">
        <f t="shared" si="7"/>
        <v>2337.5714141891817</v>
      </c>
      <c r="AB22" s="51">
        <f t="shared" si="18"/>
        <v>11101.711168501621</v>
      </c>
      <c r="AC22" s="44">
        <f t="shared" si="18"/>
        <v>2185.258870888269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1.4743306361455284</v>
      </c>
      <c r="AP22" s="47">
        <f t="shared" si="16"/>
        <v>26.827073538978595</v>
      </c>
    </row>
    <row r="23" spans="1:42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652</v>
      </c>
      <c r="F23" s="39" t="s">
        <v>653</v>
      </c>
      <c r="G23" s="39"/>
      <c r="H23" s="39"/>
      <c r="I23" s="40" t="s">
        <v>279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2.1862070536277085</v>
      </c>
      <c r="B24" s="97" t="s">
        <v>15</v>
      </c>
      <c r="C24" s="61">
        <v>18230434</v>
      </c>
      <c r="D24" s="61" t="s">
        <v>51</v>
      </c>
      <c r="E24" s="38" t="s">
        <v>654</v>
      </c>
      <c r="F24" s="39" t="s">
        <v>655</v>
      </c>
      <c r="G24" s="39">
        <v>14</v>
      </c>
      <c r="H24" s="39"/>
      <c r="I24" s="40" t="s">
        <v>279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2.9741030887808644</v>
      </c>
      <c r="V24" s="48">
        <f t="shared" si="2"/>
        <v>-34.44</v>
      </c>
      <c r="W24" s="49">
        <f t="shared" si="3"/>
        <v>0.21243593491291887</v>
      </c>
      <c r="X24" s="44">
        <f t="shared" si="4"/>
        <v>54531.495111234246</v>
      </c>
      <c r="Y24" s="44">
        <f t="shared" si="5"/>
        <v>-91402.440000005008</v>
      </c>
      <c r="Z24" s="44">
        <f t="shared" si="6"/>
        <v>277770.41975176433</v>
      </c>
      <c r="AA24" s="50">
        <f t="shared" si="7"/>
        <v>228331.05511122925</v>
      </c>
      <c r="AB24" s="51">
        <f t="shared" si="18"/>
        <v>259671.32817777351</v>
      </c>
      <c r="AC24" s="44">
        <f t="shared" si="18"/>
        <v>213453.35618512594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1.4743306361455284</v>
      </c>
      <c r="AP24" s="47">
        <f t="shared" si="16"/>
        <v>3.8292260634491746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 t="s">
        <v>656</v>
      </c>
      <c r="F25" s="39" t="s">
        <v>657</v>
      </c>
      <c r="G25" s="39">
        <v>14</v>
      </c>
      <c r="H25" s="39"/>
      <c r="I25" s="40" t="s">
        <v>279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0.25017917344327906</v>
      </c>
      <c r="V25" s="48">
        <f t="shared" ref="V25:V50" si="21">N25-M25</f>
        <v>-84.44</v>
      </c>
      <c r="W25" s="49">
        <f t="shared" ref="W25:W50" si="22">(O25/A$10)</f>
        <v>1.7869940960234219E-2</v>
      </c>
      <c r="X25" s="44">
        <f t="shared" ref="X25:X50" si="23">W25*A$8</f>
        <v>4587.1457600170643</v>
      </c>
      <c r="Y25" s="44">
        <f t="shared" ref="Y25:Y50" si="24">Q25-P25</f>
        <v>-18830.120000000003</v>
      </c>
      <c r="Z25" s="44">
        <f t="shared" ref="Z25:Z50" si="25">X25+(A$6*W25)</f>
        <v>23365.825577006206</v>
      </c>
      <c r="AA25" s="50">
        <f t="shared" ref="AA25:AA50" si="26">Q25+X25</f>
        <v>19207.025760017063</v>
      </c>
      <c r="AB25" s="51">
        <f t="shared" ref="AB25:AB50" si="27">Z25/(1+ElecDiscountRate)^1</f>
        <v>21843.34446761354</v>
      </c>
      <c r="AC25" s="44">
        <f t="shared" ref="AC25:AC50" si="28">AA25/(1+ElecDiscountRate)^1</f>
        <v>17955.525624022681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1.4743306361455284</v>
      </c>
      <c r="AP25" s="47">
        <f t="shared" ref="AP25:AP50" si="37">AN25/AC25</f>
        <v>3.8292260634490916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 t="s">
        <v>658</v>
      </c>
      <c r="F26" s="39" t="s">
        <v>659</v>
      </c>
      <c r="G26" s="39">
        <v>14</v>
      </c>
      <c r="H26" s="39"/>
      <c r="I26" s="40" t="s">
        <v>279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2.7205582762329672</v>
      </c>
      <c r="V26" s="48">
        <f t="shared" si="21"/>
        <v>-34.44</v>
      </c>
      <c r="W26" s="49">
        <f t="shared" si="22"/>
        <v>0.19432559115949766</v>
      </c>
      <c r="X26" s="44">
        <f t="shared" si="23"/>
        <v>49882.63887014072</v>
      </c>
      <c r="Y26" s="44">
        <f t="shared" si="24"/>
        <v>-83517.000000003987</v>
      </c>
      <c r="Z26" s="44">
        <f t="shared" si="25"/>
        <v>254090.25571408091</v>
      </c>
      <c r="AA26" s="50">
        <f t="shared" si="26"/>
        <v>208865.63887013673</v>
      </c>
      <c r="AB26" s="51">
        <f t="shared" si="27"/>
        <v>237534.12705812926</v>
      </c>
      <c r="AC26" s="44">
        <f t="shared" si="28"/>
        <v>195256.27640472722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1.4743306361455286</v>
      </c>
      <c r="AP26" s="47">
        <f t="shared" si="37"/>
        <v>3.8292260634491639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 t="s">
        <v>660</v>
      </c>
      <c r="F27" s="39" t="s">
        <v>661</v>
      </c>
      <c r="G27" s="39">
        <v>14</v>
      </c>
      <c r="H27" s="39"/>
      <c r="I27" s="40" t="s">
        <v>279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0.20306022597862558</v>
      </c>
      <c r="V27" s="48">
        <f t="shared" si="21"/>
        <v>-84.44</v>
      </c>
      <c r="W27" s="49">
        <f t="shared" si="22"/>
        <v>1.4504301855616113E-2</v>
      </c>
      <c r="X27" s="44">
        <f t="shared" si="23"/>
        <v>3723.1990249465857</v>
      </c>
      <c r="Y27" s="44">
        <f t="shared" si="24"/>
        <v>-15283.64</v>
      </c>
      <c r="Z27" s="44">
        <f t="shared" si="25"/>
        <v>18965.087127525214</v>
      </c>
      <c r="AA27" s="50">
        <f t="shared" si="26"/>
        <v>15589.559024946586</v>
      </c>
      <c r="AB27" s="51">
        <f t="shared" si="27"/>
        <v>17729.351339184082</v>
      </c>
      <c r="AC27" s="44">
        <f t="shared" si="28"/>
        <v>14573.767434744866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1.4743306361455286</v>
      </c>
      <c r="AP27" s="47">
        <f t="shared" si="37"/>
        <v>3.8292260634490916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 t="s">
        <v>662</v>
      </c>
      <c r="F28" s="39" t="s">
        <v>663</v>
      </c>
      <c r="G28" s="39">
        <v>12</v>
      </c>
      <c r="H28" s="39"/>
      <c r="I28" s="40" t="s">
        <v>277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1.4505430507227319E-2</v>
      </c>
      <c r="V28" s="48">
        <f t="shared" si="21"/>
        <v>236.45</v>
      </c>
      <c r="W28" s="49">
        <f t="shared" si="22"/>
        <v>1.2087858756022766E-3</v>
      </c>
      <c r="X28" s="44">
        <f t="shared" si="23"/>
        <v>310.29072879291829</v>
      </c>
      <c r="Y28" s="44">
        <f t="shared" si="24"/>
        <v>2128.0500000000002</v>
      </c>
      <c r="Z28" s="44">
        <f t="shared" si="25"/>
        <v>1580.5469079121863</v>
      </c>
      <c r="AA28" s="50">
        <f t="shared" si="26"/>
        <v>3788.3407287929185</v>
      </c>
      <c r="AB28" s="51">
        <f t="shared" si="27"/>
        <v>1477.5609123232553</v>
      </c>
      <c r="AC28" s="44">
        <f t="shared" si="28"/>
        <v>3541.4982974599588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1.2689255898918805</v>
      </c>
      <c r="AP28" s="47">
        <f t="shared" si="37"/>
        <v>0.66140280141766994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50 R5:S50">
    <cfRule type="expression" dxfId="292" priority="2">
      <formula>ISTEXT(M5)</formula>
    </cfRule>
  </conditionalFormatting>
  <conditionalFormatting sqref="M5:N50 R5:S50">
    <cfRule type="notContainsBlanks" dxfId="291" priority="3">
      <formula>LEN(TRIM(M5))&gt;0</formula>
    </cfRule>
  </conditionalFormatting>
  <conditionalFormatting sqref="R5:S5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DCEEDB03DC21846A53ED623C807910B" ma:contentTypeVersion="56" ma:contentTypeDescription="" ma:contentTypeScope="" ma:versionID="d079c96df16c144df8bb1f6ac552e58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2019-11-01T07:00:00+00:00</OpenedDate>
    <SignificantOrder xmlns="dc463f71-b30c-4ab2-9473-d307f9d35888">false</SignificantOrder>
    <Date1 xmlns="dc463f71-b30c-4ab2-9473-d307f9d35888">2022-04-01T07:00:00+00:00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2020-2021 Conservation</Nickname>
    <DocketNumber xmlns="dc463f71-b30c-4ab2-9473-d307f9d35888">190905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7E691F2-8154-4E31-B49B-D3CEF7796074}"/>
</file>

<file path=customXml/itemProps2.xml><?xml version="1.0" encoding="utf-8"?>
<ds:datastoreItem xmlns:ds="http://schemas.openxmlformats.org/officeDocument/2006/customXml" ds:itemID="{171196C5-F672-4142-AAAB-2B65CB48003E}"/>
</file>

<file path=customXml/itemProps3.xml><?xml version="1.0" encoding="utf-8"?>
<ds:datastoreItem xmlns:ds="http://schemas.openxmlformats.org/officeDocument/2006/customXml" ds:itemID="{B641BE7D-C3C7-4D09-854F-BC096EE2C1FA}"/>
</file>

<file path=customXml/itemProps4.xml><?xml version="1.0" encoding="utf-8"?>
<ds:datastoreItem xmlns:ds="http://schemas.openxmlformats.org/officeDocument/2006/customXml" ds:itemID="{D0A5CD45-0FAF-4502-B44B-438AFAD136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dcterms:created xsi:type="dcterms:W3CDTF">2022-01-21T18:04:07Z</dcterms:created>
  <dcterms:modified xsi:type="dcterms:W3CDTF">2022-02-24T20:58:45Z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0x0101006E56B4D1795A2E4DB2F0B01679ED314A007DCEEDB03DC21846A53ED623C807910B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