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/>
  </bookViews>
  <sheets>
    <sheet name="Schedule 1" sheetId="1" r:id="rId1"/>
    <sheet name="Schedule 2" sheetId="9" r:id="rId2"/>
    <sheet name="Schedule 3" sheetId="7" r:id="rId3"/>
    <sheet name="Schedule 4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_94_12_94">[27]DT_A_DOL93!#REF!</definedName>
    <definedName name="_1_95_12_95">[27]DT_A_DOL93!#REF!</definedName>
    <definedName name="_1_96_12_96">[27]DT_A_DOL93!#REF!</definedName>
    <definedName name="_1_97_12_97">[27]DT_A_DOL93!#REF!</definedName>
    <definedName name="_1_98_12_98">[27]DT_A_DOL93!#REF!</definedName>
    <definedName name="_End">[28]BS!#REF!</definedName>
    <definedName name="_Fill">#REF!</definedName>
    <definedName name="_Filter">#REF!</definedName>
    <definedName name="_Order1" hidden="1">255</definedName>
    <definedName name="_Order2" hidden="1">255</definedName>
    <definedName name="AccessDatabase" hidden="1">"I:\COMTREL\FINICLE\TradeSummary.mdb"</definedName>
    <definedName name="accrual">[40]Sheet2!#REF!</definedName>
    <definedName name="accrual2">[40]Sheet2!#REF!</definedName>
    <definedName name="accrual3">[40]Sheet2!#REF!</definedName>
    <definedName name="Acq1Plant">'[4]Acquisition Inputs'!$C$8</definedName>
    <definedName name="Acq2Plant">'[4]Acquisition Inputs'!$C$70</definedName>
    <definedName name="afudcrate">#REF!</definedName>
    <definedName name="afudctaxbasis">#REF!</definedName>
    <definedName name="AlphaTest">[2]Resources!$M$69:$M$73</definedName>
    <definedName name="Amort">[22]DATA!$AA$5:$AB$173,[22]DATA!$D$5:$D$173,[22]DATA!$A$5:$A$38,[22]DATA!$A$39:$A$124,[22]DATA!$A$125:$A$151,[22]DATA!$A$152:$A$173</definedName>
    <definedName name="apeek">#REF!</definedName>
    <definedName name="Apr03AMA">'[29]BS C&amp;L'!#REF!</definedName>
    <definedName name="_Apr04">[12]BS!$U$7:$U$3582</definedName>
    <definedName name="Apr04AMA">[12]BS!$AG$7:$AG$3582</definedName>
    <definedName name="_Apr05">[28]BS!#REF!</definedName>
    <definedName name="Apr05AMA">[28]BS!#REF!</definedName>
    <definedName name="aquila_lookup">'[15]Cabot Gas Replacement'!$B$8:$F$16</definedName>
    <definedName name="Asset_Class_Switch">[17]Assumptions!$D$5</definedName>
    <definedName name="Assume_Percent_Change">#REF!</definedName>
    <definedName name="Aug03AMA">'[29]BS C&amp;L'!#REF!</definedName>
    <definedName name="_Aug04">[12]BS!$Y$7:$Y$3582</definedName>
    <definedName name="Aug04AMA">[12]BS!$AK$7:$AK$3582</definedName>
    <definedName name="_Aug05">[28]BS!#REF!</definedName>
    <definedName name="Aug05AMA">[28]BS!#REF!</definedName>
    <definedName name="augcf">#REF!</definedName>
    <definedName name="augcost">#REF!</definedName>
    <definedName name="Aurora_Prices">"Monthly Price Summary'!$C$4:$H$63"</definedName>
    <definedName name="B">{#N/A,#N/A,FALSE,"Coversheet";#N/A,#N/A,FALSE,"QA"}</definedName>
    <definedName name="BADDEBT">#REF!</definedName>
    <definedName name="bal">[40]Sheet2!#REF!</definedName>
    <definedName name="balance">[40]Sheet2!#REF!</definedName>
    <definedName name="BD">#REF!</definedName>
    <definedName name="BEP">#REF!</definedName>
    <definedName name="BidPrice">'[19]General Inputs'!$I$8</definedName>
    <definedName name="BottomRight">#REF!</definedName>
    <definedName name="BPARedirect">'[19]General Inputs'!$I$5</definedName>
    <definedName name="bpatoggle">#REF!</definedName>
    <definedName name="BRI">#REF!</definedName>
    <definedName name="BS_Accounts">#REF!</definedName>
    <definedName name="Button_1">"TradeSummary_Ken_Finicle_List"</definedName>
    <definedName name="Capacity">#REF!</definedName>
    <definedName name="CapEx_AFUDC">[19]CapEx!$B$26</definedName>
    <definedName name="CapEx_Contingency">[19]CapEx!#REF!</definedName>
    <definedName name="CapEx_Facility">[19]CapEx!$B$2</definedName>
    <definedName name="CapEx_Improvements">[19]CapEx!$B$8</definedName>
    <definedName name="CapEx_Land">[19]CapEx!#REF!</definedName>
    <definedName name="CapEx_PropertyTax">[19]CapEx!$B$23</definedName>
    <definedName name="CapEx_REET">[19]CapEx!$B$7</definedName>
    <definedName name="CapEx_Sensitivity">[19]CapEx!$B$25</definedName>
    <definedName name="CapEx_SnoPUD">[19]CapEx!$B$24</definedName>
    <definedName name="CapEx_Spares">[19]CapEx!#REF!</definedName>
    <definedName name="CapEx_Total">[19]CapEx!$B$27</definedName>
    <definedName name="CapEx_TransAndDD">[19]CapEx!$B$14</definedName>
    <definedName name="capfact">#REF!</definedName>
    <definedName name="CaseDescription">'[4]Dispatch Cases'!$C$11</definedName>
    <definedName name="CCGT_HeatRate">[4]Assumptions!$H$23</definedName>
    <definedName name="CCGTPrice">[4]Assumptions!$H$22</definedName>
    <definedName name="CERAArray">'[19]General Inputs'!#REF!</definedName>
    <definedName name="cerarvm">#REF!</definedName>
    <definedName name="CL_RT">#REF!</definedName>
    <definedName name="CL_RT2">'[38]Transp Data'!$A$6:$C$81</definedName>
    <definedName name="Classification">#REF!</definedName>
    <definedName name="clawback">#REF!</definedName>
    <definedName name="close">#REF!</definedName>
    <definedName name="ClosingDate">'[19]General Inputs'!$E$4</definedName>
    <definedName name="cod">#REF!</definedName>
    <definedName name="COLHOUSE">#REF!</definedName>
    <definedName name="COLXFER">#REF!</definedName>
    <definedName name="CombWC_LineItem">[28]BS!#REF!</definedName>
    <definedName name="COMMON_ADMIN_ALLOCATED">#REF!</definedName>
    <definedName name="COMPINSR">#REF!</definedName>
    <definedName name="CONSERV">#REF!</definedName>
    <definedName name="constructcont">#REF!</definedName>
    <definedName name="Consv_Rdr_Rt">[39]Sch_120!#REF!</definedName>
    <definedName name="cont">[40]Sheet2!#REF!</definedName>
    <definedName name="ContractDate">'[8]Dispatch Cases'!#REF!</definedName>
    <definedName name="Conv_Factor">[39]Sch_120!#REF!</definedName>
    <definedName name="ConversionFactor">[4]Assumptions!$I$65</definedName>
    <definedName name="CONVFACT">#REF!</definedName>
    <definedName name="CopyPaste_Formula_for_Power">#REF!</definedName>
    <definedName name="CopyPaste_Value_Gas">#REF!</definedName>
    <definedName name="costofequit">#REF!</definedName>
    <definedName name="CPI">#REF!</definedName>
    <definedName name="Credit_Toggle">#REF!</definedName>
    <definedName name="cspe_wkly_vect_input">#REF!</definedName>
    <definedName name="cust">#REF!</definedName>
    <definedName name="CUSTDEP">#REF!</definedName>
    <definedName name="D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Data">#REF!</definedName>
    <definedName name="data1">#REF!</definedName>
    <definedName name="DataEntry_for_Power">#REF!</definedName>
    <definedName name="daveisroyescal">#REF!</definedName>
    <definedName name="daviesroyprice">#REF!</definedName>
    <definedName name="day_to_day_change">#REF!</definedName>
    <definedName name="debtforce">#REF!</definedName>
    <definedName name="debtperc">#REF!</definedName>
    <definedName name="_Dec03">[13]BS!$T$7:$T$3582</definedName>
    <definedName name="Dec03AMA">[13]BS!$AJ$7:$AJ$3582</definedName>
    <definedName name="_Dec04">[12]BS!$AC$7:$AC$3580</definedName>
    <definedName name="Dec04AMA">[12]BS!$AO$7:$AO$3582</definedName>
    <definedName name="_Dec05">#REF!</definedName>
    <definedName name="Dec05AMA">#REF!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evfee">#REF!</definedName>
    <definedName name="DF_HeatRate">[4]Assumptions!$L$23</definedName>
    <definedName name="DFIT" hidden="1">{#N/A,#N/A,FALSE,"Coversheet";#N/A,#N/A,FALSE,"QA"}</definedName>
    <definedName name="Disc">'[8]Debt Amortization'!#REF!</definedName>
    <definedName name="Discount_for_Revenue_Reqmt">'[14]Assumptions of Purchase'!$B$45</definedName>
    <definedName name="DOCKET">#REF!</definedName>
    <definedName name="_DST2">#REF!</definedName>
    <definedName name="DurPTC">#REF!</definedName>
    <definedName name="Electp1">#REF!</definedName>
    <definedName name="Electp2">#REF!</definedName>
    <definedName name="Electric_Prices">'[10]Monthly Price Summary'!$B$4:$E$27</definedName>
    <definedName name="ElecWC_LineItems">[28]BS!#REF!</definedName>
    <definedName name="ElRBLine">[12]BS!$AQ$7:$AQ$3303</definedName>
    <definedName name="EMPLBENE">#REF!</definedName>
    <definedName name="EndDate">[4]Assumptions!$C$11</definedName>
    <definedName name="endptcyr">#REF!</definedName>
    <definedName name="enxco2005">#REF!</definedName>
    <definedName name="enxcoescal">#REF!</definedName>
    <definedName name="enxcoownperc">#REF!</definedName>
    <definedName name="epcfee">#REF!</definedName>
    <definedName name="equitperc">#REF!</definedName>
    <definedName name="EquityPerc">'[19]Revenue Calculation'!$I$3</definedName>
    <definedName name="estrateRES">#REF!</definedName>
    <definedName name="FACTORS">#REF!</definedName>
    <definedName name="Feb03AMA">'[29]BS C&amp;L'!#REF!</definedName>
    <definedName name="_Feb04">[12]BS!$S$7:$S$3582</definedName>
    <definedName name="Feb04AMA">[12]BS!$AE$7:$AE$3582</definedName>
    <definedName name="_Feb05">[28]BS!#REF!</definedName>
    <definedName name="Feb05AMA">[28]BS!#REF!</definedName>
    <definedName name="Fed_Cap_Tax">[6]Inputs!$E$112</definedName>
    <definedName name="FedTaxRate">[4]Assumptions!$C$33</definedName>
    <definedName name="FERC_Lookup">'[18]Map Table'!$E$2:$F$58</definedName>
    <definedName name="FERCRATE">#REF!</definedName>
    <definedName name="FF">#REF!</definedName>
    <definedName name="FFHAtClosing">'[19]General Inputs'!$E$14</definedName>
    <definedName name="FIELDCHRG">#REF!</definedName>
    <definedName name="Final">#REF!</definedName>
    <definedName name="firstptcyr">#REF!</definedName>
    <definedName name="FirstYearAssessment">'[19]General Inputs'!$E$26</definedName>
    <definedName name="firstyearmonths">#REF!</definedName>
    <definedName name="FirstYearofStratPlan">[2]Resources!$E$69</definedName>
    <definedName name="FIT">#REF!</definedName>
    <definedName name="FITRate">'[19]General Inputs'!$E$19</definedName>
    <definedName name="fixedtrans">#REF!</definedName>
    <definedName name="FlexPlanCapacity">[20]Menu!$B$13</definedName>
    <definedName name="fpldebt">#REF!</definedName>
    <definedName name="FPLequit">#REF!</definedName>
    <definedName name="Fuel">#REF!</definedName>
    <definedName name="GasRBLine">[12]BS!$AS$7:$AS$3631</definedName>
    <definedName name="GasTransCost">[2]Resources!$D$77</definedName>
    <definedName name="GasWC_LineItem">[12]BS!$AR$7:$AR$3631</definedName>
    <definedName name="GDPIP">#REF!</definedName>
    <definedName name="GDPIPArray">'[19]General Inputs'!$E$39:$AF$39</definedName>
    <definedName name="GeoDate">'[8]Dispatch Cases'!#REF!</definedName>
    <definedName name="gpdip">#REF!</definedName>
    <definedName name="graph">#REF!</definedName>
    <definedName name="GRCUpdate">'[19]General Inputs'!$I$6</definedName>
    <definedName name="HEADER2">#REF!</definedName>
    <definedName name="Heatrate_DF">'[19]General Inputs'!$E$12</definedName>
    <definedName name="Heatrate_Primary">'[19]General Inputs'!$E$11</definedName>
    <definedName name="HoursInServiceAtClosing">'[19]General Inputs'!$E$15</definedName>
    <definedName name="HRAccumDep">'[34]JHS-4 Adjstmts'!#REF!</definedName>
    <definedName name="HRDepExp">'[34]JHS-4 Adjstmts'!#REF!</definedName>
    <definedName name="HRDFIT">'[34]JHS-4 Adjstmts'!#REF!</definedName>
    <definedName name="HRGrossPlant">'[34]JHS-4 Adjstmts'!#REF!</definedName>
    <definedName name="HRPrdctnOM">'[34]JHS-4 Adjstmts'!#REF!</definedName>
    <definedName name="HRPropIns">'[34]JHS-4 Adjstmts'!#REF!</definedName>
    <definedName name="HRPropTax">'[34]JHS-4 Adjstmts'!#REF!</definedName>
    <definedName name="HRPwrCsts">'[34]JHS-4 Adjstmts'!#REF!</definedName>
    <definedName name="HydroCap">#REF!</definedName>
    <definedName name="HydroGen">[8]Dispatch!#REF!</definedName>
    <definedName name="IDCRATE">#REF!</definedName>
    <definedName name="if">'[21]General Inputs'!$E$9</definedName>
    <definedName name="inact">#REF!</definedName>
    <definedName name="INCSTMNT">#REF!</definedName>
    <definedName name="INCSTMT">#REF!</definedName>
    <definedName name="inflat">#REF!</definedName>
    <definedName name="inflatCERA">#REF!</definedName>
    <definedName name="Inflation">[2]Resources!$E$68</definedName>
    <definedName name="INGRID">'[33]RI1 55 - 97B'!#REF!</definedName>
    <definedName name="INT">#REF!</definedName>
    <definedName name="INTRESEXCH">#REF!</definedName>
    <definedName name="INVPLAN">#REF!</definedName>
    <definedName name="Jan03AMA">'[29]BS C&amp;L'!#REF!</definedName>
    <definedName name="_Jan04">[12]BS!$R$7:$R$3582</definedName>
    <definedName name="Jan04AMA">[12]BS!$AD$7:$AD$3582</definedName>
    <definedName name="_Jan05">[28]BS!#REF!</definedName>
    <definedName name="Jan05AMA">[28]BS!#REF!</definedName>
    <definedName name="_Jan06">[42]BS!#REF!</definedName>
    <definedName name="Jan06AMA">[42]BS!#REF!</definedName>
    <definedName name="Jul03AMA">'[29]BS C&amp;L'!#REF!</definedName>
    <definedName name="_Jul04">[12]BS!$X$7:$X$3582</definedName>
    <definedName name="Jul04AMA">[12]BS!$AJ$7:$AJ$3582</definedName>
    <definedName name="_Jul05">[28]BS!#REF!</definedName>
    <definedName name="Jul05AMA">[28]BS!#REF!</definedName>
    <definedName name="julcf">#REF!</definedName>
    <definedName name="julcost">#REF!</definedName>
    <definedName name="Jun03AMA">'[29]BS C&amp;L'!#REF!</definedName>
    <definedName name="_Jun04">[12]BS!$W$7:$W$3582</definedName>
    <definedName name="Jun04AMA">[12]BS!$AI$7:$AI$3582</definedName>
    <definedName name="_Jun05">[28]BS!#REF!</definedName>
    <definedName name="Jun05AMA">[28]BS!#REF!</definedName>
    <definedName name="KickOffDate">'[19]General Inputs'!$E$3</definedName>
    <definedName name="LATEPAY">#REF!</definedName>
    <definedName name="Lease_total">#REF!</definedName>
    <definedName name="LevelizedCost">'[19]Revenue Calculation'!$I$8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'[9]Load Source Data'!$C$78:$X$89</definedName>
    <definedName name="LoadGrowthAdder">#REF!</definedName>
    <definedName name="LTSACoverage">'[19]General Inputs'!$I$7</definedName>
    <definedName name="M">#REF!</definedName>
    <definedName name="manutaxfit">#REF!</definedName>
    <definedName name="Mar03AMA">'[29]BS C&amp;L'!#REF!</definedName>
    <definedName name="_Mar04">[12]BS!$T$7:$T$3582</definedName>
    <definedName name="Mar04AMA">[12]BS!$AF$7:$AF$3582</definedName>
    <definedName name="_Mar05">[28]BS!#REF!</definedName>
    <definedName name="Mar05AMA">[28]BS!#REF!</definedName>
    <definedName name="MatDate2">#REF!</definedName>
    <definedName name="MaxBid">[19]CapEx!$B$32</definedName>
    <definedName name="May03AMA">'[29]BS C&amp;L'!#REF!</definedName>
    <definedName name="_May04">[12]BS!$V$7:$V$3582</definedName>
    <definedName name="May04AMA">[12]BS!$AH$7:$AH$3582</definedName>
    <definedName name="_May05">[28]BS!#REF!</definedName>
    <definedName name="May05AMA">[28]BS!#REF!</definedName>
    <definedName name="mcnarycost">#REF!</definedName>
    <definedName name="mcnarytoggle">#REF!</definedName>
    <definedName name="median_energy">#REF!</definedName>
    <definedName name="MERGER_COST">[26]Sheet1!$AF$3:$AJ$28</definedName>
    <definedName name="MISCELLANEOUS">#REF!</definedName>
    <definedName name="MMRecovery">'[19]General Inputs'!$I$9</definedName>
    <definedName name="MonthsInFirstYear">'[19]General Inputs'!$E$5</definedName>
    <definedName name="MonthsOfTransaction">'[19]General Inputs'!$E$6</definedName>
    <definedName name="MonTotalDispatch">[8]Dispatch!#REF!</definedName>
    <definedName name="MT">#REF!</definedName>
    <definedName name="MTD_Format">[35]Mthly!$B$11:$D$11,[35]Mthly!$B$35:$D$35</definedName>
    <definedName name="MustRunGen">[8]Dispatch!#REF!</definedName>
    <definedName name="Mwh">#REF!</definedName>
    <definedName name="_mwh2">#REF!</definedName>
    <definedName name="mwhoutlookdata">'[24]pivoted data'!$D$3:$R$42</definedName>
    <definedName name="nameplate">#REF!</definedName>
    <definedName name="Nameplate_DF">'[19]General Inputs'!$E$10</definedName>
    <definedName name="Nameplate_Primary">'[19]General Inputs'!$E$9</definedName>
    <definedName name="non_AURORA_lookup">#REF!</definedName>
    <definedName name="non_core_lookup">#REF!</definedName>
    <definedName name="nonrefundtrans">#REF!</definedName>
    <definedName name="_Nov03">[13]BS!$S$7:$S$3582</definedName>
    <definedName name="Nov03AMA">[13]BS!$AI$7:$AI$3582</definedName>
    <definedName name="_Nov04">[12]BS!$AB$7:$AB$3582</definedName>
    <definedName name="Nov04AMA">[12]BS!$AN$7:$AN$3582</definedName>
    <definedName name="_Nov05">#REF!</definedName>
    <definedName name="Nov05AMA">#REF!</definedName>
    <definedName name="novcf">#REF!</definedName>
    <definedName name="novcost">#REF!</definedName>
    <definedName name="numturbines">#REF!</definedName>
    <definedName name="numturbptc">#REF!</definedName>
    <definedName name="NWSales_MWH">[27]DT_A_AMW93!#REF!</definedName>
    <definedName name="O_M_Input">'[31]MiscItems(Input)'!$B$5:$AO$8,'[31]MiscItems(Input)'!$B$13:$AO$13,'[31]MiscItems(Input)'!$B$15:$B$17,'[31]MiscItems(Input)'!$B$17:$AO$17,'[31]MiscItems(Input)'!$B$15:$AO$15</definedName>
    <definedName name="OBCLEASE">#REF!</definedName>
    <definedName name="_Oct03">[13]BS!$R$7:$R$3582</definedName>
    <definedName name="Oct03AMA">[13]BS!$AH$7:$AH$3582</definedName>
    <definedName name="_Oct04">[12]BS!$AA$7:$AA$3582</definedName>
    <definedName name="Oct04AMA">[12]BS!$AM$7:$AM$3582</definedName>
    <definedName name="_Oct05">#REF!</definedName>
    <definedName name="Oct05AMA">#REF!</definedName>
    <definedName name="octcf">#REF!</definedName>
    <definedName name="octcost">#REF!</definedName>
    <definedName name="OMtoggle">#REF!</definedName>
    <definedName name="OP_Mo_Year1">#REF!</definedName>
    <definedName name="OPCONT">#REF!</definedName>
    <definedName name="OPEXPPF">#REF!</definedName>
    <definedName name="OPEXPRS">#REF!</definedName>
    <definedName name="outlookdata">'[24]pivoted amounts'!$D$3:$Q$90</definedName>
    <definedName name="OwnerExpSched">'[19]General Inputs'!#REF!</definedName>
    <definedName name="Page1">#REF!</definedName>
    <definedName name="Page2">#REF!</definedName>
    <definedName name="parasitic">#REF!</definedName>
    <definedName name="parasiticprice">#REF!</definedName>
    <definedName name="PAY">#REF!</definedName>
    <definedName name="pcorc">'[25]Exhibit A-1 Original'!$A$77</definedName>
    <definedName name="peak_new_table">'[16]2008 Extreme Peaks - 080403'!$E$5:$AD$8</definedName>
    <definedName name="peak_table">'[16]Peaks-F01'!$C$5:$E$243</definedName>
    <definedName name="PEBBLE">#REF!</definedName>
    <definedName name="percdebtcov">#REF!</definedName>
    <definedName name="Percent_debt">[6]Inputs!$E$129</definedName>
    <definedName name="PERCENTAGES_CALCULATED">#REF!</definedName>
    <definedName name="PercPerProp">'[19]General Inputs'!#REF!</definedName>
    <definedName name="percpersonal">#REF!</definedName>
    <definedName name="percreal">#REF!</definedName>
    <definedName name="PercRealProp">'[19]General Inputs'!#REF!</definedName>
    <definedName name="PerPropAdjust">'[19]General Inputs'!$E$22</definedName>
    <definedName name="personalproptaxadjust">#REF!</definedName>
    <definedName name="_PG1">#REF!</definedName>
    <definedName name="PG2G">#REF!</definedName>
    <definedName name="PGA">#REF!</definedName>
    <definedName name="PGB">#REF!</definedName>
    <definedName name="PGD">#REF!</definedName>
    <definedName name="PGF">#REF!</definedName>
    <definedName name="PGG">#REF!</definedName>
    <definedName name="PGGINV">#REF!</definedName>
    <definedName name="PGH">#REF!</definedName>
    <definedName name="PGI">#REF!</definedName>
    <definedName name="Plant_Input">'[31]Plant(Input)'!$B$7:$AP$9,'[31]Plant(Input)'!$B$11,'[31]Plant(Input)'!$B$15:$AP$15,'[31]Plant(Input)'!$B$18,'[31]Plant(Input)'!$B$20:$AP$20</definedName>
    <definedName name="Plant_List">#REF!</definedName>
    <definedName name="PlantReplacementCost">'[19]General Inputs'!$E$30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l_wkly_vect_input">#REF!</definedName>
    <definedName name="preferredreturn">#REF!</definedName>
    <definedName name="presentvaluedate">#REF!</definedName>
    <definedName name="pretaxdebt">#REF!</definedName>
    <definedName name="PreTaxDebtCost">[4]Assumptions!$I$56</definedName>
    <definedName name="pretaxequit">#REF!</definedName>
    <definedName name="PreTaxWACC">[4]Assumptions!$I$62</definedName>
    <definedName name="price_input_range">#REF!</definedName>
    <definedName name="PriceCaseTable">#REF!</definedName>
    <definedName name="Prices_Aurora">'[10]Monthly Price Summary'!$C$4:$H$63</definedName>
    <definedName name="PRINC">#REF!</definedName>
    <definedName name="_xlnm.Print_Area" localSheetId="2">'Schedule 3'!$A$1:$R$61</definedName>
    <definedName name="Print_Area_MI">#REF!</definedName>
    <definedName name="Print_Area1">#REF!</definedName>
    <definedName name="_xlnm.Print_Titles" localSheetId="0">'Schedule 1'!$7:$12</definedName>
    <definedName name="_xlnm.Print_Titles" localSheetId="2">'Schedule 3'!$1:$13</definedName>
    <definedName name="_xlnm.Print_Titles" localSheetId="3">'Schedule 4'!$5:$9</definedName>
    <definedName name="_xlnm.Print_Titles">#N/A</definedName>
    <definedName name="prn_RI_1_schedules_1st">#REF!</definedName>
    <definedName name="prn_RI_1_schedules_2nd">#REF!</definedName>
    <definedName name="prn_RI_2_schedules_1st">#REF!</definedName>
    <definedName name="prn_RI_2_schedules_2nd">#REF!</definedName>
    <definedName name="PRO_FORMA">#REF!</definedName>
    <definedName name="PRODADJ">#REF!</definedName>
    <definedName name="Prodprop">#REF!</definedName>
    <definedName name="Production_Factor">#REF!</definedName>
    <definedName name="Projects">[41]Sheet1!$A$1147:$B$1887</definedName>
    <definedName name="PROPSALES">#REF!</definedName>
    <definedName name="proptaxdiscfactor">#REF!</definedName>
    <definedName name="PropTaxDiscountRate">'[19]General Inputs'!$E$24</definedName>
    <definedName name="proptaxrate">#REF!</definedName>
    <definedName name="PropTaxREET">'[19]General Inputs'!$E$27</definedName>
    <definedName name="Prov_Cap_Tax">[6]Inputs!$E$111</definedName>
    <definedName name="PSE">'[37]4.04'!$A$6</definedName>
    <definedName name="PSE_DR">#REF!</definedName>
    <definedName name="PSE_Pre_Tax_Equity_Rate">'[14]Assumptions of Purchase'!$B$42</definedName>
    <definedName name="PSEBPAshare">#REF!</definedName>
    <definedName name="pseownperc">#REF!</definedName>
    <definedName name="PSEPaysREET">'[19]General Inputs'!$I$4</definedName>
    <definedName name="PSEWACC">#REF!</definedName>
    <definedName name="PSPL">#REF!</definedName>
    <definedName name="PTC">#REF!</definedName>
    <definedName name="ptceffective">#REF!</definedName>
    <definedName name="PTCescal">#REF!</definedName>
    <definedName name="ptcescalstart">#REF!</definedName>
    <definedName name="PurchasedFuel">[19]Expenses!#REF!</definedName>
    <definedName name="PWRCSTPF">#REF!</definedName>
    <definedName name="PWRCSTRS">#REF!</definedName>
    <definedName name="PWRCSTWP">#REF!</definedName>
    <definedName name="PWRCSTWR">#REF!</definedName>
    <definedName name="QA">[11]IPOA2002!#REF!</definedName>
    <definedName name="QTD_Format">[35]QTD!$B$11:$D$11,[35]QTD!$B$35:$D$35</definedName>
    <definedName name="RATE">#REF!</definedName>
    <definedName name="RATE2">'[38]Transp Data'!$A$8:$I$112</definedName>
    <definedName name="RATEBASE">#REF!</definedName>
    <definedName name="RATEBASE_U95">#REF!</definedName>
    <definedName name="RATECASE">#REF!</definedName>
    <definedName name="rating_spread_bp">#REF!</definedName>
    <definedName name="RdSch_CY">'[36]INPUT TAB'!#REF!</definedName>
    <definedName name="RdSch_PY">'[36]INPUT TAB'!#REF!</definedName>
    <definedName name="RdSch_PY2">'[36]INPUT TAB'!#REF!</definedName>
    <definedName name="reaccrual">[40]Sheet2!#REF!</definedName>
    <definedName name="RealPropAdjust">'[19]General Inputs'!$E$23</definedName>
    <definedName name="realproptaxadjust">#REF!</definedName>
    <definedName name="REC">#REF!</definedName>
    <definedName name="REETRate">'[19]General Inputs'!$E$20</definedName>
    <definedName name="regasset">#REF!</definedName>
    <definedName name="_RES2005">#REF!</definedName>
    <definedName name="resdebt">#REF!</definedName>
    <definedName name="resepcdevcost">#REF!</definedName>
    <definedName name="RESequit">#REF!</definedName>
    <definedName name="resource_lookup">'[7]#REF'!$B$3:$C$112</definedName>
    <definedName name="RESTATING">#REF!</definedName>
    <definedName name="Results">#REF!</definedName>
    <definedName name="retain">#REF!</definedName>
    <definedName name="RETIREPLAN">#REF!</definedName>
    <definedName name="REV">#REF!</definedName>
    <definedName name="REVADJ">#REF!</definedName>
    <definedName name="Revenue">#REF!</definedName>
    <definedName name="REVREQ">#REF!</definedName>
    <definedName name="_RI2">'[32]Rock Island 1'!#REF!</definedName>
    <definedName name="ROE">#REF!</definedName>
    <definedName name="ROR">#REF!</definedName>
    <definedName name="RowAvgCF">[2]Resources!$J$76</definedName>
    <definedName name="RowB2CF">[2]Resources!$J$75</definedName>
    <definedName name="RowCapCost">[2]Resources!$J$68</definedName>
    <definedName name="RowFOM">[2]Resources!$J$70</definedName>
    <definedName name="RowNIMF">[2]Resources!$J$72</definedName>
    <definedName name="RowNIMV">[2]Resources!$J$73</definedName>
    <definedName name="RowPPAPrice">[2]Resources!$J$74</definedName>
    <definedName name="RowVOM">[2]Resources!$J$71</definedName>
    <definedName name="RowY0">[2]Resources!$J$69</definedName>
    <definedName name="royalty">#REF!</definedName>
    <definedName name="royenergyprice">#REF!</definedName>
    <definedName name="royescal">#REF!</definedName>
    <definedName name="roysched1perc">#REF!</definedName>
    <definedName name="roysched2perc">#REF!</definedName>
    <definedName name="RR1ST6">#REF!</definedName>
    <definedName name="RR2ND6">#REF!</definedName>
    <definedName name="SALESRESALEP">#REF!</definedName>
    <definedName name="SALESRESALER">#REF!</definedName>
    <definedName name="salestax">#REF!</definedName>
    <definedName name="SalesTaxRate">'[19]General Inputs'!$E$21</definedName>
    <definedName name="Sch194Rlfwd">'[36]Sch94 Rlfwd'!$B$11</definedName>
    <definedName name="schedtoggle">#REF!</definedName>
    <definedName name="SecSSW_MWH">[27]DT_A_AMW93!#REF!</definedName>
    <definedName name="select_flat_01">#REF!</definedName>
    <definedName name="select_flat_02">#REF!</definedName>
    <definedName name="select_flat_03">#REF!</definedName>
    <definedName name="select_flat_04">#REF!</definedName>
    <definedName name="select_off_01">#REF!</definedName>
    <definedName name="select_off_02">#REF!</definedName>
    <definedName name="select_off_03">#REF!</definedName>
    <definedName name="select_off_04">#REF!</definedName>
    <definedName name="select_on_01">#REF!</definedName>
    <definedName name="select_on_02">#REF!</definedName>
    <definedName name="select_on_03">#REF!</definedName>
    <definedName name="select_on_04">#REF!</definedName>
    <definedName name="select_SUMAS_01">#REF!</definedName>
    <definedName name="select_sumas_02">#REF!</definedName>
    <definedName name="select_sumas_03">#REF!</definedName>
    <definedName name="selected_flat">#REF!</definedName>
    <definedName name="selected_off">#REF!</definedName>
    <definedName name="selected_on">#REF!</definedName>
    <definedName name="selected_SUMAS">#REF!</definedName>
    <definedName name="_Sep03">[13]BS!$Q$7:$Q$3582</definedName>
    <definedName name="Sep03AMA">[13]BS!$AG$7:$AG$3582</definedName>
    <definedName name="_Sep04">[12]BS!$Z$7:$Z$3582</definedName>
    <definedName name="Sep04AMA">[12]BS!$AL$7:$AL$3582</definedName>
    <definedName name="_Sep05">[28]BS!#REF!</definedName>
    <definedName name="Sep05AMA">#REF!</definedName>
    <definedName name="sepcf">#REF!</definedName>
    <definedName name="sepcost">#REF!</definedName>
    <definedName name="SetDate2">#REF!</definedName>
    <definedName name="SKAGIT">#REF!</definedName>
    <definedName name="SLFINSURANCE">#REF!</definedName>
    <definedName name="SolarDate">'[8]Dispatch Cases'!#REF!</definedName>
    <definedName name="STAFFREDUC">#REF!</definedName>
    <definedName name="StalkingHorseBid">[19]CapEx!$B$33</definedName>
    <definedName name="StartDate">[4]Assumptions!$C$9</definedName>
    <definedName name="StartupPowerValue">[19]CapEx!#REF!</definedName>
    <definedName name="stationserv">#REF!</definedName>
    <definedName name="STORM">#REF!</definedName>
    <definedName name="SUMMARY">#REF!</definedName>
    <definedName name="supentit_in_wkly_vect_input">#REF!</definedName>
    <definedName name="supentit_out_wkly_vect_input">#REF!</definedName>
    <definedName name="SWSales_MWH">[27]DT_A_AMW93!#REF!</definedName>
    <definedName name="tax_exempt_spread">#REF!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own">#REF!</definedName>
    <definedName name="TAXPFINT">#REF!</definedName>
    <definedName name="TAXPROPERTY">#REF!</definedName>
    <definedName name="TAXSUT">#REF!</definedName>
    <definedName name="tbl_Master">#REF!</definedName>
    <definedName name="TEMPADJ">#REF!</definedName>
    <definedName name="TenaskaShare">[8]Dispatch!#REF!</definedName>
    <definedName name="Test">[28]BS!#REF!</definedName>
    <definedName name="TEST0">#REF!</definedName>
    <definedName name="TESTHKEY">#REF!</definedName>
    <definedName name="TESTKEYS">#REF!</definedName>
    <definedName name="TESTVKEY">#REF!</definedName>
    <definedName name="TESTYEAR">#REF!</definedName>
    <definedName name="Therm_upload">#REF!</definedName>
    <definedName name="ThermalBookLife">[4]Assumptions!$C$25</definedName>
    <definedName name="therms">#REF!</definedName>
    <definedName name="thirdpartyIRR">#REF!</definedName>
    <definedName name="three">#REF!</definedName>
    <definedName name="Title">[4]Assumptions!$A$1</definedName>
    <definedName name="today">#REF!</definedName>
    <definedName name="TopLeft">#REF!</definedName>
    <definedName name="totaldebt">#REF!</definedName>
    <definedName name="totalequit">#REF!</definedName>
    <definedName name="TotalEquity">'[19]Revenue Calculation'!$I$6</definedName>
    <definedName name="TRADING_NET">[27]DT_A_DOL93!#REF!</definedName>
    <definedName name="tran_revenue">#REF!</definedName>
    <definedName name="trans_constraint_y_n">#REF!</definedName>
    <definedName name="transdb">#REF!</definedName>
    <definedName name="TransFixed">[19]Expenses!#REF!</definedName>
    <definedName name="TransVar">[19]Expenses!#REF!</definedName>
    <definedName name="turbinesize">#REF!</definedName>
    <definedName name="twoyrswarranty">#REF!</definedName>
    <definedName name="UBakerAvail">#REF!</definedName>
    <definedName name="UNITCOMPARE">#REF!</definedName>
    <definedName name="UNITCOSTS">#REF!</definedName>
    <definedName name="UTG">#REF!</definedName>
    <definedName name="UTN">#REF!</definedName>
    <definedName name="vartrans">#REF!</definedName>
    <definedName name="VOMEsc">[4]Assumptions!$C$21</definedName>
    <definedName name="WACC">[4]Assumptions!$I$61</definedName>
    <definedName name="WAGES">#REF!</definedName>
    <definedName name="warrantyOM">#REF!</definedName>
    <definedName name="whorn_db">#REF!</definedName>
    <definedName name="Wind_NamePlate">'[2]Wind Own'!$B$7</definedName>
    <definedName name="WindDate">'[8]Dispatch Cases'!#REF!</definedName>
    <definedName name="WindTransCost">[2]Resources!$D$78</definedName>
    <definedName name="WRKCAP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wp_wkly_vect_input">#REF!</definedName>
    <definedName name="Y">#REF!</definedName>
    <definedName name="YEAR">#REF!</definedName>
    <definedName name="YearOfCostData">[2]Resources!$E$70</definedName>
    <definedName name="Years_evaluated">'[5]Revison Inputs'!$B$6</definedName>
    <definedName name="YTD_Format">[35]YTD!$B$13:$D$13,[35]YTD!$B$36:$D$36</definedName>
    <definedName name="zilfpldebtperc">#REF!</definedName>
    <definedName name="zilkhaepcdevcost">#REF!</definedName>
    <definedName name="zilkhaownperc">#REF!</definedName>
  </definedNames>
  <calcPr calcId="125725" fullCalcOnLoad="1"/>
</workbook>
</file>

<file path=xl/calcChain.xml><?xml version="1.0" encoding="utf-8"?>
<calcChain xmlns="http://schemas.openxmlformats.org/spreadsheetml/2006/main">
  <c r="K87" i="10"/>
  <c r="K86"/>
  <c r="H83"/>
  <c r="D83"/>
  <c r="K83"/>
  <c r="M83"/>
  <c r="H82"/>
  <c r="D82"/>
  <c r="K82"/>
  <c r="M82"/>
  <c r="H81"/>
  <c r="D81"/>
  <c r="K81"/>
  <c r="M81"/>
  <c r="H80"/>
  <c r="D80"/>
  <c r="K80"/>
  <c r="M80"/>
  <c r="H79"/>
  <c r="D79"/>
  <c r="K79"/>
  <c r="M79"/>
  <c r="H78"/>
  <c r="D78"/>
  <c r="K78"/>
  <c r="M78"/>
  <c r="H77"/>
  <c r="D77"/>
  <c r="K77"/>
  <c r="M77"/>
  <c r="H76"/>
  <c r="D76"/>
  <c r="K76"/>
  <c r="M76"/>
  <c r="H75"/>
  <c r="D75"/>
  <c r="K75"/>
  <c r="M75"/>
  <c r="H74"/>
  <c r="D74"/>
  <c r="K74"/>
  <c r="M74"/>
  <c r="K73"/>
  <c r="M73"/>
  <c r="D73"/>
  <c r="H72"/>
  <c r="D72"/>
  <c r="K72"/>
  <c r="M72"/>
  <c r="H71"/>
  <c r="D71"/>
  <c r="K71"/>
  <c r="M71"/>
  <c r="H70"/>
  <c r="D70"/>
  <c r="K70"/>
  <c r="M70"/>
  <c r="H69"/>
  <c r="D69"/>
  <c r="K69"/>
  <c r="M69"/>
  <c r="H68"/>
  <c r="H89"/>
  <c r="H91"/>
  <c r="D68"/>
  <c r="D84"/>
  <c r="H65"/>
  <c r="J63"/>
  <c r="K63"/>
  <c r="M63"/>
  <c r="H63"/>
  <c r="D63"/>
  <c r="J62"/>
  <c r="K62"/>
  <c r="M62"/>
  <c r="H62"/>
  <c r="D62"/>
  <c r="J61"/>
  <c r="K61"/>
  <c r="M61"/>
  <c r="H61"/>
  <c r="D61"/>
  <c r="J60"/>
  <c r="K60"/>
  <c r="M60"/>
  <c r="H60"/>
  <c r="D60"/>
  <c r="J59"/>
  <c r="K59"/>
  <c r="M59"/>
  <c r="H59"/>
  <c r="D59"/>
  <c r="J58"/>
  <c r="K58"/>
  <c r="M58"/>
  <c r="H58"/>
  <c r="D58"/>
  <c r="J57"/>
  <c r="K57"/>
  <c r="M57"/>
  <c r="H57"/>
  <c r="D57"/>
  <c r="J56"/>
  <c r="K56"/>
  <c r="M56"/>
  <c r="H56"/>
  <c r="D56"/>
  <c r="J55"/>
  <c r="K55"/>
  <c r="M55"/>
  <c r="H55"/>
  <c r="D55"/>
  <c r="J54"/>
  <c r="K54"/>
  <c r="M54"/>
  <c r="H54"/>
  <c r="D54"/>
  <c r="J53"/>
  <c r="K53"/>
  <c r="M53"/>
  <c r="H53"/>
  <c r="D53"/>
  <c r="J52"/>
  <c r="K52"/>
  <c r="M52"/>
  <c r="H52"/>
  <c r="D52"/>
  <c r="J51"/>
  <c r="K51"/>
  <c r="M51"/>
  <c r="H51"/>
  <c r="D51"/>
  <c r="J50"/>
  <c r="K50"/>
  <c r="M50"/>
  <c r="H50"/>
  <c r="D50"/>
  <c r="J49"/>
  <c r="K49"/>
  <c r="M49"/>
  <c r="H49"/>
  <c r="D49"/>
  <c r="J48"/>
  <c r="K48"/>
  <c r="M48"/>
  <c r="H48"/>
  <c r="D48"/>
  <c r="J47"/>
  <c r="K47"/>
  <c r="M47"/>
  <c r="H47"/>
  <c r="D47"/>
  <c r="J46"/>
  <c r="K46"/>
  <c r="M46"/>
  <c r="H46"/>
  <c r="D46"/>
  <c r="J45"/>
  <c r="K45"/>
  <c r="H45"/>
  <c r="D45"/>
  <c r="D65"/>
  <c r="H42"/>
  <c r="K41"/>
  <c r="M41"/>
  <c r="J40"/>
  <c r="K40"/>
  <c r="M40"/>
  <c r="H40"/>
  <c r="D40"/>
  <c r="J39"/>
  <c r="K39"/>
  <c r="M39"/>
  <c r="H39"/>
  <c r="D39"/>
  <c r="J38"/>
  <c r="K38"/>
  <c r="H38"/>
  <c r="D38"/>
  <c r="J37"/>
  <c r="K37"/>
  <c r="H37"/>
  <c r="D37"/>
  <c r="D42"/>
  <c r="H34"/>
  <c r="J32"/>
  <c r="K32"/>
  <c r="M32"/>
  <c r="H32"/>
  <c r="D32"/>
  <c r="J31"/>
  <c r="K31"/>
  <c r="M31"/>
  <c r="H31"/>
  <c r="D31"/>
  <c r="J30"/>
  <c r="K30"/>
  <c r="M30"/>
  <c r="H30"/>
  <c r="D30"/>
  <c r="J29"/>
  <c r="K29"/>
  <c r="M29"/>
  <c r="H29"/>
  <c r="D29"/>
  <c r="J28"/>
  <c r="K28"/>
  <c r="M28"/>
  <c r="H28"/>
  <c r="D28"/>
  <c r="J27"/>
  <c r="K27"/>
  <c r="M27"/>
  <c r="H27"/>
  <c r="D27"/>
  <c r="J26"/>
  <c r="K26"/>
  <c r="M26"/>
  <c r="H26"/>
  <c r="D26"/>
  <c r="J25"/>
  <c r="K25"/>
  <c r="M25"/>
  <c r="H25"/>
  <c r="D25"/>
  <c r="J24"/>
  <c r="K24"/>
  <c r="M24"/>
  <c r="H24"/>
  <c r="D24"/>
  <c r="J23"/>
  <c r="K23"/>
  <c r="M23"/>
  <c r="H23"/>
  <c r="J22"/>
  <c r="K22"/>
  <c r="H22"/>
  <c r="D22"/>
  <c r="J21"/>
  <c r="K21"/>
  <c r="H21"/>
  <c r="D21"/>
  <c r="D34"/>
  <c r="H18"/>
  <c r="J16"/>
  <c r="K16"/>
  <c r="M16"/>
  <c r="H16"/>
  <c r="D16"/>
  <c r="J15"/>
  <c r="K15"/>
  <c r="H15"/>
  <c r="D15"/>
  <c r="J14"/>
  <c r="K14"/>
  <c r="H14"/>
  <c r="D14"/>
  <c r="D18"/>
  <c r="F30" i="9"/>
  <c r="H30"/>
  <c r="H29"/>
  <c r="F29"/>
  <c r="L28"/>
  <c r="E28"/>
  <c r="D28"/>
  <c r="F28"/>
  <c r="H27"/>
  <c r="F27"/>
  <c r="H26"/>
  <c r="F26"/>
  <c r="H25"/>
  <c r="F25"/>
  <c r="H24"/>
  <c r="F24"/>
  <c r="N23"/>
  <c r="F22"/>
  <c r="H22"/>
  <c r="J22"/>
  <c r="N22"/>
  <c r="F21"/>
  <c r="H21"/>
  <c r="J21"/>
  <c r="N21"/>
  <c r="F20"/>
  <c r="H20"/>
  <c r="J20"/>
  <c r="N20"/>
  <c r="F19"/>
  <c r="H19"/>
  <c r="J19"/>
  <c r="N19"/>
  <c r="N18"/>
  <c r="H17"/>
  <c r="J17"/>
  <c r="N17"/>
  <c r="F17"/>
  <c r="N16"/>
  <c r="F15"/>
  <c r="H15"/>
  <c r="Q96" i="1"/>
  <c r="Q98"/>
  <c r="P80"/>
  <c r="P48"/>
  <c r="P38"/>
  <c r="P20"/>
  <c r="O27"/>
  <c r="Q80"/>
  <c r="P56"/>
  <c r="Q48"/>
  <c r="Q38"/>
  <c r="Q20"/>
  <c r="D96"/>
  <c r="D80"/>
  <c r="D98"/>
  <c r="D48"/>
  <c r="D38"/>
  <c r="D20"/>
  <c r="E60"/>
  <c r="J61"/>
  <c r="M61"/>
  <c r="E61"/>
  <c r="G61"/>
  <c r="H61"/>
  <c r="J65"/>
  <c r="J62"/>
  <c r="K62"/>
  <c r="O62"/>
  <c r="E62"/>
  <c r="G62"/>
  <c r="H62"/>
  <c r="J63"/>
  <c r="M63"/>
  <c r="E63"/>
  <c r="G63"/>
  <c r="J64"/>
  <c r="K64"/>
  <c r="O64"/>
  <c r="E64"/>
  <c r="G64"/>
  <c r="H64"/>
  <c r="M64"/>
  <c r="E65"/>
  <c r="G65"/>
  <c r="H65"/>
  <c r="J66"/>
  <c r="E66"/>
  <c r="G66"/>
  <c r="J67"/>
  <c r="J68"/>
  <c r="E67"/>
  <c r="G67"/>
  <c r="H67"/>
  <c r="E68"/>
  <c r="G68"/>
  <c r="H68"/>
  <c r="E69"/>
  <c r="G69"/>
  <c r="E70"/>
  <c r="G70"/>
  <c r="J71"/>
  <c r="K71"/>
  <c r="O71"/>
  <c r="E71"/>
  <c r="G71"/>
  <c r="H71"/>
  <c r="M71"/>
  <c r="E72"/>
  <c r="G72"/>
  <c r="H72"/>
  <c r="M72"/>
  <c r="J73"/>
  <c r="E73"/>
  <c r="G73"/>
  <c r="E74"/>
  <c r="G74"/>
  <c r="E75"/>
  <c r="G75"/>
  <c r="E76"/>
  <c r="G76"/>
  <c r="E77"/>
  <c r="G77"/>
  <c r="H78"/>
  <c r="M78"/>
  <c r="E43"/>
  <c r="E48"/>
  <c r="J44"/>
  <c r="E44"/>
  <c r="G44"/>
  <c r="H44"/>
  <c r="M44"/>
  <c r="J45"/>
  <c r="E45"/>
  <c r="G45"/>
  <c r="E46"/>
  <c r="G46"/>
  <c r="J25"/>
  <c r="K25"/>
  <c r="E25"/>
  <c r="E38"/>
  <c r="G25"/>
  <c r="J26"/>
  <c r="M26"/>
  <c r="J27"/>
  <c r="M27"/>
  <c r="J28"/>
  <c r="E28"/>
  <c r="G28"/>
  <c r="J29"/>
  <c r="K29"/>
  <c r="O29"/>
  <c r="E29"/>
  <c r="G29"/>
  <c r="H29"/>
  <c r="M29"/>
  <c r="J30"/>
  <c r="M30"/>
  <c r="E30"/>
  <c r="G30"/>
  <c r="J31"/>
  <c r="E31"/>
  <c r="G31"/>
  <c r="H31"/>
  <c r="M31"/>
  <c r="J32"/>
  <c r="K32"/>
  <c r="O32"/>
  <c r="E32"/>
  <c r="G32"/>
  <c r="J33"/>
  <c r="E33"/>
  <c r="G33"/>
  <c r="H33"/>
  <c r="M33"/>
  <c r="J34"/>
  <c r="M34"/>
  <c r="E34"/>
  <c r="G34"/>
  <c r="J35"/>
  <c r="E35"/>
  <c r="G35"/>
  <c r="H35"/>
  <c r="M35"/>
  <c r="E36"/>
  <c r="G36"/>
  <c r="H36"/>
  <c r="M36"/>
  <c r="J16"/>
  <c r="K16"/>
  <c r="O16"/>
  <c r="O20"/>
  <c r="M20"/>
  <c r="E16"/>
  <c r="E20"/>
  <c r="J17"/>
  <c r="E17"/>
  <c r="G17"/>
  <c r="H17"/>
  <c r="M17"/>
  <c r="E18"/>
  <c r="G18"/>
  <c r="H18"/>
  <c r="M18"/>
  <c r="K28"/>
  <c r="K30"/>
  <c r="O30"/>
  <c r="K31"/>
  <c r="O31"/>
  <c r="K33"/>
  <c r="O33"/>
  <c r="K34"/>
  <c r="O34"/>
  <c r="K35"/>
  <c r="O35"/>
  <c r="O36"/>
  <c r="C38"/>
  <c r="C96"/>
  <c r="C80"/>
  <c r="C48"/>
  <c r="C20"/>
  <c r="C98"/>
  <c r="E85"/>
  <c r="E96"/>
  <c r="E86"/>
  <c r="E87"/>
  <c r="E88"/>
  <c r="E89"/>
  <c r="E90"/>
  <c r="E91"/>
  <c r="E92"/>
  <c r="E93"/>
  <c r="E94"/>
  <c r="E26"/>
  <c r="E27"/>
  <c r="G85"/>
  <c r="G96"/>
  <c r="G86"/>
  <c r="G87"/>
  <c r="G88"/>
  <c r="G89"/>
  <c r="G90"/>
  <c r="G91"/>
  <c r="G92"/>
  <c r="G93"/>
  <c r="G94"/>
  <c r="J85"/>
  <c r="K85"/>
  <c r="K96"/>
  <c r="K63"/>
  <c r="O63"/>
  <c r="K65"/>
  <c r="O65"/>
  <c r="K66"/>
  <c r="K73"/>
  <c r="O73"/>
  <c r="K44"/>
  <c r="O44"/>
  <c r="O48"/>
  <c r="M48"/>
  <c r="K45"/>
  <c r="K48"/>
  <c r="P86"/>
  <c r="P96"/>
  <c r="P98"/>
  <c r="P87"/>
  <c r="P90"/>
  <c r="P93"/>
  <c r="P94"/>
  <c r="M94"/>
  <c r="M93"/>
  <c r="M92"/>
  <c r="M91"/>
  <c r="M90"/>
  <c r="M89"/>
  <c r="M88"/>
  <c r="M87"/>
  <c r="M86"/>
  <c r="H85"/>
  <c r="O94"/>
  <c r="O93"/>
  <c r="O92"/>
  <c r="O91"/>
  <c r="O90"/>
  <c r="O89"/>
  <c r="O88"/>
  <c r="O87"/>
  <c r="O86"/>
  <c r="O78"/>
  <c r="O72"/>
  <c r="O18"/>
  <c r="K17"/>
  <c r="O17"/>
  <c r="G11" i="7"/>
  <c r="O11"/>
  <c r="C14"/>
  <c r="I14"/>
  <c r="D14"/>
  <c r="F14"/>
  <c r="D16"/>
  <c r="E16"/>
  <c r="F16"/>
  <c r="K16"/>
  <c r="O16"/>
  <c r="A17"/>
  <c r="B17"/>
  <c r="D17"/>
  <c r="E17"/>
  <c r="F17"/>
  <c r="K17"/>
  <c r="O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D18"/>
  <c r="E18"/>
  <c r="F18"/>
  <c r="K18"/>
  <c r="O18"/>
  <c r="D19"/>
  <c r="E19"/>
  <c r="F19"/>
  <c r="K19"/>
  <c r="O19"/>
  <c r="D20"/>
  <c r="E20"/>
  <c r="F20"/>
  <c r="K20"/>
  <c r="O20"/>
  <c r="D21"/>
  <c r="E21"/>
  <c r="F21"/>
  <c r="K21"/>
  <c r="O21"/>
  <c r="D22"/>
  <c r="E22"/>
  <c r="F22"/>
  <c r="K22"/>
  <c r="O22"/>
  <c r="D23"/>
  <c r="E23"/>
  <c r="F23"/>
  <c r="K23"/>
  <c r="O23"/>
  <c r="D24"/>
  <c r="E24"/>
  <c r="F24"/>
  <c r="K24"/>
  <c r="O24"/>
  <c r="D25"/>
  <c r="E25"/>
  <c r="F25"/>
  <c r="K25"/>
  <c r="O25"/>
  <c r="D26"/>
  <c r="E26"/>
  <c r="F26"/>
  <c r="K26"/>
  <c r="O26"/>
  <c r="D27"/>
  <c r="E27"/>
  <c r="F27"/>
  <c r="K27"/>
  <c r="L27"/>
  <c r="O27"/>
  <c r="D28"/>
  <c r="E28"/>
  <c r="F28"/>
  <c r="K28"/>
  <c r="O28"/>
  <c r="D29"/>
  <c r="E29"/>
  <c r="F29"/>
  <c r="K29"/>
  <c r="O29"/>
  <c r="D30"/>
  <c r="E30"/>
  <c r="F30"/>
  <c r="K30"/>
  <c r="O30"/>
  <c r="D31"/>
  <c r="E31"/>
  <c r="F31"/>
  <c r="K31"/>
  <c r="O31"/>
  <c r="D32"/>
  <c r="E32"/>
  <c r="F32"/>
  <c r="K32"/>
  <c r="O32"/>
  <c r="D33"/>
  <c r="E33"/>
  <c r="F33"/>
  <c r="K33"/>
  <c r="O33"/>
  <c r="D34"/>
  <c r="E34"/>
  <c r="F34"/>
  <c r="K34"/>
  <c r="O34"/>
  <c r="D35"/>
  <c r="E35"/>
  <c r="F35"/>
  <c r="K35"/>
  <c r="O35"/>
  <c r="D36"/>
  <c r="E36"/>
  <c r="F36"/>
  <c r="K36"/>
  <c r="O36"/>
  <c r="D37"/>
  <c r="E37"/>
  <c r="F37"/>
  <c r="K37"/>
  <c r="O37"/>
  <c r="D38"/>
  <c r="E38"/>
  <c r="F38"/>
  <c r="K38"/>
  <c r="O38"/>
  <c r="D39"/>
  <c r="E39"/>
  <c r="F39"/>
  <c r="K39"/>
  <c r="O39"/>
  <c r="D40"/>
  <c r="E40"/>
  <c r="F40"/>
  <c r="K40"/>
  <c r="O40"/>
  <c r="D41"/>
  <c r="E41"/>
  <c r="F41"/>
  <c r="K41"/>
  <c r="O41"/>
  <c r="D42"/>
  <c r="E42"/>
  <c r="F42"/>
  <c r="K42"/>
  <c r="O42"/>
  <c r="D43"/>
  <c r="E43"/>
  <c r="F43"/>
  <c r="K43"/>
  <c r="O43"/>
  <c r="D44"/>
  <c r="E44"/>
  <c r="F44"/>
  <c r="K44"/>
  <c r="O44"/>
  <c r="D45"/>
  <c r="E45"/>
  <c r="F45"/>
  <c r="K45"/>
  <c r="O45"/>
  <c r="D46"/>
  <c r="E46"/>
  <c r="F46"/>
  <c r="K46"/>
  <c r="O46"/>
  <c r="D47"/>
  <c r="E47"/>
  <c r="F47"/>
  <c r="K47"/>
  <c r="O47"/>
  <c r="D48"/>
  <c r="E48"/>
  <c r="F48"/>
  <c r="K48"/>
  <c r="O48"/>
  <c r="D49"/>
  <c r="E49"/>
  <c r="F49"/>
  <c r="K49"/>
  <c r="O49"/>
  <c r="D50"/>
  <c r="E50"/>
  <c r="F50"/>
  <c r="K50"/>
  <c r="O50"/>
  <c r="D51"/>
  <c r="E51"/>
  <c r="F51"/>
  <c r="K51"/>
  <c r="O51"/>
  <c r="D52"/>
  <c r="E52"/>
  <c r="F52"/>
  <c r="K52"/>
  <c r="O52"/>
  <c r="D53"/>
  <c r="E53"/>
  <c r="F53"/>
  <c r="K53"/>
  <c r="O53"/>
  <c r="D54"/>
  <c r="E54"/>
  <c r="F54"/>
  <c r="K54"/>
  <c r="O54"/>
  <c r="D55"/>
  <c r="E55"/>
  <c r="F55"/>
  <c r="K55"/>
  <c r="O55"/>
  <c r="D56"/>
  <c r="E56"/>
  <c r="F56"/>
  <c r="K56"/>
  <c r="O56"/>
  <c r="D57"/>
  <c r="E57"/>
  <c r="F57"/>
  <c r="K57"/>
  <c r="O57"/>
  <c r="E78" i="1"/>
  <c r="P27" i="7"/>
  <c r="G56"/>
  <c r="H56"/>
  <c r="N56"/>
  <c r="L56"/>
  <c r="P56"/>
  <c r="G54"/>
  <c r="H54"/>
  <c r="N54"/>
  <c r="L54"/>
  <c r="P54"/>
  <c r="G52"/>
  <c r="H52"/>
  <c r="N52"/>
  <c r="L52"/>
  <c r="P52"/>
  <c r="G50"/>
  <c r="H50"/>
  <c r="N50"/>
  <c r="L50"/>
  <c r="P50"/>
  <c r="G48"/>
  <c r="H48"/>
  <c r="N48"/>
  <c r="L48"/>
  <c r="P48"/>
  <c r="G46"/>
  <c r="H46"/>
  <c r="N46"/>
  <c r="L46"/>
  <c r="P46"/>
  <c r="G44"/>
  <c r="H44"/>
  <c r="N44"/>
  <c r="L44"/>
  <c r="P44"/>
  <c r="G42"/>
  <c r="H42"/>
  <c r="N42"/>
  <c r="L42"/>
  <c r="P42"/>
  <c r="G40"/>
  <c r="H40"/>
  <c r="N40"/>
  <c r="L40"/>
  <c r="P40"/>
  <c r="G38"/>
  <c r="H38"/>
  <c r="N38"/>
  <c r="L38"/>
  <c r="P38"/>
  <c r="G36"/>
  <c r="H36"/>
  <c r="N36"/>
  <c r="L36"/>
  <c r="P36"/>
  <c r="G34"/>
  <c r="H34"/>
  <c r="N34"/>
  <c r="L34"/>
  <c r="P34"/>
  <c r="G32"/>
  <c r="H32"/>
  <c r="N32"/>
  <c r="L32"/>
  <c r="P32"/>
  <c r="G30"/>
  <c r="H30"/>
  <c r="N30"/>
  <c r="L30"/>
  <c r="P30"/>
  <c r="G28"/>
  <c r="H28"/>
  <c r="N28"/>
  <c r="L28"/>
  <c r="P28"/>
  <c r="G57"/>
  <c r="H57"/>
  <c r="N57"/>
  <c r="L57"/>
  <c r="P57"/>
  <c r="G55"/>
  <c r="H55"/>
  <c r="N55"/>
  <c r="L55"/>
  <c r="P55"/>
  <c r="G53"/>
  <c r="H53"/>
  <c r="N53"/>
  <c r="L53"/>
  <c r="P53"/>
  <c r="G51"/>
  <c r="H51"/>
  <c r="N51"/>
  <c r="L51"/>
  <c r="P51"/>
  <c r="G49"/>
  <c r="H49"/>
  <c r="N49"/>
  <c r="L49"/>
  <c r="P49"/>
  <c r="G47"/>
  <c r="H47"/>
  <c r="N47"/>
  <c r="L47"/>
  <c r="P47"/>
  <c r="G45"/>
  <c r="H45"/>
  <c r="N45"/>
  <c r="L45"/>
  <c r="P45"/>
  <c r="G43"/>
  <c r="H43"/>
  <c r="N43"/>
  <c r="L43"/>
  <c r="P43"/>
  <c r="G41"/>
  <c r="H41"/>
  <c r="N41"/>
  <c r="L41"/>
  <c r="P41"/>
  <c r="G39"/>
  <c r="H39"/>
  <c r="N39"/>
  <c r="L39"/>
  <c r="P39"/>
  <c r="G37"/>
  <c r="H37"/>
  <c r="N37"/>
  <c r="L37"/>
  <c r="P37"/>
  <c r="G35"/>
  <c r="H35"/>
  <c r="N35"/>
  <c r="L35"/>
  <c r="P35"/>
  <c r="G33"/>
  <c r="H33"/>
  <c r="N33"/>
  <c r="L33"/>
  <c r="P33"/>
  <c r="G31"/>
  <c r="H31"/>
  <c r="N31"/>
  <c r="L31"/>
  <c r="P31"/>
  <c r="G29"/>
  <c r="H29"/>
  <c r="N29"/>
  <c r="L29"/>
  <c r="P29"/>
  <c r="J55"/>
  <c r="M55"/>
  <c r="J51"/>
  <c r="M51"/>
  <c r="J47"/>
  <c r="M47"/>
  <c r="J43"/>
  <c r="M43"/>
  <c r="J39"/>
  <c r="M39"/>
  <c r="J35"/>
  <c r="M35"/>
  <c r="J31"/>
  <c r="M31"/>
  <c r="J56"/>
  <c r="M56"/>
  <c r="J52"/>
  <c r="M52"/>
  <c r="J48"/>
  <c r="M48"/>
  <c r="J44"/>
  <c r="M44"/>
  <c r="J40"/>
  <c r="M40"/>
  <c r="J36"/>
  <c r="M36"/>
  <c r="J32"/>
  <c r="M32"/>
  <c r="J28"/>
  <c r="M28"/>
  <c r="G26"/>
  <c r="H26"/>
  <c r="N26"/>
  <c r="L26"/>
  <c r="P26"/>
  <c r="G24"/>
  <c r="H24"/>
  <c r="N24"/>
  <c r="L24"/>
  <c r="P24"/>
  <c r="G22"/>
  <c r="H22"/>
  <c r="N22"/>
  <c r="L22"/>
  <c r="P22"/>
  <c r="G20"/>
  <c r="H20"/>
  <c r="N20"/>
  <c r="L20"/>
  <c r="P20"/>
  <c r="G18"/>
  <c r="H18"/>
  <c r="N18"/>
  <c r="L18"/>
  <c r="P18"/>
  <c r="E14"/>
  <c r="G16"/>
  <c r="L16"/>
  <c r="P16"/>
  <c r="H96" i="1"/>
  <c r="H34"/>
  <c r="H30"/>
  <c r="H46"/>
  <c r="M46"/>
  <c r="O46"/>
  <c r="H77"/>
  <c r="M77"/>
  <c r="O77"/>
  <c r="H75"/>
  <c r="M75"/>
  <c r="O75"/>
  <c r="H73"/>
  <c r="M73"/>
  <c r="H69"/>
  <c r="M69"/>
  <c r="O69"/>
  <c r="H63"/>
  <c r="G25" i="7"/>
  <c r="H25"/>
  <c r="N25"/>
  <c r="L25"/>
  <c r="P25"/>
  <c r="G23"/>
  <c r="H23"/>
  <c r="N23"/>
  <c r="L23"/>
  <c r="P23"/>
  <c r="G21"/>
  <c r="H21"/>
  <c r="N21"/>
  <c r="L21"/>
  <c r="P21"/>
  <c r="G19"/>
  <c r="H19"/>
  <c r="N19"/>
  <c r="L19"/>
  <c r="P19"/>
  <c r="G17"/>
  <c r="H17"/>
  <c r="N17"/>
  <c r="L17"/>
  <c r="P17"/>
  <c r="H32" i="1"/>
  <c r="M32"/>
  <c r="H28"/>
  <c r="M28"/>
  <c r="O28"/>
  <c r="H45"/>
  <c r="M45"/>
  <c r="H76"/>
  <c r="M76"/>
  <c r="O76"/>
  <c r="H74"/>
  <c r="M74"/>
  <c r="O74"/>
  <c r="H70"/>
  <c r="M70"/>
  <c r="O70"/>
  <c r="H66"/>
  <c r="M66"/>
  <c r="O66"/>
  <c r="J25" i="7"/>
  <c r="M25"/>
  <c r="J23"/>
  <c r="J21"/>
  <c r="M21"/>
  <c r="J19"/>
  <c r="J17"/>
  <c r="M17"/>
  <c r="G27"/>
  <c r="H27"/>
  <c r="N27"/>
  <c r="Q27"/>
  <c r="R27"/>
  <c r="J26"/>
  <c r="M26"/>
  <c r="J22"/>
  <c r="M22"/>
  <c r="J18"/>
  <c r="M18"/>
  <c r="G38" i="1"/>
  <c r="E80"/>
  <c r="E98"/>
  <c r="G16"/>
  <c r="H25"/>
  <c r="G43"/>
  <c r="G60"/>
  <c r="H60"/>
  <c r="M60"/>
  <c r="G80"/>
  <c r="O60"/>
  <c r="G48"/>
  <c r="H48"/>
  <c r="H43"/>
  <c r="M43"/>
  <c r="O43"/>
  <c r="H16"/>
  <c r="G20"/>
  <c r="G14" i="7"/>
  <c r="H16"/>
  <c r="Q17"/>
  <c r="R17"/>
  <c r="Q21"/>
  <c r="R21"/>
  <c r="Q25"/>
  <c r="R25"/>
  <c r="L14"/>
  <c r="K14"/>
  <c r="Q20"/>
  <c r="R20"/>
  <c r="Q24"/>
  <c r="R24"/>
  <c r="Q29"/>
  <c r="R29"/>
  <c r="Q33"/>
  <c r="R33"/>
  <c r="Q37"/>
  <c r="R37"/>
  <c r="Q41"/>
  <c r="R41"/>
  <c r="Q45"/>
  <c r="R45"/>
  <c r="Q49"/>
  <c r="R49"/>
  <c r="Q53"/>
  <c r="R53"/>
  <c r="Q57"/>
  <c r="R57"/>
  <c r="Q30"/>
  <c r="R30"/>
  <c r="Q34"/>
  <c r="R34"/>
  <c r="Q38"/>
  <c r="R38"/>
  <c r="Q42"/>
  <c r="R42"/>
  <c r="Q46"/>
  <c r="R46"/>
  <c r="Q50"/>
  <c r="R50"/>
  <c r="Q54"/>
  <c r="R54"/>
  <c r="J20"/>
  <c r="M20"/>
  <c r="J24"/>
  <c r="M24"/>
  <c r="M19"/>
  <c r="M23"/>
  <c r="J27"/>
  <c r="M27"/>
  <c r="Q19"/>
  <c r="R19"/>
  <c r="Q23"/>
  <c r="R23"/>
  <c r="P14"/>
  <c r="O14"/>
  <c r="Q18"/>
  <c r="R18"/>
  <c r="Q22"/>
  <c r="R22"/>
  <c r="Q26"/>
  <c r="R26"/>
  <c r="J30"/>
  <c r="M30"/>
  <c r="J34"/>
  <c r="M34"/>
  <c r="J38"/>
  <c r="M38"/>
  <c r="J42"/>
  <c r="M42"/>
  <c r="J46"/>
  <c r="M46"/>
  <c r="J50"/>
  <c r="M50"/>
  <c r="J54"/>
  <c r="M54"/>
  <c r="J29"/>
  <c r="M29"/>
  <c r="J33"/>
  <c r="M33"/>
  <c r="J37"/>
  <c r="M37"/>
  <c r="J41"/>
  <c r="M41"/>
  <c r="J45"/>
  <c r="M45"/>
  <c r="J49"/>
  <c r="M49"/>
  <c r="J53"/>
  <c r="M53"/>
  <c r="J57"/>
  <c r="M57"/>
  <c r="Q31"/>
  <c r="R31"/>
  <c r="Q35"/>
  <c r="R35"/>
  <c r="Q39"/>
  <c r="R39"/>
  <c r="Q43"/>
  <c r="R43"/>
  <c r="Q47"/>
  <c r="R47"/>
  <c r="Q51"/>
  <c r="R51"/>
  <c r="Q55"/>
  <c r="R55"/>
  <c r="Q28"/>
  <c r="R28"/>
  <c r="Q32"/>
  <c r="R32"/>
  <c r="Q36"/>
  <c r="R36"/>
  <c r="Q40"/>
  <c r="R40"/>
  <c r="Q44"/>
  <c r="R44"/>
  <c r="Q48"/>
  <c r="R48"/>
  <c r="Q52"/>
  <c r="R52"/>
  <c r="Q56"/>
  <c r="R56"/>
  <c r="H14"/>
  <c r="N16"/>
  <c r="J16"/>
  <c r="H80" i="1"/>
  <c r="G98"/>
  <c r="N14" i="7"/>
  <c r="Q16"/>
  <c r="J14"/>
  <c r="M16"/>
  <c r="M14"/>
  <c r="R16"/>
  <c r="Q14"/>
  <c r="R14"/>
  <c r="M14" i="10"/>
  <c r="M21"/>
  <c r="M37"/>
  <c r="K68"/>
  <c r="O85" i="1"/>
  <c r="O96"/>
  <c r="K20"/>
  <c r="M62"/>
  <c r="M16"/>
  <c r="M25"/>
  <c r="O45"/>
  <c r="M85"/>
  <c r="K26"/>
  <c r="O26"/>
  <c r="M65"/>
  <c r="H28" i="9"/>
  <c r="J15"/>
  <c r="M68" i="10"/>
  <c r="K84"/>
  <c r="J28" i="9"/>
  <c r="N15"/>
  <c r="N28"/>
  <c r="K89" i="10"/>
  <c r="M84"/>
  <c r="M96" i="1"/>
  <c r="K68"/>
  <c r="O68"/>
  <c r="M68"/>
  <c r="O25"/>
  <c r="O38"/>
  <c r="M38"/>
  <c r="K38"/>
  <c r="M67"/>
  <c r="K67"/>
  <c r="O67"/>
  <c r="K61"/>
  <c r="M15" i="10"/>
  <c r="K18"/>
  <c r="M18"/>
  <c r="M38"/>
  <c r="K42"/>
  <c r="M42"/>
  <c r="M45"/>
  <c r="K65"/>
  <c r="M22"/>
  <c r="K34"/>
  <c r="M34"/>
  <c r="K80" i="1"/>
  <c r="K98"/>
  <c r="O61"/>
  <c r="O80"/>
  <c r="M65" i="10"/>
  <c r="M91"/>
  <c r="K91"/>
  <c r="M80" i="1"/>
  <c r="O98"/>
  <c r="M98"/>
</calcChain>
</file>

<file path=xl/sharedStrings.xml><?xml version="1.0" encoding="utf-8"?>
<sst xmlns="http://schemas.openxmlformats.org/spreadsheetml/2006/main" count="415" uniqueCount="307">
  <si>
    <t xml:space="preserve">Puget Sound Energy </t>
  </si>
  <si>
    <t>Public Counsel Recommended Depreciation and Cost of Removal Rates and Accruals</t>
  </si>
  <si>
    <t>Based on December 31, 2006 Plant Balances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</si>
  <si>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</si>
  <si>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</si>
  <si>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</si>
  <si>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</si>
  <si>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</si>
  <si>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</si>
  <si>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</si>
  <si>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</si>
  <si>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</si>
  <si>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</si>
  <si>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</si>
  <si>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Plant Investment</t>
  </si>
  <si>
    <t>Plant Only w/o Cost of Removal</t>
  </si>
  <si>
    <t>Cost of Removal</t>
  </si>
  <si>
    <t>Total Accruals</t>
  </si>
  <si>
    <t>Dec. 31, 2006</t>
  </si>
  <si>
    <t xml:space="preserve">Depreciation </t>
  </si>
  <si>
    <t>Remining to</t>
  </si>
  <si>
    <t>Remaining</t>
  </si>
  <si>
    <t xml:space="preserve">Annual </t>
  </si>
  <si>
    <t>Acrual</t>
  </si>
  <si>
    <t>Public Counsel</t>
  </si>
  <si>
    <t>PSE</t>
  </si>
  <si>
    <t>Reserve</t>
  </si>
  <si>
    <t>Recovered</t>
  </si>
  <si>
    <t>Life</t>
  </si>
  <si>
    <t>Accrual</t>
  </si>
  <si>
    <t>Rate</t>
  </si>
  <si>
    <t>Recommended</t>
  </si>
  <si>
    <t>Present</t>
  </si>
  <si>
    <t>Proposed</t>
  </si>
  <si>
    <t>A-B</t>
  </si>
  <si>
    <t>A/D</t>
  </si>
  <si>
    <t>E/A</t>
  </si>
  <si>
    <t>Sch. 5</t>
  </si>
  <si>
    <t>A*G</t>
  </si>
  <si>
    <t>E+H</t>
  </si>
  <si>
    <t xml:space="preserve">DISTRIBUTION PLANT </t>
  </si>
  <si>
    <t xml:space="preserve">    TOTAL DISTRIBUTION PLANT </t>
  </si>
  <si>
    <t xml:space="preserve">GENERAL PLANT </t>
  </si>
  <si>
    <t xml:space="preserve">OFFICE FURNITURE &amp; EQUIPMENT   </t>
  </si>
  <si>
    <t xml:space="preserve">TRANSPORTATION EQUIPMENT       </t>
  </si>
  <si>
    <t xml:space="preserve">STORES EQUIPMENT               </t>
  </si>
  <si>
    <t xml:space="preserve">LABORATORY EQUIPMENT           </t>
  </si>
  <si>
    <t xml:space="preserve">POWER OPERATED EQUIPMENT       </t>
  </si>
  <si>
    <t xml:space="preserve">COMMUNICATION EQUIPMENT        </t>
  </si>
  <si>
    <t xml:space="preserve">MISCELLANEOUS EQUIPMENT        </t>
  </si>
  <si>
    <t xml:space="preserve">    TOTAL GENERAL PLANT </t>
  </si>
  <si>
    <t>Puget Sound Energy</t>
  </si>
  <si>
    <t xml:space="preserve">Net </t>
  </si>
  <si>
    <t>Removal Cost</t>
  </si>
  <si>
    <t>Annual</t>
  </si>
  <si>
    <t>Comparison of PSE Proposed Accruals for Cost of Removal with</t>
  </si>
  <si>
    <t>Actual Average Experience For the Years 2002-2006</t>
  </si>
  <si>
    <t xml:space="preserve">A </t>
  </si>
  <si>
    <t xml:space="preserve">C </t>
  </si>
  <si>
    <t>Original</t>
  </si>
  <si>
    <t>Removal</t>
  </si>
  <si>
    <t>5-Yr. Avg.</t>
  </si>
  <si>
    <t>Account</t>
  </si>
  <si>
    <t>Cost</t>
  </si>
  <si>
    <t xml:space="preserve">to be </t>
  </si>
  <si>
    <t xml:space="preserve">Salvage </t>
  </si>
  <si>
    <t>Cost to Be</t>
  </si>
  <si>
    <t>Net Removal</t>
  </si>
  <si>
    <t>No.</t>
  </si>
  <si>
    <t xml:space="preserve"> Description  </t>
  </si>
  <si>
    <t xml:space="preserve">    12/31/06   </t>
  </si>
  <si>
    <t>Ratio</t>
  </si>
  <si>
    <t>Cost Accrual</t>
  </si>
  <si>
    <t>Expense</t>
  </si>
  <si>
    <t>Difference</t>
  </si>
  <si>
    <t>Gas Plant</t>
  </si>
  <si>
    <t xml:space="preserve">GAS PLANT </t>
  </si>
  <si>
    <t xml:space="preserve">MANUFACTURED GAS PRODUCTION PLANT </t>
  </si>
  <si>
    <t xml:space="preserve">STRUCTURES AND IMPROVEMENTS      </t>
  </si>
  <si>
    <t>LIQUEFIED PETROLEUM GAS EQUIPMENT</t>
  </si>
  <si>
    <t xml:space="preserve">OTHER EQUIPMENT                  </t>
  </si>
  <si>
    <t xml:space="preserve">    TOTAL MANUFACTURED GAS PRODUCTION PLANT </t>
  </si>
  <si>
    <t>UNDERGROUND STORAGE PLANT</t>
  </si>
  <si>
    <t xml:space="preserve">STRUCTURES AND IMPROVEMENTS - WELLS        </t>
  </si>
  <si>
    <t>STRUCTURES AND IMPROVEMENTS - COMPRESSOR ST</t>
  </si>
  <si>
    <t>STRUCTURES AND IMPROVEMENTS - M &amp; R STATION</t>
  </si>
  <si>
    <t xml:space="preserve">STRUCTURES AND IMPROVEMENTS - OTHER        </t>
  </si>
  <si>
    <t xml:space="preserve">WELLS                                      </t>
  </si>
  <si>
    <t xml:space="preserve">RESERVOIRS                                 </t>
  </si>
  <si>
    <t xml:space="preserve">NON-RECOVERABLE NATURAL GAS                </t>
  </si>
  <si>
    <t xml:space="preserve">LINES                                      </t>
  </si>
  <si>
    <t xml:space="preserve">COMPRESSOR STATION EQUIPMENT               </t>
  </si>
  <si>
    <t xml:space="preserve">MEASURING AND REGULATING EQUIPMENT         </t>
  </si>
  <si>
    <t xml:space="preserve">PURIFICATION EQUIPMENT                     </t>
  </si>
  <si>
    <t xml:space="preserve">OTHER EQUIPMENT                            </t>
  </si>
  <si>
    <t>TOTAL UNDERGROUND STORAGE PLANT</t>
  </si>
  <si>
    <t>LIQUEFIED NATURAL GAS PLANT</t>
  </si>
  <si>
    <t xml:space="preserve">STRUCTURES AND IMPROVEMENTS </t>
  </si>
  <si>
    <t xml:space="preserve">GAS HOLDERS                 </t>
  </si>
  <si>
    <t xml:space="preserve">PURIFICATION EQUIPMENT  </t>
  </si>
  <si>
    <t>TRANSPORTATION EQUIPMENT</t>
  </si>
  <si>
    <t xml:space="preserve">TOTAL LIQUEFIED NATURAL GAS PLANT </t>
  </si>
  <si>
    <t xml:space="preserve">EASEMENTS                                 </t>
  </si>
  <si>
    <t xml:space="preserve">STRUCTURES AND IMPROVEMENTS               </t>
  </si>
  <si>
    <t xml:space="preserve">MAINS - CAST IRON                         </t>
  </si>
  <si>
    <t xml:space="preserve">MAINS - PLASTIC                           </t>
  </si>
  <si>
    <t xml:space="preserve">MAINS - STEEL                             </t>
  </si>
  <si>
    <t xml:space="preserve">MAINS - STEEL WRAP                        </t>
  </si>
  <si>
    <t xml:space="preserve">MEASURING &amp; REGULATING STATION EQUIPMENT  </t>
  </si>
  <si>
    <t xml:space="preserve">SERVICES                                  </t>
  </si>
  <si>
    <t xml:space="preserve">SERVICES - BARE STEEL                       </t>
  </si>
  <si>
    <t xml:space="preserve">METERS                                    </t>
  </si>
  <si>
    <t xml:space="preserve">METER INSTALLATIONS                       </t>
  </si>
  <si>
    <t xml:space="preserve">HOUSE REGULATORS                          </t>
  </si>
  <si>
    <t xml:space="preserve">HOUSE REGULATOR INSTALLATIONS             </t>
  </si>
  <si>
    <t>INDUSTRIAL MEASURING &amp; REGULATING STATION EQUIP.</t>
  </si>
  <si>
    <t xml:space="preserve">COMMERCIAL WATER HEATERS                  </t>
  </si>
  <si>
    <t xml:space="preserve">RESIDENTIAL WATER HEATERS                 </t>
  </si>
  <si>
    <t xml:space="preserve">RESIDENTIAL CONVERSION BURNERS                  </t>
  </si>
  <si>
    <t xml:space="preserve">COMMERCIAL CONVERSION BURNERS                    </t>
  </si>
  <si>
    <t xml:space="preserve">OTHER EQUIPMENT                           </t>
  </si>
  <si>
    <t xml:space="preserve">STRUCTURES AND IMPROVEMENTS    </t>
  </si>
  <si>
    <t>OFFICE FURNITURE &amp; EQUIPMENT - COMPUTERS</t>
  </si>
  <si>
    <t>TOOLS, SHOP AND GARAGE EQUIPMENT</t>
  </si>
  <si>
    <t xml:space="preserve">    TOTAL GAS PLANT </t>
  </si>
  <si>
    <t>*  LIFE SPAN PROCEDURE IS USED.  CURVE SHOWN IS INTERIM SURVIVOR CURVE</t>
  </si>
  <si>
    <t>** ANNUAL ACCRUAL RATES CALCULATED BASED ON AMORTIZATION PERIOD AND NET SALVAGE PERCENT IN COLUMN 2 &amp; 3</t>
  </si>
  <si>
    <t xml:space="preserve">             -</t>
  </si>
  <si>
    <t xml:space="preserve"> </t>
  </si>
  <si>
    <t>Mass Property Gas Plant</t>
  </si>
  <si>
    <t>MAINS</t>
  </si>
  <si>
    <t>WATER HEATERS</t>
  </si>
  <si>
    <t>SERVICES</t>
  </si>
  <si>
    <t>Average</t>
  </si>
  <si>
    <t>Cost Rate</t>
  </si>
  <si>
    <t>Discounted</t>
  </si>
  <si>
    <t>Depreciation</t>
  </si>
  <si>
    <t>Increment</t>
  </si>
  <si>
    <t>of Removal</t>
  </si>
  <si>
    <t>Company:</t>
  </si>
  <si>
    <t>Account:</t>
  </si>
  <si>
    <t>380 SERVICES</t>
  </si>
  <si>
    <t>Avg Life:</t>
  </si>
  <si>
    <t>COR:</t>
  </si>
  <si>
    <t>Cost Money</t>
  </si>
  <si>
    <t>Present Value  Removal Cost Treatment by Vintage Using PSE Proposed Net Salvage</t>
  </si>
  <si>
    <t>Current</t>
  </si>
  <si>
    <t>Total</t>
  </si>
  <si>
    <t>Theoretical</t>
  </si>
  <si>
    <t>Accretion</t>
  </si>
  <si>
    <t>Estimated Future</t>
  </si>
  <si>
    <t>12/31/06</t>
  </si>
  <si>
    <t>and</t>
  </si>
  <si>
    <t>Service</t>
  </si>
  <si>
    <t>of Discounted</t>
  </si>
  <si>
    <t>Factor at</t>
  </si>
  <si>
    <t>Year</t>
  </si>
  <si>
    <t>Age</t>
  </si>
  <si>
    <t>%</t>
  </si>
  <si>
    <t>Amount</t>
  </si>
  <si>
    <t>a</t>
  </si>
  <si>
    <t>b</t>
  </si>
  <si>
    <t>c</t>
  </si>
  <si>
    <t>d</t>
  </si>
  <si>
    <t>e = c * -d</t>
  </si>
  <si>
    <t>f</t>
  </si>
  <si>
    <t>g = e / (1.08365^f)</t>
  </si>
  <si>
    <t>h = g/f</t>
  </si>
  <si>
    <t>i = f - b</t>
  </si>
  <si>
    <t>j = b * h</t>
  </si>
  <si>
    <t>k = (pvi - pvf)</t>
  </si>
  <si>
    <t>l = e * k</t>
  </si>
  <si>
    <t>m = j + l</t>
  </si>
  <si>
    <t>n = h</t>
  </si>
  <si>
    <t>m = (pvi-1 - pvi)</t>
  </si>
  <si>
    <t>p = e * o</t>
  </si>
  <si>
    <t>q = n + p</t>
  </si>
  <si>
    <t>r = q/c</t>
  </si>
  <si>
    <t>TRANSMISSION PLANT</t>
  </si>
  <si>
    <t>STRUCTURES &amp; IMPROVEMENTS</t>
  </si>
  <si>
    <t>MEASURING &amp; REGULATING EQUIPMENT</t>
  </si>
  <si>
    <t>Total Transmission Plant</t>
  </si>
  <si>
    <t>L</t>
  </si>
  <si>
    <t>INCREASE</t>
  </si>
  <si>
    <t>ACCOUNT</t>
  </si>
  <si>
    <t>DEPRECIATION</t>
  </si>
  <si>
    <t>NUMBER</t>
  </si>
  <si>
    <t>DESCRIPTION</t>
  </si>
  <si>
    <t>EXPENSE AMOUNT</t>
  </si>
  <si>
    <t>RATE</t>
  </si>
  <si>
    <t>(e) - (a)</t>
  </si>
  <si>
    <t>GAS PLANT</t>
  </si>
  <si>
    <t>MANUFACTURED GAS PRODUCTION PLANT</t>
  </si>
  <si>
    <t>G305</t>
  </si>
  <si>
    <t>STRUCTURES AND IMPROVEMENTS</t>
  </si>
  <si>
    <t>G311</t>
  </si>
  <si>
    <t>LIQUIFIED PETROLEUM GAS EQUIPMENT</t>
  </si>
  <si>
    <t>G320</t>
  </si>
  <si>
    <t>OTHER EQUIPMENT</t>
  </si>
  <si>
    <t>TOTAL MANUFACTURED GAS PRODUCTION PLANT</t>
  </si>
  <si>
    <t>UNDERGROUND STORAGE</t>
  </si>
  <si>
    <t>G351.1</t>
  </si>
  <si>
    <t>WELL STRUCTURES</t>
  </si>
  <si>
    <t>G351.2</t>
  </si>
  <si>
    <t>COMPRESSOR STATION STRUCTURES</t>
  </si>
  <si>
    <t>G351.3</t>
  </si>
  <si>
    <t>MEAS &amp; REG STATION STRUCTURES</t>
  </si>
  <si>
    <t>G351.4</t>
  </si>
  <si>
    <t>OTHER STRUCTURES</t>
  </si>
  <si>
    <t>G352.1</t>
  </si>
  <si>
    <t>WELLS</t>
  </si>
  <si>
    <t>G352.2</t>
  </si>
  <si>
    <t>RESERVOIRS</t>
  </si>
  <si>
    <t>G352.3</t>
  </si>
  <si>
    <t>NON-RECOVERABLE CUSHION GAS</t>
  </si>
  <si>
    <t>G353</t>
  </si>
  <si>
    <t>LINES</t>
  </si>
  <si>
    <t>G354</t>
  </si>
  <si>
    <t>COMPRESSOR STATION EQUIPMENT</t>
  </si>
  <si>
    <t>G355</t>
  </si>
  <si>
    <t>G356</t>
  </si>
  <si>
    <t>PURIFICATION EQUIPMENT</t>
  </si>
  <si>
    <t>G357</t>
  </si>
  <si>
    <t>G361</t>
  </si>
  <si>
    <t>G362</t>
  </si>
  <si>
    <t>GAS HOLDERS</t>
  </si>
  <si>
    <t>G363</t>
  </si>
  <si>
    <t>G364</t>
  </si>
  <si>
    <t>TOTAL LIQUEFIED NATURAL GAS PLANT</t>
  </si>
  <si>
    <t>DISTRIBUTION PLANT</t>
  </si>
  <si>
    <t>G373</t>
  </si>
  <si>
    <t>EASEMENTS</t>
  </si>
  <si>
    <t>G375</t>
  </si>
  <si>
    <t>G376.1</t>
  </si>
  <si>
    <t>CAST-IRON</t>
  </si>
  <si>
    <t>G376.2</t>
  </si>
  <si>
    <t>PLASTIC</t>
  </si>
  <si>
    <t>G376.3</t>
  </si>
  <si>
    <t>BARE STEEL</t>
  </si>
  <si>
    <t>G376.4</t>
  </si>
  <si>
    <t>WRAPPED STEEL</t>
  </si>
  <si>
    <t>G378</t>
  </si>
  <si>
    <t>G380</t>
  </si>
  <si>
    <t>G380.1</t>
  </si>
  <si>
    <t>SERVICES - BARE STEEL</t>
  </si>
  <si>
    <t>G381</t>
  </si>
  <si>
    <t>METERS</t>
  </si>
  <si>
    <t>G382</t>
  </si>
  <si>
    <t>METER INSTALLATIONS</t>
  </si>
  <si>
    <t>G383</t>
  </si>
  <si>
    <t>HOUSE REGULATORS</t>
  </si>
  <si>
    <t>G384</t>
  </si>
  <si>
    <t>HOUSE REGULATOR INSTALLATIONS</t>
  </si>
  <si>
    <t>G385</t>
  </si>
  <si>
    <t>INDUSTRIAL MEAS. &amp; REG. STA. EQUIP.</t>
  </si>
  <si>
    <t>G386.1</t>
  </si>
  <si>
    <t>COMMERCIAL WATER HEATERS</t>
  </si>
  <si>
    <t>G386.2</t>
  </si>
  <si>
    <t>RESIDENTIAL WATER HEATERS</t>
  </si>
  <si>
    <t>G386.3</t>
  </si>
  <si>
    <t>RESIDENTIAL CONVERSION BURNERS</t>
  </si>
  <si>
    <t>G386.5</t>
  </si>
  <si>
    <t>COMMERCIAL CONVERSION BURNERS</t>
  </si>
  <si>
    <t>G387</t>
  </si>
  <si>
    <t>TOTAL DISTRIBUTION PLANT</t>
  </si>
  <si>
    <t>GENERAL PLANT</t>
  </si>
  <si>
    <t>G390</t>
  </si>
  <si>
    <t>G391.1</t>
  </si>
  <si>
    <t>OFFICE FURNITURE &amp; EQUIPMENT &lt;$20K</t>
  </si>
  <si>
    <t>DATA EQUIPMENT &lt;$20K</t>
  </si>
  <si>
    <t>G391.2</t>
  </si>
  <si>
    <t>COMPUTERS &gt; $20K</t>
  </si>
  <si>
    <t>COMPUTERS &lt; $20K</t>
  </si>
  <si>
    <t>G392 *</t>
  </si>
  <si>
    <t>G393</t>
  </si>
  <si>
    <t>STORES EQUIPMENT &lt;$20K</t>
  </si>
  <si>
    <t>G394</t>
  </si>
  <si>
    <t>TOOLS, SHOP &amp;  GARAGE EQUIP. &gt; $20K</t>
  </si>
  <si>
    <t>TOOLS, SHOP EQUIPMENT &lt;$20K</t>
  </si>
  <si>
    <t>TOOLS, SHOP EQUIPMENT &lt;$20K from G387</t>
  </si>
  <si>
    <t>TOOLS, SHOP EQUIPMENT - 5 YEAR TOOLS</t>
  </si>
  <si>
    <t>G395</t>
  </si>
  <si>
    <t>LABORATORY EQUIPMENT &lt; $20K</t>
  </si>
  <si>
    <t>G396 **</t>
  </si>
  <si>
    <t>POWER OPERATED EQUIPMENT</t>
  </si>
  <si>
    <t>G397</t>
  </si>
  <si>
    <t>COMMUNICATIONS EQUIPMENT - NON MOBILE</t>
  </si>
  <si>
    <t>COMMUNICATIONS EQUIPMENT - MOBILE</t>
  </si>
  <si>
    <t>G398</t>
  </si>
  <si>
    <t>MISCELLANEOUS EQUIPMENT &lt; $20K</t>
  </si>
  <si>
    <t>Subtotal</t>
  </si>
  <si>
    <t>Remove CC300 depreciation not booked to 403 - to be adjusted separately</t>
  </si>
  <si>
    <t>TOTAL GENERAL PLANT</t>
  </si>
  <si>
    <t>TOTAL GAS PLANT IN SERVICE</t>
  </si>
  <si>
    <t xml:space="preserve">ORIGINAL </t>
  </si>
  <si>
    <t>INVESTMENT</t>
  </si>
  <si>
    <t>PSE PROPOSED</t>
  </si>
  <si>
    <t>PC RECOMMENDED</t>
  </si>
  <si>
    <t>DIFFERENCE</t>
  </si>
  <si>
    <t>PUGET SOUND ENERGY COMPANY</t>
  </si>
  <si>
    <t>TEST YEAR DEPRECIATION RATES AND ACCRUALS</t>
  </si>
  <si>
    <t>FEA 2.33</t>
  </si>
  <si>
    <t>FEA 2.34</t>
  </si>
  <si>
    <t>Exhibit No.__(CWK-5) Schedule 1</t>
  </si>
  <si>
    <t>Exhibit No.__(CWK-5) Schedule 2</t>
  </si>
  <si>
    <t>Exhibit No.___(CWK-5) Schedule 3</t>
  </si>
  <si>
    <t>Exhibit No.___(CWK-5)  Schedule 4</t>
  </si>
</sst>
</file>

<file path=xl/styles.xml><?xml version="1.0" encoding="utf-8"?>
<styleSheet xmlns="http://schemas.openxmlformats.org/spreadsheetml/2006/main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00%"/>
    <numFmt numFmtId="168" formatCode="_(* #,##0.00000_);_(* \(#,##0.00000\);_(* &quot;-&quot;??_);_(@_)"/>
    <numFmt numFmtId="169" formatCode="0.0000000"/>
    <numFmt numFmtId="170" formatCode="0.000000"/>
    <numFmt numFmtId="171" formatCode="0_);\(0\)"/>
    <numFmt numFmtId="172" formatCode="#,##0.0"/>
    <numFmt numFmtId="173" formatCode="#,##0.0_);\(#,##0.0\)"/>
    <numFmt numFmtId="174" formatCode="#,##0.00000_);\(#,##0.00000\)"/>
    <numFmt numFmtId="175" formatCode="_(* #,##0.0_);_(* \(#,##0.0\);_(* &quot;-&quot;_);_(@_)"/>
    <numFmt numFmtId="176" formatCode="_(* ###0_);_(* \(###0\);_(* &quot;-&quot;_);_(@_)"/>
    <numFmt numFmtId="177" formatCode="d\.mmm\.yy"/>
    <numFmt numFmtId="178" formatCode="0.0"/>
  </numFmts>
  <fonts count="36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</font>
    <font>
      <sz val="9"/>
      <name val="Arial"/>
      <family val="2"/>
    </font>
    <font>
      <u/>
      <sz val="10"/>
      <name val="Arial"/>
    </font>
    <font>
      <b/>
      <sz val="10"/>
      <name val="Arial"/>
    </font>
    <font>
      <b/>
      <sz val="14"/>
      <name val="Arial"/>
      <family val="2"/>
    </font>
    <font>
      <sz val="12"/>
      <name val="Arial"/>
      <family val="2"/>
    </font>
    <font>
      <u/>
      <sz val="12"/>
      <name val="Arial"/>
    </font>
    <font>
      <sz val="10"/>
      <name val="Arial"/>
    </font>
    <font>
      <b/>
      <sz val="12"/>
      <name val="Arial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8"/>
      <name val="MS Sans Serif"/>
    </font>
    <font>
      <sz val="12"/>
      <color indexed="24"/>
      <name val="Arial"/>
    </font>
    <font>
      <sz val="10"/>
      <name val="Helv"/>
    </font>
    <font>
      <sz val="10"/>
      <name val="MS Serif"/>
    </font>
    <font>
      <sz val="10"/>
      <name val="Courier"/>
    </font>
    <font>
      <b/>
      <sz val="8"/>
      <name val="Arial"/>
    </font>
    <font>
      <sz val="10"/>
      <color indexed="12"/>
      <name val="Arial"/>
      <family val="2"/>
    </font>
    <font>
      <sz val="8"/>
      <name val="Arial"/>
      <family val="2"/>
    </font>
    <font>
      <sz val="7"/>
      <name val="Small Fonts"/>
    </font>
    <font>
      <sz val="10"/>
      <name val="MS Sans Serif"/>
    </font>
    <font>
      <b/>
      <sz val="10"/>
      <name val="MS Sans Serif"/>
    </font>
    <font>
      <sz val="8"/>
      <name val="Helv"/>
    </font>
    <font>
      <b/>
      <sz val="8"/>
      <color indexed="8"/>
      <name val="Helv"/>
    </font>
    <font>
      <b/>
      <sz val="14"/>
      <color indexed="5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4">
    <xf numFmtId="0" fontId="0" fillId="0" borderId="0"/>
    <xf numFmtId="170" fontId="1" fillId="0" borderId="0">
      <alignment horizontal="left" wrapText="1"/>
    </xf>
    <xf numFmtId="168" fontId="1" fillId="0" borderId="0">
      <alignment horizontal="left" wrapText="1"/>
    </xf>
    <xf numFmtId="169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70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68" fontId="1" fillId="0" borderId="0">
      <alignment horizontal="left" wrapText="1"/>
    </xf>
    <xf numFmtId="170" fontId="1" fillId="0" borderId="0">
      <alignment horizontal="left" wrapText="1"/>
    </xf>
    <xf numFmtId="168" fontId="1" fillId="0" borderId="0">
      <alignment horizontal="left" wrapText="1"/>
    </xf>
    <xf numFmtId="170" fontId="1" fillId="0" borderId="0">
      <alignment horizontal="left" wrapText="1"/>
    </xf>
    <xf numFmtId="170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68" fontId="1" fillId="0" borderId="0">
      <alignment horizontal="left" wrapText="1"/>
    </xf>
    <xf numFmtId="177" fontId="22" fillId="0" borderId="0" applyFill="0" applyBorder="0" applyAlignment="0"/>
    <xf numFmtId="41" fontId="1" fillId="2" borderId="0"/>
    <xf numFmtId="43" fontId="1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4" fillId="0" borderId="0"/>
    <xf numFmtId="0" fontId="25" fillId="0" borderId="0" applyNumberFormat="0" applyAlignment="0">
      <alignment horizontal="left"/>
    </xf>
    <xf numFmtId="0" fontId="26" fillId="0" borderId="0" applyNumberFormat="0" applyAlignment="0"/>
    <xf numFmtId="0" fontId="24" fillId="0" borderId="0"/>
    <xf numFmtId="0" fontId="24" fillId="0" borderId="0"/>
    <xf numFmtId="176" fontId="1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1" fillId="0" borderId="0"/>
    <xf numFmtId="2" fontId="23" fillId="0" borderId="0" applyFont="0" applyFill="0" applyBorder="0" applyAlignment="0" applyProtection="0"/>
    <xf numFmtId="0" fontId="24" fillId="0" borderId="0"/>
    <xf numFmtId="38" fontId="3" fillId="3" borderId="0" applyNumberFormat="0" applyBorder="0" applyAlignment="0" applyProtection="0"/>
    <xf numFmtId="0" fontId="18" fillId="0" borderId="1" applyNumberFormat="0" applyAlignment="0" applyProtection="0">
      <alignment horizontal="left"/>
    </xf>
    <xf numFmtId="0" fontId="18" fillId="0" borderId="2">
      <alignment horizontal="left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8" fontId="27" fillId="0" borderId="0"/>
    <xf numFmtId="40" fontId="27" fillId="0" borderId="0"/>
    <xf numFmtId="10" fontId="3" fillId="2" borderId="3" applyNumberFormat="0" applyBorder="0" applyAlignment="0" applyProtection="0"/>
    <xf numFmtId="41" fontId="28" fillId="4" borderId="4">
      <alignment horizontal="left"/>
      <protection locked="0"/>
    </xf>
    <xf numFmtId="0" fontId="29" fillId="3" borderId="0"/>
    <xf numFmtId="44" fontId="13" fillId="0" borderId="5" applyNumberFormat="0" applyFont="0" applyAlignment="0">
      <alignment horizontal="center"/>
    </xf>
    <xf numFmtId="44" fontId="13" fillId="0" borderId="6" applyNumberFormat="0" applyFont="0" applyAlignment="0">
      <alignment horizontal="center"/>
    </xf>
    <xf numFmtId="37" fontId="30" fillId="0" borderId="0"/>
    <xf numFmtId="0" fontId="1" fillId="0" borderId="0"/>
    <xf numFmtId="37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4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7">
      <alignment horizontal="center"/>
    </xf>
    <xf numFmtId="3" fontId="31" fillId="0" borderId="0" applyFont="0" applyFill="0" applyBorder="0" applyAlignment="0" applyProtection="0"/>
    <xf numFmtId="0" fontId="31" fillId="5" borderId="0" applyNumberFormat="0" applyFont="0" applyBorder="0" applyAlignment="0" applyProtection="0"/>
    <xf numFmtId="14" fontId="33" fillId="0" borderId="0" applyNumberFormat="0" applyFill="0" applyBorder="0" applyAlignment="0" applyProtection="0">
      <alignment horizontal="left"/>
    </xf>
    <xf numFmtId="175" fontId="1" fillId="0" borderId="0" applyFont="0" applyFill="0" applyAlignment="0">
      <alignment horizontal="right"/>
    </xf>
    <xf numFmtId="39" fontId="1" fillId="6" borderId="0"/>
    <xf numFmtId="38" fontId="3" fillId="0" borderId="8"/>
    <xf numFmtId="38" fontId="27" fillId="0" borderId="9"/>
    <xf numFmtId="39" fontId="33" fillId="7" borderId="0"/>
    <xf numFmtId="170" fontId="1" fillId="0" borderId="0">
      <alignment horizontal="left" wrapText="1"/>
    </xf>
    <xf numFmtId="40" fontId="34" fillId="0" borderId="0" applyBorder="0">
      <alignment horizontal="right"/>
    </xf>
    <xf numFmtId="0" fontId="19" fillId="2" borderId="0">
      <alignment horizontal="left" wrapText="1"/>
    </xf>
    <xf numFmtId="0" fontId="35" fillId="0" borderId="0">
      <alignment horizontal="left" vertical="center"/>
    </xf>
    <xf numFmtId="0" fontId="23" fillId="0" borderId="10" applyNumberFormat="0" applyFont="0" applyFill="0" applyAlignment="0" applyProtection="0"/>
  </cellStyleXfs>
  <cellXfs count="276">
    <xf numFmtId="0" fontId="0" fillId="0" borderId="0" xfId="0"/>
    <xf numFmtId="0" fontId="0" fillId="0" borderId="0" xfId="0" applyAlignment="1">
      <alignment horizontal="center"/>
    </xf>
    <xf numFmtId="2" fontId="5" fillId="8" borderId="0" xfId="0" applyNumberFormat="1" applyFont="1" applyFill="1" applyAlignment="1">
      <alignment horizontal="left"/>
    </xf>
    <xf numFmtId="0" fontId="6" fillId="0" borderId="0" xfId="0" applyNumberFormat="1" applyFont="1"/>
    <xf numFmtId="0" fontId="8" fillId="0" borderId="0" xfId="0" applyFont="1" applyAlignment="1">
      <alignment horizontal="center"/>
    </xf>
    <xf numFmtId="2" fontId="6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NumberFormat="1" applyFont="1"/>
    <xf numFmtId="37" fontId="12" fillId="0" borderId="0" xfId="49" applyFont="1"/>
    <xf numFmtId="0" fontId="8" fillId="0" borderId="0" xfId="0" applyFont="1"/>
    <xf numFmtId="0" fontId="13" fillId="0" borderId="0" xfId="0" applyNumberFormat="1" applyFont="1" applyAlignment="1">
      <alignment horizontal="left"/>
    </xf>
    <xf numFmtId="0" fontId="1" fillId="0" borderId="0" xfId="0" applyFont="1" applyAlignment="1"/>
    <xf numFmtId="0" fontId="13" fillId="0" borderId="0" xfId="0" applyNumberFormat="1" applyFont="1" applyAlignment="1">
      <alignment horizontal="center"/>
    </xf>
    <xf numFmtId="0" fontId="13" fillId="0" borderId="11" xfId="0" applyNumberFormat="1" applyFont="1" applyBorder="1" applyAlignment="1">
      <alignment horizontal="center"/>
    </xf>
    <xf numFmtId="0" fontId="13" fillId="0" borderId="0" xfId="0" applyNumberFormat="1" applyFont="1" applyAlignment="1"/>
    <xf numFmtId="0" fontId="13" fillId="0" borderId="0" xfId="0" applyFont="1" applyAlignment="1"/>
    <xf numFmtId="0" fontId="2" fillId="0" borderId="0" xfId="53" applyNumberFormat="1" applyFont="1" applyAlignment="1"/>
    <xf numFmtId="0" fontId="2" fillId="0" borderId="0" xfId="50"/>
    <xf numFmtId="0" fontId="4" fillId="0" borderId="0" xfId="50" applyNumberFormat="1" applyFont="1" applyAlignment="1">
      <alignment horizontal="center"/>
    </xf>
    <xf numFmtId="0" fontId="4" fillId="0" borderId="0" xfId="50" applyNumberFormat="1" applyFont="1" applyBorder="1" applyAlignment="1">
      <alignment horizontal="center"/>
    </xf>
    <xf numFmtId="2" fontId="2" fillId="0" borderId="0" xfId="53" applyNumberFormat="1" applyFont="1" applyAlignment="1">
      <alignment horizontal="centerContinuous"/>
    </xf>
    <xf numFmtId="0" fontId="2" fillId="0" borderId="0" xfId="53" applyNumberFormat="1" applyFont="1" applyAlignment="1">
      <alignment horizontal="centerContinuous"/>
    </xf>
    <xf numFmtId="165" fontId="2" fillId="0" borderId="0" xfId="23" applyNumberFormat="1" applyFont="1" applyAlignment="1">
      <alignment horizontal="centerContinuous"/>
    </xf>
    <xf numFmtId="165" fontId="2" fillId="0" borderId="0" xfId="23" applyNumberFormat="1" applyFont="1" applyAlignment="1"/>
    <xf numFmtId="2" fontId="15" fillId="0" borderId="0" xfId="53" applyNumberFormat="1" applyFont="1" applyAlignment="1">
      <alignment horizontal="center" vertical="center"/>
    </xf>
    <xf numFmtId="0" fontId="15" fillId="0" borderId="0" xfId="53" applyNumberFormat="1" applyFont="1" applyAlignment="1">
      <alignment horizontal="center" vertical="center"/>
    </xf>
    <xf numFmtId="165" fontId="15" fillId="0" borderId="0" xfId="23" applyNumberFormat="1" applyFont="1" applyAlignment="1">
      <alignment horizontal="center" vertical="center"/>
    </xf>
    <xf numFmtId="165" fontId="15" fillId="0" borderId="0" xfId="23" applyNumberFormat="1" applyFont="1" applyAlignment="1">
      <alignment horizontal="center"/>
    </xf>
    <xf numFmtId="165" fontId="2" fillId="0" borderId="0" xfId="23" applyNumberFormat="1" applyFont="1" applyAlignment="1">
      <alignment horizontal="center"/>
    </xf>
    <xf numFmtId="165" fontId="15" fillId="0" borderId="0" xfId="23" applyNumberFormat="1" applyFont="1"/>
    <xf numFmtId="0" fontId="15" fillId="0" borderId="0" xfId="53" applyNumberFormat="1" applyFont="1" applyAlignment="1">
      <alignment horizontal="center"/>
    </xf>
    <xf numFmtId="0" fontId="15" fillId="0" borderId="0" xfId="50" applyFont="1" applyAlignment="1">
      <alignment horizontal="center"/>
    </xf>
    <xf numFmtId="2" fontId="2" fillId="0" borderId="0" xfId="53" applyNumberFormat="1" applyFont="1" applyAlignment="1">
      <alignment horizontal="center"/>
    </xf>
    <xf numFmtId="166" fontId="2" fillId="0" borderId="0" xfId="55" applyNumberFormat="1" applyFont="1" applyAlignment="1">
      <alignment horizontal="center"/>
    </xf>
    <xf numFmtId="9" fontId="2" fillId="0" borderId="0" xfId="50" applyNumberFormat="1" applyFont="1" applyAlignment="1">
      <alignment horizontal="center"/>
    </xf>
    <xf numFmtId="0" fontId="2" fillId="0" borderId="0" xfId="50" applyNumberFormat="1" applyFont="1" applyAlignment="1">
      <alignment horizontal="center"/>
    </xf>
    <xf numFmtId="0" fontId="2" fillId="0" borderId="0" xfId="50" applyNumberFormat="1" applyAlignment="1">
      <alignment horizontal="center"/>
    </xf>
    <xf numFmtId="2" fontId="16" fillId="0" borderId="0" xfId="53" applyNumberFormat="1" applyFont="1" applyAlignment="1">
      <alignment horizontal="center"/>
    </xf>
    <xf numFmtId="0" fontId="16" fillId="0" borderId="0" xfId="53" applyNumberFormat="1" applyFont="1" applyAlignment="1">
      <alignment horizontal="center"/>
    </xf>
    <xf numFmtId="165" fontId="16" fillId="0" borderId="0" xfId="23" quotePrefix="1" applyNumberFormat="1" applyFont="1" applyAlignment="1">
      <alignment horizontal="center"/>
    </xf>
    <xf numFmtId="166" fontId="16" fillId="0" borderId="0" xfId="55" applyNumberFormat="1" applyFont="1" applyAlignment="1">
      <alignment horizontal="center"/>
    </xf>
    <xf numFmtId="165" fontId="16" fillId="0" borderId="0" xfId="23" applyNumberFormat="1" applyFont="1" applyAlignment="1">
      <alignment horizontal="center"/>
    </xf>
    <xf numFmtId="9" fontId="16" fillId="0" borderId="0" xfId="50" applyNumberFormat="1" applyFont="1" applyAlignment="1">
      <alignment horizontal="center"/>
    </xf>
    <xf numFmtId="0" fontId="16" fillId="0" borderId="0" xfId="50" applyFont="1" applyAlignment="1">
      <alignment horizontal="center"/>
    </xf>
    <xf numFmtId="0" fontId="16" fillId="0" borderId="0" xfId="53" applyNumberFormat="1" applyFont="1" applyAlignment="1"/>
    <xf numFmtId="0" fontId="2" fillId="0" borderId="0" xfId="53" applyNumberFormat="1" applyFont="1" applyAlignment="1">
      <alignment horizontal="center"/>
    </xf>
    <xf numFmtId="0" fontId="1" fillId="0" borderId="0" xfId="53" applyNumberFormat="1" applyFont="1" applyAlignment="1">
      <alignment horizontal="center"/>
    </xf>
    <xf numFmtId="166" fontId="8" fillId="0" borderId="0" xfId="55" applyNumberFormat="1" applyFont="1" applyAlignment="1">
      <alignment horizontal="center"/>
    </xf>
    <xf numFmtId="165" fontId="8" fillId="0" borderId="0" xfId="23" applyNumberFormat="1" applyFont="1" applyAlignment="1">
      <alignment horizontal="center"/>
    </xf>
    <xf numFmtId="0" fontId="8" fillId="0" borderId="0" xfId="53" applyNumberFormat="1" applyFont="1" applyAlignment="1">
      <alignment horizontal="center"/>
    </xf>
    <xf numFmtId="0" fontId="1" fillId="0" borderId="0" xfId="53" applyNumberFormat="1" applyFont="1" applyAlignment="1">
      <alignment horizontal="center" vertical="center"/>
    </xf>
    <xf numFmtId="165" fontId="2" fillId="0" borderId="0" xfId="23" applyNumberFormat="1" applyFont="1"/>
    <xf numFmtId="37" fontId="2" fillId="0" borderId="0" xfId="0" applyNumberFormat="1" applyFont="1"/>
    <xf numFmtId="165" fontId="2" fillId="0" borderId="0" xfId="53" applyNumberFormat="1" applyFont="1" applyAlignment="1"/>
    <xf numFmtId="164" fontId="2" fillId="0" borderId="0" xfId="23" applyNumberFormat="1" applyFont="1"/>
    <xf numFmtId="0" fontId="17" fillId="0" borderId="0" xfId="0" applyFont="1" applyAlignment="1"/>
    <xf numFmtId="2" fontId="17" fillId="0" borderId="0" xfId="0" applyNumberFormat="1" applyFont="1"/>
    <xf numFmtId="0" fontId="17" fillId="0" borderId="0" xfId="0" applyNumberFormat="1" applyFont="1" applyAlignment="1"/>
    <xf numFmtId="0" fontId="17" fillId="0" borderId="0" xfId="0" applyNumberFormat="1" applyFont="1" applyAlignment="1">
      <alignment horizontal="left"/>
    </xf>
    <xf numFmtId="0" fontId="13" fillId="0" borderId="12" xfId="0" applyNumberFormat="1" applyFont="1" applyBorder="1" applyAlignment="1">
      <alignment horizontal="center"/>
    </xf>
    <xf numFmtId="2" fontId="13" fillId="0" borderId="0" xfId="0" applyNumberFormat="1" applyFont="1"/>
    <xf numFmtId="0" fontId="13" fillId="0" borderId="0" xfId="0" applyNumberFormat="1" applyFont="1" applyAlignment="1">
      <alignment horizontal="right"/>
    </xf>
    <xf numFmtId="0" fontId="17" fillId="0" borderId="0" xfId="0" applyNumberFormat="1" applyFont="1"/>
    <xf numFmtId="165" fontId="0" fillId="0" borderId="0" xfId="23" applyNumberFormat="1" applyFont="1"/>
    <xf numFmtId="10" fontId="0" fillId="0" borderId="0" xfId="55" applyNumberFormat="1" applyFont="1"/>
    <xf numFmtId="37" fontId="2" fillId="0" borderId="0" xfId="52" applyNumberFormat="1" applyFont="1"/>
    <xf numFmtId="37" fontId="2" fillId="0" borderId="12" xfId="52" applyNumberFormat="1" applyFont="1" applyBorder="1"/>
    <xf numFmtId="37" fontId="18" fillId="0" borderId="0" xfId="52" applyNumberFormat="1" applyFont="1"/>
    <xf numFmtId="2" fontId="2" fillId="0" borderId="0" xfId="0" applyNumberFormat="1" applyFont="1"/>
    <xf numFmtId="0" fontId="2" fillId="0" borderId="0" xfId="0" applyFont="1" applyAlignment="1"/>
    <xf numFmtId="0" fontId="2" fillId="0" borderId="0" xfId="0" applyNumberFormat="1" applyFont="1" applyAlignment="1"/>
    <xf numFmtId="0" fontId="18" fillId="0" borderId="0" xfId="0" applyNumberFormat="1" applyFont="1" applyAlignment="1">
      <alignment horizontal="left"/>
    </xf>
    <xf numFmtId="0" fontId="18" fillId="0" borderId="0" xfId="0" applyNumberFormat="1" applyFont="1" applyAlignment="1">
      <alignment horizontal="center"/>
    </xf>
    <xf numFmtId="37" fontId="2" fillId="0" borderId="11" xfId="0" applyNumberFormat="1" applyFont="1" applyBorder="1"/>
    <xf numFmtId="37" fontId="18" fillId="0" borderId="0" xfId="0" applyNumberFormat="1" applyFont="1" applyAlignment="1"/>
    <xf numFmtId="171" fontId="2" fillId="0" borderId="0" xfId="0" applyNumberFormat="1" applyFont="1" applyAlignment="1">
      <alignment horizontal="center"/>
    </xf>
    <xf numFmtId="0" fontId="2" fillId="0" borderId="0" xfId="0" applyFont="1"/>
    <xf numFmtId="173" fontId="2" fillId="0" borderId="0" xfId="52" applyNumberFormat="1" applyFont="1"/>
    <xf numFmtId="37" fontId="2" fillId="0" borderId="0" xfId="52" applyNumberFormat="1" applyFont="1" applyAlignment="1">
      <alignment horizontal="center"/>
    </xf>
    <xf numFmtId="165" fontId="8" fillId="0" borderId="0" xfId="23" applyNumberFormat="1" applyFont="1"/>
    <xf numFmtId="37" fontId="1" fillId="0" borderId="0" xfId="52" applyNumberFormat="1" applyFont="1"/>
    <xf numFmtId="37" fontId="17" fillId="0" borderId="0" xfId="52" applyNumberFormat="1" applyFont="1"/>
    <xf numFmtId="37" fontId="1" fillId="0" borderId="12" xfId="52" applyNumberFormat="1" applyFont="1" applyBorder="1"/>
    <xf numFmtId="37" fontId="13" fillId="0" borderId="0" xfId="52" applyNumberFormat="1" applyFont="1"/>
    <xf numFmtId="37" fontId="17" fillId="0" borderId="12" xfId="52" applyNumberFormat="1" applyFont="1" applyBorder="1"/>
    <xf numFmtId="37" fontId="17" fillId="0" borderId="0" xfId="52" applyNumberFormat="1" applyFont="1" applyBorder="1"/>
    <xf numFmtId="37" fontId="17" fillId="0" borderId="0" xfId="52" applyNumberFormat="1" applyFont="1" applyFill="1"/>
    <xf numFmtId="165" fontId="4" fillId="0" borderId="0" xfId="23" applyNumberFormat="1" applyFont="1"/>
    <xf numFmtId="0" fontId="8" fillId="0" borderId="0" xfId="51" applyFont="1"/>
    <xf numFmtId="37" fontId="8" fillId="0" borderId="0" xfId="51" applyNumberFormat="1" applyFont="1" applyFill="1"/>
    <xf numFmtId="9" fontId="8" fillId="0" borderId="0" xfId="51" applyNumberFormat="1" applyFont="1"/>
    <xf numFmtId="37" fontId="8" fillId="0" borderId="0" xfId="51" applyNumberFormat="1" applyFont="1"/>
    <xf numFmtId="39" fontId="8" fillId="0" borderId="0" xfId="51" applyNumberFormat="1" applyFont="1"/>
    <xf numFmtId="174" fontId="8" fillId="0" borderId="0" xfId="51" applyNumberFormat="1" applyFont="1"/>
    <xf numFmtId="10" fontId="8" fillId="0" borderId="0" xfId="51" applyNumberFormat="1" applyFont="1"/>
    <xf numFmtId="172" fontId="8" fillId="0" borderId="0" xfId="51" applyNumberFormat="1" applyFont="1" applyAlignment="1">
      <alignment horizontal="left"/>
    </xf>
    <xf numFmtId="37" fontId="8" fillId="0" borderId="0" xfId="51" applyNumberFormat="1" applyFont="1" applyAlignment="1">
      <alignment horizontal="center"/>
    </xf>
    <xf numFmtId="9" fontId="8" fillId="0" borderId="0" xfId="51" applyNumberFormat="1" applyFont="1" applyBorder="1" applyAlignment="1">
      <alignment horizontal="center"/>
    </xf>
    <xf numFmtId="9" fontId="8" fillId="0" borderId="0" xfId="51" applyNumberFormat="1" applyFont="1" applyBorder="1" applyAlignment="1">
      <alignment horizontal="centerContinuous"/>
    </xf>
    <xf numFmtId="37" fontId="8" fillId="0" borderId="0" xfId="51" applyNumberFormat="1" applyFont="1" applyBorder="1" applyAlignment="1">
      <alignment horizontal="centerContinuous"/>
    </xf>
    <xf numFmtId="37" fontId="8" fillId="0" borderId="0" xfId="51" applyNumberFormat="1" applyFont="1" applyBorder="1" applyAlignment="1">
      <alignment horizontal="center"/>
    </xf>
    <xf numFmtId="39" fontId="8" fillId="0" borderId="0" xfId="51" applyNumberFormat="1" applyFont="1" applyBorder="1" applyAlignment="1">
      <alignment horizontal="center"/>
    </xf>
    <xf numFmtId="174" fontId="8" fillId="0" borderId="0" xfId="51" applyNumberFormat="1" applyFont="1" applyBorder="1" applyAlignment="1">
      <alignment horizontal="center"/>
    </xf>
    <xf numFmtId="10" fontId="8" fillId="0" borderId="0" xfId="51" applyNumberFormat="1" applyFont="1" applyBorder="1" applyAlignment="1">
      <alignment horizontal="center"/>
    </xf>
    <xf numFmtId="0" fontId="8" fillId="0" borderId="0" xfId="51" applyFont="1" applyAlignment="1">
      <alignment horizontal="left"/>
    </xf>
    <xf numFmtId="167" fontId="8" fillId="0" borderId="0" xfId="55" applyNumberFormat="1" applyFont="1" applyBorder="1" applyAlignment="1">
      <alignment horizontal="center"/>
    </xf>
    <xf numFmtId="9" fontId="20" fillId="0" borderId="0" xfId="51" applyNumberFormat="1" applyFont="1" applyBorder="1" applyAlignment="1">
      <alignment horizontal="centerContinuous"/>
    </xf>
    <xf numFmtId="0" fontId="19" fillId="0" borderId="0" xfId="51" applyFont="1" applyAlignment="1">
      <alignment horizontal="centerContinuous"/>
    </xf>
    <xf numFmtId="173" fontId="19" fillId="0" borderId="0" xfId="51" applyNumberFormat="1" applyFont="1" applyAlignment="1">
      <alignment horizontal="centerContinuous"/>
    </xf>
    <xf numFmtId="165" fontId="8" fillId="0" borderId="0" xfId="23" applyNumberFormat="1" applyFont="1" applyBorder="1" applyAlignment="1">
      <alignment horizontal="centerContinuous"/>
    </xf>
    <xf numFmtId="0" fontId="8" fillId="0" borderId="0" xfId="51" applyFont="1" applyAlignment="1">
      <alignment horizontal="centerContinuous"/>
    </xf>
    <xf numFmtId="39" fontId="8" fillId="0" borderId="0" xfId="51" applyNumberFormat="1" applyFont="1" applyBorder="1" applyAlignment="1">
      <alignment horizontal="centerContinuous"/>
    </xf>
    <xf numFmtId="0" fontId="19" fillId="0" borderId="0" xfId="51" applyFont="1" applyAlignment="1">
      <alignment horizontal="center"/>
    </xf>
    <xf numFmtId="173" fontId="19" fillId="0" borderId="0" xfId="51" applyNumberFormat="1" applyFont="1" applyAlignment="1">
      <alignment horizontal="center"/>
    </xf>
    <xf numFmtId="165" fontId="8" fillId="0" borderId="0" xfId="23" applyNumberFormat="1" applyFont="1" applyBorder="1" applyAlignment="1">
      <alignment horizontal="center"/>
    </xf>
    <xf numFmtId="9" fontId="20" fillId="0" borderId="0" xfId="51" applyNumberFormat="1" applyFont="1" applyBorder="1" applyAlignment="1">
      <alignment horizontal="center"/>
    </xf>
    <xf numFmtId="0" fontId="8" fillId="0" borderId="0" xfId="51" applyFont="1" applyAlignment="1">
      <alignment horizontal="center"/>
    </xf>
    <xf numFmtId="165" fontId="8" fillId="0" borderId="0" xfId="23" quotePrefix="1" applyNumberFormat="1" applyFont="1" applyBorder="1" applyAlignment="1">
      <alignment horizontal="center"/>
    </xf>
    <xf numFmtId="9" fontId="8" fillId="0" borderId="0" xfId="51" quotePrefix="1" applyNumberFormat="1" applyFont="1" applyBorder="1" applyAlignment="1">
      <alignment horizontal="center"/>
    </xf>
    <xf numFmtId="173" fontId="8" fillId="0" borderId="0" xfId="51" applyNumberFormat="1" applyFont="1" applyAlignment="1">
      <alignment horizontal="center"/>
    </xf>
    <xf numFmtId="9" fontId="8" fillId="0" borderId="0" xfId="51" applyNumberFormat="1" applyFont="1" applyAlignment="1">
      <alignment horizontal="centerContinuous"/>
    </xf>
    <xf numFmtId="37" fontId="8" fillId="0" borderId="0" xfId="51" applyNumberFormat="1" applyFont="1" applyAlignment="1">
      <alignment horizontal="centerContinuous"/>
    </xf>
    <xf numFmtId="39" fontId="8" fillId="0" borderId="0" xfId="51" applyNumberFormat="1" applyFont="1" applyAlignment="1">
      <alignment horizontal="center"/>
    </xf>
    <xf numFmtId="37" fontId="8" fillId="0" borderId="0" xfId="51" quotePrefix="1" applyNumberFormat="1" applyFont="1" applyAlignment="1">
      <alignment horizontal="center"/>
    </xf>
    <xf numFmtId="9" fontId="20" fillId="0" borderId="0" xfId="51" applyNumberFormat="1" applyFont="1" applyAlignment="1">
      <alignment horizontal="centerContinuous"/>
    </xf>
    <xf numFmtId="174" fontId="8" fillId="0" borderId="0" xfId="51" applyNumberFormat="1" applyFont="1" applyAlignment="1">
      <alignment horizontal="center"/>
    </xf>
    <xf numFmtId="0" fontId="8" fillId="0" borderId="12" xfId="51" applyFont="1" applyBorder="1" applyAlignment="1">
      <alignment horizontal="center"/>
    </xf>
    <xf numFmtId="173" fontId="8" fillId="0" borderId="12" xfId="51" applyNumberFormat="1" applyFont="1" applyBorder="1" applyAlignment="1">
      <alignment horizontal="center"/>
    </xf>
    <xf numFmtId="165" fontId="8" fillId="0" borderId="12" xfId="23" quotePrefix="1" applyNumberFormat="1" applyFont="1" applyBorder="1" applyAlignment="1">
      <alignment horizontal="center"/>
    </xf>
    <xf numFmtId="9" fontId="8" fillId="0" borderId="12" xfId="51" quotePrefix="1" applyNumberFormat="1" applyFont="1" applyBorder="1" applyAlignment="1">
      <alignment horizontal="center"/>
    </xf>
    <xf numFmtId="37" fontId="8" fillId="0" borderId="12" xfId="51" applyNumberFormat="1" applyFont="1" applyBorder="1" applyAlignment="1">
      <alignment horizontal="center"/>
    </xf>
    <xf numFmtId="10" fontId="8" fillId="0" borderId="12" xfId="51" quotePrefix="1" applyNumberFormat="1" applyFont="1" applyBorder="1" applyAlignment="1">
      <alignment horizontal="center"/>
    </xf>
    <xf numFmtId="39" fontId="8" fillId="0" borderId="12" xfId="51" applyNumberFormat="1" applyFont="1" applyBorder="1" applyAlignment="1">
      <alignment horizontal="center"/>
    </xf>
    <xf numFmtId="10" fontId="8" fillId="0" borderId="12" xfId="51" applyNumberFormat="1" applyFont="1" applyBorder="1" applyAlignment="1">
      <alignment horizontal="center"/>
    </xf>
    <xf numFmtId="9" fontId="8" fillId="0" borderId="0" xfId="51" applyNumberFormat="1" applyFont="1" applyAlignment="1">
      <alignment horizontal="center"/>
    </xf>
    <xf numFmtId="10" fontId="8" fillId="0" borderId="0" xfId="51" applyNumberFormat="1" applyFont="1" applyAlignment="1">
      <alignment horizontal="center"/>
    </xf>
    <xf numFmtId="0" fontId="8" fillId="0" borderId="2" xfId="51" applyFont="1" applyBorder="1"/>
    <xf numFmtId="173" fontId="8" fillId="0" borderId="2" xfId="51" applyNumberFormat="1" applyFont="1" applyBorder="1"/>
    <xf numFmtId="165" fontId="8" fillId="0" borderId="2" xfId="23" applyNumberFormat="1" applyFont="1" applyBorder="1"/>
    <xf numFmtId="9" fontId="8" fillId="0" borderId="2" xfId="51" applyNumberFormat="1" applyFont="1" applyBorder="1"/>
    <xf numFmtId="37" fontId="8" fillId="0" borderId="2" xfId="51" applyNumberFormat="1" applyFont="1" applyBorder="1"/>
    <xf numFmtId="39" fontId="8" fillId="0" borderId="2" xfId="51" applyNumberFormat="1" applyFont="1" applyBorder="1"/>
    <xf numFmtId="174" fontId="8" fillId="0" borderId="2" xfId="51" applyNumberFormat="1" applyFont="1" applyBorder="1"/>
    <xf numFmtId="10" fontId="19" fillId="0" borderId="2" xfId="51" applyNumberFormat="1" applyFont="1" applyBorder="1"/>
    <xf numFmtId="173" fontId="8" fillId="0" borderId="0" xfId="51" applyNumberFormat="1" applyFont="1"/>
    <xf numFmtId="174" fontId="8" fillId="0" borderId="0" xfId="23" applyNumberFormat="1" applyFont="1"/>
    <xf numFmtId="43" fontId="8" fillId="0" borderId="0" xfId="23" applyFont="1"/>
    <xf numFmtId="10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10" fontId="0" fillId="0" borderId="0" xfId="0" applyNumberFormat="1" applyBorder="1"/>
    <xf numFmtId="10" fontId="8" fillId="0" borderId="0" xfId="51" applyNumberFormat="1" applyFont="1" applyBorder="1"/>
    <xf numFmtId="0" fontId="0" fillId="0" borderId="0" xfId="0" applyBorder="1"/>
    <xf numFmtId="0" fontId="0" fillId="0" borderId="0" xfId="0" applyFill="1"/>
    <xf numFmtId="165" fontId="0" fillId="0" borderId="0" xfId="23" applyNumberFormat="1" applyFont="1" applyFill="1"/>
    <xf numFmtId="0" fontId="0" fillId="0" borderId="0" xfId="0" applyFill="1" applyAlignment="1">
      <alignment horizontal="left" indent="1"/>
    </xf>
    <xf numFmtId="0" fontId="21" fillId="0" borderId="0" xfId="0" applyFont="1" applyFill="1"/>
    <xf numFmtId="0" fontId="19" fillId="0" borderId="0" xfId="0" applyFont="1" applyFill="1"/>
    <xf numFmtId="166" fontId="0" fillId="0" borderId="0" xfId="55" applyNumberFormat="1" applyFont="1"/>
    <xf numFmtId="37" fontId="13" fillId="0" borderId="0" xfId="0" applyNumberFormat="1" applyFont="1" applyAlignment="1"/>
    <xf numFmtId="10" fontId="19" fillId="0" borderId="0" xfId="55" applyNumberFormat="1" applyFont="1"/>
    <xf numFmtId="37" fontId="1" fillId="0" borderId="0" xfId="0" applyNumberFormat="1" applyFont="1" applyAlignment="1">
      <alignment horizontal="right"/>
    </xf>
    <xf numFmtId="37" fontId="1" fillId="0" borderId="0" xfId="0" applyNumberFormat="1" applyFont="1"/>
    <xf numFmtId="37" fontId="1" fillId="0" borderId="11" xfId="0" applyNumberFormat="1" applyFont="1" applyBorder="1"/>
    <xf numFmtId="37" fontId="17" fillId="0" borderId="0" xfId="0" applyNumberFormat="1" applyFont="1" applyAlignment="1"/>
    <xf numFmtId="37" fontId="17" fillId="0" borderId="12" xfId="0" applyNumberFormat="1" applyFont="1" applyBorder="1" applyAlignment="1"/>
    <xf numFmtId="37" fontId="17" fillId="0" borderId="0" xfId="0" applyNumberFormat="1" applyFont="1" applyBorder="1" applyAlignment="1"/>
    <xf numFmtId="37" fontId="17" fillId="0" borderId="0" xfId="0" applyNumberFormat="1" applyFont="1"/>
    <xf numFmtId="37" fontId="17" fillId="0" borderId="11" xfId="0" applyNumberFormat="1" applyFont="1" applyBorder="1"/>
    <xf numFmtId="37" fontId="17" fillId="0" borderId="0" xfId="0" applyNumberFormat="1" applyFont="1" applyAlignment="1">
      <alignment horizontal="right"/>
    </xf>
    <xf numFmtId="0" fontId="19" fillId="0" borderId="0" xfId="0" applyFont="1" applyFill="1" applyAlignment="1">
      <alignment horizontal="center"/>
    </xf>
    <xf numFmtId="43" fontId="19" fillId="0" borderId="0" xfId="23" applyFont="1" applyFill="1" applyAlignment="1">
      <alignment horizontal="center"/>
    </xf>
    <xf numFmtId="0" fontId="0" fillId="0" borderId="12" xfId="0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43" fontId="19" fillId="0" borderId="12" xfId="23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3" fillId="0" borderId="0" xfId="0" applyFont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/>
    <xf numFmtId="0" fontId="0" fillId="0" borderId="0" xfId="0" applyFill="1" applyAlignment="1">
      <alignment horizontal="center"/>
    </xf>
    <xf numFmtId="0" fontId="8" fillId="0" borderId="0" xfId="0" applyFont="1" applyFill="1"/>
    <xf numFmtId="43" fontId="0" fillId="0" borderId="12" xfId="0" applyNumberFormat="1" applyFill="1" applyBorder="1"/>
    <xf numFmtId="0" fontId="19" fillId="0" borderId="0" xfId="0" applyFont="1" applyFill="1" applyAlignment="1">
      <alignment horizontal="left"/>
    </xf>
    <xf numFmtId="2" fontId="0" fillId="0" borderId="0" xfId="0" applyNumberFormat="1" applyFill="1" applyAlignment="1">
      <alignment horizontal="center"/>
    </xf>
    <xf numFmtId="43" fontId="0" fillId="0" borderId="0" xfId="0" applyNumberFormat="1" applyFill="1" applyBorder="1"/>
    <xf numFmtId="39" fontId="0" fillId="0" borderId="0" xfId="0" applyNumberFormat="1" applyFill="1"/>
    <xf numFmtId="39" fontId="0" fillId="0" borderId="0" xfId="0" applyNumberForma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3" fontId="8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>
      <alignment horizontal="center"/>
    </xf>
    <xf numFmtId="9" fontId="19" fillId="0" borderId="0" xfId="0" applyNumberFormat="1" applyFont="1" applyFill="1" applyBorder="1"/>
    <xf numFmtId="43" fontId="19" fillId="0" borderId="0" xfId="0" applyNumberFormat="1" applyFont="1" applyFill="1" applyBorder="1" applyAlignment="1">
      <alignment horizontal="center"/>
    </xf>
    <xf numFmtId="165" fontId="19" fillId="0" borderId="13" xfId="23" applyNumberFormat="1" applyFont="1" applyFill="1" applyBorder="1"/>
    <xf numFmtId="10" fontId="0" fillId="0" borderId="0" xfId="0" applyNumberFormat="1" applyFill="1"/>
    <xf numFmtId="10" fontId="0" fillId="0" borderId="0" xfId="0" applyNumberFormat="1" applyFill="1" applyAlignment="1">
      <alignment horizontal="center"/>
    </xf>
    <xf numFmtId="0" fontId="19" fillId="0" borderId="0" xfId="0" applyFont="1"/>
    <xf numFmtId="165" fontId="0" fillId="0" borderId="0" xfId="0" applyNumberFormat="1" applyFill="1"/>
    <xf numFmtId="165" fontId="19" fillId="0" borderId="12" xfId="23" applyNumberFormat="1" applyFont="1" applyFill="1" applyBorder="1"/>
    <xf numFmtId="43" fontId="19" fillId="0" borderId="12" xfId="0" applyNumberFormat="1" applyFont="1" applyFill="1" applyBorder="1"/>
    <xf numFmtId="165" fontId="19" fillId="0" borderId="0" xfId="23" applyNumberFormat="1" applyFont="1" applyFill="1"/>
    <xf numFmtId="39" fontId="19" fillId="0" borderId="0" xfId="0" applyNumberFormat="1" applyFont="1" applyFill="1" applyAlignment="1">
      <alignment horizontal="center"/>
    </xf>
    <xf numFmtId="43" fontId="19" fillId="0" borderId="0" xfId="0" applyNumberFormat="1" applyFont="1" applyFill="1"/>
    <xf numFmtId="10" fontId="19" fillId="0" borderId="0" xfId="55" applyNumberFormat="1" applyFont="1" applyFill="1"/>
    <xf numFmtId="10" fontId="19" fillId="0" borderId="0" xfId="0" applyNumberFormat="1" applyFont="1" applyFill="1" applyAlignment="1">
      <alignment horizontal="center"/>
    </xf>
    <xf numFmtId="10" fontId="19" fillId="0" borderId="0" xfId="55" applyNumberFormat="1" applyFont="1" applyFill="1" applyAlignment="1">
      <alignment horizontal="center"/>
    </xf>
    <xf numFmtId="10" fontId="19" fillId="0" borderId="0" xfId="0" applyNumberFormat="1" applyFont="1" applyFill="1"/>
    <xf numFmtId="9" fontId="19" fillId="0" borderId="0" xfId="0" applyNumberFormat="1" applyFont="1" applyFill="1" applyBorder="1" applyAlignment="1">
      <alignment horizontal="center"/>
    </xf>
    <xf numFmtId="178" fontId="0" fillId="0" borderId="0" xfId="0" applyNumberFormat="1"/>
    <xf numFmtId="10" fontId="0" fillId="0" borderId="12" xfId="55" applyNumberFormat="1" applyFont="1" applyBorder="1"/>
    <xf numFmtId="0" fontId="12" fillId="0" borderId="0" xfId="0" applyFont="1" applyAlignment="1">
      <alignment horizontal="center"/>
    </xf>
    <xf numFmtId="37" fontId="0" fillId="0" borderId="0" xfId="0" applyNumberFormat="1"/>
    <xf numFmtId="3" fontId="1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43" fontId="17" fillId="0" borderId="0" xfId="55" applyNumberFormat="1" applyFont="1"/>
    <xf numFmtId="165" fontId="17" fillId="0" borderId="0" xfId="55" applyNumberFormat="1" applyFont="1" applyFill="1"/>
    <xf numFmtId="39" fontId="17" fillId="0" borderId="0" xfId="0" applyNumberFormat="1" applyFont="1" applyFill="1" applyAlignment="1">
      <alignment horizontal="center"/>
    </xf>
    <xf numFmtId="10" fontId="17" fillId="0" borderId="0" xfId="55" applyNumberFormat="1" applyFont="1" applyFill="1" applyAlignment="1">
      <alignment horizontal="center"/>
    </xf>
    <xf numFmtId="165" fontId="17" fillId="0" borderId="12" xfId="55" applyNumberFormat="1" applyFont="1" applyFill="1" applyBorder="1"/>
    <xf numFmtId="10" fontId="17" fillId="0" borderId="0" xfId="55" applyNumberFormat="1" applyFont="1" applyFill="1"/>
    <xf numFmtId="0" fontId="17" fillId="0" borderId="0" xfId="0" applyFont="1" applyFill="1" applyAlignment="1">
      <alignment horizontal="left"/>
    </xf>
    <xf numFmtId="165" fontId="17" fillId="0" borderId="9" xfId="23" applyNumberFormat="1" applyFont="1" applyFill="1" applyBorder="1"/>
    <xf numFmtId="165" fontId="17" fillId="0" borderId="0" xfId="23" applyNumberFormat="1" applyFont="1" applyFill="1" applyBorder="1"/>
    <xf numFmtId="165" fontId="17" fillId="0" borderId="0" xfId="23" applyNumberFormat="1" applyFont="1" applyFill="1"/>
    <xf numFmtId="43" fontId="17" fillId="0" borderId="13" xfId="23" applyFont="1" applyFill="1" applyBorder="1"/>
    <xf numFmtId="43" fontId="17" fillId="0" borderId="0" xfId="23" applyFont="1" applyFill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NumberFormat="1" applyFont="1" applyBorder="1"/>
    <xf numFmtId="0" fontId="9" fillId="0" borderId="16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8" xfId="0" applyNumberFormat="1" applyFont="1" applyBorder="1"/>
    <xf numFmtId="0" fontId="9" fillId="0" borderId="18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43" fontId="19" fillId="0" borderId="16" xfId="23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3" fontId="19" fillId="0" borderId="17" xfId="23" applyFont="1" applyFill="1" applyBorder="1" applyAlignment="1">
      <alignment horizontal="center"/>
    </xf>
    <xf numFmtId="43" fontId="19" fillId="0" borderId="18" xfId="23" applyFont="1" applyFill="1" applyBorder="1" applyAlignment="1">
      <alignment horizontal="center"/>
    </xf>
    <xf numFmtId="0" fontId="3" fillId="0" borderId="16" xfId="0" applyFont="1" applyBorder="1"/>
    <xf numFmtId="0" fontId="3" fillId="0" borderId="18" xfId="0" applyFont="1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165" fontId="2" fillId="0" borderId="0" xfId="23" applyNumberFormat="1" applyFont="1" applyAlignment="1">
      <alignment horizontal="center"/>
    </xf>
    <xf numFmtId="2" fontId="14" fillId="0" borderId="0" xfId="53" applyNumberFormat="1" applyFont="1" applyAlignment="1">
      <alignment horizontal="center"/>
    </xf>
    <xf numFmtId="0" fontId="14" fillId="0" borderId="0" xfId="50" applyNumberFormat="1" applyFont="1" applyAlignment="1">
      <alignment horizontal="center"/>
    </xf>
    <xf numFmtId="0" fontId="14" fillId="0" borderId="0" xfId="50" applyNumberFormat="1" applyFont="1" applyBorder="1" applyAlignment="1">
      <alignment horizontal="center"/>
    </xf>
    <xf numFmtId="37" fontId="8" fillId="0" borderId="0" xfId="51" applyNumberFormat="1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3" fontId="8" fillId="0" borderId="0" xfId="23" applyFont="1" applyFill="1" applyBorder="1" applyAlignment="1">
      <alignment horizontal="center" wrapText="1"/>
    </xf>
    <xf numFmtId="43" fontId="19" fillId="0" borderId="14" xfId="23" applyFont="1" applyFill="1" applyBorder="1" applyAlignment="1">
      <alignment horizontal="center"/>
    </xf>
    <xf numFmtId="43" fontId="19" fillId="0" borderId="15" xfId="23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</cellXfs>
  <cellStyles count="74">
    <cellStyle name="_4.06E Pass Throughs" xfId="1"/>
    <cellStyle name="_4.13E Montana Energy Tax" xfId="2"/>
    <cellStyle name="_Book1" xfId="3"/>
    <cellStyle name="_Book1 (2)" xfId="4"/>
    <cellStyle name="_Book2" xfId="5"/>
    <cellStyle name="_Chelan Debt Forecast 12.19.05" xfId="6"/>
    <cellStyle name="_Costs not in AURORA 06GRC" xfId="7"/>
    <cellStyle name="_Costs not in AURORA 2006GRC 6.15.06" xfId="8"/>
    <cellStyle name="_Costs not in AURORA 2007 Rate Case" xfId="9"/>
    <cellStyle name="_Costs not in KWI3000 '06Budget" xfId="10"/>
    <cellStyle name="_DEM-WP (C) Power Cost 2006GRC Order" xfId="11"/>
    <cellStyle name="_DEM-WP(C) Costs not in AURORA 2006GRC" xfId="12"/>
    <cellStyle name="_Fuel Prices 4-14" xfId="13"/>
    <cellStyle name="_Power Cost Value Copy 11.30.05 gas 1.09.06 AURORA at 1.10.06" xfId="14"/>
    <cellStyle name="_Recon to Darrin's 5.11.05 proforma" xfId="15"/>
    <cellStyle name="_Tenaska Comparison" xfId="16"/>
    <cellStyle name="_Value Copy 11 30 05 gas 12 09 05 AURORA at 12 14 05" xfId="17"/>
    <cellStyle name="_VC 6.15.06 update on 06GRC power costs.xls Chart 1" xfId="18"/>
    <cellStyle name="_VC 6.15.06 update on 06GRC power costs.xls Chart 2" xfId="19"/>
    <cellStyle name="_VC 6.15.06 update on 06GRC power costs.xls Chart 3" xfId="20"/>
    <cellStyle name="Calc Currency (0)" xfId="21"/>
    <cellStyle name="Calculation" xfId="22" builtinId="22" customBuiltin="1"/>
    <cellStyle name="Comma" xfId="23" builtinId="3"/>
    <cellStyle name="Comma0" xfId="24"/>
    <cellStyle name="Comma0 - Style4" xfId="25"/>
    <cellStyle name="Copied" xfId="26"/>
    <cellStyle name="COST1" xfId="27"/>
    <cellStyle name="Curren - Style1" xfId="28"/>
    <cellStyle name="Curren - Style5" xfId="29"/>
    <cellStyle name="Currency0" xfId="30"/>
    <cellStyle name="Date" xfId="31"/>
    <cellStyle name="Entered" xfId="32"/>
    <cellStyle name="Fixed" xfId="33"/>
    <cellStyle name="Fixed3 - Style3" xfId="34"/>
    <cellStyle name="Grey" xfId="35"/>
    <cellStyle name="Header1" xfId="36"/>
    <cellStyle name="Header2" xfId="37"/>
    <cellStyle name="Heading 1" xfId="38" builtinId="16" customBuiltin="1"/>
    <cellStyle name="Heading 2" xfId="39" builtinId="17" customBuiltin="1"/>
    <cellStyle name="Heading1" xfId="40"/>
    <cellStyle name="Heading2" xfId="41"/>
    <cellStyle name="Input [yellow]" xfId="42"/>
    <cellStyle name="Input Cells" xfId="43"/>
    <cellStyle name="Lines" xfId="44"/>
    <cellStyle name="modified border" xfId="45"/>
    <cellStyle name="modified border1" xfId="46"/>
    <cellStyle name="no dec" xfId="47"/>
    <cellStyle name="Normal" xfId="0" builtinId="0"/>
    <cellStyle name="Normal - Style1" xfId="48"/>
    <cellStyle name="Normal_AECUBIP" xfId="49"/>
    <cellStyle name="Normal_CWK-1 SK Rates" xfId="50"/>
    <cellStyle name="Normal_Dunkel Model" xfId="51"/>
    <cellStyle name="Normal_Iowa ASL GPAMORT" xfId="52"/>
    <cellStyle name="Normal_PEPCO - SK Rates" xfId="53"/>
    <cellStyle name="Percen - Style2" xfId="54"/>
    <cellStyle name="Percent" xfId="55" builtinId="5"/>
    <cellStyle name="Percent [2]" xfId="56"/>
    <cellStyle name="PSChar" xfId="57"/>
    <cellStyle name="PSDate" xfId="58"/>
    <cellStyle name="PSDec" xfId="59"/>
    <cellStyle name="PSHeading" xfId="60"/>
    <cellStyle name="PSInt" xfId="61"/>
    <cellStyle name="PSSpacer" xfId="62"/>
    <cellStyle name="RevList" xfId="63"/>
    <cellStyle name="round100" xfId="64"/>
    <cellStyle name="shade" xfId="65"/>
    <cellStyle name="StmtTtl1" xfId="66"/>
    <cellStyle name="StmtTtl2" xfId="67"/>
    <cellStyle name="STYL1 - Style1" xfId="68"/>
    <cellStyle name="Style 1" xfId="69"/>
    <cellStyle name="Subtotal" xfId="70"/>
    <cellStyle name="Title: Minor" xfId="71"/>
    <cellStyle name="Title: Worksheet" xfId="72"/>
    <cellStyle name="Total" xfId="73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wk\Local%20Settings\Temporary%20Internet%20Files\OLKB8\PSE_Gas%20Plant_CO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74\Goldendale%20Proforma%20-%20Curr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2\2007%20Strat%20Plan%20-%20v7%20Low%202007%20Capital%20(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Phase%202%20RFP%20Quantitative%20Analysis\PSM%20Input%20Assumptions\Gas%20Transport\Gas%20Transpo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kello\Local%20Settings\Temporary%20Internet%20Files\OLK13BE\Goldendale%20Proforma%20-%20Curren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Tenaska%20&amp;%20Encogen%20Information\Tenaska\PCORC%20Disallowance\Tenaska%20Comparis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Forecast%20&amp;%20Variance\2007%20Rate%20Case\Draft%20Power%20Costs\Feb07%20w%20Goldendale\New%20PPA%20Contracts%202.19.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PCORC\RORC%20Filing\PCA%20PC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D\2.26E%20Regulatory%20Assets%20%20Liabilit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Quarterly%20Reporting\Misc\WC-RB%20Misc\WC-RB%20Overvi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Susan\2003%20GRC\EL%200903%200303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el\Chelan\RI%20Debt%20from%20Annual%20Repor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el\Chelan\Pro%20Forma%20Models\PSE%20Incremental\Cash%20-%20No%20Defease\12-15%20Final%20for%20Board\12-15%20(Hydro)NoD%20CPUD-PSEIncremental-1215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Forecast%20&amp;%20Variance\GRC\2006\Power%20Costs\Costs%20not%20in%20AURORA%2006GR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ASURY\DEBT%20MANAGEMENT\Debt%20Schedules\2006\Cash%20&amp;%20Accrual%20master%20sheets\RI05%20Cash&amp;Accrual-Act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PCORC\TY%2012ME%2012-2006\2007%20PCORC%20JHS-4%20through%20JHS-9%20(C)%20working%20file%2003%2008%20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0422\Local%20Settings\Temporary%20Internet%20Files\OLK181\FW_Feb_FY05_upload_format_accl_wksh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5%20PCORC\Update%20Filing%20-%20May%202006\Working%20Files\04.06.06.Transmission%20Rate%20Bas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tefanieJ\Local%20Settings\Temporary%20Internet%20Files\Content.Outlook\55D0WMDC\CWK-5%20Gas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New%20Plant-093003\FredDispatch%209.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05-364"/>
      <sheetName val="375"/>
      <sheetName val="376.1"/>
      <sheetName val="376.2"/>
      <sheetName val="376.3"/>
      <sheetName val="376.4"/>
      <sheetName val="378"/>
      <sheetName val="380"/>
      <sheetName val="380.1"/>
      <sheetName val="383"/>
      <sheetName val="385"/>
    </sheetNames>
    <sheetDataSet>
      <sheetData sheetId="0">
        <row r="12">
          <cell r="N12">
            <v>3.019806492023184E-4</v>
          </cell>
        </row>
        <row r="13">
          <cell r="N13">
            <v>6.4672243363613738E-4</v>
          </cell>
        </row>
        <row r="21">
          <cell r="N21">
            <v>9.3545451990117545E-4</v>
          </cell>
        </row>
        <row r="22">
          <cell r="N22">
            <v>9.4273848300467742E-4</v>
          </cell>
        </row>
        <row r="23">
          <cell r="N23">
            <v>5.9810976991835698E-5</v>
          </cell>
        </row>
        <row r="24">
          <cell r="N24">
            <v>1.0114859897528922E-3</v>
          </cell>
        </row>
        <row r="25">
          <cell r="N25">
            <v>1.2252520718808936E-3</v>
          </cell>
        </row>
        <row r="26">
          <cell r="N26">
            <v>1.2155711866167125E-3</v>
          </cell>
        </row>
        <row r="27">
          <cell r="N27">
            <v>0</v>
          </cell>
        </row>
        <row r="28">
          <cell r="N28">
            <v>1.8421233349620585E-3</v>
          </cell>
        </row>
        <row r="29">
          <cell r="N29">
            <v>1.0755331102700974E-3</v>
          </cell>
        </row>
        <row r="30">
          <cell r="N30">
            <v>1.1574317591988522E-3</v>
          </cell>
        </row>
        <row r="31">
          <cell r="N31">
            <v>5.9165872926684223E-4</v>
          </cell>
        </row>
        <row r="40">
          <cell r="N40">
            <v>1.4524126517502251E-3</v>
          </cell>
        </row>
        <row r="41">
          <cell r="N41">
            <v>4.2384359247447419E-4</v>
          </cell>
        </row>
        <row r="48">
          <cell r="N48">
            <v>1.4440313048332395E-3</v>
          </cell>
        </row>
      </sheetData>
      <sheetData sheetId="1">
        <row r="14">
          <cell r="R14">
            <v>4.1717271810689247E-4</v>
          </cell>
        </row>
      </sheetData>
      <sheetData sheetId="2"/>
      <sheetData sheetId="3">
        <row r="14">
          <cell r="R14">
            <v>1.460155113714766E-3</v>
          </cell>
        </row>
      </sheetData>
      <sheetData sheetId="4"/>
      <sheetData sheetId="5">
        <row r="14">
          <cell r="R14">
            <v>3.1521900253321565E-3</v>
          </cell>
        </row>
      </sheetData>
      <sheetData sheetId="6">
        <row r="14">
          <cell r="R14">
            <v>3.5263002333471866E-3</v>
          </cell>
        </row>
      </sheetData>
      <sheetData sheetId="7">
        <row r="14">
          <cell r="R14">
            <v>7.9125069288356522E-3</v>
          </cell>
        </row>
      </sheetData>
      <sheetData sheetId="8"/>
      <sheetData sheetId="9">
        <row r="14">
          <cell r="R14">
            <v>1.1329465106305295E-3</v>
          </cell>
        </row>
      </sheetData>
      <sheetData sheetId="10">
        <row r="14">
          <cell r="R14">
            <v>2.0400506593673921E-3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/>
      <sheetData sheetId="22"/>
      <sheetData sheetId="23"/>
      <sheetData sheetId="24"/>
      <sheetData sheetId="25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D5" t="str">
            <v>Yes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 refreshError="1">
        <row r="3">
          <cell r="E3">
            <v>38899</v>
          </cell>
        </row>
        <row r="4">
          <cell r="E4">
            <v>39134</v>
          </cell>
          <cell r="I4">
            <v>0.5</v>
          </cell>
        </row>
        <row r="5">
          <cell r="E5">
            <v>10</v>
          </cell>
          <cell r="I5" t="str">
            <v>Yes</v>
          </cell>
        </row>
        <row r="6">
          <cell r="E6">
            <v>8</v>
          </cell>
          <cell r="I6" t="str">
            <v>Yes</v>
          </cell>
        </row>
        <row r="8">
          <cell r="I8" t="str">
            <v>Max</v>
          </cell>
        </row>
        <row r="9">
          <cell r="E9">
            <v>252</v>
          </cell>
          <cell r="I9" t="str">
            <v>Levelized</v>
          </cell>
        </row>
        <row r="10">
          <cell r="E10">
            <v>25</v>
          </cell>
        </row>
        <row r="11">
          <cell r="E11">
            <v>6960</v>
          </cell>
        </row>
        <row r="12">
          <cell r="E12">
            <v>8630</v>
          </cell>
        </row>
        <row r="14">
          <cell r="E14">
            <v>11325.08</v>
          </cell>
        </row>
        <row r="15">
          <cell r="E15">
            <v>21336</v>
          </cell>
        </row>
        <row r="19">
          <cell r="E19">
            <v>0.35</v>
          </cell>
        </row>
        <row r="20">
          <cell r="E20">
            <v>1.5299999999999999E-2</v>
          </cell>
        </row>
        <row r="21">
          <cell r="E21">
            <v>7.4999999999999997E-2</v>
          </cell>
        </row>
        <row r="22">
          <cell r="E22">
            <v>1</v>
          </cell>
        </row>
        <row r="23">
          <cell r="E23">
            <v>0.85</v>
          </cell>
        </row>
        <row r="24">
          <cell r="E24">
            <v>0.50209999999999999</v>
          </cell>
        </row>
        <row r="26">
          <cell r="E26">
            <v>160000000</v>
          </cell>
        </row>
        <row r="27">
          <cell r="E27">
            <v>0.15020845833333332</v>
          </cell>
        </row>
        <row r="30">
          <cell r="E30">
            <v>260000000</v>
          </cell>
        </row>
        <row r="39">
          <cell r="E39">
            <v>1.0212765957446808</v>
          </cell>
          <cell r="F39">
            <v>1.043478260869565</v>
          </cell>
          <cell r="G39">
            <v>1.0666666666666664</v>
          </cell>
          <cell r="H39">
            <v>1.0909090909090906</v>
          </cell>
          <cell r="I39">
            <v>1.1034482758620687</v>
          </cell>
          <cell r="J39">
            <v>1.1294117647058821</v>
          </cell>
          <cell r="K39">
            <v>1.1566265060240963</v>
          </cell>
          <cell r="L39">
            <v>1.1707317073170731</v>
          </cell>
          <cell r="M39">
            <v>1.1999999999999997</v>
          </cell>
          <cell r="N39">
            <v>1.2151898734177213</v>
          </cell>
          <cell r="O39">
            <v>1.2467532467532465</v>
          </cell>
          <cell r="P39">
            <v>1.2631578947368418</v>
          </cell>
          <cell r="Q39">
            <v>1.2972972972972969</v>
          </cell>
          <cell r="R39">
            <v>1.3150684931506846</v>
          </cell>
          <cell r="S39">
            <v>1.333333333333333</v>
          </cell>
          <cell r="T39">
            <v>1.3714285714285712</v>
          </cell>
          <cell r="U39">
            <v>1.3913043478260869</v>
          </cell>
          <cell r="V39">
            <v>1.4117647058823528</v>
          </cell>
          <cell r="W39">
            <v>1.4545454545454544</v>
          </cell>
          <cell r="X39">
            <v>1.4769230769230766</v>
          </cell>
          <cell r="Y39">
            <v>1.4999999999999996</v>
          </cell>
          <cell r="Z39">
            <v>1.5483870967741931</v>
          </cell>
          <cell r="AA39">
            <v>1.5737704918032782</v>
          </cell>
          <cell r="AB39">
            <v>1.5999999999999994</v>
          </cell>
          <cell r="AC39">
            <v>1.655172413793103</v>
          </cell>
          <cell r="AD39">
            <v>1.6842105263157892</v>
          </cell>
          <cell r="AE39">
            <v>1.7142857142857135</v>
          </cell>
          <cell r="AF39">
            <v>1.7454545454545449</v>
          </cell>
        </row>
      </sheetData>
      <sheetData sheetId="2" refreshError="1">
        <row r="3">
          <cell r="I3">
            <v>0.44130000000000003</v>
          </cell>
        </row>
        <row r="6">
          <cell r="I6">
            <v>55657087.107978344</v>
          </cell>
        </row>
        <row r="8">
          <cell r="I8">
            <v>104.32744278665496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>
            <v>120000000</v>
          </cell>
        </row>
        <row r="7">
          <cell r="B7">
            <v>780108.63525000005</v>
          </cell>
        </row>
        <row r="8">
          <cell r="B8">
            <v>2135000</v>
          </cell>
        </row>
        <row r="14">
          <cell r="B14">
            <v>1326255</v>
          </cell>
        </row>
        <row r="23">
          <cell r="B23">
            <v>1543634.5770198947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335752.08906329999</v>
          </cell>
        </row>
        <row r="27">
          <cell r="B27">
            <v>126120750.3013332</v>
          </cell>
        </row>
        <row r="32">
          <cell r="B32">
            <v>120000000</v>
          </cell>
        </row>
        <row r="33">
          <cell r="B33">
            <v>100000000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Base Acquisitions"/>
      <sheetName val="Explain ERG Budget Updates"/>
      <sheetName val="Diff Base Costs less v5"/>
      <sheetName val="Base Costs v5"/>
      <sheetName val="Base Costs"/>
      <sheetName val="Resources"/>
      <sheetName val="Wind Own"/>
      <sheetName val="Wind PPA"/>
      <sheetName val="Distressed CCGT &amp; DF"/>
      <sheetName val="Geothermal"/>
      <sheetName val="Hydro PPA"/>
      <sheetName val="Hydro Own"/>
      <sheetName val="LFG"/>
      <sheetName val="Pure Cost LFG"/>
      <sheetName val="IGCC"/>
      <sheetName val="LMS Ownership"/>
      <sheetName val="Tenaska Tolling"/>
      <sheetName val="New CCGT"/>
      <sheetName val="Ormat"/>
      <sheetName val="Colstrip Upgrad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68">
          <cell r="E68">
            <v>2.5000000000000001E-2</v>
          </cell>
          <cell r="J68">
            <v>4</v>
          </cell>
        </row>
        <row r="69">
          <cell r="E69">
            <v>2007</v>
          </cell>
          <cell r="J69">
            <v>14</v>
          </cell>
        </row>
        <row r="70">
          <cell r="E70">
            <v>2008</v>
          </cell>
          <cell r="J70">
            <v>21</v>
          </cell>
        </row>
        <row r="71">
          <cell r="J71">
            <v>23</v>
          </cell>
        </row>
        <row r="72">
          <cell r="J72">
            <v>28</v>
          </cell>
        </row>
        <row r="73">
          <cell r="J73">
            <v>30</v>
          </cell>
        </row>
        <row r="74">
          <cell r="J74">
            <v>32</v>
          </cell>
        </row>
        <row r="75">
          <cell r="J75">
            <v>43</v>
          </cell>
        </row>
        <row r="76">
          <cell r="J76">
            <v>44</v>
          </cell>
        </row>
        <row r="77">
          <cell r="D77">
            <v>125</v>
          </cell>
        </row>
        <row r="78">
          <cell r="D78">
            <v>74.6875</v>
          </cell>
        </row>
      </sheetData>
      <sheetData sheetId="7">
        <row r="7">
          <cell r="B7" t="str">
            <v>Nameplate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tatements"/>
      <sheetName val="General Inputs"/>
      <sheetName val="Revenue Calculation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</sheetNames>
    <sheetDataSet>
      <sheetData sheetId="0" refreshError="1"/>
      <sheetData sheetId="1">
        <row r="9">
          <cell r="E9">
            <v>252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VC Disallow by CY Q406"/>
      <sheetName val="VC Disallow by CY Q306"/>
      <sheetName val="Disallowance by Calendar Year"/>
      <sheetName val="Summary by Calendar Year"/>
      <sheetName val="Summary by PCA Period"/>
      <sheetName val="Data for Summaries==&gt;"/>
      <sheetName val="DATA"/>
      <sheetName val="Data to Update Quarterly==&gt;"/>
      <sheetName val="Quarter End Price_Gen_Cost"/>
      <sheetName val="Quarter End KW Information"/>
      <sheetName val="Hedge Data"/>
      <sheetName val="Ex D (2)"/>
      <sheetName val="2006 GRC Updates ==&gt;"/>
      <sheetName val="Ex D-1 06 GRC"/>
      <sheetName val="Tenaska 06 GRC"/>
      <sheetName val="Other Information==&gt;"/>
      <sheetName val="Fixed Rate_HR"/>
      <sheetName val="WUTC EXHIBIT B Rev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 t="str">
            <v>Period</v>
          </cell>
          <cell r="D5" t="str">
            <v>Plant HR</v>
          </cell>
          <cell r="AA5" t="str">
            <v>Amort</v>
          </cell>
          <cell r="AB5" t="str">
            <v>Asset</v>
          </cell>
        </row>
        <row r="6">
          <cell r="D6">
            <v>35796</v>
          </cell>
          <cell r="AA6">
            <v>162666.66666666666</v>
          </cell>
          <cell r="AB6">
            <v>0</v>
          </cell>
        </row>
        <row r="7">
          <cell r="D7">
            <v>35827</v>
          </cell>
          <cell r="AA7">
            <v>162666.66666666666</v>
          </cell>
          <cell r="AB7">
            <v>0</v>
          </cell>
        </row>
        <row r="8">
          <cell r="D8">
            <v>35855</v>
          </cell>
          <cell r="AA8">
            <v>162666.66666666666</v>
          </cell>
          <cell r="AB8">
            <v>0</v>
          </cell>
        </row>
        <row r="9">
          <cell r="D9">
            <v>35886</v>
          </cell>
          <cell r="AA9">
            <v>162666.66666666666</v>
          </cell>
          <cell r="AB9">
            <v>0</v>
          </cell>
        </row>
        <row r="10">
          <cell r="D10">
            <v>35916</v>
          </cell>
          <cell r="AA10">
            <v>162666.66666666666</v>
          </cell>
          <cell r="AB10">
            <v>0</v>
          </cell>
        </row>
        <row r="11">
          <cell r="D11">
            <v>35947</v>
          </cell>
          <cell r="AA11">
            <v>162666.66666666666</v>
          </cell>
          <cell r="AB11">
            <v>0</v>
          </cell>
        </row>
        <row r="12">
          <cell r="D12">
            <v>35977</v>
          </cell>
          <cell r="AA12">
            <v>162666.66666666666</v>
          </cell>
          <cell r="AB12">
            <v>0</v>
          </cell>
        </row>
        <row r="13">
          <cell r="D13">
            <v>36008</v>
          </cell>
          <cell r="AA13">
            <v>162666.66666666666</v>
          </cell>
          <cell r="AB13">
            <v>0</v>
          </cell>
        </row>
        <row r="14">
          <cell r="D14">
            <v>36039</v>
          </cell>
          <cell r="AA14">
            <v>162666.66666666666</v>
          </cell>
          <cell r="AB14">
            <v>0</v>
          </cell>
        </row>
        <row r="15">
          <cell r="D15">
            <v>36069</v>
          </cell>
          <cell r="AA15">
            <v>162666.66666666666</v>
          </cell>
          <cell r="AB15">
            <v>0</v>
          </cell>
        </row>
        <row r="16">
          <cell r="D16">
            <v>36100</v>
          </cell>
          <cell r="AA16">
            <v>162666.66666666666</v>
          </cell>
          <cell r="AB16">
            <v>0</v>
          </cell>
        </row>
        <row r="17">
          <cell r="D17">
            <v>36130</v>
          </cell>
          <cell r="AA17">
            <v>162666.66666666666</v>
          </cell>
          <cell r="AB17">
            <v>0</v>
          </cell>
        </row>
        <row r="18">
          <cell r="D18">
            <v>36161</v>
          </cell>
          <cell r="AA18">
            <v>321916.66666666669</v>
          </cell>
          <cell r="AB18">
            <v>0</v>
          </cell>
        </row>
        <row r="19">
          <cell r="D19">
            <v>36192</v>
          </cell>
          <cell r="AA19">
            <v>321916.66666666669</v>
          </cell>
          <cell r="AB19">
            <v>0</v>
          </cell>
        </row>
        <row r="20">
          <cell r="D20">
            <v>36220</v>
          </cell>
          <cell r="AA20">
            <v>321916.66666666669</v>
          </cell>
          <cell r="AB20">
            <v>0</v>
          </cell>
        </row>
        <row r="21">
          <cell r="D21">
            <v>36251</v>
          </cell>
          <cell r="AA21">
            <v>321916.66666666669</v>
          </cell>
          <cell r="AB21">
            <v>0</v>
          </cell>
        </row>
        <row r="22">
          <cell r="D22">
            <v>36281</v>
          </cell>
          <cell r="AA22">
            <v>321916.66666666669</v>
          </cell>
          <cell r="AB22">
            <v>0</v>
          </cell>
        </row>
        <row r="23">
          <cell r="D23">
            <v>36312</v>
          </cell>
          <cell r="AA23">
            <v>321916.66666666669</v>
          </cell>
          <cell r="AB23">
            <v>0</v>
          </cell>
        </row>
        <row r="24">
          <cell r="D24">
            <v>36342</v>
          </cell>
          <cell r="AA24">
            <v>321916.66666666669</v>
          </cell>
          <cell r="AB24">
            <v>0</v>
          </cell>
        </row>
        <row r="25">
          <cell r="D25">
            <v>36373</v>
          </cell>
          <cell r="AA25">
            <v>321916.66666666669</v>
          </cell>
          <cell r="AB25">
            <v>0</v>
          </cell>
        </row>
        <row r="26">
          <cell r="D26">
            <v>36404</v>
          </cell>
          <cell r="AA26">
            <v>321916.66666666669</v>
          </cell>
          <cell r="AB26">
            <v>0</v>
          </cell>
        </row>
        <row r="27">
          <cell r="D27">
            <v>36434</v>
          </cell>
          <cell r="AA27">
            <v>321916.66666666669</v>
          </cell>
          <cell r="AB27">
            <v>0</v>
          </cell>
        </row>
        <row r="28">
          <cell r="D28">
            <v>36465</v>
          </cell>
          <cell r="AA28">
            <v>321916.66666666669</v>
          </cell>
          <cell r="AB28">
            <v>0</v>
          </cell>
        </row>
        <row r="29">
          <cell r="D29">
            <v>36495</v>
          </cell>
          <cell r="AA29">
            <v>321916.66666666669</v>
          </cell>
          <cell r="AB29">
            <v>0</v>
          </cell>
        </row>
        <row r="30">
          <cell r="D30">
            <v>36526</v>
          </cell>
          <cell r="AA30">
            <v>455250</v>
          </cell>
          <cell r="AB30">
            <v>0</v>
          </cell>
        </row>
        <row r="31">
          <cell r="D31">
            <v>36557</v>
          </cell>
          <cell r="AA31">
            <v>455250</v>
          </cell>
          <cell r="AB31">
            <v>0</v>
          </cell>
        </row>
        <row r="32">
          <cell r="D32">
            <v>36586</v>
          </cell>
          <cell r="AA32">
            <v>455250</v>
          </cell>
          <cell r="AB32">
            <v>0</v>
          </cell>
        </row>
        <row r="33">
          <cell r="D33">
            <v>36617</v>
          </cell>
          <cell r="AA33">
            <v>455250</v>
          </cell>
          <cell r="AB33">
            <v>0</v>
          </cell>
        </row>
        <row r="34">
          <cell r="D34">
            <v>36647</v>
          </cell>
          <cell r="AA34">
            <v>455250</v>
          </cell>
          <cell r="AB34">
            <v>0</v>
          </cell>
        </row>
        <row r="35">
          <cell r="D35">
            <v>36678</v>
          </cell>
          <cell r="AA35">
            <v>455250</v>
          </cell>
          <cell r="AB35">
            <v>0</v>
          </cell>
        </row>
        <row r="36">
          <cell r="D36">
            <v>36708</v>
          </cell>
          <cell r="AA36">
            <v>455250</v>
          </cell>
          <cell r="AB36">
            <v>0</v>
          </cell>
        </row>
        <row r="37">
          <cell r="D37">
            <v>36739</v>
          </cell>
          <cell r="AA37">
            <v>455250</v>
          </cell>
          <cell r="AB37">
            <v>0</v>
          </cell>
        </row>
        <row r="38">
          <cell r="D38">
            <v>36770</v>
          </cell>
          <cell r="AA38">
            <v>455250</v>
          </cell>
          <cell r="AB38">
            <v>0</v>
          </cell>
        </row>
        <row r="39">
          <cell r="D39">
            <v>36800</v>
          </cell>
          <cell r="AA39">
            <v>455250</v>
          </cell>
          <cell r="AB39">
            <v>0</v>
          </cell>
        </row>
        <row r="40">
          <cell r="D40">
            <v>36831</v>
          </cell>
          <cell r="AA40">
            <v>455250</v>
          </cell>
          <cell r="AB40">
            <v>0</v>
          </cell>
        </row>
        <row r="41">
          <cell r="D41">
            <v>36861</v>
          </cell>
          <cell r="AA41">
            <v>455250</v>
          </cell>
          <cell r="AB41">
            <v>0</v>
          </cell>
        </row>
        <row r="42">
          <cell r="D42">
            <v>36892</v>
          </cell>
          <cell r="AA42">
            <v>615166.66666666663</v>
          </cell>
          <cell r="AB42">
            <v>0</v>
          </cell>
        </row>
        <row r="43">
          <cell r="D43">
            <v>36923</v>
          </cell>
          <cell r="AA43">
            <v>615166.66666666663</v>
          </cell>
          <cell r="AB43">
            <v>0</v>
          </cell>
        </row>
        <row r="44">
          <cell r="D44">
            <v>36951</v>
          </cell>
          <cell r="AA44">
            <v>615166.66666666663</v>
          </cell>
          <cell r="AB44">
            <v>0</v>
          </cell>
        </row>
        <row r="45">
          <cell r="D45">
            <v>36982</v>
          </cell>
          <cell r="AA45">
            <v>615166.66666666663</v>
          </cell>
          <cell r="AB45">
            <v>0</v>
          </cell>
        </row>
        <row r="46">
          <cell r="D46">
            <v>37012</v>
          </cell>
          <cell r="AA46">
            <v>615166.66666666663</v>
          </cell>
          <cell r="AB46">
            <v>0</v>
          </cell>
        </row>
        <row r="47">
          <cell r="D47">
            <v>37043</v>
          </cell>
          <cell r="AA47">
            <v>615166.66666666663</v>
          </cell>
          <cell r="AB47">
            <v>0</v>
          </cell>
        </row>
        <row r="48">
          <cell r="D48">
            <v>37073</v>
          </cell>
          <cell r="AA48">
            <v>615166.66666666663</v>
          </cell>
          <cell r="AB48">
            <v>0</v>
          </cell>
        </row>
        <row r="49">
          <cell r="D49">
            <v>37104</v>
          </cell>
          <cell r="AA49">
            <v>615166.66666666663</v>
          </cell>
          <cell r="AB49">
            <v>0</v>
          </cell>
        </row>
        <row r="50">
          <cell r="D50">
            <v>37135</v>
          </cell>
          <cell r="AA50">
            <v>615166.66666666663</v>
          </cell>
          <cell r="AB50">
            <v>0</v>
          </cell>
        </row>
        <row r="51">
          <cell r="D51">
            <v>37165</v>
          </cell>
          <cell r="AA51">
            <v>615166.66666666663</v>
          </cell>
          <cell r="AB51">
            <v>0</v>
          </cell>
        </row>
        <row r="52">
          <cell r="D52">
            <v>37196</v>
          </cell>
          <cell r="AA52">
            <v>615166.66666666663</v>
          </cell>
          <cell r="AB52">
            <v>0</v>
          </cell>
        </row>
        <row r="53">
          <cell r="D53">
            <v>37226</v>
          </cell>
          <cell r="AA53">
            <v>615166.66666666663</v>
          </cell>
          <cell r="AB53">
            <v>0</v>
          </cell>
        </row>
        <row r="54">
          <cell r="D54">
            <v>37257</v>
          </cell>
          <cell r="AA54">
            <v>791166.66666666663</v>
          </cell>
          <cell r="AB54">
            <v>0</v>
          </cell>
        </row>
        <row r="55">
          <cell r="D55">
            <v>37288</v>
          </cell>
          <cell r="AA55">
            <v>791166.66666666663</v>
          </cell>
          <cell r="AB55">
            <v>0</v>
          </cell>
        </row>
        <row r="56">
          <cell r="D56">
            <v>37316</v>
          </cell>
          <cell r="AA56">
            <v>791166.66666666663</v>
          </cell>
          <cell r="AB56">
            <v>0</v>
          </cell>
        </row>
        <row r="57">
          <cell r="D57">
            <v>37347</v>
          </cell>
          <cell r="AA57">
            <v>791166.66666666663</v>
          </cell>
          <cell r="AB57">
            <v>0</v>
          </cell>
        </row>
        <row r="58">
          <cell r="D58">
            <v>37377</v>
          </cell>
          <cell r="AA58">
            <v>791166.66666666663</v>
          </cell>
          <cell r="AB58">
            <v>0</v>
          </cell>
        </row>
        <row r="59">
          <cell r="D59">
            <v>37408</v>
          </cell>
          <cell r="AA59">
            <v>791166.66666666663</v>
          </cell>
          <cell r="AB59">
            <v>0</v>
          </cell>
        </row>
        <row r="60">
          <cell r="A60" t="str">
            <v>PCA1</v>
          </cell>
          <cell r="D60">
            <v>37438</v>
          </cell>
          <cell r="AA60">
            <v>791166.66666666663</v>
          </cell>
          <cell r="AB60">
            <v>2134470.865384615</v>
          </cell>
        </row>
        <row r="61">
          <cell r="A61" t="str">
            <v>PCA1</v>
          </cell>
          <cell r="D61">
            <v>37469</v>
          </cell>
          <cell r="AA61">
            <v>791166.66666666663</v>
          </cell>
          <cell r="AB61">
            <v>2134470.865384615</v>
          </cell>
        </row>
        <row r="62">
          <cell r="A62" t="str">
            <v>PCA1</v>
          </cell>
          <cell r="D62">
            <v>37500</v>
          </cell>
          <cell r="AA62">
            <v>791166.66666666663</v>
          </cell>
          <cell r="AB62">
            <v>2134470.865384615</v>
          </cell>
        </row>
        <row r="63">
          <cell r="A63" t="str">
            <v>PCA1</v>
          </cell>
          <cell r="D63">
            <v>37530</v>
          </cell>
          <cell r="AA63">
            <v>791166.66666666663</v>
          </cell>
          <cell r="AB63">
            <v>2134470.865384615</v>
          </cell>
        </row>
        <row r="64">
          <cell r="A64" t="str">
            <v>PCA1</v>
          </cell>
          <cell r="D64">
            <v>37561</v>
          </cell>
          <cell r="AA64">
            <v>791166.66666666663</v>
          </cell>
          <cell r="AB64">
            <v>2134470.865384615</v>
          </cell>
        </row>
        <row r="65">
          <cell r="A65" t="str">
            <v>PCA1</v>
          </cell>
          <cell r="D65">
            <v>37591</v>
          </cell>
          <cell r="AA65">
            <v>791166.66666666663</v>
          </cell>
          <cell r="AB65">
            <v>2134470.865384615</v>
          </cell>
        </row>
        <row r="66">
          <cell r="A66" t="str">
            <v>PCA1</v>
          </cell>
          <cell r="D66">
            <v>37622</v>
          </cell>
          <cell r="AA66">
            <v>993666.66666666663</v>
          </cell>
          <cell r="AB66">
            <v>2134470.865384615</v>
          </cell>
        </row>
        <row r="67">
          <cell r="A67" t="str">
            <v>PCA1</v>
          </cell>
          <cell r="D67">
            <v>37653</v>
          </cell>
          <cell r="AA67">
            <v>993666.66666666663</v>
          </cell>
          <cell r="AB67">
            <v>2134470.865384615</v>
          </cell>
        </row>
        <row r="68">
          <cell r="A68" t="str">
            <v>PCA1</v>
          </cell>
          <cell r="D68">
            <v>37681</v>
          </cell>
          <cell r="AA68">
            <v>993666.66666666663</v>
          </cell>
          <cell r="AB68">
            <v>2134470.865384615</v>
          </cell>
        </row>
        <row r="69">
          <cell r="A69" t="str">
            <v>PCA1</v>
          </cell>
          <cell r="D69">
            <v>37712</v>
          </cell>
          <cell r="AA69">
            <v>993666.66666666663</v>
          </cell>
          <cell r="AB69">
            <v>2134470.865384615</v>
          </cell>
        </row>
        <row r="70">
          <cell r="A70" t="str">
            <v>PCA1</v>
          </cell>
          <cell r="D70">
            <v>37742</v>
          </cell>
          <cell r="AA70">
            <v>993666.66666666663</v>
          </cell>
          <cell r="AB70">
            <v>2134470.865384615</v>
          </cell>
        </row>
        <row r="71">
          <cell r="A71" t="str">
            <v>PCA1</v>
          </cell>
          <cell r="D71">
            <v>37773</v>
          </cell>
          <cell r="AA71">
            <v>993666.66666666663</v>
          </cell>
          <cell r="AB71">
            <v>2134470.865384615</v>
          </cell>
        </row>
        <row r="72">
          <cell r="A72" t="str">
            <v>PCA2</v>
          </cell>
          <cell r="D72">
            <v>37803</v>
          </cell>
          <cell r="AA72">
            <v>993666.66666666663</v>
          </cell>
          <cell r="AB72">
            <v>2024975.5448717945</v>
          </cell>
        </row>
        <row r="73">
          <cell r="A73" t="str">
            <v>PCA2</v>
          </cell>
          <cell r="D73">
            <v>37834</v>
          </cell>
          <cell r="AA73">
            <v>993666.66666666663</v>
          </cell>
          <cell r="AB73">
            <v>2024975.5448717945</v>
          </cell>
        </row>
        <row r="74">
          <cell r="A74" t="str">
            <v>PCA2</v>
          </cell>
          <cell r="D74">
            <v>37865</v>
          </cell>
          <cell r="AA74">
            <v>993666.66666666663</v>
          </cell>
          <cell r="AB74">
            <v>2024975.5448717945</v>
          </cell>
        </row>
        <row r="75">
          <cell r="A75" t="str">
            <v>PCA2</v>
          </cell>
          <cell r="D75">
            <v>37895</v>
          </cell>
          <cell r="AA75">
            <v>993666.66666666663</v>
          </cell>
          <cell r="AB75">
            <v>2024975.5448717945</v>
          </cell>
        </row>
        <row r="76">
          <cell r="A76" t="str">
            <v>PCA2</v>
          </cell>
          <cell r="D76">
            <v>37926</v>
          </cell>
          <cell r="AA76">
            <v>993666.66666666663</v>
          </cell>
          <cell r="AB76">
            <v>2024975.5448717945</v>
          </cell>
        </row>
        <row r="77">
          <cell r="A77" t="str">
            <v>PCA2</v>
          </cell>
          <cell r="D77">
            <v>37956</v>
          </cell>
          <cell r="AA77">
            <v>993666.66666666663</v>
          </cell>
          <cell r="AB77">
            <v>2024975.5448717945</v>
          </cell>
        </row>
        <row r="78">
          <cell r="A78" t="str">
            <v>PCA2</v>
          </cell>
          <cell r="D78">
            <v>37987</v>
          </cell>
          <cell r="AA78">
            <v>1228666.6666666667</v>
          </cell>
          <cell r="AB78">
            <v>2024975.5448717945</v>
          </cell>
        </row>
        <row r="79">
          <cell r="A79" t="str">
            <v>PCA2</v>
          </cell>
          <cell r="D79">
            <v>38018</v>
          </cell>
          <cell r="AA79">
            <v>1228666.6666666667</v>
          </cell>
          <cell r="AB79">
            <v>2024975.5448717945</v>
          </cell>
        </row>
        <row r="80">
          <cell r="A80" t="str">
            <v>PCA2</v>
          </cell>
          <cell r="D80">
            <v>38047</v>
          </cell>
          <cell r="AA80">
            <v>1228666.6666666667</v>
          </cell>
          <cell r="AB80">
            <v>2024975.5448717945</v>
          </cell>
        </row>
        <row r="81">
          <cell r="A81" t="str">
            <v>PCA2</v>
          </cell>
          <cell r="D81">
            <v>38078</v>
          </cell>
          <cell r="AA81">
            <v>1228666.6666666667</v>
          </cell>
          <cell r="AB81">
            <v>2024975.5448717945</v>
          </cell>
        </row>
        <row r="82">
          <cell r="A82" t="str">
            <v>PCA2</v>
          </cell>
          <cell r="D82">
            <v>38108</v>
          </cell>
          <cell r="AA82">
            <v>1228666.6666666667</v>
          </cell>
          <cell r="AB82">
            <v>2024975.5448717945</v>
          </cell>
        </row>
        <row r="83">
          <cell r="A83" t="str">
            <v>PCA2</v>
          </cell>
          <cell r="D83">
            <v>38139</v>
          </cell>
          <cell r="AA83">
            <v>1228666.6666666667</v>
          </cell>
          <cell r="AB83">
            <v>2024975.5448717945</v>
          </cell>
        </row>
        <row r="84">
          <cell r="A84" t="str">
            <v>PCA3</v>
          </cell>
          <cell r="D84">
            <v>38169</v>
          </cell>
          <cell r="AA84">
            <v>1228666.6666666667</v>
          </cell>
          <cell r="AB84">
            <v>1832056.2379375959</v>
          </cell>
        </row>
        <row r="85">
          <cell r="A85" t="str">
            <v>PCA3</v>
          </cell>
          <cell r="D85">
            <v>38200</v>
          </cell>
          <cell r="AA85">
            <v>1228666.6666666667</v>
          </cell>
          <cell r="AB85">
            <v>1832056.2379375959</v>
          </cell>
        </row>
        <row r="86">
          <cell r="A86" t="str">
            <v>PCA3</v>
          </cell>
          <cell r="D86">
            <v>38231</v>
          </cell>
          <cell r="AA86">
            <v>1228666.6666666667</v>
          </cell>
          <cell r="AB86">
            <v>1832056.2379375959</v>
          </cell>
        </row>
        <row r="87">
          <cell r="A87" t="str">
            <v>PCA3</v>
          </cell>
          <cell r="D87">
            <v>38261</v>
          </cell>
          <cell r="AA87">
            <v>1228666.6666666667</v>
          </cell>
          <cell r="AB87">
            <v>1832056.2379375959</v>
          </cell>
        </row>
        <row r="88">
          <cell r="A88" t="str">
            <v>PCA3</v>
          </cell>
          <cell r="D88">
            <v>38292</v>
          </cell>
          <cell r="AA88">
            <v>1228666.6666666667</v>
          </cell>
          <cell r="AB88">
            <v>1832056.2379375959</v>
          </cell>
        </row>
        <row r="89">
          <cell r="A89" t="str">
            <v>PCA3</v>
          </cell>
          <cell r="D89">
            <v>38322</v>
          </cell>
          <cell r="AA89">
            <v>1228666.6666666667</v>
          </cell>
          <cell r="AB89">
            <v>1832056.2379375959</v>
          </cell>
        </row>
        <row r="90">
          <cell r="A90" t="str">
            <v>PCA3</v>
          </cell>
          <cell r="D90">
            <v>38353</v>
          </cell>
          <cell r="AA90">
            <v>1492333.3333333333</v>
          </cell>
          <cell r="AB90">
            <v>1832056.2379375959</v>
          </cell>
        </row>
        <row r="91">
          <cell r="A91" t="str">
            <v>PCA3</v>
          </cell>
          <cell r="D91">
            <v>38384</v>
          </cell>
          <cell r="AA91">
            <v>1492333.3333333333</v>
          </cell>
          <cell r="AB91">
            <v>1832056.2379375959</v>
          </cell>
        </row>
        <row r="92">
          <cell r="A92" t="str">
            <v>PCA3</v>
          </cell>
          <cell r="D92">
            <v>38412</v>
          </cell>
          <cell r="AA92">
            <v>1492333.3333333333</v>
          </cell>
          <cell r="AB92">
            <v>1832056.2379375959</v>
          </cell>
        </row>
        <row r="93">
          <cell r="A93" t="str">
            <v>PCA3</v>
          </cell>
          <cell r="D93">
            <v>38443</v>
          </cell>
          <cell r="AA93">
            <v>1492333.3333333333</v>
          </cell>
          <cell r="AB93">
            <v>1832056.2379375959</v>
          </cell>
        </row>
        <row r="94">
          <cell r="A94" t="str">
            <v>PCA3</v>
          </cell>
          <cell r="D94">
            <v>38473</v>
          </cell>
          <cell r="AA94">
            <v>1492333.3333333333</v>
          </cell>
          <cell r="AB94">
            <v>1832056.2379375959</v>
          </cell>
        </row>
        <row r="95">
          <cell r="A95" t="str">
            <v>PCA3</v>
          </cell>
          <cell r="D95">
            <v>38504</v>
          </cell>
          <cell r="AA95">
            <v>1492333.3333333333</v>
          </cell>
          <cell r="AB95">
            <v>1832056.2379375959</v>
          </cell>
        </row>
        <row r="96">
          <cell r="A96" t="str">
            <v>PCA4</v>
          </cell>
          <cell r="D96">
            <v>38534</v>
          </cell>
          <cell r="AA96">
            <v>1492333.3333333333</v>
          </cell>
          <cell r="AB96">
            <v>1556853.596153846</v>
          </cell>
        </row>
        <row r="97">
          <cell r="A97" t="str">
            <v>PCA4</v>
          </cell>
          <cell r="D97">
            <v>38565</v>
          </cell>
          <cell r="AA97">
            <v>1492333.3333333333</v>
          </cell>
          <cell r="AB97">
            <v>1556853.596153846</v>
          </cell>
        </row>
        <row r="98">
          <cell r="A98" t="str">
            <v>PCA4</v>
          </cell>
          <cell r="D98">
            <v>38596</v>
          </cell>
          <cell r="AA98">
            <v>1492333.3333333333</v>
          </cell>
          <cell r="AB98">
            <v>1556853.596153846</v>
          </cell>
        </row>
        <row r="99">
          <cell r="A99" t="str">
            <v>PCA4</v>
          </cell>
          <cell r="D99">
            <v>38626</v>
          </cell>
          <cell r="AA99">
            <v>1492333.3333333333</v>
          </cell>
          <cell r="AB99">
            <v>1556853.596153846</v>
          </cell>
        </row>
        <row r="100">
          <cell r="A100" t="str">
            <v>PCA4</v>
          </cell>
          <cell r="D100">
            <v>38657</v>
          </cell>
          <cell r="AA100">
            <v>1492333.3333333333</v>
          </cell>
          <cell r="AB100">
            <v>1556853.596153846</v>
          </cell>
        </row>
        <row r="101">
          <cell r="A101" t="str">
            <v>PCA4</v>
          </cell>
          <cell r="D101">
            <v>38687</v>
          </cell>
          <cell r="AA101">
            <v>1492333.3333333333</v>
          </cell>
          <cell r="AB101">
            <v>1556853.596153846</v>
          </cell>
        </row>
        <row r="102">
          <cell r="A102" t="str">
            <v>PCA4</v>
          </cell>
          <cell r="D102">
            <v>38718</v>
          </cell>
          <cell r="AA102">
            <v>1717916.6666666667</v>
          </cell>
          <cell r="AB102">
            <v>1556853.5961538462</v>
          </cell>
        </row>
        <row r="103">
          <cell r="A103" t="str">
            <v>PCA4</v>
          </cell>
          <cell r="D103">
            <v>38749</v>
          </cell>
          <cell r="AA103">
            <v>1717916.6666666667</v>
          </cell>
          <cell r="AB103">
            <v>1556853.5961538462</v>
          </cell>
        </row>
        <row r="104">
          <cell r="A104" t="str">
            <v>PCA4</v>
          </cell>
          <cell r="D104">
            <v>38777</v>
          </cell>
          <cell r="AA104">
            <v>1717916.6666666667</v>
          </cell>
          <cell r="AB104">
            <v>1556853.5961538462</v>
          </cell>
        </row>
        <row r="105">
          <cell r="A105" t="str">
            <v>PCA4</v>
          </cell>
          <cell r="D105">
            <v>38808</v>
          </cell>
          <cell r="AA105">
            <v>1717916.6666666667</v>
          </cell>
          <cell r="AB105">
            <v>1556853.5961538462</v>
          </cell>
        </row>
        <row r="106">
          <cell r="A106" t="str">
            <v>PCA4</v>
          </cell>
          <cell r="D106">
            <v>38838</v>
          </cell>
          <cell r="AA106">
            <v>1717916.6666666667</v>
          </cell>
          <cell r="AB106">
            <v>1556853.5961538462</v>
          </cell>
        </row>
        <row r="107">
          <cell r="A107" t="str">
            <v>PCA4</v>
          </cell>
          <cell r="D107">
            <v>38869</v>
          </cell>
          <cell r="AA107">
            <v>1717916.6666666667</v>
          </cell>
          <cell r="AB107">
            <v>1556853.5961538462</v>
          </cell>
        </row>
        <row r="108">
          <cell r="A108" t="str">
            <v>PCA5</v>
          </cell>
          <cell r="D108">
            <v>38899</v>
          </cell>
          <cell r="AA108">
            <v>1717916.6666666667</v>
          </cell>
          <cell r="AB108">
            <v>1428617.02991453</v>
          </cell>
        </row>
        <row r="109">
          <cell r="A109" t="str">
            <v>PCA5</v>
          </cell>
          <cell r="D109">
            <v>38930</v>
          </cell>
          <cell r="AA109">
            <v>1717916.6666666667</v>
          </cell>
          <cell r="AB109">
            <v>1428617.02991453</v>
          </cell>
        </row>
        <row r="110">
          <cell r="A110" t="str">
            <v>PCA5</v>
          </cell>
          <cell r="D110">
            <v>38961</v>
          </cell>
          <cell r="AA110">
            <v>1717916.6666666667</v>
          </cell>
          <cell r="AB110">
            <v>1428617.02991453</v>
          </cell>
        </row>
        <row r="111">
          <cell r="A111" t="str">
            <v>PCA5</v>
          </cell>
          <cell r="D111">
            <v>38991</v>
          </cell>
          <cell r="AA111">
            <v>1717916.6666666667</v>
          </cell>
          <cell r="AB111">
            <v>1428617.02991453</v>
          </cell>
        </row>
        <row r="112">
          <cell r="A112" t="str">
            <v>PCA5</v>
          </cell>
          <cell r="D112">
            <v>39022</v>
          </cell>
          <cell r="AA112">
            <v>1717916.6666666667</v>
          </cell>
          <cell r="AB112">
            <v>1428617.02991453</v>
          </cell>
        </row>
        <row r="113">
          <cell r="A113" t="str">
            <v>PCA5</v>
          </cell>
          <cell r="D113">
            <v>39052</v>
          </cell>
          <cell r="AA113">
            <v>1717916.6666666667</v>
          </cell>
          <cell r="AB113">
            <v>1428617.02991453</v>
          </cell>
        </row>
        <row r="114">
          <cell r="A114" t="str">
            <v>PCA6</v>
          </cell>
          <cell r="D114">
            <v>39083</v>
          </cell>
          <cell r="AA114">
            <v>2028583.333333333</v>
          </cell>
          <cell r="AB114">
            <v>1290107.9611248989</v>
          </cell>
        </row>
        <row r="115">
          <cell r="A115" t="str">
            <v>PCA6</v>
          </cell>
          <cell r="D115">
            <v>39114</v>
          </cell>
          <cell r="AA115">
            <v>2028583.333333333</v>
          </cell>
          <cell r="AB115">
            <v>1293654.4871794893</v>
          </cell>
        </row>
        <row r="116">
          <cell r="A116" t="str">
            <v>PCA6</v>
          </cell>
          <cell r="D116">
            <v>39142</v>
          </cell>
          <cell r="AA116">
            <v>2028583.333333333</v>
          </cell>
          <cell r="AB116">
            <v>1293654.4871794893</v>
          </cell>
        </row>
        <row r="117">
          <cell r="A117" t="str">
            <v>PCA6</v>
          </cell>
          <cell r="D117">
            <v>39173</v>
          </cell>
          <cell r="AA117">
            <v>2028583.333333333</v>
          </cell>
          <cell r="AB117">
            <v>1293654.4871794893</v>
          </cell>
        </row>
        <row r="118">
          <cell r="A118" t="str">
            <v>PCA6</v>
          </cell>
          <cell r="D118">
            <v>39203</v>
          </cell>
          <cell r="AA118">
            <v>2028583.333333333</v>
          </cell>
          <cell r="AB118">
            <v>1293654.4871794893</v>
          </cell>
        </row>
        <row r="119">
          <cell r="A119" t="str">
            <v>PCA6</v>
          </cell>
          <cell r="D119">
            <v>39234</v>
          </cell>
          <cell r="AA119">
            <v>2028583.333333333</v>
          </cell>
          <cell r="AB119">
            <v>1293654.4871794893</v>
          </cell>
        </row>
        <row r="120">
          <cell r="A120" t="str">
            <v>PCA6</v>
          </cell>
          <cell r="D120">
            <v>39264</v>
          </cell>
          <cell r="AA120">
            <v>2028583.333333333</v>
          </cell>
          <cell r="AB120">
            <v>1293654.4871794893</v>
          </cell>
        </row>
        <row r="121">
          <cell r="A121" t="str">
            <v>PCA6</v>
          </cell>
          <cell r="D121">
            <v>39295</v>
          </cell>
          <cell r="AA121">
            <v>2028583.333333333</v>
          </cell>
          <cell r="AB121">
            <v>1293654.4871794893</v>
          </cell>
        </row>
        <row r="122">
          <cell r="A122" t="str">
            <v>PCA6</v>
          </cell>
          <cell r="D122">
            <v>39326</v>
          </cell>
          <cell r="AA122">
            <v>2028583.333333333</v>
          </cell>
          <cell r="AB122">
            <v>1293654.4871794893</v>
          </cell>
        </row>
        <row r="123">
          <cell r="A123" t="str">
            <v>PCA6</v>
          </cell>
          <cell r="D123">
            <v>39356</v>
          </cell>
          <cell r="AA123">
            <v>2028583.333333333</v>
          </cell>
          <cell r="AB123">
            <v>1293654.4871794893</v>
          </cell>
        </row>
        <row r="124">
          <cell r="A124" t="str">
            <v>PCA6</v>
          </cell>
          <cell r="D124">
            <v>39387</v>
          </cell>
          <cell r="AA124">
            <v>2028583.333333333</v>
          </cell>
          <cell r="AB124">
            <v>1293654.4871794893</v>
          </cell>
        </row>
        <row r="125">
          <cell r="A125" t="str">
            <v>PCA6</v>
          </cell>
          <cell r="D125">
            <v>39417</v>
          </cell>
          <cell r="AA125">
            <v>2028583.333333333</v>
          </cell>
          <cell r="AB125">
            <v>1293654.4871794893</v>
          </cell>
        </row>
        <row r="126">
          <cell r="A126" t="str">
            <v>PCA7</v>
          </cell>
          <cell r="D126">
            <v>39448</v>
          </cell>
          <cell r="AA126">
            <v>2356000</v>
          </cell>
          <cell r="AB126">
            <v>1069694.0897435911</v>
          </cell>
        </row>
        <row r="127">
          <cell r="A127" t="str">
            <v>PCA7</v>
          </cell>
          <cell r="D127">
            <v>39479</v>
          </cell>
          <cell r="AA127">
            <v>2356000</v>
          </cell>
          <cell r="AB127">
            <v>1069694.0897435911</v>
          </cell>
        </row>
        <row r="128">
          <cell r="A128" t="str">
            <v>PCA7</v>
          </cell>
          <cell r="D128">
            <v>39508</v>
          </cell>
          <cell r="AA128">
            <v>2356000</v>
          </cell>
          <cell r="AB128">
            <v>1069694.0897435911</v>
          </cell>
        </row>
        <row r="129">
          <cell r="A129" t="str">
            <v>PCA7</v>
          </cell>
          <cell r="D129">
            <v>39539</v>
          </cell>
          <cell r="AA129">
            <v>2356000</v>
          </cell>
          <cell r="AB129">
            <v>1069694.0897435911</v>
          </cell>
        </row>
        <row r="130">
          <cell r="A130" t="str">
            <v>PCA7</v>
          </cell>
          <cell r="D130">
            <v>39569</v>
          </cell>
          <cell r="AA130">
            <v>2356000</v>
          </cell>
          <cell r="AB130">
            <v>1069694.0897435911</v>
          </cell>
        </row>
        <row r="131">
          <cell r="A131" t="str">
            <v>PCA7</v>
          </cell>
          <cell r="D131">
            <v>39600</v>
          </cell>
          <cell r="AA131">
            <v>2356000</v>
          </cell>
          <cell r="AB131">
            <v>1069694.0897435911</v>
          </cell>
        </row>
        <row r="132">
          <cell r="A132" t="str">
            <v>PCA7</v>
          </cell>
          <cell r="D132">
            <v>39630</v>
          </cell>
          <cell r="AA132">
            <v>2356000</v>
          </cell>
          <cell r="AB132">
            <v>1069694.0897435911</v>
          </cell>
        </row>
        <row r="133">
          <cell r="A133" t="str">
            <v>PCA7</v>
          </cell>
          <cell r="D133">
            <v>39661</v>
          </cell>
          <cell r="AA133">
            <v>2356000</v>
          </cell>
          <cell r="AB133">
            <v>1069694.0897435911</v>
          </cell>
        </row>
        <row r="134">
          <cell r="A134" t="str">
            <v>PCA7</v>
          </cell>
          <cell r="D134">
            <v>39692</v>
          </cell>
          <cell r="AA134">
            <v>2356000</v>
          </cell>
          <cell r="AB134">
            <v>1069694.0897435911</v>
          </cell>
        </row>
        <row r="135">
          <cell r="A135" t="str">
            <v>PCA7</v>
          </cell>
          <cell r="D135">
            <v>39722</v>
          </cell>
          <cell r="AA135">
            <v>2356000</v>
          </cell>
          <cell r="AB135">
            <v>1069694.0897435911</v>
          </cell>
        </row>
        <row r="136">
          <cell r="A136" t="str">
            <v>PCA7</v>
          </cell>
          <cell r="D136">
            <v>39753</v>
          </cell>
          <cell r="AA136">
            <v>2356000</v>
          </cell>
          <cell r="AB136">
            <v>1069694.0897435911</v>
          </cell>
        </row>
        <row r="137">
          <cell r="A137" t="str">
            <v>PCA7</v>
          </cell>
          <cell r="D137">
            <v>39783</v>
          </cell>
          <cell r="AA137">
            <v>2356000</v>
          </cell>
          <cell r="AB137">
            <v>1069694.0897435911</v>
          </cell>
        </row>
        <row r="138">
          <cell r="A138" t="str">
            <v>PCA8</v>
          </cell>
          <cell r="D138">
            <v>39814</v>
          </cell>
          <cell r="AA138">
            <v>2723000</v>
          </cell>
          <cell r="AB138">
            <v>810266.24358974502</v>
          </cell>
        </row>
        <row r="139">
          <cell r="A139" t="str">
            <v>PCA8</v>
          </cell>
          <cell r="D139">
            <v>39845</v>
          </cell>
          <cell r="AA139">
            <v>2723000</v>
          </cell>
          <cell r="AB139">
            <v>810266.24358974502</v>
          </cell>
        </row>
        <row r="140">
          <cell r="A140" t="str">
            <v>PCA8</v>
          </cell>
          <cell r="D140">
            <v>39873</v>
          </cell>
          <cell r="AA140">
            <v>2723000</v>
          </cell>
          <cell r="AB140">
            <v>810266.24358974502</v>
          </cell>
        </row>
        <row r="141">
          <cell r="A141" t="str">
            <v>PCA8</v>
          </cell>
          <cell r="D141">
            <v>39904</v>
          </cell>
          <cell r="AA141">
            <v>2723000</v>
          </cell>
          <cell r="AB141">
            <v>810266.24358974502</v>
          </cell>
        </row>
        <row r="142">
          <cell r="A142" t="str">
            <v>PCA8</v>
          </cell>
          <cell r="D142">
            <v>39934</v>
          </cell>
          <cell r="AA142">
            <v>2723000</v>
          </cell>
          <cell r="AB142">
            <v>810266.24358974502</v>
          </cell>
        </row>
        <row r="143">
          <cell r="A143" t="str">
            <v>PCA8</v>
          </cell>
          <cell r="D143">
            <v>39965</v>
          </cell>
          <cell r="AA143">
            <v>2723000</v>
          </cell>
          <cell r="AB143">
            <v>810266.24358974502</v>
          </cell>
        </row>
        <row r="144">
          <cell r="A144" t="str">
            <v>PCA8</v>
          </cell>
          <cell r="D144">
            <v>39995</v>
          </cell>
          <cell r="AA144">
            <v>2723000</v>
          </cell>
          <cell r="AB144">
            <v>810266.24358974502</v>
          </cell>
        </row>
        <row r="145">
          <cell r="A145" t="str">
            <v>PCA8</v>
          </cell>
          <cell r="D145">
            <v>40026</v>
          </cell>
          <cell r="AA145">
            <v>2723000</v>
          </cell>
          <cell r="AB145">
            <v>810266.24358974502</v>
          </cell>
        </row>
        <row r="146">
          <cell r="A146" t="str">
            <v>PCA8</v>
          </cell>
          <cell r="D146">
            <v>40057</v>
          </cell>
          <cell r="AA146">
            <v>2723000</v>
          </cell>
          <cell r="AB146">
            <v>810266.24358974502</v>
          </cell>
        </row>
        <row r="147">
          <cell r="A147" t="str">
            <v>PCA8</v>
          </cell>
          <cell r="D147">
            <v>40087</v>
          </cell>
          <cell r="AA147">
            <v>2723000</v>
          </cell>
          <cell r="AB147">
            <v>810266.24358974502</v>
          </cell>
        </row>
        <row r="148">
          <cell r="A148" t="str">
            <v>PCA8</v>
          </cell>
          <cell r="D148">
            <v>40118</v>
          </cell>
          <cell r="AA148">
            <v>2723000</v>
          </cell>
          <cell r="AB148">
            <v>810266.24358974502</v>
          </cell>
        </row>
        <row r="149">
          <cell r="A149" t="str">
            <v>PCA8</v>
          </cell>
          <cell r="D149">
            <v>40148</v>
          </cell>
          <cell r="AA149">
            <v>2723000</v>
          </cell>
          <cell r="AB149">
            <v>810266.24358974502</v>
          </cell>
        </row>
        <row r="150">
          <cell r="A150" t="str">
            <v>PCA9</v>
          </cell>
          <cell r="D150">
            <v>40179</v>
          </cell>
          <cell r="AA150">
            <v>3127750</v>
          </cell>
          <cell r="AB150">
            <v>511415.53846153949</v>
          </cell>
        </row>
        <row r="151">
          <cell r="A151" t="str">
            <v>PCA9</v>
          </cell>
          <cell r="D151">
            <v>40210</v>
          </cell>
          <cell r="AA151">
            <v>3127750</v>
          </cell>
          <cell r="AB151">
            <v>511415.53846153949</v>
          </cell>
        </row>
        <row r="152">
          <cell r="A152" t="str">
            <v>PCA9</v>
          </cell>
          <cell r="D152">
            <v>40238</v>
          </cell>
          <cell r="AA152">
            <v>3127750</v>
          </cell>
          <cell r="AB152">
            <v>511415.53846153949</v>
          </cell>
        </row>
        <row r="153">
          <cell r="A153" t="str">
            <v>PCA9</v>
          </cell>
          <cell r="D153">
            <v>40269</v>
          </cell>
          <cell r="AA153">
            <v>3127750</v>
          </cell>
          <cell r="AB153">
            <v>511415.53846153949</v>
          </cell>
        </row>
        <row r="154">
          <cell r="A154" t="str">
            <v>PCA9</v>
          </cell>
          <cell r="D154">
            <v>40299</v>
          </cell>
          <cell r="AA154">
            <v>3127750</v>
          </cell>
          <cell r="AB154">
            <v>511415.53846153949</v>
          </cell>
        </row>
        <row r="155">
          <cell r="A155" t="str">
            <v>PCA9</v>
          </cell>
          <cell r="D155">
            <v>40330</v>
          </cell>
          <cell r="AA155">
            <v>3127750</v>
          </cell>
          <cell r="AB155">
            <v>511415.53846153949</v>
          </cell>
        </row>
        <row r="156">
          <cell r="A156" t="str">
            <v>PCA9</v>
          </cell>
          <cell r="D156">
            <v>40360</v>
          </cell>
          <cell r="AA156">
            <v>3127750</v>
          </cell>
          <cell r="AB156">
            <v>511415.53846153949</v>
          </cell>
        </row>
        <row r="157">
          <cell r="A157" t="str">
            <v>PCA9</v>
          </cell>
          <cell r="D157">
            <v>40391</v>
          </cell>
          <cell r="AA157">
            <v>3127750</v>
          </cell>
          <cell r="AB157">
            <v>511415.53846153949</v>
          </cell>
        </row>
        <row r="158">
          <cell r="A158" t="str">
            <v>PCA9</v>
          </cell>
          <cell r="D158">
            <v>40422</v>
          </cell>
          <cell r="AA158">
            <v>3127750</v>
          </cell>
          <cell r="AB158">
            <v>511415.53846153949</v>
          </cell>
        </row>
        <row r="159">
          <cell r="A159" t="str">
            <v>PCA9</v>
          </cell>
          <cell r="D159">
            <v>40452</v>
          </cell>
          <cell r="AA159">
            <v>3127750</v>
          </cell>
          <cell r="AB159">
            <v>511415.53846153949</v>
          </cell>
        </row>
        <row r="160">
          <cell r="A160" t="str">
            <v>PCA9</v>
          </cell>
          <cell r="D160">
            <v>40483</v>
          </cell>
          <cell r="AA160">
            <v>3127750</v>
          </cell>
          <cell r="AB160">
            <v>511415.53846153949</v>
          </cell>
        </row>
        <row r="161">
          <cell r="A161" t="str">
            <v>PCA9</v>
          </cell>
          <cell r="D161">
            <v>40513</v>
          </cell>
          <cell r="AA161">
            <v>3127750</v>
          </cell>
          <cell r="AB161">
            <v>511415.53846153949</v>
          </cell>
        </row>
        <row r="162">
          <cell r="A162" t="str">
            <v>PCA10</v>
          </cell>
          <cell r="D162">
            <v>40544</v>
          </cell>
          <cell r="AA162">
            <v>3385750</v>
          </cell>
          <cell r="AB162">
            <v>177837.32692307807</v>
          </cell>
        </row>
        <row r="163">
          <cell r="A163" t="str">
            <v>PCA10</v>
          </cell>
          <cell r="D163">
            <v>40575</v>
          </cell>
          <cell r="AA163">
            <v>3385750</v>
          </cell>
          <cell r="AB163">
            <v>177837.32692307807</v>
          </cell>
        </row>
        <row r="164">
          <cell r="A164" t="str">
            <v>PCA10</v>
          </cell>
          <cell r="D164">
            <v>40603</v>
          </cell>
          <cell r="AA164">
            <v>3385750</v>
          </cell>
          <cell r="AB164">
            <v>177837.32692307807</v>
          </cell>
        </row>
        <row r="165">
          <cell r="A165" t="str">
            <v>PCA10</v>
          </cell>
          <cell r="D165">
            <v>40634</v>
          </cell>
          <cell r="AA165">
            <v>3385750</v>
          </cell>
          <cell r="AB165">
            <v>177837.32692307807</v>
          </cell>
        </row>
        <row r="166">
          <cell r="A166" t="str">
            <v>PCA10</v>
          </cell>
          <cell r="D166">
            <v>40664</v>
          </cell>
          <cell r="AA166">
            <v>3385750</v>
          </cell>
          <cell r="AB166">
            <v>177837.32692307807</v>
          </cell>
        </row>
        <row r="167">
          <cell r="A167" t="str">
            <v>PCA10</v>
          </cell>
          <cell r="D167">
            <v>40695</v>
          </cell>
          <cell r="AA167">
            <v>3385750</v>
          </cell>
          <cell r="AB167">
            <v>177837.32692307807</v>
          </cell>
        </row>
        <row r="168">
          <cell r="A168" t="str">
            <v>PCA10</v>
          </cell>
          <cell r="D168">
            <v>40725</v>
          </cell>
          <cell r="AA168">
            <v>3385750</v>
          </cell>
          <cell r="AB168">
            <v>177837.32692307807</v>
          </cell>
        </row>
        <row r="169">
          <cell r="A169" t="str">
            <v>PCA10</v>
          </cell>
          <cell r="D169">
            <v>40756</v>
          </cell>
          <cell r="AA169">
            <v>3385750</v>
          </cell>
          <cell r="AB169">
            <v>177837.32692307807</v>
          </cell>
        </row>
        <row r="170">
          <cell r="A170" t="str">
            <v>PCA10</v>
          </cell>
          <cell r="D170">
            <v>40787</v>
          </cell>
          <cell r="AA170">
            <v>3385750</v>
          </cell>
          <cell r="AB170">
            <v>177837.32692307807</v>
          </cell>
        </row>
        <row r="171">
          <cell r="A171" t="str">
            <v>PCA10</v>
          </cell>
          <cell r="D171">
            <v>40817</v>
          </cell>
          <cell r="AA171">
            <v>3385750</v>
          </cell>
          <cell r="AB171">
            <v>177837.32692307807</v>
          </cell>
        </row>
        <row r="172">
          <cell r="A172" t="str">
            <v>PCA10</v>
          </cell>
          <cell r="D172">
            <v>40848</v>
          </cell>
          <cell r="AA172">
            <v>3385750</v>
          </cell>
          <cell r="AB172">
            <v>177837.32692307807</v>
          </cell>
        </row>
        <row r="173">
          <cell r="A173" t="str">
            <v>PCA10</v>
          </cell>
          <cell r="D173">
            <v>40878</v>
          </cell>
          <cell r="AA173">
            <v>3385750</v>
          </cell>
          <cell r="AB173">
            <v>177837.32692307807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New PPAs Contracts"/>
      <sheetName val="#REF"/>
    </sheetNames>
    <sheetDataSet>
      <sheetData sheetId="0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/>
      <sheetData sheetId="10"/>
      <sheetData sheetId="11">
        <row r="3">
          <cell r="D3" t="str">
            <v>New Turbines</v>
          </cell>
          <cell r="E3">
            <v>411918.4</v>
          </cell>
          <cell r="F3">
            <v>370358.8</v>
          </cell>
          <cell r="G3">
            <v>344087.2</v>
          </cell>
          <cell r="H3">
            <v>152119.1</v>
          </cell>
          <cell r="I3">
            <v>44211.8</v>
          </cell>
          <cell r="J3">
            <v>65110.3</v>
          </cell>
          <cell r="K3">
            <v>695084.7</v>
          </cell>
          <cell r="L3">
            <v>865240.8</v>
          </cell>
          <cell r="M3">
            <v>1058853.3999999999</v>
          </cell>
          <cell r="N3">
            <v>1394295.8</v>
          </cell>
          <cell r="O3">
            <v>982691.7</v>
          </cell>
          <cell r="P3">
            <v>899082.1</v>
          </cell>
        </row>
        <row r="4">
          <cell r="D4" t="str">
            <v>Colstrip 1&amp;2</v>
          </cell>
          <cell r="E4">
            <v>1011118.3</v>
          </cell>
          <cell r="F4">
            <v>913268.2</v>
          </cell>
          <cell r="G4">
            <v>1011118.3</v>
          </cell>
          <cell r="H4">
            <v>878330.4</v>
          </cell>
          <cell r="I4">
            <v>537748.30000000005</v>
          </cell>
          <cell r="J4">
            <v>619351.19999999995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1502210.4</v>
          </cell>
          <cell r="F5">
            <v>1356835.2</v>
          </cell>
          <cell r="G5">
            <v>921295.2</v>
          </cell>
          <cell r="H5">
            <v>723673.5</v>
          </cell>
          <cell r="I5">
            <v>1406904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3370940.2373833801</v>
          </cell>
          <cell r="F6">
            <v>2990430.0593619202</v>
          </cell>
          <cell r="G6">
            <v>3264615.20652476</v>
          </cell>
          <cell r="H6">
            <v>2565083.6710455702</v>
          </cell>
          <cell r="I6">
            <v>2071943.7297099</v>
          </cell>
          <cell r="J6">
            <v>2269514.7588315201</v>
          </cell>
          <cell r="K6">
            <v>3622147.63539617</v>
          </cell>
          <cell r="L6">
            <v>3894503.07977683</v>
          </cell>
          <cell r="M6">
            <v>3851761.3834458501</v>
          </cell>
          <cell r="N6">
            <v>3765543.64583212</v>
          </cell>
          <cell r="O6">
            <v>3425510.3199360101</v>
          </cell>
          <cell r="P6">
            <v>3389330.1502818</v>
          </cell>
        </row>
        <row r="7">
          <cell r="D7" t="str">
            <v>CT Total Fuel for Load</v>
          </cell>
          <cell r="E7">
            <v>900650.5</v>
          </cell>
          <cell r="F7">
            <v>816320.4</v>
          </cell>
          <cell r="G7">
            <v>698844.6</v>
          </cell>
          <cell r="H7">
            <v>338325.4</v>
          </cell>
          <cell r="I7">
            <v>0</v>
          </cell>
          <cell r="J7">
            <v>80498.399999999994</v>
          </cell>
          <cell r="K7">
            <v>2167492</v>
          </cell>
          <cell r="L7">
            <v>2902999.7</v>
          </cell>
          <cell r="M7">
            <v>3743705.4</v>
          </cell>
          <cell r="N7">
            <v>5289093.4000000004</v>
          </cell>
          <cell r="O7">
            <v>3360040.8</v>
          </cell>
          <cell r="P7">
            <v>2783205.2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164500</v>
          </cell>
          <cell r="F9">
            <v>144100</v>
          </cell>
          <cell r="G9">
            <v>129600</v>
          </cell>
          <cell r="H9">
            <v>115600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86800</v>
          </cell>
          <cell r="N9">
            <v>104800</v>
          </cell>
          <cell r="O9">
            <v>139900</v>
          </cell>
          <cell r="P9">
            <v>189400</v>
          </cell>
        </row>
        <row r="10">
          <cell r="D10" t="str">
            <v>BPA Snohomish Conservation</v>
          </cell>
          <cell r="E10">
            <v>310600</v>
          </cell>
          <cell r="F10">
            <v>281900</v>
          </cell>
          <cell r="G10">
            <v>310600</v>
          </cell>
          <cell r="H10">
            <v>302800</v>
          </cell>
          <cell r="I10">
            <v>310600</v>
          </cell>
          <cell r="J10">
            <v>300100</v>
          </cell>
          <cell r="K10">
            <v>310600</v>
          </cell>
          <cell r="L10">
            <v>313200</v>
          </cell>
          <cell r="M10">
            <v>297500</v>
          </cell>
          <cell r="N10">
            <v>313200</v>
          </cell>
          <cell r="O10">
            <v>300100</v>
          </cell>
          <cell r="P10">
            <v>308000</v>
          </cell>
        </row>
        <row r="11">
          <cell r="D11" t="str">
            <v>Capacity Purchase</v>
          </cell>
          <cell r="E11">
            <v>1643761</v>
          </cell>
          <cell r="F11">
            <v>1543261</v>
          </cell>
          <cell r="G11">
            <v>718300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2619761</v>
          </cell>
          <cell r="P11">
            <v>3901761</v>
          </cell>
        </row>
        <row r="12">
          <cell r="D12" t="str">
            <v>CSPE</v>
          </cell>
          <cell r="E12">
            <v>0</v>
          </cell>
          <cell r="F12">
            <v>0</v>
          </cell>
          <cell r="G12">
            <v>0</v>
          </cell>
        </row>
        <row r="13">
          <cell r="D13" t="str">
            <v>Mid-Columbia</v>
          </cell>
          <cell r="E13">
            <v>5919207.4006818654</v>
          </cell>
          <cell r="F13">
            <v>5833285.5704054506</v>
          </cell>
          <cell r="G13">
            <v>7003827.6602652092</v>
          </cell>
          <cell r="H13">
            <v>6007029.2470523799</v>
          </cell>
          <cell r="I13">
            <v>7264500.7798634181</v>
          </cell>
          <cell r="J13">
            <v>18673362.797216538</v>
          </cell>
          <cell r="K13">
            <v>5935161.583685115</v>
          </cell>
          <cell r="L13">
            <v>6263462.6582967173</v>
          </cell>
          <cell r="M13">
            <v>5624115.019626379</v>
          </cell>
          <cell r="N13">
            <v>5484387.7208060818</v>
          </cell>
          <cell r="O13">
            <v>5903328.2998628253</v>
          </cell>
          <cell r="P13">
            <v>11950850.683238013</v>
          </cell>
        </row>
        <row r="14">
          <cell r="D14" t="str">
            <v>MPC Firm Contract</v>
          </cell>
          <cell r="E14">
            <v>2820480.8</v>
          </cell>
          <cell r="F14">
            <v>2790652.8</v>
          </cell>
          <cell r="G14">
            <v>2694862.8</v>
          </cell>
          <cell r="H14">
            <v>2651859.7999999998</v>
          </cell>
          <cell r="I14">
            <v>2809869.8</v>
          </cell>
          <cell r="J14">
            <v>2822083.8</v>
          </cell>
          <cell r="K14">
            <v>2833000.8</v>
          </cell>
          <cell r="L14">
            <v>2832264.8</v>
          </cell>
          <cell r="M14">
            <v>2819849.8</v>
          </cell>
          <cell r="N14">
            <v>2830662.8</v>
          </cell>
          <cell r="O14">
            <v>2818408.8</v>
          </cell>
          <cell r="P14">
            <v>2829422.8</v>
          </cell>
        </row>
        <row r="15">
          <cell r="D15" t="str">
            <v>North Wasco</v>
          </cell>
          <cell r="E15">
            <v>226700</v>
          </cell>
          <cell r="F15">
            <v>219800</v>
          </cell>
          <cell r="G15">
            <v>265500</v>
          </cell>
          <cell r="H15">
            <v>142400</v>
          </cell>
          <cell r="I15">
            <v>151800</v>
          </cell>
          <cell r="J15">
            <v>146700</v>
          </cell>
          <cell r="K15">
            <v>156900</v>
          </cell>
          <cell r="L15">
            <v>155700</v>
          </cell>
          <cell r="M15">
            <v>278500</v>
          </cell>
          <cell r="N15">
            <v>290700</v>
          </cell>
          <cell r="O15">
            <v>271000</v>
          </cell>
          <cell r="P15">
            <v>152400</v>
          </cell>
        </row>
        <row r="16">
          <cell r="D16" t="str">
            <v>PG&amp;E Exchange Storage Acctg</v>
          </cell>
          <cell r="E16">
            <v>3331600</v>
          </cell>
          <cell r="F16">
            <v>3010000</v>
          </cell>
          <cell r="G16">
            <v>0</v>
          </cell>
          <cell r="H16">
            <v>0</v>
          </cell>
          <cell r="I16">
            <v>0</v>
          </cell>
          <cell r="J16">
            <v>-409100</v>
          </cell>
          <cell r="K16">
            <v>-2523000</v>
          </cell>
          <cell r="L16">
            <v>-6684400</v>
          </cell>
          <cell r="M16">
            <v>-5311300</v>
          </cell>
          <cell r="N16">
            <v>0</v>
          </cell>
          <cell r="O16">
            <v>3398100</v>
          </cell>
          <cell r="P16">
            <v>5188100</v>
          </cell>
        </row>
        <row r="17">
          <cell r="D17" t="str">
            <v>PPL Contract 15 yr</v>
          </cell>
          <cell r="E17">
            <v>5005948</v>
          </cell>
          <cell r="F17">
            <v>4809028</v>
          </cell>
          <cell r="G17">
            <v>5002582</v>
          </cell>
          <cell r="H17">
            <v>4633492</v>
          </cell>
          <cell r="I17">
            <v>4608544</v>
          </cell>
          <cell r="J17">
            <v>4574560</v>
          </cell>
          <cell r="K17">
            <v>4934614</v>
          </cell>
          <cell r="L17">
            <v>4800752</v>
          </cell>
          <cell r="M17">
            <v>4845986</v>
          </cell>
          <cell r="N17">
            <v>5075431</v>
          </cell>
        </row>
        <row r="18">
          <cell r="D18" t="str">
            <v>QF Koma Kulshan Hydro</v>
          </cell>
          <cell r="E18">
            <v>121324.4</v>
          </cell>
          <cell r="F18">
            <v>9952.4</v>
          </cell>
          <cell r="G18">
            <v>37639.5</v>
          </cell>
          <cell r="H18">
            <v>101020.5</v>
          </cell>
          <cell r="I18">
            <v>268140.79999999999</v>
          </cell>
          <cell r="J18">
            <v>649798.80000000005</v>
          </cell>
          <cell r="K18">
            <v>511552</v>
          </cell>
          <cell r="L18">
            <v>249242</v>
          </cell>
          <cell r="M18">
            <v>84612.800000000003</v>
          </cell>
          <cell r="N18">
            <v>130730.2</v>
          </cell>
          <cell r="O18">
            <v>296733.59999999998</v>
          </cell>
          <cell r="P18">
            <v>200792.9</v>
          </cell>
        </row>
        <row r="19">
          <cell r="D19" t="str">
            <v>QF March Point Cogen Phase 1</v>
          </cell>
          <cell r="E19">
            <v>3856236.1</v>
          </cell>
          <cell r="F19">
            <v>3408265.5</v>
          </cell>
          <cell r="G19">
            <v>3856236.1</v>
          </cell>
          <cell r="H19">
            <v>2579943.1</v>
          </cell>
          <cell r="I19">
            <v>2178598.7999999998</v>
          </cell>
          <cell r="J19">
            <v>2669091.1</v>
          </cell>
          <cell r="K19">
            <v>2758060.8</v>
          </cell>
          <cell r="L19">
            <v>2704572</v>
          </cell>
          <cell r="M19">
            <v>3731841.4</v>
          </cell>
          <cell r="N19">
            <v>3856236.1</v>
          </cell>
          <cell r="O19">
            <v>3731841.4</v>
          </cell>
          <cell r="P19">
            <v>3856236.1</v>
          </cell>
        </row>
        <row r="20">
          <cell r="D20" t="str">
            <v>QF March Point Cogen Phase 2</v>
          </cell>
          <cell r="E20">
            <v>2710446.6</v>
          </cell>
          <cell r="F20">
            <v>2429709.7000000002</v>
          </cell>
          <cell r="G20">
            <v>2743890.5</v>
          </cell>
          <cell r="H20">
            <v>2082557.8</v>
          </cell>
          <cell r="I20">
            <v>1960919.3</v>
          </cell>
          <cell r="J20">
            <v>2185705.7000000002</v>
          </cell>
          <cell r="K20">
            <v>2267192.1</v>
          </cell>
          <cell r="L20">
            <v>2260928</v>
          </cell>
          <cell r="M20">
            <v>2770483.9</v>
          </cell>
          <cell r="N20">
            <v>2894028.5</v>
          </cell>
          <cell r="O20">
            <v>2700476.4</v>
          </cell>
          <cell r="P20">
            <v>2757416.2</v>
          </cell>
        </row>
        <row r="21">
          <cell r="D21" t="str">
            <v>QF Port Townsend Hydro</v>
          </cell>
          <cell r="E21">
            <v>8363.7000000000007</v>
          </cell>
          <cell r="F21">
            <v>7198.6</v>
          </cell>
          <cell r="G21">
            <v>6979.9</v>
          </cell>
          <cell r="H21">
            <v>5651.5</v>
          </cell>
          <cell r="I21">
            <v>4926.8</v>
          </cell>
          <cell r="J21">
            <v>5548.4</v>
          </cell>
          <cell r="K21">
            <v>7065.6</v>
          </cell>
          <cell r="L21">
            <v>8242.1</v>
          </cell>
          <cell r="M21">
            <v>5804</v>
          </cell>
          <cell r="N21">
            <v>4936.3</v>
          </cell>
          <cell r="O21">
            <v>5002.3999999999996</v>
          </cell>
          <cell r="P21">
            <v>5550.4</v>
          </cell>
        </row>
        <row r="22">
          <cell r="D22" t="str">
            <v>QF Shipp Hutch Creek</v>
          </cell>
          <cell r="E22">
            <v>5493.1</v>
          </cell>
          <cell r="F22">
            <v>0</v>
          </cell>
          <cell r="G22">
            <v>2192.5</v>
          </cell>
          <cell r="H22">
            <v>3706.7</v>
          </cell>
          <cell r="I22">
            <v>5664.9</v>
          </cell>
          <cell r="J22">
            <v>10116.9</v>
          </cell>
          <cell r="K22">
            <v>7634.1</v>
          </cell>
          <cell r="L22">
            <v>7607.9</v>
          </cell>
          <cell r="M22">
            <v>0</v>
          </cell>
          <cell r="N22">
            <v>1134.2</v>
          </cell>
          <cell r="O22">
            <v>8583.4</v>
          </cell>
          <cell r="P22">
            <v>2611.5</v>
          </cell>
        </row>
        <row r="23">
          <cell r="D23" t="str">
            <v>QF PERC Puyallup</v>
          </cell>
          <cell r="E23">
            <v>76703.600000000006</v>
          </cell>
          <cell r="F23">
            <v>70152.100000000006</v>
          </cell>
          <cell r="G23">
            <v>73610.8</v>
          </cell>
          <cell r="H23">
            <v>60795.3</v>
          </cell>
          <cell r="I23">
            <v>59394.7</v>
          </cell>
          <cell r="J23">
            <v>58534.9</v>
          </cell>
          <cell r="K23">
            <v>71394.399999999994</v>
          </cell>
          <cell r="L23">
            <v>75496.2</v>
          </cell>
          <cell r="M23">
            <v>76480.600000000006</v>
          </cell>
          <cell r="N23">
            <v>79299.3</v>
          </cell>
          <cell r="O23">
            <v>77030.899999999994</v>
          </cell>
          <cell r="P23">
            <v>78061.3</v>
          </cell>
        </row>
        <row r="24">
          <cell r="D24" t="str">
            <v>QF Spokane MSW</v>
          </cell>
          <cell r="E24">
            <v>1290503.2</v>
          </cell>
          <cell r="F24">
            <v>827732.3</v>
          </cell>
          <cell r="G24">
            <v>1328254.1000000001</v>
          </cell>
          <cell r="H24">
            <v>821873.7</v>
          </cell>
          <cell r="I24">
            <v>770446.9</v>
          </cell>
          <cell r="J24">
            <v>783303.6</v>
          </cell>
          <cell r="K24">
            <v>758163.1</v>
          </cell>
          <cell r="L24">
            <v>811690.2</v>
          </cell>
          <cell r="M24">
            <v>1319307.3999999999</v>
          </cell>
          <cell r="N24">
            <v>1063032.3</v>
          </cell>
          <cell r="O24">
            <v>1312703.3</v>
          </cell>
          <cell r="P24">
            <v>1351526.7</v>
          </cell>
        </row>
        <row r="25">
          <cell r="D25" t="str">
            <v>QF Sumas</v>
          </cell>
          <cell r="E25">
            <v>6921465.7000000002</v>
          </cell>
          <cell r="F25">
            <v>6091341.2000000002</v>
          </cell>
          <cell r="G25">
            <v>6917109.4000000004</v>
          </cell>
          <cell r="H25">
            <v>3934434.4</v>
          </cell>
          <cell r="I25">
            <v>3873968.6</v>
          </cell>
          <cell r="J25">
            <v>3435414.8</v>
          </cell>
          <cell r="K25">
            <v>5107774.2</v>
          </cell>
          <cell r="L25">
            <v>5404617.5999999996</v>
          </cell>
          <cell r="M25">
            <v>7485468.7000000002</v>
          </cell>
          <cell r="N25">
            <v>7534459.7999999998</v>
          </cell>
          <cell r="O25">
            <v>6822689.7999999998</v>
          </cell>
          <cell r="P25">
            <v>6843202.7999999998</v>
          </cell>
        </row>
        <row r="26">
          <cell r="D26" t="str">
            <v>QF Sygitowicz</v>
          </cell>
          <cell r="E26">
            <v>11587.5</v>
          </cell>
          <cell r="F26">
            <v>12926.5</v>
          </cell>
          <cell r="G26">
            <v>13132.5</v>
          </cell>
          <cell r="H26">
            <v>9373</v>
          </cell>
          <cell r="I26">
            <v>4120</v>
          </cell>
          <cell r="J26">
            <v>1802.5</v>
          </cell>
          <cell r="K26">
            <v>669.5</v>
          </cell>
          <cell r="L26">
            <v>51.5</v>
          </cell>
          <cell r="M26">
            <v>360.5</v>
          </cell>
          <cell r="N26">
            <v>2523.5</v>
          </cell>
          <cell r="O26">
            <v>6077</v>
          </cell>
          <cell r="P26">
            <v>10557.5</v>
          </cell>
        </row>
        <row r="27">
          <cell r="D27" t="str">
            <v>QF Tenaska</v>
          </cell>
          <cell r="E27">
            <v>11192767.199999999</v>
          </cell>
          <cell r="F27">
            <v>9875802.9000000004</v>
          </cell>
          <cell r="G27">
            <v>10832995</v>
          </cell>
          <cell r="H27">
            <v>8996303.1999999993</v>
          </cell>
          <cell r="I27">
            <v>980007.2</v>
          </cell>
          <cell r="J27">
            <v>8475232.6999999993</v>
          </cell>
          <cell r="K27">
            <v>11055821.1</v>
          </cell>
          <cell r="L27">
            <v>11683312.6</v>
          </cell>
          <cell r="M27">
            <v>11488916.5</v>
          </cell>
          <cell r="N27">
            <v>11453445.699999999</v>
          </cell>
          <cell r="O27">
            <v>11069403.199999999</v>
          </cell>
          <cell r="P27">
            <v>11223437.5</v>
          </cell>
        </row>
        <row r="28">
          <cell r="D28" t="str">
            <v>QF Twin Falls</v>
          </cell>
          <cell r="E28">
            <v>568595.5</v>
          </cell>
          <cell r="F28">
            <v>512372.7</v>
          </cell>
          <cell r="G28">
            <v>507027.3</v>
          </cell>
          <cell r="H28">
            <v>606784.1</v>
          </cell>
          <cell r="I28">
            <v>839734.1</v>
          </cell>
          <cell r="J28">
            <v>726668.2</v>
          </cell>
          <cell r="K28">
            <v>309354.5</v>
          </cell>
          <cell r="L28">
            <v>43186.400000000001</v>
          </cell>
          <cell r="M28">
            <v>14175</v>
          </cell>
          <cell r="N28">
            <v>145002.29999999999</v>
          </cell>
          <cell r="O28">
            <v>368795.5</v>
          </cell>
          <cell r="P28">
            <v>604288.6</v>
          </cell>
        </row>
        <row r="29">
          <cell r="D29" t="str">
            <v>QF Weeks Falls</v>
          </cell>
          <cell r="E29">
            <v>86835</v>
          </cell>
          <cell r="F29">
            <v>89125.9</v>
          </cell>
          <cell r="G29">
            <v>77757.3</v>
          </cell>
          <cell r="H29">
            <v>104026.4</v>
          </cell>
          <cell r="I29">
            <v>160430.5</v>
          </cell>
          <cell r="J29">
            <v>142217.70000000001</v>
          </cell>
          <cell r="K29">
            <v>56749.1</v>
          </cell>
          <cell r="L29">
            <v>21259.1</v>
          </cell>
          <cell r="M29">
            <v>868.6</v>
          </cell>
          <cell r="N29">
            <v>25591.4</v>
          </cell>
          <cell r="O29">
            <v>68860.899999999994</v>
          </cell>
          <cell r="P29">
            <v>106851.8</v>
          </cell>
        </row>
        <row r="30">
          <cell r="D30" t="str">
            <v>Supplemental Entitl Cap</v>
          </cell>
          <cell r="E30">
            <v>8000</v>
          </cell>
          <cell r="F30">
            <v>8000</v>
          </cell>
          <cell r="G30">
            <v>8000</v>
          </cell>
        </row>
        <row r="31">
          <cell r="D31" t="str">
            <v>WNP-3 BPA Exchange Power</v>
          </cell>
          <cell r="E31">
            <v>2251800</v>
          </cell>
          <cell r="F31">
            <v>2034700</v>
          </cell>
          <cell r="G31">
            <v>1111700</v>
          </cell>
          <cell r="H31">
            <v>1076700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2201200</v>
          </cell>
          <cell r="P31">
            <v>2274300</v>
          </cell>
        </row>
        <row r="32">
          <cell r="D32" t="str">
            <v>WWP Contract 15 yr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 t="str">
            <v>WNP3 Return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 t="str">
            <v>Secondary Purchase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Secondary Sales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Broker Fees</v>
          </cell>
          <cell r="E36">
            <v>23237.833333333299</v>
          </cell>
          <cell r="F36">
            <v>23237.833333333299</v>
          </cell>
          <cell r="G36">
            <v>23237.833333333299</v>
          </cell>
          <cell r="H36">
            <v>23237.833333333299</v>
          </cell>
          <cell r="I36">
            <v>23237.833333333299</v>
          </cell>
          <cell r="J36">
            <v>23237.833333333299</v>
          </cell>
          <cell r="K36">
            <v>23237.833333333299</v>
          </cell>
          <cell r="L36">
            <v>23237.833333333299</v>
          </cell>
          <cell r="M36">
            <v>23237.833333333299</v>
          </cell>
          <cell r="N36">
            <v>23237.833333333299</v>
          </cell>
          <cell r="O36">
            <v>23237.833333333299</v>
          </cell>
          <cell r="P36">
            <v>23237.833333333299</v>
          </cell>
        </row>
        <row r="37">
          <cell r="D37" t="str">
            <v>Interchange</v>
          </cell>
          <cell r="E37">
            <v>-350000</v>
          </cell>
          <cell r="F37">
            <v>-350000</v>
          </cell>
          <cell r="G37">
            <v>-350000</v>
          </cell>
          <cell r="H37">
            <v>-350000</v>
          </cell>
          <cell r="I37">
            <v>-350000</v>
          </cell>
          <cell r="J37">
            <v>-350000</v>
          </cell>
          <cell r="K37">
            <v>-350000</v>
          </cell>
          <cell r="L37">
            <v>-350000</v>
          </cell>
          <cell r="M37">
            <v>-350000</v>
          </cell>
          <cell r="N37">
            <v>-350000</v>
          </cell>
          <cell r="O37">
            <v>-350000</v>
          </cell>
          <cell r="P37">
            <v>-350000</v>
          </cell>
        </row>
        <row r="38">
          <cell r="D38" t="str">
            <v>Wheeling by Others</v>
          </cell>
          <cell r="E38">
            <v>3264587.78</v>
          </cell>
          <cell r="F38">
            <v>3373572.94</v>
          </cell>
          <cell r="G38">
            <v>3264346.28</v>
          </cell>
          <cell r="H38">
            <v>3306435.57</v>
          </cell>
          <cell r="I38">
            <v>3276770.3149999999</v>
          </cell>
          <cell r="J38">
            <v>3261664.62</v>
          </cell>
          <cell r="K38">
            <v>3444121.7749999999</v>
          </cell>
          <cell r="L38">
            <v>3614644.63</v>
          </cell>
          <cell r="M38">
            <v>3661700.07</v>
          </cell>
          <cell r="N38">
            <v>3439359.057</v>
          </cell>
          <cell r="O38">
            <v>3455758.2804999999</v>
          </cell>
          <cell r="P38">
            <v>3394513.0085</v>
          </cell>
        </row>
        <row r="39">
          <cell r="D39" t="str">
            <v>Colstrip 1&amp;2 Fixed Coal</v>
          </cell>
          <cell r="E39">
            <v>215252.7</v>
          </cell>
          <cell r="F39">
            <v>215252.7</v>
          </cell>
          <cell r="G39">
            <v>215252.7</v>
          </cell>
          <cell r="H39">
            <v>215252.7</v>
          </cell>
          <cell r="I39">
            <v>215252.7</v>
          </cell>
          <cell r="J39">
            <v>215252.7</v>
          </cell>
          <cell r="K39">
            <v>215252.7</v>
          </cell>
          <cell r="L39">
            <v>215252.7</v>
          </cell>
          <cell r="M39">
            <v>215252.7</v>
          </cell>
          <cell r="N39">
            <v>215252.7</v>
          </cell>
          <cell r="O39">
            <v>215252.7</v>
          </cell>
          <cell r="P39">
            <v>215252.7</v>
          </cell>
        </row>
        <row r="40">
          <cell r="D40" t="str">
            <v>Colstrip 3&amp;4 Fixed Coal</v>
          </cell>
          <cell r="E40">
            <v>284082.40000000002</v>
          </cell>
          <cell r="F40">
            <v>284082.40000000002</v>
          </cell>
          <cell r="G40">
            <v>284082.40000000002</v>
          </cell>
          <cell r="H40">
            <v>284082.40000000002</v>
          </cell>
          <cell r="I40">
            <v>284082.40000000002</v>
          </cell>
          <cell r="J40">
            <v>284082.40000000002</v>
          </cell>
          <cell r="K40">
            <v>284082.40000000002</v>
          </cell>
          <cell r="L40">
            <v>284082.40000000002</v>
          </cell>
          <cell r="M40">
            <v>284082.40000000002</v>
          </cell>
          <cell r="N40">
            <v>284082.40000000002</v>
          </cell>
          <cell r="O40">
            <v>284082.40000000002</v>
          </cell>
          <cell r="P40">
            <v>284082.40000000002</v>
          </cell>
        </row>
        <row r="41">
          <cell r="D41" t="str">
            <v>New Turbines Fixed Fuel</v>
          </cell>
          <cell r="E41">
            <v>13729</v>
          </cell>
          <cell r="F41">
            <v>13729</v>
          </cell>
          <cell r="G41">
            <v>13729</v>
          </cell>
          <cell r="H41">
            <v>13729</v>
          </cell>
          <cell r="I41">
            <v>13729</v>
          </cell>
          <cell r="J41">
            <v>13729</v>
          </cell>
          <cell r="K41">
            <v>13729</v>
          </cell>
          <cell r="L41">
            <v>13729</v>
          </cell>
          <cell r="M41">
            <v>13729</v>
          </cell>
          <cell r="N41">
            <v>13729</v>
          </cell>
          <cell r="O41">
            <v>13729</v>
          </cell>
          <cell r="P41">
            <v>13729</v>
          </cell>
        </row>
        <row r="42">
          <cell r="D42" t="str">
            <v>CT Pipeline</v>
          </cell>
          <cell r="E42">
            <v>127928.2</v>
          </cell>
          <cell r="F42">
            <v>127928.2</v>
          </cell>
          <cell r="G42">
            <v>127928.2</v>
          </cell>
          <cell r="H42">
            <v>127928.2</v>
          </cell>
          <cell r="I42">
            <v>127928.2</v>
          </cell>
          <cell r="J42">
            <v>127928.2</v>
          </cell>
          <cell r="K42">
            <v>127928.2</v>
          </cell>
          <cell r="L42">
            <v>127928.2</v>
          </cell>
          <cell r="M42">
            <v>127928.2</v>
          </cell>
          <cell r="N42">
            <v>127928.2</v>
          </cell>
          <cell r="O42">
            <v>127928.2</v>
          </cell>
          <cell r="P42">
            <v>127928.2</v>
          </cell>
        </row>
        <row r="43">
          <cell r="D43" t="str">
            <v>Shaping &amp; Transmission Arb</v>
          </cell>
          <cell r="E43">
            <v>-333333</v>
          </cell>
          <cell r="F43">
            <v>-333333</v>
          </cell>
          <cell r="G43">
            <v>-333333</v>
          </cell>
          <cell r="H43">
            <v>-333333</v>
          </cell>
          <cell r="I43">
            <v>-333333</v>
          </cell>
          <cell r="J43">
            <v>-333333</v>
          </cell>
          <cell r="K43">
            <v>-333333</v>
          </cell>
          <cell r="L43">
            <v>-333333</v>
          </cell>
          <cell r="M43">
            <v>-333333</v>
          </cell>
          <cell r="N43">
            <v>-333333</v>
          </cell>
          <cell r="O43">
            <v>-333333</v>
          </cell>
          <cell r="P43">
            <v>-333333</v>
          </cell>
        </row>
        <row r="44">
          <cell r="D44" t="str">
            <v>MEGA Benefits</v>
          </cell>
          <cell r="E44">
            <v>11979.166666666701</v>
          </cell>
          <cell r="F44">
            <v>11979.166666666701</v>
          </cell>
          <cell r="G44">
            <v>11979.166666666701</v>
          </cell>
          <cell r="H44">
            <v>11979.166666666701</v>
          </cell>
          <cell r="I44">
            <v>11979.166666666701</v>
          </cell>
          <cell r="J44">
            <v>11979.166666666701</v>
          </cell>
          <cell r="K44">
            <v>11979.166666666701</v>
          </cell>
          <cell r="L44">
            <v>11979.166666666701</v>
          </cell>
          <cell r="M44">
            <v>11979.166666666701</v>
          </cell>
          <cell r="N44">
            <v>11979.166666666701</v>
          </cell>
          <cell r="O44">
            <v>11979.166666666701</v>
          </cell>
          <cell r="P44">
            <v>11979.166666666701</v>
          </cell>
        </row>
        <row r="45">
          <cell r="D45" t="str">
            <v>Hedging Costs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 t="str">
            <v>Contract Restructure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 t="str">
            <v>Douglas Settlement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-3844895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BEP Amort</v>
          </cell>
          <cell r="E48">
            <v>293885</v>
          </cell>
          <cell r="F48">
            <v>293885</v>
          </cell>
          <cell r="G48">
            <v>293885</v>
          </cell>
          <cell r="H48">
            <v>293885</v>
          </cell>
          <cell r="I48">
            <v>293885</v>
          </cell>
          <cell r="J48">
            <v>293885</v>
          </cell>
          <cell r="K48">
            <v>293885</v>
          </cell>
          <cell r="L48">
            <v>293885</v>
          </cell>
          <cell r="M48">
            <v>293885</v>
          </cell>
          <cell r="N48">
            <v>293885</v>
          </cell>
          <cell r="O48">
            <v>293885</v>
          </cell>
          <cell r="P48">
            <v>293885</v>
          </cell>
        </row>
        <row r="49">
          <cell r="D49" t="str">
            <v>Other Power Costs</v>
          </cell>
          <cell r="E49">
            <v>590706.53333333298</v>
          </cell>
          <cell r="F49">
            <v>590706.53333333298</v>
          </cell>
          <cell r="G49">
            <v>590706.53333333298</v>
          </cell>
          <cell r="H49">
            <v>590706.53333333298</v>
          </cell>
          <cell r="I49">
            <v>590706.53333333298</v>
          </cell>
          <cell r="J49">
            <v>590706.53333333298</v>
          </cell>
          <cell r="K49">
            <v>590706.53333333298</v>
          </cell>
          <cell r="L49">
            <v>590706.53333333298</v>
          </cell>
          <cell r="M49">
            <v>590706.53333333298</v>
          </cell>
          <cell r="N49">
            <v>590706.53333333298</v>
          </cell>
          <cell r="O49">
            <v>590706.53333333298</v>
          </cell>
          <cell r="P49">
            <v>590706.53333333298</v>
          </cell>
        </row>
        <row r="50">
          <cell r="D50" t="str">
            <v>NonCore Gas</v>
          </cell>
          <cell r="E50">
            <v>7595</v>
          </cell>
          <cell r="F50">
            <v>-64540</v>
          </cell>
          <cell r="G50">
            <v>48670</v>
          </cell>
          <cell r="H50">
            <v>-53400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7">
          <cell r="A77" t="str">
            <v>Line 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PPXLFunctions"/>
      <sheetName val="PPXLSaveData0"/>
      <sheetName val="PPXLOpen"/>
      <sheetName val="Cover"/>
      <sheetName val="2.26"/>
      <sheetName val="Ex D"/>
      <sheetName val="Ex D-1"/>
      <sheetName val="ERB"/>
      <sheetName val="Cabot "/>
      <sheetName val="Cabot.Backup"/>
      <sheetName val="Tenaska"/>
      <sheetName val="Tenaska.Backup"/>
      <sheetName val="BEP"/>
      <sheetName val="WR Relic"/>
      <sheetName val="WRPC"/>
      <sheetName val="WR.DFIT.Backup"/>
      <sheetName val="Canwest Liab"/>
      <sheetName val="HR"/>
      <sheetName val="BS"/>
      <sheetName val="Rate"/>
      <sheetName val="Timeline"/>
      <sheetName val="Tax.WR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Combined ROE Matrix"/>
      <sheetName val="ROE matrix"/>
      <sheetName val="Ex A-1 PCR"/>
      <sheetName val="557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I Debt from AR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Title Page"/>
      <sheetName val="Pro Forma Income Statement"/>
      <sheetName val="Pro Forma IS Summary"/>
      <sheetName val="BS-INPUT"/>
      <sheetName val="CF-Input"/>
      <sheetName val="Assumptions (Input)"/>
      <sheetName val="Crystal Ball In Out"/>
      <sheetName val="Sensitivity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NIM Summary"/>
      <sheetName val="NIM Summary wo WH"/>
      <sheetName val="Amort Summary"/>
      <sheetName val="Prices"/>
      <sheetName val="Transmission"/>
      <sheetName val="DA Wind"/>
      <sheetName val="Fred1"/>
      <sheetName val="Peaking Costs"/>
      <sheetName val="MiDC Capacity Calc"/>
      <sheetName val="Peaking Summary"/>
      <sheetName val="Exch 2007Calc"/>
      <sheetName val="Exch winter 2005-2006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557 TYE 9.30.05"/>
      <sheetName val="CPP_Payments 8.02.05"/>
      <sheetName val="BEP TYE9.30.05"/>
      <sheetName val="Wild Horse GRC"/>
      <sheetName val="Hopkins Ridge GRC"/>
      <sheetName val="Douglas Stlmt"/>
      <sheetName val="MidC"/>
      <sheetName val="MidC Debt"/>
      <sheetName val="Rocky Reach"/>
      <sheetName val="Rock Island 1"/>
      <sheetName val="Rock Island 2"/>
      <sheetName val="Peaking Recon"/>
      <sheetName val="Exch 2007Costs"/>
      <sheetName val="Hopkins Ridge"/>
      <sheetName val="Forecast Adjustment"/>
      <sheetName val="Pt Roberts"/>
      <sheetName val="Peaking Capacity"/>
      <sheetName val="Historical Oil Run"/>
      <sheetName val="Oil Cost diff MWhs GRC"/>
      <sheetName val="Winter Peak 2005-2006"/>
      <sheetName val="Colstrip 1&amp;2 GRC"/>
      <sheetName val="Colstrip 3&amp;4 GRC"/>
      <sheetName val="Winter Summary"/>
      <sheetName val="Estimate for wheeling"/>
      <sheetName val="#REF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R1_Budget"/>
      <sheetName val="R2_Budget"/>
      <sheetName val="Lookup_Tbl"/>
      <sheetName val="Rock_Island_1"/>
      <sheetName val="Rock_Island_2"/>
      <sheetName val="55 Series_JunPmt-OLD"/>
      <sheetName val="RI1 55 - 97B"/>
      <sheetName val="RI 1&amp;2 97AB"/>
      <sheetName val="2001A_RI1_Estimate"/>
      <sheetName val="2001A_RI2_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JHS-4"/>
      <sheetName val="JHS-4 Adjstmts"/>
      <sheetName val="JHS-5"/>
      <sheetName val="JHS-5 compare"/>
      <sheetName val="JHS-5 Ex A-2 (TRB)"/>
      <sheetName val="JHS-5 Ex A-3 (C)"/>
      <sheetName val="JHS-5 Ex A-4 (ProdAdj)"/>
      <sheetName val="JHS-5 Ex A-5 (PwrCsts)"/>
      <sheetName val="JHS-5 Ex D"/>
      <sheetName val="JHS-6"/>
      <sheetName val="Golden-RevReq"/>
      <sheetName val="DWH-4"/>
      <sheetName val="Pwr Csts"/>
      <sheetName val="RY Pwr Cst"/>
      <sheetName val="PC TY"/>
      <sheetName val="(C) Production OM"/>
      <sheetName val="PC Recon"/>
      <sheetName val="Beg Prod Plant"/>
      <sheetName val="Beg Prod Ratebase"/>
      <sheetName val="EB&amp;Taxes"/>
      <sheetName val="557"/>
      <sheetName val="ProdFctr"/>
      <sheetName val="Rlfwd"/>
      <sheetName val="Diff"/>
      <sheetName val="JHS-4 Orig"/>
      <sheetName val="JHS-6 Change"/>
      <sheetName val="Change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</sheetNames>
    <sheetDataSet>
      <sheetData sheetId="0">
        <row r="11">
          <cell r="B11">
            <v>38315912.890000001</v>
          </cell>
          <cell r="D11">
            <v>38617570.920000002</v>
          </cell>
        </row>
        <row r="35">
          <cell r="B35">
            <v>3291140.23</v>
          </cell>
          <cell r="D35">
            <v>2850009.59</v>
          </cell>
        </row>
      </sheetData>
      <sheetData sheetId="1" refreshError="1"/>
      <sheetData sheetId="2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1">
          <cell r="B11">
            <v>11862537</v>
          </cell>
        </row>
      </sheetData>
      <sheetData sheetId="28"/>
      <sheetData sheetId="29"/>
      <sheetData sheetId="3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</sheetNames>
    <sheetDataSet>
      <sheetData sheetId="0"/>
      <sheetData sheetId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Cn0003b_contractstatus"/>
      <sheetName val="Sheet1"/>
      <sheetName val="Sheet2"/>
    </sheetNames>
    <sheetDataSet>
      <sheetData sheetId="0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Trans RB Exh. A-2"/>
      <sheetName val="Plant Balances"/>
      <sheetName val="Accum. Deprec."/>
      <sheetName val="FERCAdj.line 48"/>
      <sheetName val="DFIT"/>
      <sheetName val="DFIT.Colstrip T &amp; D.Mike"/>
      <sheetName val="Transmission 2005"/>
      <sheetName val="Transmission 2004"/>
      <sheetName val="BS"/>
      <sheetName val="Sheet1"/>
      <sheetName val="DWNLD"/>
      <sheetName val="3_2005 Colstrip T&amp;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ch 1"/>
      <sheetName val="Sch 2"/>
      <sheetName val="Sch 3"/>
      <sheetName val="Sch 4"/>
    </sheetNames>
    <sheetDataSet>
      <sheetData sheetId="0">
        <row r="15">
          <cell r="M15">
            <v>3.8489380648006181E-3</v>
          </cell>
        </row>
        <row r="16">
          <cell r="M16">
            <v>7.1024260699737475E-3</v>
          </cell>
        </row>
        <row r="17">
          <cell r="M17">
            <v>5.2652410752813115E-4</v>
          </cell>
        </row>
        <row r="24">
          <cell r="M24">
            <v>1.3582173721775391E-2</v>
          </cell>
        </row>
        <row r="25">
          <cell r="M25">
            <v>9.4273848300467742E-4</v>
          </cell>
        </row>
        <row r="26">
          <cell r="M26">
            <v>5.9810976991835698E-5</v>
          </cell>
        </row>
        <row r="27">
          <cell r="M27">
            <v>1.2344282406967125E-2</v>
          </cell>
        </row>
        <row r="28">
          <cell r="M28">
            <v>8.0930491144882988E-3</v>
          </cell>
        </row>
        <row r="29">
          <cell r="M29">
            <v>1.6336073396993792E-2</v>
          </cell>
        </row>
        <row r="30">
          <cell r="M30">
            <v>2.1036738990308616E-2</v>
          </cell>
        </row>
        <row r="31">
          <cell r="M31">
            <v>1.972504582048952E-2</v>
          </cell>
        </row>
        <row r="32">
          <cell r="M32">
            <v>2.285484710719015E-2</v>
          </cell>
        </row>
        <row r="33">
          <cell r="M33">
            <v>2.9936067471713297E-2</v>
          </cell>
        </row>
        <row r="34">
          <cell r="M34">
            <v>1.7363170504586339E-2</v>
          </cell>
        </row>
        <row r="35">
          <cell r="M35">
            <v>9.488944240231785E-3</v>
          </cell>
        </row>
        <row r="42">
          <cell r="M42">
            <v>2.859463213598579E-2</v>
          </cell>
        </row>
        <row r="43">
          <cell r="M43">
            <v>3.1469769231644469E-2</v>
          </cell>
        </row>
        <row r="44">
          <cell r="M44">
            <v>3.0173839683684162E-2</v>
          </cell>
        </row>
        <row r="45">
          <cell r="M45">
            <v>3.6788454960669091E-2</v>
          </cell>
        </row>
        <row r="59">
          <cell r="M59">
            <v>2.0058559525851154E-2</v>
          </cell>
        </row>
        <row r="60">
          <cell r="M60">
            <v>2.0727726831036453E-2</v>
          </cell>
        </row>
        <row r="61">
          <cell r="M61">
            <v>9.8116490475698134E-2</v>
          </cell>
        </row>
        <row r="62">
          <cell r="M62">
            <v>2.041922430728698E-2</v>
          </cell>
        </row>
        <row r="63">
          <cell r="M63">
            <v>1.0750154556268567E-2</v>
          </cell>
        </row>
        <row r="64">
          <cell r="M64">
            <v>2.2688011559919216E-2</v>
          </cell>
        </row>
        <row r="65">
          <cell r="M65">
            <v>3.6584631031781854E-2</v>
          </cell>
        </row>
        <row r="66">
          <cell r="M66">
            <v>2.779143914270845E-2</v>
          </cell>
        </row>
        <row r="67">
          <cell r="M67">
            <v>4.3453380803704561E-2</v>
          </cell>
        </row>
        <row r="68">
          <cell r="M68">
            <v>2.7307007973756375E-2</v>
          </cell>
        </row>
        <row r="69">
          <cell r="M69">
            <v>2.3986055966951979E-2</v>
          </cell>
        </row>
        <row r="70">
          <cell r="M70">
            <v>2.1874108192425478E-2</v>
          </cell>
        </row>
        <row r="71">
          <cell r="M71">
            <v>2.4621736028362998E-2</v>
          </cell>
        </row>
        <row r="72">
          <cell r="M72">
            <v>3.6270715751720986E-2</v>
          </cell>
        </row>
        <row r="73">
          <cell r="M73">
            <v>0.22093963362918947</v>
          </cell>
        </row>
        <row r="74">
          <cell r="M74">
            <v>0.19378619232794064</v>
          </cell>
        </row>
        <row r="75">
          <cell r="M75">
            <v>0.14581398133266338</v>
          </cell>
        </row>
        <row r="76">
          <cell r="M76">
            <v>0.23110824550526968</v>
          </cell>
        </row>
        <row r="77">
          <cell r="M77">
            <v>0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2"/>
  <sheetViews>
    <sheetView tabSelected="1" view="pageLayout" zoomScaleNormal="100" workbookViewId="0">
      <selection activeCell="A13" sqref="A13"/>
    </sheetView>
  </sheetViews>
  <sheetFormatPr defaultRowHeight="12.75"/>
  <cols>
    <col min="1" max="1" width="6.5703125" customWidth="1"/>
    <col min="2" max="2" width="52.85546875" customWidth="1"/>
    <col min="3" max="3" width="16" customWidth="1"/>
    <col min="4" max="4" width="14.85546875" customWidth="1"/>
    <col min="5" max="5" width="15" customWidth="1"/>
    <col min="6" max="6" width="10.5703125" customWidth="1"/>
    <col min="7" max="7" width="12.7109375" customWidth="1"/>
    <col min="8" max="8" width="11.85546875" customWidth="1"/>
    <col min="9" max="9" width="3.7109375" customWidth="1"/>
    <col min="11" max="11" width="14.85546875" customWidth="1"/>
    <col min="12" max="12" width="3.7109375" customWidth="1"/>
    <col min="13" max="13" width="14.85546875" customWidth="1"/>
    <col min="14" max="14" width="4.7109375" customWidth="1"/>
    <col min="15" max="15" width="13.5703125" customWidth="1"/>
    <col min="16" max="17" width="13.42578125" customWidth="1"/>
  </cols>
  <sheetData>
    <row r="1" spans="1:17">
      <c r="E1" s="259" t="s">
        <v>303</v>
      </c>
      <c r="F1" s="259"/>
      <c r="G1" s="259"/>
      <c r="H1" s="259"/>
    </row>
    <row r="2" spans="1:17" ht="15.75">
      <c r="A2" s="263" t="s">
        <v>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</row>
    <row r="3" spans="1:17" ht="15.75">
      <c r="A3" s="263" t="s">
        <v>75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</row>
    <row r="4" spans="1:17" ht="15.75">
      <c r="A4" s="263" t="s">
        <v>1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</row>
    <row r="5" spans="1:17" ht="15.75">
      <c r="A5" s="263" t="s">
        <v>2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</row>
    <row r="7" spans="1:17">
      <c r="A7" s="1"/>
      <c r="B7" s="1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/>
      <c r="J7" s="1" t="s">
        <v>9</v>
      </c>
      <c r="K7" s="1" t="s">
        <v>10</v>
      </c>
      <c r="L7" s="1"/>
      <c r="M7" s="1" t="s">
        <v>11</v>
      </c>
      <c r="N7" s="1"/>
      <c r="O7" s="1" t="s">
        <v>12</v>
      </c>
      <c r="P7" s="1" t="s">
        <v>13</v>
      </c>
      <c r="Q7" s="1" t="s">
        <v>182</v>
      </c>
    </row>
    <row r="8" spans="1:17" ht="15.75">
      <c r="A8" s="2"/>
      <c r="B8" s="3"/>
      <c r="D8" s="260" t="s">
        <v>15</v>
      </c>
      <c r="E8" s="262"/>
      <c r="F8" s="262"/>
      <c r="G8" s="262"/>
      <c r="H8" s="261"/>
      <c r="I8" s="4"/>
      <c r="J8" s="260" t="s">
        <v>16</v>
      </c>
      <c r="K8" s="261"/>
      <c r="L8" s="1"/>
      <c r="M8" s="1" t="s">
        <v>24</v>
      </c>
      <c r="N8" s="1"/>
      <c r="O8" s="260" t="s">
        <v>17</v>
      </c>
      <c r="P8" s="262"/>
      <c r="Q8" s="261"/>
    </row>
    <row r="9" spans="1:17" ht="15">
      <c r="A9" s="5"/>
      <c r="B9" s="3"/>
      <c r="C9" s="6" t="s">
        <v>14</v>
      </c>
      <c r="D9" s="237" t="s">
        <v>19</v>
      </c>
      <c r="E9" s="237" t="s">
        <v>20</v>
      </c>
      <c r="F9" s="237" t="s">
        <v>21</v>
      </c>
      <c r="G9" s="237" t="s">
        <v>22</v>
      </c>
      <c r="H9" s="234" t="s">
        <v>19</v>
      </c>
      <c r="I9" s="4"/>
      <c r="J9" s="243" t="s">
        <v>23</v>
      </c>
      <c r="K9" s="241" t="s">
        <v>22</v>
      </c>
      <c r="L9" s="1"/>
      <c r="M9" s="1" t="s">
        <v>31</v>
      </c>
      <c r="N9" s="1"/>
      <c r="O9" s="247" t="s">
        <v>24</v>
      </c>
      <c r="P9" s="247" t="s">
        <v>25</v>
      </c>
      <c r="Q9" s="241" t="s">
        <v>25</v>
      </c>
    </row>
    <row r="10" spans="1:17">
      <c r="C10" s="6" t="s">
        <v>18</v>
      </c>
      <c r="D10" s="238" t="s">
        <v>26</v>
      </c>
      <c r="E10" s="238" t="s">
        <v>27</v>
      </c>
      <c r="F10" s="238" t="s">
        <v>28</v>
      </c>
      <c r="G10" s="238" t="s">
        <v>29</v>
      </c>
      <c r="H10" s="234" t="s">
        <v>30</v>
      </c>
      <c r="I10" s="4"/>
      <c r="J10" s="243" t="s">
        <v>30</v>
      </c>
      <c r="K10" s="241" t="s">
        <v>29</v>
      </c>
      <c r="L10" s="1"/>
      <c r="M10" s="217" t="s">
        <v>30</v>
      </c>
      <c r="N10" s="1"/>
      <c r="O10" s="248" t="s">
        <v>31</v>
      </c>
      <c r="P10" s="248" t="s">
        <v>32</v>
      </c>
      <c r="Q10" s="245" t="s">
        <v>33</v>
      </c>
    </row>
    <row r="11" spans="1:17">
      <c r="C11" s="7"/>
      <c r="D11" s="239"/>
      <c r="E11" s="239"/>
      <c r="F11" s="240"/>
      <c r="G11" s="239"/>
      <c r="H11" s="235"/>
      <c r="I11" s="4"/>
      <c r="J11" s="243"/>
      <c r="K11" s="241"/>
      <c r="L11" s="1"/>
      <c r="M11" s="1"/>
      <c r="N11" s="1"/>
      <c r="O11" s="243"/>
      <c r="P11" s="249"/>
      <c r="Q11" s="246"/>
    </row>
    <row r="12" spans="1:17">
      <c r="A12" s="13"/>
      <c r="B12" s="16" t="s">
        <v>76</v>
      </c>
      <c r="C12" s="7" t="s">
        <v>301</v>
      </c>
      <c r="D12" s="240" t="s">
        <v>302</v>
      </c>
      <c r="E12" s="240" t="s">
        <v>34</v>
      </c>
      <c r="F12" s="240" t="s">
        <v>301</v>
      </c>
      <c r="G12" s="240" t="s">
        <v>35</v>
      </c>
      <c r="H12" s="236" t="s">
        <v>36</v>
      </c>
      <c r="I12" s="8"/>
      <c r="J12" s="244" t="s">
        <v>37</v>
      </c>
      <c r="K12" s="242" t="s">
        <v>38</v>
      </c>
      <c r="L12" s="8"/>
      <c r="M12" s="8"/>
      <c r="N12" s="8"/>
      <c r="O12" s="244" t="s">
        <v>39</v>
      </c>
      <c r="P12" s="244"/>
      <c r="Q12" s="242"/>
    </row>
    <row r="13" spans="1:17">
      <c r="A13" s="57"/>
      <c r="B13" s="57"/>
      <c r="C13" s="9"/>
      <c r="D13" s="10"/>
      <c r="E13" s="10"/>
      <c r="F13" s="9"/>
      <c r="G13" s="9"/>
      <c r="H13" s="9"/>
      <c r="I13" s="11"/>
    </row>
    <row r="14" spans="1:17">
      <c r="A14" s="57"/>
      <c r="B14" s="14" t="s">
        <v>77</v>
      </c>
    </row>
    <row r="15" spans="1:17">
      <c r="A15" s="57"/>
      <c r="B15" s="15"/>
    </row>
    <row r="16" spans="1:17">
      <c r="A16" s="151">
        <v>305</v>
      </c>
      <c r="B16" s="57" t="s">
        <v>78</v>
      </c>
      <c r="C16" s="82">
        <v>466240.79</v>
      </c>
      <c r="D16" s="82">
        <v>411006</v>
      </c>
      <c r="E16" s="82">
        <f>+C16-D16</f>
        <v>55234.789999999979</v>
      </c>
      <c r="F16" s="215">
        <v>33.4</v>
      </c>
      <c r="G16" s="82">
        <f>+E16/F16</f>
        <v>1653.7362275449095</v>
      </c>
      <c r="H16" s="66">
        <f>+G16/C16</f>
        <v>3.5469574155982996E-3</v>
      </c>
      <c r="J16" s="149">
        <f>'[1]305-364'!N12</f>
        <v>3.019806492023184E-4</v>
      </c>
      <c r="K16" s="82">
        <f t="shared" ref="K16:K35" si="0">+J16*C16</f>
        <v>140.79569644880181</v>
      </c>
      <c r="L16" s="65"/>
      <c r="M16" s="66">
        <f>+H16+J16</f>
        <v>3.8489380648006181E-3</v>
      </c>
      <c r="O16" s="82">
        <f>+K16+G16</f>
        <v>1794.5319239937114</v>
      </c>
      <c r="P16" s="82">
        <v>11003.2876</v>
      </c>
      <c r="Q16" s="163">
        <v>2350</v>
      </c>
    </row>
    <row r="17" spans="1:17">
      <c r="A17" s="151">
        <v>311</v>
      </c>
      <c r="B17" s="57" t="s">
        <v>79</v>
      </c>
      <c r="C17" s="82">
        <v>6241323.3499999996</v>
      </c>
      <c r="D17" s="82">
        <v>4931829</v>
      </c>
      <c r="E17" s="82">
        <f t="shared" ref="E17:E87" si="1">+C17-D17</f>
        <v>1309494.3499999996</v>
      </c>
      <c r="F17" s="215">
        <v>32.5</v>
      </c>
      <c r="G17" s="82">
        <f t="shared" ref="G17:G85" si="2">+E17/F17</f>
        <v>40292.133846153833</v>
      </c>
      <c r="H17" s="66">
        <f t="shared" ref="H17:H85" si="3">+G17/C17</f>
        <v>6.4557036363376103E-3</v>
      </c>
      <c r="J17" s="149">
        <f>'[1]305-364'!N13</f>
        <v>6.4672243363613738E-4</v>
      </c>
      <c r="K17" s="82">
        <f t="shared" si="0"/>
        <v>4036.4038260220495</v>
      </c>
      <c r="L17" s="65"/>
      <c r="M17" s="66">
        <f t="shared" ref="M17:M78" si="4">+H17+J17</f>
        <v>7.1024260699737475E-3</v>
      </c>
      <c r="O17" s="82">
        <f t="shared" ref="O17:O87" si="5">+K17+G17</f>
        <v>44328.53767217588</v>
      </c>
      <c r="P17" s="219">
        <v>323300.53139999998</v>
      </c>
      <c r="Q17" s="163">
        <v>59555</v>
      </c>
    </row>
    <row r="18" spans="1:17">
      <c r="A18" s="151">
        <v>320</v>
      </c>
      <c r="B18" s="59" t="s">
        <v>80</v>
      </c>
      <c r="C18" s="84">
        <v>77999.88</v>
      </c>
      <c r="D18" s="84">
        <v>77236</v>
      </c>
      <c r="E18" s="84">
        <f t="shared" si="1"/>
        <v>763.88000000000466</v>
      </c>
      <c r="F18" s="215">
        <v>18.600000000000001</v>
      </c>
      <c r="G18" s="84">
        <f t="shared" si="2"/>
        <v>41.068817204301325</v>
      </c>
      <c r="H18" s="66">
        <f t="shared" si="3"/>
        <v>5.2652410752813115E-4</v>
      </c>
      <c r="J18" s="149"/>
      <c r="K18" s="84"/>
      <c r="L18" s="65"/>
      <c r="M18" s="216">
        <f t="shared" si="4"/>
        <v>5.2652410752813115E-4</v>
      </c>
      <c r="O18" s="84">
        <f t="shared" si="5"/>
        <v>41.068817204301325</v>
      </c>
      <c r="P18" s="84">
        <v>530.4</v>
      </c>
      <c r="Q18" s="164">
        <v>41</v>
      </c>
    </row>
    <row r="19" spans="1:17">
      <c r="A19" s="151"/>
      <c r="B19" s="57"/>
      <c r="C19" s="82"/>
      <c r="D19" s="82"/>
      <c r="E19" s="82"/>
      <c r="F19" s="215"/>
      <c r="G19" s="82"/>
      <c r="H19" s="66"/>
      <c r="J19" s="149"/>
      <c r="K19" s="82"/>
      <c r="L19" s="65"/>
      <c r="M19" s="66"/>
      <c r="O19" s="82"/>
      <c r="P19" s="82"/>
      <c r="Q19" s="165"/>
    </row>
    <row r="20" spans="1:17">
      <c r="A20" s="151"/>
      <c r="B20" s="12" t="s">
        <v>81</v>
      </c>
      <c r="C20" s="85">
        <f>SUM(C16:C18)</f>
        <v>6785564.0199999996</v>
      </c>
      <c r="D20" s="85">
        <f>SUM(D16:D18)</f>
        <v>5420071</v>
      </c>
      <c r="E20" s="85">
        <f>SUM(E16:E18)</f>
        <v>1365493.0199999996</v>
      </c>
      <c r="F20" s="215"/>
      <c r="G20" s="85">
        <f>SUM(G16:G18)</f>
        <v>41986.938890903046</v>
      </c>
      <c r="H20" s="66"/>
      <c r="J20" s="149"/>
      <c r="K20" s="85">
        <f>SUM(K16:K18)</f>
        <v>4177.1995224708517</v>
      </c>
      <c r="L20" s="65"/>
      <c r="M20" s="162">
        <f>+O20/C20</f>
        <v>6.8032868420824207E-3</v>
      </c>
      <c r="O20" s="85">
        <f>SUM(O16:O18)</f>
        <v>46164.13841337389</v>
      </c>
      <c r="P20" s="85">
        <f>SUM(P16:P18)</f>
        <v>334834.21899999998</v>
      </c>
      <c r="Q20" s="85">
        <f>SUM(Q16:Q18)</f>
        <v>61946</v>
      </c>
    </row>
    <row r="21" spans="1:17">
      <c r="A21" s="151"/>
      <c r="B21" s="12"/>
      <c r="C21" s="83"/>
      <c r="D21" s="83"/>
      <c r="E21" s="83"/>
      <c r="F21" s="215"/>
      <c r="G21" s="83"/>
      <c r="H21" s="66"/>
      <c r="J21" s="149"/>
      <c r="K21" s="83"/>
      <c r="L21" s="65"/>
      <c r="M21" s="66"/>
      <c r="O21" s="83"/>
      <c r="P21" s="83"/>
      <c r="Q21" s="161"/>
    </row>
    <row r="22" spans="1:17">
      <c r="A22" s="151"/>
      <c r="B22" s="60"/>
      <c r="C22" s="83"/>
      <c r="D22" s="83"/>
      <c r="E22" s="83"/>
      <c r="F22" s="215"/>
      <c r="G22" s="83"/>
      <c r="H22" s="66"/>
      <c r="J22" s="149"/>
      <c r="K22" s="83"/>
      <c r="L22" s="65"/>
      <c r="M22" s="66"/>
      <c r="O22" s="83"/>
      <c r="P22" s="83"/>
      <c r="Q22" s="166"/>
    </row>
    <row r="23" spans="1:17">
      <c r="A23" s="151"/>
      <c r="B23" s="61" t="s">
        <v>82</v>
      </c>
      <c r="C23" s="83"/>
      <c r="D23" s="83"/>
      <c r="E23" s="83"/>
      <c r="F23" s="215"/>
      <c r="G23" s="83"/>
      <c r="H23" s="66"/>
      <c r="J23" s="149"/>
      <c r="K23" s="83"/>
      <c r="L23" s="65"/>
      <c r="M23" s="66"/>
      <c r="O23" s="83"/>
      <c r="P23" s="83"/>
      <c r="Q23" s="166"/>
    </row>
    <row r="24" spans="1:17">
      <c r="A24" s="151"/>
      <c r="B24" s="60"/>
      <c r="C24" s="83"/>
      <c r="D24" s="83"/>
      <c r="E24" s="83"/>
      <c r="F24" s="215"/>
      <c r="G24" s="83"/>
      <c r="H24" s="66"/>
      <c r="J24" s="149"/>
      <c r="K24" s="83"/>
      <c r="L24" s="65"/>
      <c r="M24" s="66"/>
      <c r="O24" s="83"/>
      <c r="P24" s="83"/>
      <c r="Q24" s="166"/>
    </row>
    <row r="25" spans="1:17">
      <c r="A25" s="151">
        <v>351.1</v>
      </c>
      <c r="B25" s="60" t="s">
        <v>83</v>
      </c>
      <c r="C25" s="83">
        <v>365402.74</v>
      </c>
      <c r="D25" s="83">
        <v>237397</v>
      </c>
      <c r="E25" s="83">
        <f t="shared" si="1"/>
        <v>128005.73999999999</v>
      </c>
      <c r="F25" s="215">
        <v>27.7</v>
      </c>
      <c r="G25" s="83">
        <f t="shared" si="2"/>
        <v>4621.1458483754514</v>
      </c>
      <c r="H25" s="66">
        <f t="shared" si="3"/>
        <v>1.2646719201874216E-2</v>
      </c>
      <c r="J25" s="149">
        <f>'[1]305-364'!N21</f>
        <v>9.3545451990117545E-4</v>
      </c>
      <c r="K25" s="83">
        <f t="shared" si="0"/>
        <v>341.81764471727405</v>
      </c>
      <c r="L25" s="65"/>
      <c r="M25" s="66">
        <f t="shared" si="4"/>
        <v>1.3582173721775391E-2</v>
      </c>
      <c r="O25" s="83">
        <f t="shared" si="5"/>
        <v>4962.963493092725</v>
      </c>
      <c r="P25" s="83">
        <v>12569.8632</v>
      </c>
      <c r="Q25" s="166">
        <v>5951</v>
      </c>
    </row>
    <row r="26" spans="1:17">
      <c r="A26" s="151">
        <v>351.2</v>
      </c>
      <c r="B26" s="60" t="s">
        <v>84</v>
      </c>
      <c r="C26" s="83">
        <v>331241.55</v>
      </c>
      <c r="D26" s="83">
        <v>341421</v>
      </c>
      <c r="E26" s="83">
        <f t="shared" si="1"/>
        <v>-10179.450000000012</v>
      </c>
      <c r="F26" s="215">
        <v>27.6</v>
      </c>
      <c r="G26" s="83"/>
      <c r="H26" s="66"/>
      <c r="J26" s="149">
        <f>'[1]305-364'!N22</f>
        <v>9.4273848300467742E-4</v>
      </c>
      <c r="K26" s="83">
        <f t="shared" si="0"/>
        <v>312.27415635511801</v>
      </c>
      <c r="L26" s="65"/>
      <c r="M26" s="66">
        <f t="shared" si="4"/>
        <v>9.4273848300467742E-4</v>
      </c>
      <c r="O26" s="83">
        <f t="shared" si="5"/>
        <v>312.27415635511801</v>
      </c>
      <c r="P26" s="83">
        <v>2782.4327999999996</v>
      </c>
      <c r="Q26" s="166">
        <v>830</v>
      </c>
    </row>
    <row r="27" spans="1:17">
      <c r="A27" s="151">
        <v>351.3</v>
      </c>
      <c r="B27" s="60" t="s">
        <v>85</v>
      </c>
      <c r="C27" s="83">
        <v>2244.87</v>
      </c>
      <c r="D27" s="83">
        <v>2941</v>
      </c>
      <c r="E27" s="83">
        <f t="shared" si="1"/>
        <v>-696.13000000000011</v>
      </c>
      <c r="F27" s="215" t="s">
        <v>127</v>
      </c>
      <c r="G27" s="83"/>
      <c r="H27" s="66"/>
      <c r="J27" s="149">
        <f>'[1]305-364'!N23</f>
        <v>5.9810976991835698E-5</v>
      </c>
      <c r="K27" s="88"/>
      <c r="L27" s="65"/>
      <c r="M27" s="66">
        <f t="shared" si="4"/>
        <v>5.9810976991835698E-5</v>
      </c>
      <c r="O27" s="83">
        <f t="shared" si="5"/>
        <v>0</v>
      </c>
      <c r="P27" s="83">
        <v>-15.266000000000002</v>
      </c>
      <c r="Q27" s="166"/>
    </row>
    <row r="28" spans="1:17">
      <c r="A28" s="151">
        <v>351.4</v>
      </c>
      <c r="B28" s="60" t="s">
        <v>86</v>
      </c>
      <c r="C28" s="83">
        <v>111964.52</v>
      </c>
      <c r="D28" s="83">
        <v>77705</v>
      </c>
      <c r="E28" s="83">
        <f t="shared" si="1"/>
        <v>34259.520000000004</v>
      </c>
      <c r="F28" s="215">
        <v>27</v>
      </c>
      <c r="G28" s="83">
        <f t="shared" si="2"/>
        <v>1268.8711111111113</v>
      </c>
      <c r="H28" s="66">
        <f t="shared" si="3"/>
        <v>1.1332796417214233E-2</v>
      </c>
      <c r="J28" s="149">
        <f>'[1]305-364'!N24</f>
        <v>1.0114859897528922E-3</v>
      </c>
      <c r="K28" s="83">
        <f t="shared" si="0"/>
        <v>113.25054332940749</v>
      </c>
      <c r="L28" s="65"/>
      <c r="M28" s="66">
        <f t="shared" si="4"/>
        <v>1.2344282406967125E-2</v>
      </c>
      <c r="O28" s="83">
        <f t="shared" si="5"/>
        <v>1382.1216544405188</v>
      </c>
      <c r="P28" s="83">
        <v>3392.5394999999994</v>
      </c>
      <c r="Q28" s="166">
        <v>1683</v>
      </c>
    </row>
    <row r="29" spans="1:17">
      <c r="A29" s="151">
        <v>352.1</v>
      </c>
      <c r="B29" s="60" t="s">
        <v>87</v>
      </c>
      <c r="C29" s="83">
        <v>7487278.2199999997</v>
      </c>
      <c r="D29" s="83">
        <v>5990924</v>
      </c>
      <c r="E29" s="83">
        <f t="shared" si="1"/>
        <v>1496354.2199999997</v>
      </c>
      <c r="F29" s="215">
        <v>29.1</v>
      </c>
      <c r="G29" s="83">
        <f t="shared" si="2"/>
        <v>51421.107216494835</v>
      </c>
      <c r="H29" s="66">
        <f t="shared" si="3"/>
        <v>6.8677970426074047E-3</v>
      </c>
      <c r="J29" s="149">
        <f>'[1]305-364'!N25</f>
        <v>1.2252520718808936E-3</v>
      </c>
      <c r="K29" s="83">
        <f t="shared" si="0"/>
        <v>9173.8031518036896</v>
      </c>
      <c r="L29" s="65"/>
      <c r="M29" s="66">
        <f t="shared" si="4"/>
        <v>8.0930491144882988E-3</v>
      </c>
      <c r="O29" s="83">
        <f t="shared" si="5"/>
        <v>60594.910368298522</v>
      </c>
      <c r="P29" s="83">
        <v>176699.76079999999</v>
      </c>
      <c r="Q29" s="166">
        <v>89932</v>
      </c>
    </row>
    <row r="30" spans="1:17">
      <c r="A30" s="151">
        <v>352.2</v>
      </c>
      <c r="B30" s="60" t="s">
        <v>88</v>
      </c>
      <c r="C30" s="83">
        <v>1411452.72</v>
      </c>
      <c r="D30" s="83">
        <v>788270</v>
      </c>
      <c r="E30" s="83">
        <f t="shared" si="1"/>
        <v>623182.72</v>
      </c>
      <c r="F30" s="215">
        <v>29.2</v>
      </c>
      <c r="G30" s="83">
        <f t="shared" si="2"/>
        <v>21341.873972602738</v>
      </c>
      <c r="H30" s="66">
        <f t="shared" si="3"/>
        <v>1.5120502210377078E-2</v>
      </c>
      <c r="J30" s="149">
        <f>'[1]305-364'!N26</f>
        <v>1.2155711866167125E-3</v>
      </c>
      <c r="K30" s="83">
        <f t="shared" si="0"/>
        <v>1715.7212577037865</v>
      </c>
      <c r="L30" s="65"/>
      <c r="M30" s="66">
        <f t="shared" si="4"/>
        <v>1.6336073396993792E-2</v>
      </c>
      <c r="O30" s="83">
        <f t="shared" si="5"/>
        <v>23057.595230306524</v>
      </c>
      <c r="P30" s="83">
        <v>43190.461799999997</v>
      </c>
      <c r="Q30" s="166">
        <v>28569</v>
      </c>
    </row>
    <row r="31" spans="1:17">
      <c r="A31" s="151">
        <v>352.3</v>
      </c>
      <c r="B31" s="60" t="s">
        <v>89</v>
      </c>
      <c r="C31" s="83">
        <v>3157247.9</v>
      </c>
      <c r="D31" s="83">
        <v>1197911</v>
      </c>
      <c r="E31" s="83">
        <f t="shared" si="1"/>
        <v>1959336.9</v>
      </c>
      <c r="F31" s="215">
        <v>29.5</v>
      </c>
      <c r="G31" s="83">
        <f t="shared" si="2"/>
        <v>66418.2</v>
      </c>
      <c r="H31" s="66">
        <f t="shared" si="3"/>
        <v>2.1036738990308616E-2</v>
      </c>
      <c r="J31" s="149">
        <f>'[1]305-364'!N27</f>
        <v>0</v>
      </c>
      <c r="K31" s="83">
        <f t="shared" si="0"/>
        <v>0</v>
      </c>
      <c r="L31" s="65"/>
      <c r="M31" s="66">
        <f t="shared" si="4"/>
        <v>2.1036738990308616E-2</v>
      </c>
      <c r="O31" s="83">
        <f t="shared" si="5"/>
        <v>66418.2</v>
      </c>
      <c r="P31" s="83">
        <v>107977.88160000001</v>
      </c>
      <c r="Q31" s="166">
        <v>66418</v>
      </c>
    </row>
    <row r="32" spans="1:17">
      <c r="A32" s="151">
        <v>353</v>
      </c>
      <c r="B32" s="60" t="s">
        <v>90</v>
      </c>
      <c r="C32" s="83">
        <v>1564175.73</v>
      </c>
      <c r="D32" s="83">
        <v>783756</v>
      </c>
      <c r="E32" s="83">
        <f t="shared" si="1"/>
        <v>780419.73</v>
      </c>
      <c r="F32" s="215">
        <v>27.9</v>
      </c>
      <c r="G32" s="83">
        <f t="shared" si="2"/>
        <v>27972.033333333333</v>
      </c>
      <c r="H32" s="66">
        <f t="shared" si="3"/>
        <v>1.7882922485527461E-2</v>
      </c>
      <c r="J32" s="149">
        <f>'[1]305-364'!N28</f>
        <v>1.8421233349620585E-3</v>
      </c>
      <c r="K32" s="83">
        <f t="shared" si="0"/>
        <v>2881.4046122143122</v>
      </c>
      <c r="L32" s="65"/>
      <c r="M32" s="66">
        <f t="shared" si="4"/>
        <v>1.972504582048952E-2</v>
      </c>
      <c r="O32" s="83">
        <f t="shared" si="5"/>
        <v>30853.437945547645</v>
      </c>
      <c r="P32" s="83">
        <v>61628.534399999997</v>
      </c>
      <c r="Q32" s="166">
        <v>39121</v>
      </c>
    </row>
    <row r="33" spans="1:17">
      <c r="A33" s="151">
        <v>354</v>
      </c>
      <c r="B33" s="60" t="s">
        <v>91</v>
      </c>
      <c r="C33" s="83">
        <v>7591288.7199999997</v>
      </c>
      <c r="D33" s="83">
        <v>3176896</v>
      </c>
      <c r="E33" s="83">
        <f t="shared" si="1"/>
        <v>4414392.72</v>
      </c>
      <c r="F33" s="215">
        <v>26.7</v>
      </c>
      <c r="G33" s="83">
        <f t="shared" si="2"/>
        <v>165333.06067415728</v>
      </c>
      <c r="H33" s="66">
        <f t="shared" si="3"/>
        <v>2.1779313996920052E-2</v>
      </c>
      <c r="J33" s="149">
        <f>'[1]305-364'!N29</f>
        <v>1.0755331102700974E-3</v>
      </c>
      <c r="K33" s="83">
        <f t="shared" si="0"/>
        <v>8164.6823679799063</v>
      </c>
      <c r="L33" s="65"/>
      <c r="M33" s="66">
        <f t="shared" si="4"/>
        <v>2.285484710719015E-2</v>
      </c>
      <c r="O33" s="83">
        <f t="shared" si="5"/>
        <v>173497.74304213718</v>
      </c>
      <c r="P33" s="83">
        <v>304410.68889999995</v>
      </c>
      <c r="Q33" s="166">
        <v>194107</v>
      </c>
    </row>
    <row r="34" spans="1:17">
      <c r="A34" s="151">
        <v>355</v>
      </c>
      <c r="B34" s="60" t="s">
        <v>92</v>
      </c>
      <c r="C34" s="83">
        <v>293675.93</v>
      </c>
      <c r="D34" s="83">
        <v>76470</v>
      </c>
      <c r="E34" s="83">
        <f t="shared" si="1"/>
        <v>217205.93</v>
      </c>
      <c r="F34" s="215">
        <v>25.7</v>
      </c>
      <c r="G34" s="83">
        <f t="shared" si="2"/>
        <v>8451.5926070038913</v>
      </c>
      <c r="H34" s="66">
        <f t="shared" si="3"/>
        <v>2.8778635712514444E-2</v>
      </c>
      <c r="J34" s="149">
        <f>'[1]305-364'!N30</f>
        <v>1.1574317591988522E-3</v>
      </c>
      <c r="K34" s="83">
        <f t="shared" si="0"/>
        <v>339.90984829425895</v>
      </c>
      <c r="L34" s="65"/>
      <c r="M34" s="66">
        <f t="shared" si="4"/>
        <v>2.9936067471713297E-2</v>
      </c>
      <c r="O34" s="83">
        <f t="shared" si="5"/>
        <v>8791.5024552981504</v>
      </c>
      <c r="P34" s="83">
        <v>11335.893599999999</v>
      </c>
      <c r="Q34" s="166">
        <v>9597</v>
      </c>
    </row>
    <row r="35" spans="1:17">
      <c r="A35" s="151">
        <v>356</v>
      </c>
      <c r="B35" s="60" t="s">
        <v>93</v>
      </c>
      <c r="C35" s="83">
        <v>1012000.62</v>
      </c>
      <c r="D35" s="83">
        <v>580892</v>
      </c>
      <c r="E35" s="83">
        <f t="shared" si="1"/>
        <v>431108.62</v>
      </c>
      <c r="F35" s="215">
        <v>25.4</v>
      </c>
      <c r="G35" s="83">
        <f t="shared" si="2"/>
        <v>16972.78031496063</v>
      </c>
      <c r="H35" s="66">
        <f t="shared" si="3"/>
        <v>1.6771511775319495E-2</v>
      </c>
      <c r="J35" s="149">
        <f>'[1]305-364'!N31</f>
        <v>5.9165872926684223E-4</v>
      </c>
      <c r="K35" s="83">
        <f t="shared" si="0"/>
        <v>598.7590008464565</v>
      </c>
      <c r="L35" s="65"/>
      <c r="M35" s="66">
        <f t="shared" si="4"/>
        <v>1.7363170504586339E-2</v>
      </c>
      <c r="O35" s="83">
        <f t="shared" si="5"/>
        <v>17571.539315807087</v>
      </c>
      <c r="P35" s="83">
        <v>39063.238599999997</v>
      </c>
      <c r="Q35" s="166">
        <v>18987</v>
      </c>
    </row>
    <row r="36" spans="1:17">
      <c r="A36" s="151">
        <v>357</v>
      </c>
      <c r="B36" s="60" t="s">
        <v>94</v>
      </c>
      <c r="C36" s="86">
        <v>591009.21</v>
      </c>
      <c r="D36" s="86">
        <v>485017</v>
      </c>
      <c r="E36" s="86">
        <f t="shared" si="1"/>
        <v>105992.20999999996</v>
      </c>
      <c r="F36" s="215">
        <v>18.899999999999999</v>
      </c>
      <c r="G36" s="86">
        <f t="shared" si="2"/>
        <v>5608.0534391534375</v>
      </c>
      <c r="H36" s="66">
        <f t="shared" si="3"/>
        <v>9.488944240231785E-3</v>
      </c>
      <c r="J36" s="149"/>
      <c r="K36" s="86"/>
      <c r="M36" s="216">
        <f t="shared" si="4"/>
        <v>9.488944240231785E-3</v>
      </c>
      <c r="O36" s="86">
        <f t="shared" si="5"/>
        <v>5608.0534391534375</v>
      </c>
      <c r="P36" s="86">
        <v>3723.3566999999998</v>
      </c>
      <c r="Q36" s="167">
        <v>5600</v>
      </c>
    </row>
    <row r="37" spans="1:17">
      <c r="A37" s="151"/>
      <c r="B37" s="60"/>
      <c r="C37" s="83"/>
      <c r="D37" s="83"/>
      <c r="E37" s="83"/>
      <c r="F37" s="215"/>
      <c r="G37" s="83"/>
      <c r="H37" s="66"/>
      <c r="J37" s="149"/>
      <c r="K37" s="83"/>
      <c r="M37" s="66"/>
      <c r="O37" s="83"/>
      <c r="P37" s="83"/>
      <c r="Q37" s="166"/>
    </row>
    <row r="38" spans="1:17">
      <c r="A38" s="62"/>
      <c r="B38" s="12" t="s">
        <v>95</v>
      </c>
      <c r="C38" s="85">
        <f>SUM(C25:C37)</f>
        <v>23918982.73</v>
      </c>
      <c r="D38" s="85">
        <f>SUM(D25:D37)</f>
        <v>13739600</v>
      </c>
      <c r="E38" s="85">
        <f>SUM(E25:E37)</f>
        <v>10179382.729999997</v>
      </c>
      <c r="F38" s="215"/>
      <c r="G38" s="85">
        <f>SUM(G25:G37)</f>
        <v>369408.7185171927</v>
      </c>
      <c r="H38" s="66"/>
      <c r="J38" s="149"/>
      <c r="K38" s="85">
        <f>SUM(K25:K37)</f>
        <v>23641.622583244207</v>
      </c>
      <c r="L38" s="85"/>
      <c r="M38" s="162">
        <f>+O38/C38</f>
        <v>1.6432569291814397E-2</v>
      </c>
      <c r="O38" s="85">
        <f>SUM(O25:O37)</f>
        <v>393050.34110043693</v>
      </c>
      <c r="P38" s="85">
        <f>SUM(P25:P37)</f>
        <v>766759.38589999988</v>
      </c>
      <c r="Q38" s="85">
        <f>SUM(Q25:Q37)</f>
        <v>460795</v>
      </c>
    </row>
    <row r="39" spans="1:17">
      <c r="A39" s="58"/>
      <c r="B39" s="60"/>
      <c r="C39" s="83"/>
      <c r="D39" s="83"/>
      <c r="E39" s="83"/>
      <c r="F39" s="215"/>
      <c r="G39" s="83"/>
      <c r="H39" s="66"/>
      <c r="J39" s="149"/>
      <c r="K39" s="83"/>
      <c r="M39" s="66"/>
      <c r="O39" s="83"/>
      <c r="P39" s="83"/>
      <c r="Q39" s="166"/>
    </row>
    <row r="40" spans="1:17">
      <c r="A40" s="58"/>
      <c r="B40" s="60"/>
      <c r="C40" s="83"/>
      <c r="D40" s="83"/>
      <c r="E40" s="83"/>
      <c r="F40" s="215"/>
      <c r="G40" s="83"/>
      <c r="H40" s="66"/>
      <c r="J40" s="149"/>
      <c r="K40" s="83"/>
      <c r="M40" s="66"/>
      <c r="O40" s="83"/>
      <c r="P40" s="83"/>
      <c r="Q40" s="166"/>
    </row>
    <row r="41" spans="1:17">
      <c r="A41" s="58"/>
      <c r="B41" s="61" t="s">
        <v>96</v>
      </c>
      <c r="C41" s="83"/>
      <c r="D41" s="83"/>
      <c r="E41" s="83"/>
      <c r="F41" s="215"/>
      <c r="G41" s="83"/>
      <c r="H41" s="66"/>
      <c r="J41" s="149"/>
      <c r="K41" s="83"/>
      <c r="M41" s="66"/>
      <c r="O41" s="83"/>
      <c r="P41" s="83"/>
      <c r="Q41" s="166"/>
    </row>
    <row r="42" spans="1:17">
      <c r="A42" s="58"/>
      <c r="B42" s="60"/>
      <c r="C42" s="83"/>
      <c r="D42" s="83"/>
      <c r="E42" s="83"/>
      <c r="F42" s="215"/>
      <c r="G42" s="83"/>
      <c r="H42" s="66"/>
      <c r="J42" s="149"/>
      <c r="K42" s="83"/>
      <c r="M42" s="66"/>
      <c r="O42" s="83"/>
      <c r="P42" s="83"/>
      <c r="Q42" s="166"/>
    </row>
    <row r="43" spans="1:17">
      <c r="A43" s="58">
        <v>361</v>
      </c>
      <c r="B43" s="60" t="s">
        <v>97</v>
      </c>
      <c r="C43" s="83">
        <v>3973838.99</v>
      </c>
      <c r="D43" s="83">
        <v>303575</v>
      </c>
      <c r="E43" s="83">
        <f t="shared" si="1"/>
        <v>3670263.99</v>
      </c>
      <c r="F43" s="215">
        <v>32.299999999999997</v>
      </c>
      <c r="G43" s="83">
        <f t="shared" si="2"/>
        <v>113630.46408668732</v>
      </c>
      <c r="H43" s="66">
        <f t="shared" si="3"/>
        <v>2.859463213598579E-2</v>
      </c>
      <c r="J43" s="149"/>
      <c r="K43" s="83"/>
      <c r="M43" s="66">
        <f t="shared" si="4"/>
        <v>2.859463213598579E-2</v>
      </c>
      <c r="O43" s="83">
        <f t="shared" si="5"/>
        <v>113630.46408668732</v>
      </c>
      <c r="P43" s="83">
        <v>121599.4734</v>
      </c>
      <c r="Q43" s="166">
        <v>113734</v>
      </c>
    </row>
    <row r="44" spans="1:17">
      <c r="A44" s="58">
        <v>362</v>
      </c>
      <c r="B44" s="60" t="s">
        <v>98</v>
      </c>
      <c r="C44" s="87">
        <v>3601494.41</v>
      </c>
      <c r="D44" s="87">
        <v>120438</v>
      </c>
      <c r="E44" s="87">
        <f t="shared" si="1"/>
        <v>3481056.41</v>
      </c>
      <c r="F44" s="215">
        <v>32.200000000000003</v>
      </c>
      <c r="G44" s="87">
        <f t="shared" si="2"/>
        <v>108107.34192546584</v>
      </c>
      <c r="H44" s="66">
        <f t="shared" si="3"/>
        <v>3.0017356579894242E-2</v>
      </c>
      <c r="J44" s="149">
        <f>'[1]305-364'!N40</f>
        <v>1.4524126517502251E-3</v>
      </c>
      <c r="K44" s="87">
        <f>+J44*C44</f>
        <v>5230.856046291713</v>
      </c>
      <c r="L44" s="65"/>
      <c r="M44" s="66">
        <f t="shared" si="4"/>
        <v>3.1469769231644469E-2</v>
      </c>
      <c r="O44" s="87">
        <f t="shared" si="5"/>
        <v>113338.19797175755</v>
      </c>
      <c r="P44" s="87">
        <v>73470.477599999998</v>
      </c>
      <c r="Q44" s="168">
        <v>130577</v>
      </c>
    </row>
    <row r="45" spans="1:17">
      <c r="A45" s="58">
        <v>363</v>
      </c>
      <c r="B45" s="60" t="s">
        <v>99</v>
      </c>
      <c r="C45" s="83">
        <v>3966060.79</v>
      </c>
      <c r="D45" s="83">
        <v>426352</v>
      </c>
      <c r="E45" s="83">
        <f t="shared" si="1"/>
        <v>3539708.79</v>
      </c>
      <c r="F45" s="215">
        <v>30</v>
      </c>
      <c r="G45" s="83">
        <f t="shared" si="2"/>
        <v>117990.29300000001</v>
      </c>
      <c r="H45" s="66">
        <f t="shared" si="3"/>
        <v>2.9749996091209686E-2</v>
      </c>
      <c r="J45" s="149">
        <f>'[1]305-364'!N41</f>
        <v>4.2384359247447419E-4</v>
      </c>
      <c r="K45" s="83">
        <f>+J45*C45</f>
        <v>1680.9894532057513</v>
      </c>
      <c r="L45" s="65"/>
      <c r="M45" s="66">
        <f t="shared" si="4"/>
        <v>3.0173839683684162E-2</v>
      </c>
      <c r="O45" s="83">
        <f t="shared" si="5"/>
        <v>119671.28245320576</v>
      </c>
      <c r="P45" s="83">
        <v>170540.62300000002</v>
      </c>
      <c r="Q45" s="166">
        <v>124642</v>
      </c>
    </row>
    <row r="46" spans="1:17">
      <c r="A46" s="58">
        <v>364</v>
      </c>
      <c r="B46" s="60" t="s">
        <v>100</v>
      </c>
      <c r="C46" s="86">
        <v>970580.63</v>
      </c>
      <c r="D46" s="86">
        <v>213610</v>
      </c>
      <c r="E46" s="86">
        <f t="shared" si="1"/>
        <v>756970.63</v>
      </c>
      <c r="F46" s="215">
        <v>21.2</v>
      </c>
      <c r="G46" s="86">
        <f t="shared" si="2"/>
        <v>35706.161792452833</v>
      </c>
      <c r="H46" s="66">
        <f t="shared" si="3"/>
        <v>3.6788454960669091E-2</v>
      </c>
      <c r="K46" s="86"/>
      <c r="M46" s="216">
        <f t="shared" si="4"/>
        <v>3.6788454960669091E-2</v>
      </c>
      <c r="O46" s="86">
        <f t="shared" si="5"/>
        <v>35706.161792452833</v>
      </c>
      <c r="P46" s="86">
        <v>67358.321400000001</v>
      </c>
      <c r="Q46" s="167">
        <v>31194</v>
      </c>
    </row>
    <row r="47" spans="1:17">
      <c r="A47" s="58"/>
      <c r="B47" s="60"/>
      <c r="C47" s="83"/>
      <c r="D47" s="83"/>
      <c r="E47" s="83"/>
      <c r="F47" s="215"/>
      <c r="G47" s="83"/>
      <c r="H47" s="66"/>
      <c r="K47" s="83"/>
      <c r="M47" s="66"/>
      <c r="O47" s="83"/>
      <c r="P47" s="83"/>
      <c r="Q47" s="166"/>
    </row>
    <row r="48" spans="1:17">
      <c r="A48" s="62"/>
      <c r="B48" s="12" t="s">
        <v>101</v>
      </c>
      <c r="C48" s="85">
        <f>SUM(C43:C47)</f>
        <v>12511974.820000002</v>
      </c>
      <c r="D48" s="85">
        <f>SUM(D43:D47)</f>
        <v>1063975</v>
      </c>
      <c r="E48" s="85">
        <f>SUM(E43:E47)</f>
        <v>11447999.820000002</v>
      </c>
      <c r="F48" s="215"/>
      <c r="G48" s="85">
        <f>SUM(G43:G47)</f>
        <v>375434.26080460602</v>
      </c>
      <c r="H48" s="66">
        <f t="shared" si="3"/>
        <v>3.0005995552715312E-2</v>
      </c>
      <c r="K48" s="85">
        <f>SUM(K43:K47)</f>
        <v>6911.8454994974645</v>
      </c>
      <c r="L48" s="85"/>
      <c r="M48" s="162">
        <f>+O48/C48</f>
        <v>3.0558413983772979E-2</v>
      </c>
      <c r="O48" s="85">
        <f>SUM(O43:O47)</f>
        <v>382346.10630410345</v>
      </c>
      <c r="P48" s="85">
        <f>SUM(P43:P47)</f>
        <v>432968.89540000004</v>
      </c>
      <c r="Q48" s="85">
        <f>SUM(Q43:Q47)</f>
        <v>400147</v>
      </c>
    </row>
    <row r="49" spans="1:17">
      <c r="A49" s="62"/>
      <c r="B49" s="12"/>
      <c r="C49" s="85"/>
      <c r="D49" s="85"/>
      <c r="E49" s="85"/>
      <c r="F49" s="215"/>
      <c r="G49" s="85"/>
      <c r="H49" s="66"/>
      <c r="K49" s="85"/>
      <c r="L49" s="85"/>
      <c r="M49" s="66"/>
      <c r="O49" s="85"/>
      <c r="P49" s="85"/>
      <c r="Q49" s="166"/>
    </row>
    <row r="50" spans="1:17">
      <c r="A50" s="157"/>
      <c r="B50" s="158" t="s">
        <v>178</v>
      </c>
      <c r="C50" s="85"/>
      <c r="D50" s="85"/>
      <c r="E50" s="85"/>
      <c r="F50" s="215"/>
      <c r="G50" s="85"/>
      <c r="H50" s="66"/>
      <c r="K50" s="85"/>
      <c r="L50" s="85"/>
      <c r="M50" s="66"/>
      <c r="O50" s="85"/>
      <c r="P50" s="85"/>
      <c r="Q50" s="161"/>
    </row>
    <row r="51" spans="1:17">
      <c r="A51" s="157"/>
      <c r="B51" s="155"/>
      <c r="C51" s="85"/>
      <c r="D51" s="85"/>
      <c r="E51" s="85"/>
      <c r="F51" s="215"/>
      <c r="G51" s="85"/>
      <c r="H51" s="66"/>
      <c r="K51" s="85"/>
      <c r="L51" s="85"/>
      <c r="M51" s="66"/>
      <c r="O51" s="85"/>
      <c r="P51" s="85"/>
      <c r="Q51" s="169"/>
    </row>
    <row r="52" spans="1:17">
      <c r="A52" s="157">
        <v>366</v>
      </c>
      <c r="B52" s="155" t="s">
        <v>179</v>
      </c>
      <c r="C52" s="85"/>
      <c r="D52" s="85"/>
      <c r="E52" s="85"/>
      <c r="F52" s="215"/>
      <c r="G52" s="85"/>
      <c r="H52" s="66"/>
      <c r="K52" s="85"/>
      <c r="L52" s="85"/>
      <c r="M52" s="66"/>
      <c r="O52" s="85"/>
      <c r="P52" s="85">
        <v>2101</v>
      </c>
      <c r="Q52" s="169"/>
    </row>
    <row r="53" spans="1:17">
      <c r="A53" s="157">
        <v>367</v>
      </c>
      <c r="B53" s="155" t="s">
        <v>130</v>
      </c>
      <c r="C53" s="85"/>
      <c r="D53" s="85"/>
      <c r="E53" s="85"/>
      <c r="F53" s="215"/>
      <c r="G53" s="85"/>
      <c r="H53" s="66"/>
      <c r="K53" s="85"/>
      <c r="L53" s="85"/>
      <c r="M53" s="66"/>
      <c r="O53" s="85"/>
      <c r="P53" s="85">
        <v>830277</v>
      </c>
    </row>
    <row r="54" spans="1:17">
      <c r="A54" s="157">
        <v>369</v>
      </c>
      <c r="B54" s="155" t="s">
        <v>180</v>
      </c>
      <c r="C54" s="85"/>
      <c r="D54" s="85"/>
      <c r="E54" s="85"/>
      <c r="F54" s="215"/>
      <c r="G54" s="85"/>
      <c r="H54" s="66"/>
      <c r="K54" s="85"/>
      <c r="L54" s="85"/>
      <c r="M54" s="66"/>
      <c r="O54" s="85"/>
      <c r="P54" s="85">
        <v>265296</v>
      </c>
    </row>
    <row r="55" spans="1:17">
      <c r="A55" s="157"/>
      <c r="B55" s="155"/>
      <c r="C55" s="85"/>
      <c r="D55" s="85"/>
      <c r="E55" s="85"/>
      <c r="F55" s="215"/>
      <c r="G55" s="85"/>
      <c r="H55" s="66"/>
      <c r="K55" s="85"/>
      <c r="L55" s="85"/>
      <c r="M55" s="66"/>
      <c r="O55" s="85"/>
      <c r="P55" s="85"/>
    </row>
    <row r="56" spans="1:17">
      <c r="A56" s="157"/>
      <c r="B56" s="159" t="s">
        <v>181</v>
      </c>
      <c r="C56" s="83"/>
      <c r="D56" s="83"/>
      <c r="E56" s="83"/>
      <c r="F56" s="215"/>
      <c r="G56" s="83"/>
      <c r="H56" s="66"/>
      <c r="K56" s="83"/>
      <c r="M56" s="66"/>
      <c r="O56" s="83"/>
      <c r="P56" s="83">
        <f>SUM(P52:P55)</f>
        <v>1097674</v>
      </c>
    </row>
    <row r="57" spans="1:17">
      <c r="A57" s="58"/>
      <c r="B57" s="17"/>
      <c r="C57" s="83"/>
      <c r="D57" s="83"/>
      <c r="E57" s="83"/>
      <c r="F57" s="215"/>
      <c r="G57" s="83"/>
      <c r="H57" s="66"/>
      <c r="K57" s="83"/>
      <c r="M57" s="66"/>
      <c r="O57" s="83"/>
      <c r="P57" s="83"/>
    </row>
    <row r="58" spans="1:17">
      <c r="A58" s="58"/>
      <c r="B58" s="14" t="s">
        <v>40</v>
      </c>
      <c r="C58" s="83"/>
      <c r="D58" s="83"/>
      <c r="E58" s="83"/>
      <c r="F58" s="215"/>
      <c r="G58" s="83"/>
      <c r="H58" s="66"/>
      <c r="K58" s="83"/>
      <c r="M58" s="66"/>
      <c r="O58" s="83"/>
      <c r="P58" s="83"/>
    </row>
    <row r="59" spans="1:17">
      <c r="A59" s="58"/>
      <c r="B59" s="15"/>
      <c r="C59" s="83"/>
      <c r="D59" s="83"/>
      <c r="E59" s="83"/>
      <c r="F59" s="215"/>
      <c r="G59" s="83"/>
      <c r="H59" s="66"/>
      <c r="K59" s="83"/>
      <c r="M59" s="66"/>
      <c r="O59" s="83"/>
      <c r="P59" s="83"/>
    </row>
    <row r="60" spans="1:17">
      <c r="A60" s="58">
        <v>373</v>
      </c>
      <c r="B60" s="57" t="s">
        <v>102</v>
      </c>
      <c r="C60" s="83">
        <v>7789177.7300000004</v>
      </c>
      <c r="D60" s="83">
        <v>211553</v>
      </c>
      <c r="E60" s="83">
        <f t="shared" si="1"/>
        <v>7577624.7300000004</v>
      </c>
      <c r="F60" s="215">
        <v>48.5</v>
      </c>
      <c r="G60" s="83">
        <f t="shared" si="2"/>
        <v>156239.68515463918</v>
      </c>
      <c r="H60" s="66">
        <f t="shared" si="3"/>
        <v>2.0058559525851154E-2</v>
      </c>
      <c r="K60" s="83"/>
      <c r="M60" s="66">
        <f t="shared" si="4"/>
        <v>2.0058559525851154E-2</v>
      </c>
      <c r="O60" s="83">
        <f t="shared" si="5"/>
        <v>156239.68515463918</v>
      </c>
      <c r="P60" s="83">
        <v>140984.12179999999</v>
      </c>
      <c r="Q60" s="169">
        <v>156353</v>
      </c>
    </row>
    <row r="61" spans="1:17">
      <c r="A61" s="58">
        <v>375</v>
      </c>
      <c r="B61" s="57" t="s">
        <v>103</v>
      </c>
      <c r="C61" s="83">
        <v>8128305</v>
      </c>
      <c r="D61" s="83">
        <v>2894940</v>
      </c>
      <c r="E61" s="83">
        <f t="shared" si="1"/>
        <v>5233365</v>
      </c>
      <c r="F61" s="215">
        <v>31.7</v>
      </c>
      <c r="G61" s="83">
        <f t="shared" si="2"/>
        <v>165090.37854889591</v>
      </c>
      <c r="H61" s="66">
        <f t="shared" si="3"/>
        <v>2.031055411292956E-2</v>
      </c>
      <c r="J61" s="149">
        <f>+'[1]375'!$R$14</f>
        <v>4.1717271810689247E-4</v>
      </c>
      <c r="K61" s="83">
        <f t="shared" ref="K61:K68" si="6">+J61*C61</f>
        <v>3390.9070904518444</v>
      </c>
      <c r="L61" s="65"/>
      <c r="M61" s="66">
        <f t="shared" si="4"/>
        <v>2.0727726831036453E-2</v>
      </c>
      <c r="O61" s="83">
        <f t="shared" si="5"/>
        <v>168481.28563934774</v>
      </c>
      <c r="P61" s="83">
        <v>248726.133</v>
      </c>
      <c r="Q61" s="169">
        <v>178102</v>
      </c>
    </row>
    <row r="62" spans="1:17">
      <c r="A62" s="58">
        <v>376.1</v>
      </c>
      <c r="B62" s="59" t="s">
        <v>104</v>
      </c>
      <c r="C62" s="83">
        <v>2041490.74</v>
      </c>
      <c r="D62" s="83">
        <v>1847622</v>
      </c>
      <c r="E62" s="83">
        <f t="shared" si="1"/>
        <v>193868.74</v>
      </c>
      <c r="F62" s="215">
        <v>1</v>
      </c>
      <c r="G62" s="83">
        <f t="shared" si="2"/>
        <v>193868.74</v>
      </c>
      <c r="H62" s="66">
        <f t="shared" si="3"/>
        <v>9.4964300450365982E-2</v>
      </c>
      <c r="J62" s="152">
        <f>+J65</f>
        <v>3.1521900253321565E-3</v>
      </c>
      <c r="K62" s="83">
        <f t="shared" si="6"/>
        <v>6435.1667474359629</v>
      </c>
      <c r="L62" s="65"/>
      <c r="M62" s="66">
        <f t="shared" si="4"/>
        <v>9.8116490475698134E-2</v>
      </c>
      <c r="O62" s="83">
        <f t="shared" si="5"/>
        <v>200303.90674743595</v>
      </c>
      <c r="P62" s="83">
        <v>174751.62960000001</v>
      </c>
      <c r="Q62" s="169">
        <v>1418764</v>
      </c>
    </row>
    <row r="63" spans="1:17">
      <c r="A63" s="58">
        <v>376.2</v>
      </c>
      <c r="B63" s="59" t="s">
        <v>105</v>
      </c>
      <c r="C63" s="83">
        <v>642671849.71000004</v>
      </c>
      <c r="D63" s="83">
        <v>152856555</v>
      </c>
      <c r="E63" s="83">
        <f t="shared" si="1"/>
        <v>489815294.71000004</v>
      </c>
      <c r="F63" s="215">
        <v>40.200000000000003</v>
      </c>
      <c r="G63" s="83">
        <f t="shared" si="2"/>
        <v>12184460.067412935</v>
      </c>
      <c r="H63" s="66">
        <f t="shared" si="3"/>
        <v>1.8959069193572216E-2</v>
      </c>
      <c r="J63" s="152">
        <f>+'[1]376.2'!$R$14</f>
        <v>1.460155113714766E-3</v>
      </c>
      <c r="K63" s="83">
        <f t="shared" si="6"/>
        <v>938400.58779458411</v>
      </c>
      <c r="L63" s="65"/>
      <c r="M63" s="66">
        <f t="shared" si="4"/>
        <v>2.041922430728698E-2</v>
      </c>
      <c r="O63" s="83">
        <f t="shared" si="5"/>
        <v>13122860.655207518</v>
      </c>
      <c r="P63" s="83">
        <v>17930544.614999998</v>
      </c>
      <c r="Q63" s="169">
        <v>17771066</v>
      </c>
    </row>
    <row r="64" spans="1:17">
      <c r="A64" s="58">
        <v>376.3</v>
      </c>
      <c r="B64" s="59" t="s">
        <v>106</v>
      </c>
      <c r="C64" s="83">
        <v>49391333.82</v>
      </c>
      <c r="D64" s="83">
        <v>46389145</v>
      </c>
      <c r="E64" s="83">
        <f t="shared" si="1"/>
        <v>3002188.8200000003</v>
      </c>
      <c r="F64" s="215">
        <v>8</v>
      </c>
      <c r="G64" s="83">
        <f t="shared" si="2"/>
        <v>375273.60250000004</v>
      </c>
      <c r="H64" s="66">
        <f t="shared" si="3"/>
        <v>7.5979645309364116E-3</v>
      </c>
      <c r="J64" s="152">
        <f>+J65</f>
        <v>3.1521900253321565E-3</v>
      </c>
      <c r="K64" s="83">
        <f t="shared" si="6"/>
        <v>155690.8698052548</v>
      </c>
      <c r="L64" s="65"/>
      <c r="M64" s="66">
        <f t="shared" si="4"/>
        <v>1.0750154556268567E-2</v>
      </c>
      <c r="O64" s="83">
        <f t="shared" si="5"/>
        <v>530964.47230525478</v>
      </c>
      <c r="P64" s="83">
        <v>2237427.3848999999</v>
      </c>
      <c r="Q64" s="169">
        <v>807449</v>
      </c>
    </row>
    <row r="65" spans="1:17">
      <c r="A65" s="58">
        <v>376.4</v>
      </c>
      <c r="B65" s="59" t="s">
        <v>107</v>
      </c>
      <c r="C65" s="83">
        <v>306518527.06</v>
      </c>
      <c r="D65" s="83">
        <v>79569869</v>
      </c>
      <c r="E65" s="83">
        <f t="shared" si="1"/>
        <v>226948658.06</v>
      </c>
      <c r="F65" s="215">
        <v>37.9</v>
      </c>
      <c r="G65" s="83">
        <f t="shared" si="2"/>
        <v>5988091.2416886548</v>
      </c>
      <c r="H65" s="66">
        <f t="shared" si="3"/>
        <v>1.953582153458706E-2</v>
      </c>
      <c r="J65" s="153">
        <f>+'[1]376.4'!$R$14</f>
        <v>3.1521900253321565E-3</v>
      </c>
      <c r="K65" s="83">
        <f t="shared" si="6"/>
        <v>966204.64357803669</v>
      </c>
      <c r="L65" s="65"/>
      <c r="M65" s="66">
        <f t="shared" si="4"/>
        <v>2.2688011559919216E-2</v>
      </c>
      <c r="O65" s="83">
        <f t="shared" si="5"/>
        <v>6954295.8852666914</v>
      </c>
      <c r="P65" s="83">
        <v>9961852.1274999995</v>
      </c>
      <c r="Q65" s="169">
        <v>10029238</v>
      </c>
    </row>
    <row r="66" spans="1:17">
      <c r="A66" s="58">
        <v>378</v>
      </c>
      <c r="B66" s="59" t="s">
        <v>108</v>
      </c>
      <c r="C66" s="83">
        <v>55681323.020000003</v>
      </c>
      <c r="D66" s="83">
        <v>12976350</v>
      </c>
      <c r="E66" s="83">
        <f t="shared" si="1"/>
        <v>42704973.020000003</v>
      </c>
      <c r="F66" s="215">
        <v>23.2</v>
      </c>
      <c r="G66" s="83">
        <f t="shared" si="2"/>
        <v>1840731.5956896553</v>
      </c>
      <c r="H66" s="66">
        <f t="shared" si="3"/>
        <v>3.3058330798434669E-2</v>
      </c>
      <c r="J66" s="152">
        <f>+'[1]378'!$R$14</f>
        <v>3.5263002333471866E-3</v>
      </c>
      <c r="K66" s="83">
        <f t="shared" si="6"/>
        <v>196349.06235850608</v>
      </c>
      <c r="L66" s="65"/>
      <c r="M66" s="66">
        <f t="shared" si="4"/>
        <v>3.6584631031781854E-2</v>
      </c>
      <c r="O66" s="83">
        <f t="shared" si="5"/>
        <v>2037080.6580481613</v>
      </c>
      <c r="P66" s="83">
        <v>2372024.3597999997</v>
      </c>
      <c r="Q66" s="169">
        <v>2321010</v>
      </c>
    </row>
    <row r="67" spans="1:17">
      <c r="A67" s="58">
        <v>380</v>
      </c>
      <c r="B67" s="59" t="s">
        <v>109</v>
      </c>
      <c r="C67" s="83">
        <v>538213822.51999998</v>
      </c>
      <c r="D67" s="83">
        <v>230079279</v>
      </c>
      <c r="E67" s="83">
        <f t="shared" si="1"/>
        <v>308134543.51999998</v>
      </c>
      <c r="F67" s="215">
        <v>28.8</v>
      </c>
      <c r="G67" s="83">
        <f t="shared" si="2"/>
        <v>10699116.094444444</v>
      </c>
      <c r="H67" s="66">
        <f t="shared" si="3"/>
        <v>1.9878932213872796E-2</v>
      </c>
      <c r="J67" s="152">
        <f>+'[1]380'!$R$14</f>
        <v>7.9125069288356522E-3</v>
      </c>
      <c r="K67" s="83">
        <f t="shared" si="6"/>
        <v>4258620.5998846218</v>
      </c>
      <c r="L67" s="65"/>
      <c r="M67" s="66">
        <f t="shared" si="4"/>
        <v>2.779143914270845E-2</v>
      </c>
      <c r="O67" s="83">
        <f t="shared" si="5"/>
        <v>14957736.694329066</v>
      </c>
      <c r="P67" s="83">
        <v>16738449.895299999</v>
      </c>
      <c r="Q67" s="169">
        <v>24676021</v>
      </c>
    </row>
    <row r="68" spans="1:17">
      <c r="A68" s="58">
        <v>380.1</v>
      </c>
      <c r="B68" s="59" t="s">
        <v>110</v>
      </c>
      <c r="C68" s="83">
        <v>10275512.57</v>
      </c>
      <c r="D68" s="83">
        <v>7353907</v>
      </c>
      <c r="E68" s="83">
        <f t="shared" si="1"/>
        <v>2921605.5700000003</v>
      </c>
      <c r="F68" s="215">
        <v>8</v>
      </c>
      <c r="G68" s="83">
        <f t="shared" si="2"/>
        <v>365200.69625000004</v>
      </c>
      <c r="H68" s="66">
        <f t="shared" si="3"/>
        <v>3.5540873874868907E-2</v>
      </c>
      <c r="J68" s="152">
        <f>+J67</f>
        <v>7.9125069288356522E-3</v>
      </c>
      <c r="K68" s="83">
        <f t="shared" si="6"/>
        <v>81305.064407462836</v>
      </c>
      <c r="L68" s="65"/>
      <c r="M68" s="66">
        <f t="shared" si="4"/>
        <v>4.3453380803704561E-2</v>
      </c>
      <c r="O68" s="83">
        <f t="shared" si="5"/>
        <v>446505.76065746287</v>
      </c>
      <c r="P68" s="83">
        <v>319568.45429999998</v>
      </c>
      <c r="Q68" s="169">
        <v>532179</v>
      </c>
    </row>
    <row r="69" spans="1:17">
      <c r="A69" s="58">
        <v>381</v>
      </c>
      <c r="B69" s="59" t="s">
        <v>111</v>
      </c>
      <c r="C69" s="83">
        <v>53370787.43</v>
      </c>
      <c r="D69" s="83">
        <v>18393271</v>
      </c>
      <c r="E69" s="83">
        <f t="shared" si="1"/>
        <v>34977516.43</v>
      </c>
      <c r="F69" s="215">
        <v>24</v>
      </c>
      <c r="G69" s="83">
        <f t="shared" si="2"/>
        <v>1457396.5179166666</v>
      </c>
      <c r="H69" s="66">
        <f t="shared" si="3"/>
        <v>2.7307007973756375E-2</v>
      </c>
      <c r="J69" s="154"/>
      <c r="K69" s="83"/>
      <c r="M69" s="66">
        <f t="shared" si="4"/>
        <v>2.7307007973756375E-2</v>
      </c>
      <c r="O69" s="83">
        <f t="shared" si="5"/>
        <v>1457396.5179166666</v>
      </c>
      <c r="P69" s="83">
        <v>1718539.3414000003</v>
      </c>
      <c r="Q69" s="169">
        <v>1455709</v>
      </c>
    </row>
    <row r="70" spans="1:17">
      <c r="A70" s="58">
        <v>382</v>
      </c>
      <c r="B70" s="59" t="s">
        <v>112</v>
      </c>
      <c r="C70" s="83">
        <v>117058185.15000001</v>
      </c>
      <c r="D70" s="83">
        <v>18224886</v>
      </c>
      <c r="E70" s="83">
        <f t="shared" si="1"/>
        <v>98833299.150000006</v>
      </c>
      <c r="F70" s="215">
        <v>35.200000000000003</v>
      </c>
      <c r="G70" s="83">
        <f t="shared" si="2"/>
        <v>2807764.1803977271</v>
      </c>
      <c r="H70" s="66">
        <f t="shared" si="3"/>
        <v>2.3986055966951979E-2</v>
      </c>
      <c r="J70" s="154"/>
      <c r="K70" s="83"/>
      <c r="M70" s="66">
        <f t="shared" si="4"/>
        <v>2.3986055966951979E-2</v>
      </c>
      <c r="O70" s="83">
        <f t="shared" si="5"/>
        <v>2807764.1803977271</v>
      </c>
      <c r="P70" s="83">
        <v>2633809.1625000001</v>
      </c>
      <c r="Q70" s="169">
        <v>2808421</v>
      </c>
    </row>
    <row r="71" spans="1:17">
      <c r="A71" s="58">
        <v>383</v>
      </c>
      <c r="B71" s="59" t="s">
        <v>113</v>
      </c>
      <c r="C71" s="83">
        <v>12193536.630000001</v>
      </c>
      <c r="D71" s="83">
        <v>4631584</v>
      </c>
      <c r="E71" s="83">
        <f t="shared" si="1"/>
        <v>7561952.6300000008</v>
      </c>
      <c r="F71" s="215">
        <v>29.9</v>
      </c>
      <c r="G71" s="83">
        <f t="shared" si="2"/>
        <v>252908.1147157191</v>
      </c>
      <c r="H71" s="66">
        <f t="shared" si="3"/>
        <v>2.0741161681794948E-2</v>
      </c>
      <c r="J71" s="152">
        <f>'[1]383'!$R$14</f>
        <v>1.1329465106305295E-3</v>
      </c>
      <c r="K71" s="83">
        <f>+J71*C71</f>
        <v>13814.624777204048</v>
      </c>
      <c r="L71" s="65"/>
      <c r="M71" s="66">
        <f t="shared" si="4"/>
        <v>2.1874108192425478E-2</v>
      </c>
      <c r="O71" s="83">
        <f t="shared" si="5"/>
        <v>266722.73949292314</v>
      </c>
      <c r="P71" s="83">
        <v>410922.19689999998</v>
      </c>
      <c r="Q71" s="169">
        <v>294160</v>
      </c>
    </row>
    <row r="72" spans="1:17">
      <c r="A72" s="58">
        <v>384</v>
      </c>
      <c r="B72" s="59" t="s">
        <v>114</v>
      </c>
      <c r="C72" s="83">
        <v>65769508.390000001</v>
      </c>
      <c r="D72" s="83">
        <v>8444183</v>
      </c>
      <c r="E72" s="83">
        <f t="shared" si="1"/>
        <v>57325325.390000001</v>
      </c>
      <c r="F72" s="215">
        <v>35.4</v>
      </c>
      <c r="G72" s="83">
        <f t="shared" si="2"/>
        <v>1619359.4742937854</v>
      </c>
      <c r="H72" s="66">
        <f t="shared" si="3"/>
        <v>2.4621736028362998E-2</v>
      </c>
      <c r="J72" s="154"/>
      <c r="K72" s="83"/>
      <c r="L72" s="65"/>
      <c r="M72" s="66">
        <f t="shared" si="4"/>
        <v>2.4621736028362998E-2</v>
      </c>
      <c r="O72" s="83">
        <f t="shared" si="5"/>
        <v>1619359.4742937854</v>
      </c>
      <c r="P72" s="83">
        <v>1460083.0776000002</v>
      </c>
      <c r="Q72" s="169">
        <v>1618573</v>
      </c>
    </row>
    <row r="73" spans="1:17">
      <c r="A73" s="58">
        <v>385</v>
      </c>
      <c r="B73" s="59" t="s">
        <v>115</v>
      </c>
      <c r="C73" s="83">
        <v>33599839.140000001</v>
      </c>
      <c r="D73" s="83">
        <v>9331783</v>
      </c>
      <c r="E73" s="83">
        <f t="shared" si="1"/>
        <v>24268056.140000001</v>
      </c>
      <c r="F73" s="215">
        <v>21.1</v>
      </c>
      <c r="G73" s="83">
        <f t="shared" si="2"/>
        <v>1150144.8407582939</v>
      </c>
      <c r="H73" s="66">
        <f t="shared" si="3"/>
        <v>3.423066509235359E-2</v>
      </c>
      <c r="J73" s="153">
        <f>+'[1]385'!$R$14</f>
        <v>2.0400506593673921E-3</v>
      </c>
      <c r="K73" s="83">
        <f>+J73*C73</f>
        <v>68545.373992195309</v>
      </c>
      <c r="L73" s="65"/>
      <c r="M73" s="66">
        <f t="shared" si="4"/>
        <v>3.6270715751720986E-2</v>
      </c>
      <c r="O73" s="83">
        <f t="shared" si="5"/>
        <v>1218690.2147504892</v>
      </c>
      <c r="P73" s="83">
        <v>1038235.0250999999</v>
      </c>
      <c r="Q73" s="169">
        <v>1312410</v>
      </c>
    </row>
    <row r="74" spans="1:17">
      <c r="A74" s="58">
        <v>386.1</v>
      </c>
      <c r="B74" s="59" t="s">
        <v>116</v>
      </c>
      <c r="C74" s="83">
        <v>12474329.109999999</v>
      </c>
      <c r="D74" s="83">
        <v>4206108</v>
      </c>
      <c r="E74" s="83">
        <f t="shared" si="1"/>
        <v>8268221.1099999994</v>
      </c>
      <c r="F74" s="215">
        <v>3</v>
      </c>
      <c r="G74" s="83">
        <f t="shared" si="2"/>
        <v>2756073.7033333331</v>
      </c>
      <c r="H74" s="66">
        <f t="shared" si="3"/>
        <v>0.22093963362918947</v>
      </c>
      <c r="K74" s="83"/>
      <c r="M74" s="66">
        <f t="shared" si="4"/>
        <v>0.22093963362918947</v>
      </c>
      <c r="O74" s="83">
        <f t="shared" si="5"/>
        <v>2756073.7033333331</v>
      </c>
      <c r="P74" s="83">
        <v>2388834.0035000001</v>
      </c>
      <c r="Q74" s="169">
        <v>2715433</v>
      </c>
    </row>
    <row r="75" spans="1:17">
      <c r="A75" s="58">
        <v>386.2</v>
      </c>
      <c r="B75" s="59" t="s">
        <v>117</v>
      </c>
      <c r="C75" s="83">
        <v>21823391.050000001</v>
      </c>
      <c r="D75" s="83">
        <v>5752918</v>
      </c>
      <c r="E75" s="83">
        <f t="shared" si="1"/>
        <v>16070473.050000001</v>
      </c>
      <c r="F75" s="215">
        <v>3.8</v>
      </c>
      <c r="G75" s="83">
        <f t="shared" si="2"/>
        <v>4229071.8552631587</v>
      </c>
      <c r="H75" s="66">
        <f t="shared" si="3"/>
        <v>0.19378619232794064</v>
      </c>
      <c r="K75" s="83"/>
      <c r="M75" s="66">
        <f t="shared" si="4"/>
        <v>0.19378619232794064</v>
      </c>
      <c r="O75" s="83">
        <f t="shared" si="5"/>
        <v>4229071.8552631587</v>
      </c>
      <c r="P75" s="83">
        <v>4249014.2276999997</v>
      </c>
      <c r="Q75" s="169">
        <v>4213625</v>
      </c>
    </row>
    <row r="76" spans="1:17">
      <c r="A76" s="58">
        <v>386.3</v>
      </c>
      <c r="B76" s="59" t="s">
        <v>118</v>
      </c>
      <c r="C76" s="83">
        <v>2599148.89</v>
      </c>
      <c r="D76" s="83">
        <v>931583</v>
      </c>
      <c r="E76" s="83">
        <f t="shared" si="1"/>
        <v>1667565.8900000001</v>
      </c>
      <c r="F76" s="215">
        <v>4.4000000000000004</v>
      </c>
      <c r="G76" s="83">
        <f t="shared" si="2"/>
        <v>378992.24772727274</v>
      </c>
      <c r="H76" s="66">
        <f t="shared" si="3"/>
        <v>0.14581398133266338</v>
      </c>
      <c r="K76" s="83"/>
      <c r="M76" s="66">
        <f t="shared" si="4"/>
        <v>0.14581398133266338</v>
      </c>
      <c r="O76" s="83">
        <f t="shared" si="5"/>
        <v>378992.24772727274</v>
      </c>
      <c r="P76" s="83">
        <v>519829.8</v>
      </c>
      <c r="Q76" s="169">
        <v>377223</v>
      </c>
    </row>
    <row r="77" spans="1:17">
      <c r="A77" s="58">
        <v>386.5</v>
      </c>
      <c r="B77" s="57" t="s">
        <v>119</v>
      </c>
      <c r="C77" s="83">
        <v>252031.25</v>
      </c>
      <c r="D77" s="83">
        <v>106415</v>
      </c>
      <c r="E77" s="83">
        <f t="shared" si="1"/>
        <v>145616.25</v>
      </c>
      <c r="F77" s="215">
        <v>2.5</v>
      </c>
      <c r="G77" s="83">
        <f t="shared" si="2"/>
        <v>58246.5</v>
      </c>
      <c r="H77" s="66">
        <f t="shared" si="3"/>
        <v>0.23110824550526968</v>
      </c>
      <c r="K77" s="83"/>
      <c r="M77" s="66">
        <f t="shared" si="4"/>
        <v>0.23110824550526968</v>
      </c>
      <c r="O77" s="83">
        <f t="shared" si="5"/>
        <v>58246.5</v>
      </c>
      <c r="P77" s="83">
        <v>98317.293099999981</v>
      </c>
      <c r="Q77" s="169">
        <v>58795</v>
      </c>
    </row>
    <row r="78" spans="1:17">
      <c r="A78" s="58">
        <v>387</v>
      </c>
      <c r="B78" s="57" t="s">
        <v>120</v>
      </c>
      <c r="C78" s="86">
        <v>3785010.14</v>
      </c>
      <c r="D78" s="86">
        <v>1443642</v>
      </c>
      <c r="E78" s="86">
        <f t="shared" si="1"/>
        <v>2341368.14</v>
      </c>
      <c r="F78" s="215" t="s">
        <v>127</v>
      </c>
      <c r="G78" s="86"/>
      <c r="H78" s="66">
        <f t="shared" si="3"/>
        <v>0</v>
      </c>
      <c r="K78" s="86"/>
      <c r="M78" s="216">
        <f t="shared" si="4"/>
        <v>0</v>
      </c>
      <c r="O78" s="86">
        <f t="shared" si="5"/>
        <v>0</v>
      </c>
      <c r="P78" s="86">
        <v>300739</v>
      </c>
      <c r="Q78" s="169">
        <v>100692</v>
      </c>
    </row>
    <row r="79" spans="1:17">
      <c r="A79" s="58"/>
      <c r="B79" s="57"/>
      <c r="C79" s="83"/>
      <c r="D79" s="83"/>
      <c r="E79" s="83"/>
      <c r="F79" s="215" t="s">
        <v>128</v>
      </c>
      <c r="G79" s="83"/>
      <c r="H79" s="66"/>
      <c r="K79" s="83"/>
      <c r="M79" s="66"/>
      <c r="O79" s="83"/>
      <c r="P79" s="83"/>
      <c r="Q79" s="170"/>
    </row>
    <row r="80" spans="1:17">
      <c r="A80" s="58"/>
      <c r="B80" s="12" t="s">
        <v>41</v>
      </c>
      <c r="C80" s="85">
        <f>SUM(C60:C78)</f>
        <v>1943637109.3500006</v>
      </c>
      <c r="D80" s="85">
        <f>SUM(D60:D78)</f>
        <v>605645593</v>
      </c>
      <c r="E80" s="85">
        <f>SUM(E60:E78)</f>
        <v>1337991516.3500004</v>
      </c>
      <c r="F80" s="215"/>
      <c r="G80" s="85">
        <f>SUM(G60:G78)</f>
        <v>46678029.53609518</v>
      </c>
      <c r="H80" s="66">
        <f t="shared" si="3"/>
        <v>2.401581514962196E-2</v>
      </c>
      <c r="K80" s="85">
        <f>SUM(K60:K78)</f>
        <v>6688756.9004357541</v>
      </c>
      <c r="L80" s="85"/>
      <c r="M80" s="162">
        <f>+O80/C80</f>
        <v>2.7457176126040359E-2</v>
      </c>
      <c r="O80" s="85">
        <f>SUM(O60:O78)</f>
        <v>53366786.436530933</v>
      </c>
      <c r="P80" s="85">
        <f>SUM(P60:P78)</f>
        <v>64942651.848999999</v>
      </c>
      <c r="Q80" s="85">
        <f>SUM(Q60:Q78)</f>
        <v>72845223</v>
      </c>
    </row>
    <row r="81" spans="1:17">
      <c r="A81" s="58"/>
      <c r="B81" s="12"/>
      <c r="C81" s="83"/>
      <c r="D81" s="83"/>
      <c r="E81" s="83"/>
      <c r="F81" s="215"/>
      <c r="G81" s="83"/>
      <c r="H81" s="66"/>
      <c r="K81" s="83"/>
      <c r="M81" s="66"/>
      <c r="O81" s="83"/>
      <c r="P81" s="83"/>
      <c r="Q81" s="161"/>
    </row>
    <row r="82" spans="1:17">
      <c r="A82" s="58"/>
      <c r="B82" s="57"/>
      <c r="C82" s="83"/>
      <c r="D82" s="83"/>
      <c r="E82" s="83"/>
      <c r="F82" s="215"/>
      <c r="G82" s="83"/>
      <c r="H82" s="66"/>
      <c r="K82" s="83"/>
      <c r="M82" s="66"/>
      <c r="O82" s="83"/>
      <c r="P82" s="83"/>
      <c r="Q82" s="161"/>
    </row>
    <row r="83" spans="1:17">
      <c r="A83" s="58"/>
      <c r="B83" s="14" t="s">
        <v>42</v>
      </c>
      <c r="C83" s="83"/>
      <c r="D83" s="83"/>
      <c r="E83" s="83"/>
      <c r="F83" s="215"/>
      <c r="G83" s="83"/>
      <c r="H83" s="66"/>
      <c r="K83" s="83"/>
      <c r="M83" s="66"/>
      <c r="O83" s="83"/>
      <c r="P83" s="83"/>
      <c r="Q83" s="169"/>
    </row>
    <row r="84" spans="1:17">
      <c r="A84" s="58"/>
      <c r="B84" s="15"/>
      <c r="C84" s="83"/>
      <c r="D84" s="83"/>
      <c r="E84" s="83"/>
      <c r="F84" s="215"/>
      <c r="G84" s="83"/>
      <c r="H84" s="66"/>
      <c r="K84" s="83"/>
      <c r="M84" s="66"/>
      <c r="O84" s="83"/>
      <c r="P84" s="83"/>
      <c r="Q84" s="169"/>
    </row>
    <row r="85" spans="1:17">
      <c r="A85" s="58">
        <v>390</v>
      </c>
      <c r="B85" s="57" t="s">
        <v>121</v>
      </c>
      <c r="C85" s="83">
        <v>231563.72</v>
      </c>
      <c r="D85" s="83">
        <v>-4609426</v>
      </c>
      <c r="E85" s="83">
        <f t="shared" si="1"/>
        <v>4840989.72</v>
      </c>
      <c r="F85" s="215">
        <v>23.4</v>
      </c>
      <c r="G85" s="83">
        <f t="shared" si="2"/>
        <v>206879.90256410255</v>
      </c>
      <c r="H85" s="66">
        <f t="shared" si="3"/>
        <v>0.89340377915893976</v>
      </c>
      <c r="J85" s="149">
        <f>+'[1]305-364'!$N$48</f>
        <v>1.4440313048332395E-3</v>
      </c>
      <c r="K85" s="83">
        <f>+J85*C85</f>
        <v>334.38526074363892</v>
      </c>
      <c r="L85" s="65"/>
      <c r="M85" s="66">
        <f t="shared" ref="M85:M94" si="7">+H85+J85</f>
        <v>0.89484781046377304</v>
      </c>
      <c r="O85" s="83">
        <f t="shared" si="5"/>
        <v>207214.28782484619</v>
      </c>
      <c r="P85" s="83">
        <v>6599.5740000000005</v>
      </c>
      <c r="Q85" s="169">
        <v>207467</v>
      </c>
    </row>
    <row r="86" spans="1:17">
      <c r="A86" s="58">
        <v>391.1</v>
      </c>
      <c r="B86" s="59" t="s">
        <v>43</v>
      </c>
      <c r="C86" s="83">
        <v>9077153</v>
      </c>
      <c r="D86" s="83">
        <v>5880482</v>
      </c>
      <c r="E86" s="83">
        <f t="shared" si="1"/>
        <v>3196671</v>
      </c>
      <c r="F86" s="215">
        <v>3</v>
      </c>
      <c r="G86" s="83">
        <f>+H86*C86</f>
        <v>453857.65</v>
      </c>
      <c r="H86" s="160">
        <v>0.05</v>
      </c>
      <c r="J86" s="150"/>
      <c r="K86" s="83"/>
      <c r="M86" s="66">
        <f t="shared" si="7"/>
        <v>0.05</v>
      </c>
      <c r="O86" s="83">
        <f t="shared" si="5"/>
        <v>453857.65</v>
      </c>
      <c r="P86" s="83">
        <f>+Q18+Q17</f>
        <v>59596</v>
      </c>
      <c r="Q86" s="171">
        <v>1050186</v>
      </c>
    </row>
    <row r="87" spans="1:17">
      <c r="A87" s="58">
        <v>391.2</v>
      </c>
      <c r="B87" s="59" t="s">
        <v>122</v>
      </c>
      <c r="C87" s="83">
        <v>17885145.27</v>
      </c>
      <c r="D87" s="83">
        <v>9966278</v>
      </c>
      <c r="E87" s="83">
        <f t="shared" si="1"/>
        <v>7918867.2699999996</v>
      </c>
      <c r="F87" s="215">
        <v>1.1000000000000001</v>
      </c>
      <c r="G87" s="83">
        <f t="shared" ref="G87:G94" si="8">+H87*C87</f>
        <v>3577029.054</v>
      </c>
      <c r="H87" s="160">
        <v>0.2</v>
      </c>
      <c r="J87" s="150"/>
      <c r="K87" s="83"/>
      <c r="M87" s="66">
        <f t="shared" si="7"/>
        <v>0.2</v>
      </c>
      <c r="O87" s="83">
        <f t="shared" si="5"/>
        <v>3577029.054</v>
      </c>
      <c r="P87" s="83">
        <f>+Q19+Q20</f>
        <v>61946</v>
      </c>
      <c r="Q87" s="171">
        <v>7104313</v>
      </c>
    </row>
    <row r="88" spans="1:17">
      <c r="A88" s="58">
        <v>392</v>
      </c>
      <c r="B88" s="59" t="s">
        <v>44</v>
      </c>
      <c r="C88" s="83">
        <v>11368.58</v>
      </c>
      <c r="D88" s="83">
        <v>1084</v>
      </c>
      <c r="E88" s="83">
        <f t="shared" ref="E88:E94" si="9">+C88-D88</f>
        <v>10284.58</v>
      </c>
      <c r="F88" s="215">
        <v>1.5</v>
      </c>
      <c r="G88" s="83">
        <f t="shared" si="8"/>
        <v>1023.1722</v>
      </c>
      <c r="H88" s="160">
        <v>0.09</v>
      </c>
      <c r="J88" s="150"/>
      <c r="K88" s="83"/>
      <c r="M88" s="66">
        <f t="shared" si="7"/>
        <v>0.09</v>
      </c>
      <c r="O88" s="83">
        <f t="shared" ref="O88:O94" si="10">+K88+G88</f>
        <v>1023.1722</v>
      </c>
      <c r="P88" s="83">
        <v>811.74660000000006</v>
      </c>
      <c r="Q88" s="171">
        <v>6098</v>
      </c>
    </row>
    <row r="89" spans="1:17">
      <c r="A89" s="58">
        <v>393</v>
      </c>
      <c r="B89" s="59" t="s">
        <v>45</v>
      </c>
      <c r="C89" s="83">
        <v>245735.5</v>
      </c>
      <c r="D89" s="83">
        <v>194991</v>
      </c>
      <c r="E89" s="83">
        <f t="shared" si="9"/>
        <v>50744.5</v>
      </c>
      <c r="F89" s="215">
        <v>2.5</v>
      </c>
      <c r="G89" s="83">
        <f t="shared" si="8"/>
        <v>12286.775000000001</v>
      </c>
      <c r="H89" s="160">
        <v>0.05</v>
      </c>
      <c r="J89" s="150"/>
      <c r="K89" s="83"/>
      <c r="M89" s="66">
        <f t="shared" si="7"/>
        <v>0.05</v>
      </c>
      <c r="O89" s="83">
        <f t="shared" si="10"/>
        <v>12286.775000000001</v>
      </c>
      <c r="P89" s="83">
        <v>9116.8055999999997</v>
      </c>
      <c r="Q89" s="171">
        <v>20599</v>
      </c>
    </row>
    <row r="90" spans="1:17">
      <c r="A90" s="58">
        <v>394</v>
      </c>
      <c r="B90" s="59" t="s">
        <v>123</v>
      </c>
      <c r="C90" s="88">
        <v>10678457.59</v>
      </c>
      <c r="D90" s="88">
        <v>5305671</v>
      </c>
      <c r="E90" s="88">
        <f t="shared" si="9"/>
        <v>5372786.5899999999</v>
      </c>
      <c r="F90" s="215">
        <v>7.4</v>
      </c>
      <c r="G90" s="88">
        <f t="shared" si="8"/>
        <v>533922.87950000004</v>
      </c>
      <c r="H90" s="160">
        <v>0.05</v>
      </c>
      <c r="J90" s="150"/>
      <c r="K90" s="88"/>
      <c r="M90" s="66">
        <f t="shared" si="7"/>
        <v>0.05</v>
      </c>
      <c r="O90" s="88">
        <f t="shared" si="10"/>
        <v>533922.87950000004</v>
      </c>
      <c r="P90" s="88">
        <f>+Q23+Q24+Q25+Q26</f>
        <v>6781</v>
      </c>
      <c r="Q90" s="171">
        <v>725277</v>
      </c>
    </row>
    <row r="91" spans="1:17">
      <c r="A91" s="58">
        <v>395</v>
      </c>
      <c r="B91" s="57" t="s">
        <v>46</v>
      </c>
      <c r="C91" s="83">
        <v>1442528.58</v>
      </c>
      <c r="D91" s="83">
        <v>85265</v>
      </c>
      <c r="E91" s="83">
        <f t="shared" si="9"/>
        <v>1357263.58</v>
      </c>
      <c r="F91" s="215">
        <v>17.5</v>
      </c>
      <c r="G91" s="83">
        <f t="shared" si="8"/>
        <v>72126.429000000004</v>
      </c>
      <c r="H91" s="160">
        <v>0.05</v>
      </c>
      <c r="J91" s="150"/>
      <c r="K91" s="83"/>
      <c r="M91" s="66">
        <f t="shared" si="7"/>
        <v>0.05</v>
      </c>
      <c r="O91" s="83">
        <f t="shared" si="10"/>
        <v>72126.429000000004</v>
      </c>
      <c r="P91" s="83">
        <v>39092.535899999995</v>
      </c>
      <c r="Q91" s="171">
        <v>77600</v>
      </c>
    </row>
    <row r="92" spans="1:17">
      <c r="A92" s="58">
        <v>396</v>
      </c>
      <c r="B92" s="57" t="s">
        <v>47</v>
      </c>
      <c r="C92" s="83">
        <v>586312.37</v>
      </c>
      <c r="D92" s="83">
        <v>368861</v>
      </c>
      <c r="E92" s="83">
        <f t="shared" si="9"/>
        <v>217451.37</v>
      </c>
      <c r="F92" s="215">
        <v>11.5</v>
      </c>
      <c r="G92" s="83">
        <f t="shared" si="8"/>
        <v>35178.742200000001</v>
      </c>
      <c r="H92" s="160">
        <v>0.06</v>
      </c>
      <c r="J92" s="150"/>
      <c r="K92" s="83"/>
      <c r="M92" s="66">
        <f t="shared" si="7"/>
        <v>0.06</v>
      </c>
      <c r="O92" s="83">
        <f t="shared" si="10"/>
        <v>35178.742200000001</v>
      </c>
      <c r="P92" s="83">
        <v>83783.984799999991</v>
      </c>
      <c r="Q92" s="171">
        <v>13851</v>
      </c>
    </row>
    <row r="93" spans="1:17">
      <c r="A93" s="58">
        <v>397</v>
      </c>
      <c r="B93" s="59" t="s">
        <v>48</v>
      </c>
      <c r="C93" s="83">
        <v>7313950.4199999999</v>
      </c>
      <c r="D93" s="83">
        <v>3436992</v>
      </c>
      <c r="E93" s="83">
        <f t="shared" si="9"/>
        <v>3876958.42</v>
      </c>
      <c r="F93" s="215">
        <v>3.9</v>
      </c>
      <c r="G93" s="83">
        <f t="shared" si="8"/>
        <v>487840.49301399995</v>
      </c>
      <c r="H93" s="160">
        <v>6.6699999999999995E-2</v>
      </c>
      <c r="J93" s="150"/>
      <c r="K93" s="83"/>
      <c r="M93" s="66">
        <f t="shared" si="7"/>
        <v>6.6699999999999995E-2</v>
      </c>
      <c r="O93" s="83">
        <f t="shared" si="10"/>
        <v>487840.49301399995</v>
      </c>
      <c r="P93" s="83">
        <f>+Q29+Q30</f>
        <v>118501</v>
      </c>
      <c r="Q93" s="171">
        <v>990703</v>
      </c>
    </row>
    <row r="94" spans="1:17">
      <c r="A94" s="58">
        <v>398</v>
      </c>
      <c r="B94" s="57" t="s">
        <v>49</v>
      </c>
      <c r="C94" s="86">
        <v>336775.82</v>
      </c>
      <c r="D94" s="86">
        <v>254306</v>
      </c>
      <c r="E94" s="86">
        <f t="shared" si="9"/>
        <v>82469.820000000007</v>
      </c>
      <c r="F94" s="215">
        <v>1.9</v>
      </c>
      <c r="G94" s="86">
        <f t="shared" si="8"/>
        <v>22462.947194</v>
      </c>
      <c r="H94" s="160">
        <v>6.6699999999999995E-2</v>
      </c>
      <c r="J94" s="150"/>
      <c r="K94" s="86"/>
      <c r="M94" s="216">
        <f t="shared" si="7"/>
        <v>6.6699999999999995E-2</v>
      </c>
      <c r="O94" s="86">
        <f t="shared" si="10"/>
        <v>22462.947194</v>
      </c>
      <c r="P94" s="86">
        <f>+Q31</f>
        <v>66418</v>
      </c>
      <c r="Q94" s="171">
        <v>43070</v>
      </c>
    </row>
    <row r="95" spans="1:17">
      <c r="A95" s="57"/>
      <c r="B95" s="57"/>
      <c r="C95" s="83"/>
      <c r="D95" s="83"/>
      <c r="E95" s="83"/>
      <c r="F95" s="215"/>
      <c r="G95" s="83"/>
      <c r="K95" s="83"/>
      <c r="M95" s="66"/>
      <c r="O95" s="83"/>
      <c r="P95" s="83"/>
      <c r="Q95" s="170"/>
    </row>
    <row r="96" spans="1:17">
      <c r="A96" s="57"/>
      <c r="B96" s="12" t="s">
        <v>50</v>
      </c>
      <c r="C96" s="85">
        <f>SUM(C85:C94)</f>
        <v>47808990.849999994</v>
      </c>
      <c r="D96" s="85">
        <f>SUM(D85:D94)</f>
        <v>20884504</v>
      </c>
      <c r="E96" s="85">
        <f>SUM(E85:E94)</f>
        <v>26924486.849999994</v>
      </c>
      <c r="F96" s="85"/>
      <c r="G96" s="85">
        <f>SUM(G85:G94)</f>
        <v>5402608.0446721027</v>
      </c>
      <c r="H96" s="66">
        <f>+G96/C96</f>
        <v>0.11300401762552792</v>
      </c>
      <c r="K96" s="85">
        <f>SUM(K85:K94)</f>
        <v>334.38526074363892</v>
      </c>
      <c r="L96" s="85"/>
      <c r="M96" s="162">
        <f>+O96/C96</f>
        <v>0.11301101181751565</v>
      </c>
      <c r="O96" s="85">
        <f>SUM(O85:O94)</f>
        <v>5402942.4299328467</v>
      </c>
      <c r="P96" s="85">
        <f>SUM(P85:P94)</f>
        <v>452646.64689999999</v>
      </c>
      <c r="Q96" s="85">
        <f>SUM(Q85:Q94)</f>
        <v>10239164</v>
      </c>
    </row>
    <row r="97" spans="1:17">
      <c r="A97" s="57"/>
      <c r="B97" s="63"/>
      <c r="C97" s="83"/>
      <c r="D97" s="83"/>
      <c r="E97" s="83"/>
      <c r="G97" s="83"/>
      <c r="K97" s="83"/>
      <c r="M97" s="66"/>
      <c r="O97" s="83"/>
      <c r="P97" s="83"/>
      <c r="Q97" s="83"/>
    </row>
    <row r="98" spans="1:17">
      <c r="A98" s="57"/>
      <c r="B98" s="12" t="s">
        <v>124</v>
      </c>
      <c r="C98" s="85">
        <f>C96+C80+C48+C38+C20</f>
        <v>2034662621.7700005</v>
      </c>
      <c r="D98" s="85">
        <f>D96+D80+D48+D38+D20</f>
        <v>646753743</v>
      </c>
      <c r="E98" s="85">
        <f>E96+E80+E48+E38+E20</f>
        <v>1387908878.7700002</v>
      </c>
      <c r="F98" s="85"/>
      <c r="G98" s="85">
        <f>G96+G80+G48+G38+G20</f>
        <v>52867467.498979986</v>
      </c>
      <c r="K98" s="85">
        <f>K96+K80+K48+K38+K20</f>
        <v>6723821.953301711</v>
      </c>
      <c r="L98" s="85"/>
      <c r="M98" s="162">
        <f>+O98/C98</f>
        <v>2.9288044521327987E-2</v>
      </c>
      <c r="O98" s="85">
        <f>O96+O80+O48+O38+O20</f>
        <v>59591289.452281699</v>
      </c>
      <c r="P98" s="85">
        <f>P96+P80+P48+P38+P20</f>
        <v>66929860.996199995</v>
      </c>
      <c r="Q98" s="85">
        <f>Q96+Q80+Q48+Q38+Q20</f>
        <v>84007275</v>
      </c>
    </row>
    <row r="99" spans="1:17">
      <c r="A99" s="57"/>
      <c r="B99" s="12"/>
    </row>
    <row r="100" spans="1:17">
      <c r="A100" s="57"/>
      <c r="B100" s="12"/>
      <c r="P100" s="218"/>
    </row>
    <row r="101" spans="1:17">
      <c r="A101" s="64" t="s">
        <v>125</v>
      </c>
      <c r="B101" s="12"/>
    </row>
    <row r="102" spans="1:17">
      <c r="A102" s="57" t="s">
        <v>126</v>
      </c>
      <c r="B102" s="57"/>
    </row>
  </sheetData>
  <mergeCells count="8">
    <mergeCell ref="E1:H1"/>
    <mergeCell ref="J8:K8"/>
    <mergeCell ref="O8:Q8"/>
    <mergeCell ref="A2:Q2"/>
    <mergeCell ref="A4:Q4"/>
    <mergeCell ref="A5:Q5"/>
    <mergeCell ref="A3:Q3"/>
    <mergeCell ref="D8:H8"/>
  </mergeCells>
  <phoneticPr fontId="3" type="noConversion"/>
  <printOptions horizontalCentered="1"/>
  <pageMargins left="0.75" right="0.75" top="1" bottom="1" header="0.5" footer="0.5"/>
  <pageSetup scale="5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U30"/>
  <sheetViews>
    <sheetView workbookViewId="0">
      <selection activeCell="E1" sqref="E1:G1"/>
    </sheetView>
  </sheetViews>
  <sheetFormatPr defaultColWidth="12.42578125" defaultRowHeight="15"/>
  <cols>
    <col min="1" max="1" width="9.140625" style="18" customWidth="1"/>
    <col min="2" max="2" width="3.7109375" style="34" customWidth="1"/>
    <col min="3" max="3" width="56.140625" style="18" customWidth="1"/>
    <col min="4" max="4" width="17.140625" style="53" customWidth="1"/>
    <col min="5" max="5" width="18.85546875" style="53" customWidth="1"/>
    <col min="6" max="6" width="19.42578125" style="53" customWidth="1"/>
    <col min="7" max="7" width="14" style="53" customWidth="1"/>
    <col min="8" max="8" width="16" style="53" customWidth="1"/>
    <col min="9" max="9" width="14.5703125" style="53" customWidth="1"/>
    <col min="10" max="10" width="14.85546875" style="53" customWidth="1"/>
    <col min="11" max="11" width="3" style="53" customWidth="1"/>
    <col min="12" max="12" width="16.140625" style="25" customWidth="1"/>
    <col min="13" max="13" width="2.7109375" style="25" customWidth="1"/>
    <col min="14" max="14" width="16" style="18" customWidth="1"/>
    <col min="15" max="16384" width="12.42578125" style="18"/>
  </cols>
  <sheetData>
    <row r="1" spans="1:229">
      <c r="E1" s="264" t="s">
        <v>304</v>
      </c>
      <c r="F1" s="264"/>
      <c r="G1" s="264"/>
    </row>
    <row r="2" spans="1:229" ht="18">
      <c r="B2" s="265" t="s">
        <v>51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229" ht="18">
      <c r="B3" s="265" t="s">
        <v>129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1:229" s="19" customFormat="1" ht="18">
      <c r="B4" s="266" t="s">
        <v>55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1:229" s="19" customFormat="1" ht="18">
      <c r="B5" s="266" t="s">
        <v>56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7"/>
    </row>
    <row r="6" spans="1:229" s="19" customFormat="1" ht="15.7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</row>
    <row r="7" spans="1:229" ht="17.25" customHeight="1">
      <c r="B7" s="22"/>
      <c r="C7" s="23"/>
      <c r="D7" s="24"/>
      <c r="E7" s="24"/>
      <c r="F7" s="24"/>
      <c r="G7" s="24"/>
      <c r="H7" s="24"/>
      <c r="I7" s="24"/>
      <c r="J7" s="24"/>
      <c r="K7" s="24"/>
    </row>
    <row r="8" spans="1:229">
      <c r="A8" s="26" t="s">
        <v>57</v>
      </c>
      <c r="C8" s="27" t="s">
        <v>4</v>
      </c>
      <c r="D8" s="28" t="s">
        <v>58</v>
      </c>
      <c r="E8" s="29" t="s">
        <v>6</v>
      </c>
      <c r="F8" s="28" t="s">
        <v>7</v>
      </c>
      <c r="G8" s="29" t="s">
        <v>8</v>
      </c>
      <c r="H8" s="29" t="s">
        <v>9</v>
      </c>
      <c r="I8" s="29" t="s">
        <v>10</v>
      </c>
      <c r="J8" s="30" t="s">
        <v>11</v>
      </c>
      <c r="K8" s="31"/>
      <c r="L8" s="32" t="s">
        <v>12</v>
      </c>
      <c r="M8" s="29"/>
      <c r="N8" s="33" t="s">
        <v>13</v>
      </c>
    </row>
    <row r="9" spans="1:229">
      <c r="A9" s="34"/>
      <c r="D9" s="30" t="s">
        <v>59</v>
      </c>
      <c r="E9" s="30" t="s">
        <v>19</v>
      </c>
      <c r="F9" s="35" t="s">
        <v>21</v>
      </c>
      <c r="G9" s="30" t="s">
        <v>52</v>
      </c>
      <c r="H9" s="30" t="s">
        <v>60</v>
      </c>
      <c r="I9" s="30" t="s">
        <v>21</v>
      </c>
      <c r="J9" s="36" t="s">
        <v>54</v>
      </c>
      <c r="K9" s="30"/>
      <c r="L9" s="30" t="s">
        <v>61</v>
      </c>
      <c r="M9" s="37"/>
      <c r="N9" s="19"/>
    </row>
    <row r="10" spans="1:229">
      <c r="A10" s="34" t="s">
        <v>62</v>
      </c>
      <c r="D10" s="30" t="s">
        <v>63</v>
      </c>
      <c r="E10" s="30" t="s">
        <v>26</v>
      </c>
      <c r="F10" s="35" t="s">
        <v>64</v>
      </c>
      <c r="G10" s="30" t="s">
        <v>65</v>
      </c>
      <c r="H10" s="30" t="s">
        <v>66</v>
      </c>
      <c r="I10" s="36" t="s">
        <v>28</v>
      </c>
      <c r="J10" s="36" t="s">
        <v>60</v>
      </c>
      <c r="K10" s="30"/>
      <c r="L10" s="37" t="s">
        <v>67</v>
      </c>
      <c r="M10" s="38"/>
      <c r="N10" s="19"/>
    </row>
    <row r="11" spans="1:229">
      <c r="A11" s="39" t="s">
        <v>68</v>
      </c>
      <c r="C11" s="40" t="s">
        <v>69</v>
      </c>
      <c r="D11" s="41" t="s">
        <v>70</v>
      </c>
      <c r="E11" s="41"/>
      <c r="F11" s="42" t="s">
        <v>27</v>
      </c>
      <c r="G11" s="43" t="s">
        <v>71</v>
      </c>
      <c r="H11" s="43" t="s">
        <v>27</v>
      </c>
      <c r="I11" s="44"/>
      <c r="J11" s="43" t="s">
        <v>72</v>
      </c>
      <c r="K11" s="41"/>
      <c r="L11" s="43" t="s">
        <v>73</v>
      </c>
      <c r="M11" s="43"/>
      <c r="N11" s="45" t="s">
        <v>74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</row>
    <row r="12" spans="1:229" s="47" customFormat="1">
      <c r="D12" s="48"/>
      <c r="E12" s="48"/>
      <c r="F12" s="49"/>
      <c r="G12" s="48"/>
      <c r="H12" s="50"/>
      <c r="I12" s="50"/>
      <c r="J12" s="48"/>
      <c r="L12" s="51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</row>
    <row r="13" spans="1:229" ht="15.75">
      <c r="A13" s="58"/>
      <c r="B13" s="57"/>
      <c r="C13" s="74" t="s">
        <v>40</v>
      </c>
      <c r="I13" s="56"/>
    </row>
    <row r="14" spans="1:229">
      <c r="A14" s="58"/>
      <c r="B14" s="57"/>
      <c r="C14" s="15"/>
      <c r="I14" s="56"/>
    </row>
    <row r="15" spans="1:229">
      <c r="A15" s="70">
        <v>375</v>
      </c>
      <c r="B15" s="71"/>
      <c r="C15" s="71" t="s">
        <v>103</v>
      </c>
      <c r="D15" s="67">
        <v>8128305</v>
      </c>
      <c r="E15" s="54">
        <v>2894940</v>
      </c>
      <c r="F15" s="53">
        <f t="shared" ref="F15:F30" si="0">+D15-E15</f>
        <v>5233365</v>
      </c>
      <c r="G15" s="77">
        <v>-5</v>
      </c>
      <c r="H15" s="53">
        <f t="shared" ref="H15:H30" si="1">+F15*-G15*0.01</f>
        <v>261668.25</v>
      </c>
      <c r="I15" s="78">
        <v>31.7</v>
      </c>
      <c r="J15" s="53">
        <f>+H15/I15</f>
        <v>8254.5189274447948</v>
      </c>
      <c r="L15" s="25">
        <v>26563</v>
      </c>
      <c r="N15" s="55">
        <f>+J15-L15</f>
        <v>-18308.481072555205</v>
      </c>
    </row>
    <row r="16" spans="1:229">
      <c r="A16" s="70">
        <v>376</v>
      </c>
      <c r="B16" s="71"/>
      <c r="C16" s="72" t="s">
        <v>130</v>
      </c>
      <c r="D16" s="67">
        <v>1000623201.3300002</v>
      </c>
      <c r="E16" s="67">
        <v>280663191</v>
      </c>
      <c r="F16" s="67">
        <v>719960010.33000004</v>
      </c>
      <c r="G16" s="80">
        <v>-40</v>
      </c>
      <c r="H16" s="67">
        <v>285236156.63990003</v>
      </c>
      <c r="I16" s="79">
        <v>38.53919238667406</v>
      </c>
      <c r="J16" s="67">
        <v>7401197.0406138543</v>
      </c>
      <c r="L16" s="25">
        <v>918767</v>
      </c>
      <c r="N16" s="55">
        <f t="shared" ref="N16:N23" si="2">+J16-L16</f>
        <v>6482430.0406138543</v>
      </c>
    </row>
    <row r="17" spans="1:14">
      <c r="A17" s="70">
        <v>378</v>
      </c>
      <c r="B17" s="71"/>
      <c r="C17" s="72" t="s">
        <v>108</v>
      </c>
      <c r="D17" s="67">
        <v>55681323.020000003</v>
      </c>
      <c r="E17" s="54">
        <v>12976350</v>
      </c>
      <c r="F17" s="53">
        <f t="shared" si="0"/>
        <v>42704973.020000003</v>
      </c>
      <c r="G17" s="77">
        <v>-20</v>
      </c>
      <c r="H17" s="53">
        <f t="shared" si="1"/>
        <v>8540994.6040000003</v>
      </c>
      <c r="I17" s="78">
        <v>23.2</v>
      </c>
      <c r="J17" s="53">
        <f t="shared" ref="J17:J22" si="3">+H17/I17</f>
        <v>368146.31913793104</v>
      </c>
      <c r="L17" s="25">
        <v>295496</v>
      </c>
      <c r="N17" s="55">
        <f t="shared" si="2"/>
        <v>72650.319137931045</v>
      </c>
    </row>
    <row r="18" spans="1:14">
      <c r="A18" s="70">
        <v>380</v>
      </c>
      <c r="B18" s="71"/>
      <c r="C18" s="72" t="s">
        <v>132</v>
      </c>
      <c r="D18" s="67">
        <v>548489335.09000003</v>
      </c>
      <c r="E18" s="67">
        <v>237433186</v>
      </c>
      <c r="F18" s="67">
        <v>311056149.08999997</v>
      </c>
      <c r="G18" s="80">
        <v>-74</v>
      </c>
      <c r="H18" s="67">
        <v>231480716.36410001</v>
      </c>
      <c r="I18" s="67">
        <v>28.677660364168371</v>
      </c>
      <c r="J18" s="67">
        <v>8071813.1613458339</v>
      </c>
      <c r="L18" s="25">
        <v>2027859</v>
      </c>
      <c r="N18" s="55">
        <f>+J18-L18</f>
        <v>6043954.1613458339</v>
      </c>
    </row>
    <row r="19" spans="1:14">
      <c r="A19" s="70">
        <v>381</v>
      </c>
      <c r="B19" s="71"/>
      <c r="C19" s="72" t="s">
        <v>111</v>
      </c>
      <c r="D19" s="67">
        <v>53370787.43</v>
      </c>
      <c r="E19" s="54">
        <v>18393271</v>
      </c>
      <c r="F19" s="53">
        <f t="shared" si="0"/>
        <v>34977516.43</v>
      </c>
      <c r="G19" s="77">
        <v>0</v>
      </c>
      <c r="H19" s="53">
        <f t="shared" si="1"/>
        <v>0</v>
      </c>
      <c r="I19" s="78">
        <v>24</v>
      </c>
      <c r="J19" s="53">
        <f t="shared" si="3"/>
        <v>0</v>
      </c>
      <c r="L19" s="25">
        <v>286972</v>
      </c>
      <c r="N19" s="55">
        <f t="shared" si="2"/>
        <v>-286972</v>
      </c>
    </row>
    <row r="20" spans="1:14">
      <c r="A20" s="70">
        <v>383</v>
      </c>
      <c r="B20" s="71"/>
      <c r="C20" s="72" t="s">
        <v>113</v>
      </c>
      <c r="D20" s="67">
        <v>12193536.630000001</v>
      </c>
      <c r="E20" s="54">
        <v>4631584</v>
      </c>
      <c r="F20" s="53">
        <f t="shared" si="0"/>
        <v>7561952.6300000008</v>
      </c>
      <c r="G20" s="77">
        <v>-10</v>
      </c>
      <c r="H20" s="53">
        <f t="shared" si="1"/>
        <v>756195.26300000015</v>
      </c>
      <c r="I20" s="78">
        <v>29.9</v>
      </c>
      <c r="J20" s="53">
        <f t="shared" si="3"/>
        <v>25290.811471571913</v>
      </c>
      <c r="L20" s="25">
        <v>1205</v>
      </c>
      <c r="N20" s="55">
        <f t="shared" si="2"/>
        <v>24085.811471571913</v>
      </c>
    </row>
    <row r="21" spans="1:14">
      <c r="A21" s="70">
        <v>384</v>
      </c>
      <c r="B21" s="71"/>
      <c r="C21" s="72" t="s">
        <v>114</v>
      </c>
      <c r="D21" s="67">
        <v>65769508.390000001</v>
      </c>
      <c r="E21" s="54">
        <v>3190040</v>
      </c>
      <c r="F21" s="53">
        <f t="shared" si="0"/>
        <v>62579468.390000001</v>
      </c>
      <c r="G21" s="77">
        <v>0</v>
      </c>
      <c r="H21" s="53">
        <f t="shared" si="1"/>
        <v>0</v>
      </c>
      <c r="I21" s="78">
        <v>34.1</v>
      </c>
      <c r="J21" s="53">
        <f t="shared" si="3"/>
        <v>0</v>
      </c>
      <c r="N21" s="55">
        <f t="shared" si="2"/>
        <v>0</v>
      </c>
    </row>
    <row r="22" spans="1:14">
      <c r="A22" s="70">
        <v>385</v>
      </c>
      <c r="B22" s="71"/>
      <c r="C22" s="72" t="s">
        <v>115</v>
      </c>
      <c r="D22" s="67">
        <v>33599839.140000001</v>
      </c>
      <c r="E22" s="54">
        <v>9331783</v>
      </c>
      <c r="F22" s="53">
        <f t="shared" si="0"/>
        <v>24268056.140000001</v>
      </c>
      <c r="G22" s="77">
        <v>-10</v>
      </c>
      <c r="H22" s="53">
        <f t="shared" si="1"/>
        <v>2426805.6140000001</v>
      </c>
      <c r="I22" s="78">
        <v>21.1</v>
      </c>
      <c r="J22" s="53">
        <f t="shared" si="3"/>
        <v>115014.48407582937</v>
      </c>
      <c r="L22" s="25">
        <v>69487</v>
      </c>
      <c r="N22" s="55">
        <f t="shared" si="2"/>
        <v>45527.484075829372</v>
      </c>
    </row>
    <row r="23" spans="1:14">
      <c r="A23" s="70">
        <v>386</v>
      </c>
      <c r="B23" s="71"/>
      <c r="C23" s="72" t="s">
        <v>131</v>
      </c>
      <c r="D23" s="67">
        <v>34297720.159999996</v>
      </c>
      <c r="E23" s="67">
        <v>9959026</v>
      </c>
      <c r="F23" s="67">
        <v>24338694.16</v>
      </c>
      <c r="G23" s="47">
        <v>0</v>
      </c>
      <c r="I23" s="78"/>
      <c r="L23" s="25">
        <v>33210</v>
      </c>
      <c r="N23" s="55">
        <f t="shared" si="2"/>
        <v>-33210</v>
      </c>
    </row>
    <row r="24" spans="1:14">
      <c r="A24" s="70">
        <v>386.3</v>
      </c>
      <c r="B24" s="71"/>
      <c r="C24" s="72" t="s">
        <v>118</v>
      </c>
      <c r="D24" s="67">
        <v>2599148.89</v>
      </c>
      <c r="E24" s="54">
        <v>931583</v>
      </c>
      <c r="F24" s="53">
        <f t="shared" si="0"/>
        <v>1667565.8900000001</v>
      </c>
      <c r="G24" s="77">
        <v>0</v>
      </c>
      <c r="H24" s="53">
        <f t="shared" si="1"/>
        <v>0</v>
      </c>
      <c r="I24" s="78">
        <v>4.4000000000000004</v>
      </c>
    </row>
    <row r="25" spans="1:14">
      <c r="A25" s="70">
        <v>386.5</v>
      </c>
      <c r="B25" s="71"/>
      <c r="C25" s="71" t="s">
        <v>119</v>
      </c>
      <c r="D25" s="67">
        <v>252031.25</v>
      </c>
      <c r="E25" s="54">
        <v>106415</v>
      </c>
      <c r="F25" s="53">
        <f t="shared" si="0"/>
        <v>145616.25</v>
      </c>
      <c r="G25" s="77">
        <v>0</v>
      </c>
      <c r="H25" s="53">
        <f t="shared" si="1"/>
        <v>0</v>
      </c>
      <c r="I25" s="78">
        <v>2.5</v>
      </c>
    </row>
    <row r="26" spans="1:14">
      <c r="A26" s="70">
        <v>387</v>
      </c>
      <c r="B26" s="71"/>
      <c r="C26" s="71" t="s">
        <v>120</v>
      </c>
      <c r="D26" s="68">
        <v>3785010.14</v>
      </c>
      <c r="E26" s="54">
        <v>4190782</v>
      </c>
      <c r="F26" s="53">
        <f t="shared" si="0"/>
        <v>-405771.85999999987</v>
      </c>
      <c r="G26" s="77">
        <v>0</v>
      </c>
      <c r="H26" s="53">
        <f t="shared" si="1"/>
        <v>0</v>
      </c>
      <c r="I26" s="78" t="s">
        <v>127</v>
      </c>
    </row>
    <row r="27" spans="1:14">
      <c r="A27" s="70"/>
      <c r="B27" s="71"/>
      <c r="C27" s="71"/>
      <c r="D27" s="67"/>
      <c r="E27" s="75"/>
      <c r="F27" s="53">
        <f t="shared" si="0"/>
        <v>0</v>
      </c>
      <c r="G27" s="77"/>
      <c r="H27" s="53">
        <f t="shared" si="1"/>
        <v>0</v>
      </c>
      <c r="I27" s="78" t="s">
        <v>128</v>
      </c>
    </row>
    <row r="28" spans="1:14" ht="15.75">
      <c r="A28" s="70"/>
      <c r="B28" s="71"/>
      <c r="C28" s="73" t="s">
        <v>41</v>
      </c>
      <c r="D28" s="69">
        <f>SUM(D15:D26)</f>
        <v>1818789746.4700007</v>
      </c>
      <c r="E28" s="76">
        <f>SUM(E15:E26)</f>
        <v>584702151</v>
      </c>
      <c r="F28" s="89">
        <f t="shared" si="0"/>
        <v>1234087595.4700007</v>
      </c>
      <c r="G28" s="77"/>
      <c r="H28" s="69">
        <f>SUM(H15:H26)</f>
        <v>528702536.73500007</v>
      </c>
      <c r="I28" s="78"/>
      <c r="J28" s="69">
        <f>SUM(J15:J26)</f>
        <v>15989716.335572464</v>
      </c>
      <c r="L28" s="69">
        <f>SUM(L15:L26)</f>
        <v>3659559</v>
      </c>
      <c r="N28" s="69">
        <f>SUM(N15:N26)</f>
        <v>12330157.335572464</v>
      </c>
    </row>
    <row r="29" spans="1:14" ht="15.75">
      <c r="A29" s="70"/>
      <c r="B29" s="71"/>
      <c r="C29" s="73"/>
      <c r="D29" s="67"/>
      <c r="E29" s="76"/>
      <c r="F29" s="53">
        <f t="shared" si="0"/>
        <v>0</v>
      </c>
      <c r="G29" s="77"/>
      <c r="H29" s="53">
        <f t="shared" si="1"/>
        <v>0</v>
      </c>
      <c r="I29" s="78"/>
    </row>
    <row r="30" spans="1:14" ht="15.75">
      <c r="A30" s="70"/>
      <c r="B30" s="71"/>
      <c r="C30" s="71"/>
      <c r="D30" s="67"/>
      <c r="E30" s="76"/>
      <c r="F30" s="53">
        <f t="shared" si="0"/>
        <v>0</v>
      </c>
      <c r="G30" s="77"/>
      <c r="H30" s="53">
        <f t="shared" si="1"/>
        <v>0</v>
      </c>
      <c r="I30" s="78"/>
    </row>
  </sheetData>
  <mergeCells count="5">
    <mergeCell ref="E1:G1"/>
    <mergeCell ref="B2:N2"/>
    <mergeCell ref="B3:N3"/>
    <mergeCell ref="B4:N4"/>
    <mergeCell ref="B5:N5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1"/>
  <sheetViews>
    <sheetView topLeftCell="E1" workbookViewId="0">
      <selection activeCell="L4" sqref="L4"/>
    </sheetView>
  </sheetViews>
  <sheetFormatPr defaultRowHeight="12.75"/>
  <cols>
    <col min="1" max="1" width="10.5703125" style="90" bestFit="1" customWidth="1"/>
    <col min="2" max="2" width="10.5703125" style="146" customWidth="1"/>
    <col min="3" max="3" width="14.42578125" style="81" bestFit="1" customWidth="1"/>
    <col min="4" max="4" width="9.140625" style="92"/>
    <col min="5" max="5" width="15" style="93" bestFit="1" customWidth="1"/>
    <col min="6" max="6" width="9.140625" style="90"/>
    <col min="7" max="7" width="15" style="93" bestFit="1" customWidth="1"/>
    <col min="8" max="8" width="12.28515625" style="93" bestFit="1" customWidth="1"/>
    <col min="9" max="9" width="11.42578125" style="94" bestFit="1" customWidth="1"/>
    <col min="10" max="10" width="12.42578125" style="93" bestFit="1" customWidth="1"/>
    <col min="11" max="11" width="11.42578125" style="95" bestFit="1" customWidth="1"/>
    <col min="12" max="13" width="11.28515625" style="93" bestFit="1" customWidth="1"/>
    <col min="14" max="14" width="10.7109375" style="93" customWidth="1"/>
    <col min="15" max="15" width="13.7109375" style="95" bestFit="1" customWidth="1"/>
    <col min="16" max="17" width="12.28515625" style="93" bestFit="1" customWidth="1"/>
    <col min="18" max="18" width="9.5703125" style="96" bestFit="1" customWidth="1"/>
    <col min="19" max="16384" width="9.140625" style="90"/>
  </cols>
  <sheetData>
    <row r="1" spans="1:18">
      <c r="A1" s="90" t="s">
        <v>139</v>
      </c>
      <c r="B1" s="91" t="s">
        <v>51</v>
      </c>
    </row>
    <row r="2" spans="1:18">
      <c r="A2" s="90" t="s">
        <v>140</v>
      </c>
      <c r="B2" s="93" t="s">
        <v>141</v>
      </c>
    </row>
    <row r="3" spans="1:18">
      <c r="A3" s="97" t="s">
        <v>142</v>
      </c>
      <c r="B3" s="98">
        <v>40</v>
      </c>
    </row>
    <row r="4" spans="1:18">
      <c r="A4" s="90" t="s">
        <v>143</v>
      </c>
      <c r="B4" s="99">
        <v>-0.75</v>
      </c>
      <c r="D4" s="100"/>
      <c r="E4" s="101"/>
      <c r="G4" s="102"/>
      <c r="H4" s="102"/>
      <c r="I4" s="103"/>
      <c r="O4" s="104"/>
      <c r="P4" s="102"/>
      <c r="Q4" s="102"/>
      <c r="R4" s="105"/>
    </row>
    <row r="5" spans="1:18">
      <c r="A5" s="106" t="s">
        <v>144</v>
      </c>
      <c r="B5" s="107">
        <v>8.4000000000000005E-2</v>
      </c>
      <c r="D5" s="108"/>
      <c r="E5" s="101"/>
      <c r="G5" s="102"/>
      <c r="H5" s="268" t="s">
        <v>305</v>
      </c>
      <c r="I5" s="268"/>
      <c r="J5" s="268"/>
      <c r="O5" s="104"/>
      <c r="P5" s="102"/>
      <c r="Q5" s="102"/>
      <c r="R5" s="105"/>
    </row>
    <row r="6" spans="1:18">
      <c r="A6" s="109" t="s">
        <v>145</v>
      </c>
      <c r="B6" s="110"/>
      <c r="C6" s="111"/>
      <c r="D6" s="108"/>
      <c r="E6" s="101"/>
      <c r="F6" s="112"/>
      <c r="G6" s="101"/>
      <c r="H6" s="101"/>
      <c r="I6" s="113"/>
      <c r="J6" s="113"/>
      <c r="K6" s="113"/>
      <c r="L6" s="113"/>
      <c r="M6" s="113"/>
      <c r="N6" s="113"/>
      <c r="O6" s="113"/>
      <c r="P6" s="113"/>
      <c r="Q6" s="113"/>
      <c r="R6" s="113"/>
    </row>
    <row r="7" spans="1:18" s="118" customFormat="1">
      <c r="A7" s="114"/>
      <c r="B7" s="115"/>
      <c r="C7" s="116"/>
      <c r="D7" s="117"/>
      <c r="E7" s="102"/>
      <c r="G7" s="102"/>
      <c r="H7" s="102"/>
      <c r="I7" s="103"/>
      <c r="J7" s="98"/>
      <c r="K7" s="102"/>
      <c r="L7" s="98"/>
      <c r="M7" s="98"/>
      <c r="N7" s="102" t="s">
        <v>146</v>
      </c>
      <c r="O7" s="102" t="s">
        <v>146</v>
      </c>
      <c r="P7" s="102" t="s">
        <v>146</v>
      </c>
      <c r="Q7" s="102" t="s">
        <v>147</v>
      </c>
      <c r="R7" s="105"/>
    </row>
    <row r="8" spans="1:18" s="118" customFormat="1">
      <c r="C8" s="119"/>
      <c r="D8" s="120"/>
      <c r="E8" s="102"/>
      <c r="G8" s="102"/>
      <c r="H8" s="102" t="s">
        <v>54</v>
      </c>
      <c r="I8" s="103"/>
      <c r="J8" s="98" t="s">
        <v>148</v>
      </c>
      <c r="K8" s="102" t="s">
        <v>149</v>
      </c>
      <c r="L8" s="98"/>
      <c r="M8" s="98"/>
      <c r="N8" s="102" t="s">
        <v>136</v>
      </c>
      <c r="O8" s="104" t="s">
        <v>137</v>
      </c>
      <c r="P8" s="102" t="s">
        <v>149</v>
      </c>
      <c r="Q8" s="102" t="s">
        <v>136</v>
      </c>
      <c r="R8" s="105"/>
    </row>
    <row r="9" spans="1:18" s="118" customFormat="1">
      <c r="B9" s="121"/>
      <c r="C9" s="50" t="s">
        <v>59</v>
      </c>
      <c r="D9" s="122" t="s">
        <v>150</v>
      </c>
      <c r="E9" s="123"/>
      <c r="F9" s="118" t="s">
        <v>133</v>
      </c>
      <c r="G9" s="98" t="s">
        <v>135</v>
      </c>
      <c r="H9" s="98" t="s">
        <v>136</v>
      </c>
      <c r="I9" s="124"/>
      <c r="J9" s="102" t="s">
        <v>26</v>
      </c>
      <c r="K9" s="104" t="s">
        <v>26</v>
      </c>
      <c r="L9" s="98" t="s">
        <v>148</v>
      </c>
      <c r="M9" s="125" t="s">
        <v>151</v>
      </c>
      <c r="N9" s="102" t="s">
        <v>73</v>
      </c>
      <c r="O9" s="102" t="s">
        <v>149</v>
      </c>
      <c r="P9" s="102" t="s">
        <v>73</v>
      </c>
      <c r="Q9" s="102" t="s">
        <v>152</v>
      </c>
      <c r="R9" s="105"/>
    </row>
    <row r="10" spans="1:18" s="118" customFormat="1">
      <c r="B10" s="121"/>
      <c r="C10" s="50" t="s">
        <v>63</v>
      </c>
      <c r="D10" s="126" t="s">
        <v>16</v>
      </c>
      <c r="E10" s="123"/>
      <c r="F10" s="118" t="s">
        <v>153</v>
      </c>
      <c r="G10" s="98" t="s">
        <v>53</v>
      </c>
      <c r="H10" s="98" t="s">
        <v>154</v>
      </c>
      <c r="I10" s="124" t="s">
        <v>21</v>
      </c>
      <c r="J10" s="98" t="s">
        <v>154</v>
      </c>
      <c r="K10" s="127" t="s">
        <v>155</v>
      </c>
      <c r="L10" s="102" t="s">
        <v>149</v>
      </c>
      <c r="M10" s="98" t="s">
        <v>148</v>
      </c>
      <c r="N10" s="102" t="s">
        <v>138</v>
      </c>
      <c r="O10" s="127" t="s">
        <v>155</v>
      </c>
      <c r="P10" s="102" t="s">
        <v>138</v>
      </c>
      <c r="Q10" s="102" t="s">
        <v>149</v>
      </c>
      <c r="R10" s="105" t="s">
        <v>60</v>
      </c>
    </row>
    <row r="11" spans="1:18" s="118" customFormat="1">
      <c r="A11" s="128" t="s">
        <v>156</v>
      </c>
      <c r="B11" s="129" t="s">
        <v>157</v>
      </c>
      <c r="C11" s="130" t="s">
        <v>151</v>
      </c>
      <c r="D11" s="131" t="s">
        <v>158</v>
      </c>
      <c r="E11" s="132" t="s">
        <v>159</v>
      </c>
      <c r="F11" s="128" t="s">
        <v>28</v>
      </c>
      <c r="G11" s="133" t="str">
        <f>CONCATENATE("@ ",B5*100,"%")</f>
        <v>@ 8.4%</v>
      </c>
      <c r="H11" s="132" t="s">
        <v>53</v>
      </c>
      <c r="I11" s="134" t="s">
        <v>28</v>
      </c>
      <c r="J11" s="132" t="s">
        <v>53</v>
      </c>
      <c r="K11" s="133" t="s">
        <v>151</v>
      </c>
      <c r="L11" s="132" t="s">
        <v>26</v>
      </c>
      <c r="M11" s="132" t="s">
        <v>26</v>
      </c>
      <c r="N11" s="132" t="s">
        <v>63</v>
      </c>
      <c r="O11" s="133">
        <f>$B$5</f>
        <v>8.4000000000000005E-2</v>
      </c>
      <c r="P11" s="132" t="s">
        <v>63</v>
      </c>
      <c r="Q11" s="132" t="s">
        <v>73</v>
      </c>
      <c r="R11" s="135" t="s">
        <v>134</v>
      </c>
    </row>
    <row r="12" spans="1:18" s="118" customFormat="1">
      <c r="A12" s="118" t="s">
        <v>160</v>
      </c>
      <c r="B12" s="121" t="s">
        <v>161</v>
      </c>
      <c r="C12" s="50" t="s">
        <v>162</v>
      </c>
      <c r="D12" s="136" t="s">
        <v>163</v>
      </c>
      <c r="E12" s="98" t="s">
        <v>164</v>
      </c>
      <c r="F12" s="118" t="s">
        <v>165</v>
      </c>
      <c r="G12" s="98" t="s">
        <v>166</v>
      </c>
      <c r="H12" s="98" t="s">
        <v>167</v>
      </c>
      <c r="I12" s="124" t="s">
        <v>168</v>
      </c>
      <c r="J12" s="98" t="s">
        <v>169</v>
      </c>
      <c r="K12" s="127" t="s">
        <v>170</v>
      </c>
      <c r="L12" s="98" t="s">
        <v>171</v>
      </c>
      <c r="M12" s="98" t="s">
        <v>172</v>
      </c>
      <c r="N12" s="98" t="s">
        <v>173</v>
      </c>
      <c r="O12" s="127" t="s">
        <v>174</v>
      </c>
      <c r="P12" s="98" t="s">
        <v>175</v>
      </c>
      <c r="Q12" s="98" t="s">
        <v>176</v>
      </c>
      <c r="R12" s="137" t="s">
        <v>177</v>
      </c>
    </row>
    <row r="14" spans="1:18">
      <c r="A14" s="138" t="s">
        <v>147</v>
      </c>
      <c r="B14" s="139"/>
      <c r="C14" s="140">
        <f>SUM(C16:C57)</f>
        <v>538213822.51999986</v>
      </c>
      <c r="D14" s="141">
        <f>$B$4</f>
        <v>-0.75</v>
      </c>
      <c r="E14" s="140">
        <f>SUM(E16:E57)</f>
        <v>403660366.89000005</v>
      </c>
      <c r="F14" s="142">
        <f>$B$3</f>
        <v>40</v>
      </c>
      <c r="G14" s="140">
        <f>SUM(G16:G57)</f>
        <v>16026726.384109613</v>
      </c>
      <c r="H14" s="140">
        <f>SUM(H16:H57)</f>
        <v>400668.1596027402</v>
      </c>
      <c r="I14" s="143">
        <f>SUMPRODUCT(C16:C57,I16:I57)/C14</f>
        <v>29.178300371315977</v>
      </c>
      <c r="J14" s="140">
        <f>SUM(J16:J57)</f>
        <v>4922512.7933442872</v>
      </c>
      <c r="K14" s="144">
        <f>IF($E14=0,0,L14/$E14)</f>
        <v>7.4075339840062995E-2</v>
      </c>
      <c r="L14" s="140">
        <f>SUM(L16:L57)</f>
        <v>29901278.857341267</v>
      </c>
      <c r="M14" s="140">
        <f>SUM(M16:M57)</f>
        <v>34823791.650685556</v>
      </c>
      <c r="N14" s="140">
        <f>SUM(N16:N57)</f>
        <v>400668.1596027402</v>
      </c>
      <c r="O14" s="144">
        <f>IF($E14=0,0,P14/$E14)</f>
        <v>9.5574219237956441E-3</v>
      </c>
      <c r="P14" s="140">
        <f>SUM(P16:P57)</f>
        <v>3857952.4402818796</v>
      </c>
      <c r="Q14" s="140">
        <f>SUM(Q16:Q57)</f>
        <v>4258620.5998846209</v>
      </c>
      <c r="R14" s="145">
        <f>IF(C14=0,0,Q14/C14)</f>
        <v>7.9125069288356522E-3</v>
      </c>
    </row>
    <row r="16" spans="1:18">
      <c r="A16" s="90">
        <v>2006</v>
      </c>
      <c r="B16" s="146">
        <v>0.5</v>
      </c>
      <c r="C16" s="81">
        <v>30303072.949999999</v>
      </c>
      <c r="D16" s="92">
        <f t="shared" ref="D16:D57" si="0">$B$4</f>
        <v>-0.75</v>
      </c>
      <c r="E16" s="93">
        <f t="shared" ref="E16:E57" si="1">C16*-D16</f>
        <v>22727304.712499999</v>
      </c>
      <c r="F16" s="93">
        <f t="shared" ref="F16:F57" si="2">$B$3</f>
        <v>40</v>
      </c>
      <c r="G16" s="93">
        <f t="shared" ref="G16:G57" si="3">E16/((1+$B$5)^F16)</f>
        <v>902353.37415422138</v>
      </c>
      <c r="H16" s="93">
        <f t="shared" ref="H16:H57" si="4">G16/F16</f>
        <v>22558.834353855535</v>
      </c>
      <c r="I16" s="81">
        <v>39.53</v>
      </c>
      <c r="J16" s="93">
        <f t="shared" ref="J16:J57" si="5">IF(B16&gt;F16,F16,B16)*H16</f>
        <v>11279.417176927767</v>
      </c>
      <c r="K16" s="95">
        <f t="shared" ref="K16:K57" si="6">(1/(1+$B$5)^I16)-(1/(1+$B$5)^F16)</f>
        <v>1.5340212758077135E-3</v>
      </c>
      <c r="L16" s="93">
        <f t="shared" ref="L16:L57" si="7">E16*K16</f>
        <v>34864.168970739905</v>
      </c>
      <c r="M16" s="93">
        <f t="shared" ref="M16:M57" si="8">J16+L16</f>
        <v>46143.586147667673</v>
      </c>
      <c r="N16" s="93">
        <f t="shared" ref="N16:N57" si="9">IF(I16&lt;1,IF(I16=0,0,H16*(1-I16)),H16)</f>
        <v>22558.834353855535</v>
      </c>
      <c r="O16" s="147">
        <f t="shared" ref="O16:O57" si="10">(1/(1+$B$5)^IF((I16-1)&lt;0,0,(I16-1)))-(1/(1+$B$5)^I16)</f>
        <v>3.4639511643981963E-3</v>
      </c>
      <c r="P16" s="93">
        <f t="shared" ref="P16:P57" si="11">E16*O16</f>
        <v>78726.273622496985</v>
      </c>
      <c r="Q16" s="93">
        <f t="shared" ref="Q16:Q57" si="12">N16+P16</f>
        <v>101285.10797635252</v>
      </c>
      <c r="R16" s="96">
        <f t="shared" ref="R16:R57" si="13">IF(C16=0,0,Q16/C16)</f>
        <v>3.342403859287562E-3</v>
      </c>
    </row>
    <row r="17" spans="1:18">
      <c r="A17" s="90">
        <f t="shared" ref="A17:A57" si="14">A16-1</f>
        <v>2005</v>
      </c>
      <c r="B17" s="146">
        <f t="shared" ref="B17:B57" si="15">1+B16</f>
        <v>1.5</v>
      </c>
      <c r="C17" s="81">
        <v>18668034.329999998</v>
      </c>
      <c r="D17" s="92">
        <f t="shared" si="0"/>
        <v>-0.75</v>
      </c>
      <c r="E17" s="93">
        <f t="shared" si="1"/>
        <v>14001025.747499999</v>
      </c>
      <c r="F17" s="93">
        <f t="shared" si="2"/>
        <v>40</v>
      </c>
      <c r="G17" s="93">
        <f t="shared" si="3"/>
        <v>555889.62196331774</v>
      </c>
      <c r="H17" s="93">
        <f t="shared" si="4"/>
        <v>13897.240549082944</v>
      </c>
      <c r="I17" s="81">
        <v>38.590000000000003</v>
      </c>
      <c r="J17" s="93">
        <f t="shared" si="5"/>
        <v>20845.860823624418</v>
      </c>
      <c r="K17" s="95">
        <f t="shared" si="6"/>
        <v>4.7821634765063334E-3</v>
      </c>
      <c r="L17" s="93">
        <f t="shared" si="7"/>
        <v>66955.193963319281</v>
      </c>
      <c r="M17" s="93">
        <f t="shared" si="8"/>
        <v>87801.0547869437</v>
      </c>
      <c r="N17" s="93">
        <f t="shared" si="9"/>
        <v>13897.240549082944</v>
      </c>
      <c r="O17" s="147">
        <f t="shared" si="10"/>
        <v>3.7367951092568755E-3</v>
      </c>
      <c r="P17" s="93">
        <f t="shared" si="11"/>
        <v>52318.964537837586</v>
      </c>
      <c r="Q17" s="93">
        <f t="shared" si="12"/>
        <v>66216.205086920527</v>
      </c>
      <c r="R17" s="96">
        <f t="shared" si="13"/>
        <v>3.5470368179315714E-3</v>
      </c>
    </row>
    <row r="18" spans="1:18">
      <c r="A18" s="90">
        <f t="shared" si="14"/>
        <v>2004</v>
      </c>
      <c r="B18" s="146">
        <f t="shared" si="15"/>
        <v>2.5</v>
      </c>
      <c r="C18" s="81">
        <v>17028195.329999998</v>
      </c>
      <c r="D18" s="92">
        <f t="shared" si="0"/>
        <v>-0.75</v>
      </c>
      <c r="E18" s="93">
        <f t="shared" si="1"/>
        <v>12771146.497499999</v>
      </c>
      <c r="F18" s="93">
        <f t="shared" si="2"/>
        <v>40</v>
      </c>
      <c r="G18" s="93">
        <f t="shared" si="3"/>
        <v>507059.12027917471</v>
      </c>
      <c r="H18" s="93">
        <f t="shared" si="4"/>
        <v>12676.478006979367</v>
      </c>
      <c r="I18" s="81">
        <v>37.65</v>
      </c>
      <c r="J18" s="93">
        <f t="shared" si="5"/>
        <v>31691.195017448415</v>
      </c>
      <c r="K18" s="95">
        <f t="shared" si="6"/>
        <v>8.2861510657338752E-3</v>
      </c>
      <c r="L18" s="93">
        <f t="shared" si="7"/>
        <v>105823.64916090306</v>
      </c>
      <c r="M18" s="93">
        <f t="shared" si="8"/>
        <v>137514.84417835149</v>
      </c>
      <c r="N18" s="93">
        <f t="shared" si="9"/>
        <v>12676.478006979367</v>
      </c>
      <c r="O18" s="147">
        <f t="shared" si="10"/>
        <v>4.0311300667519867E-3</v>
      </c>
      <c r="P18" s="93">
        <f t="shared" si="11"/>
        <v>51482.152632966572</v>
      </c>
      <c r="Q18" s="93">
        <f t="shared" si="12"/>
        <v>64158.630639945943</v>
      </c>
      <c r="R18" s="96">
        <f t="shared" si="13"/>
        <v>3.7677880360529052E-3</v>
      </c>
    </row>
    <row r="19" spans="1:18">
      <c r="A19" s="90">
        <f t="shared" si="14"/>
        <v>2003</v>
      </c>
      <c r="B19" s="146">
        <f t="shared" si="15"/>
        <v>3.5</v>
      </c>
      <c r="C19" s="81">
        <v>16213846.08</v>
      </c>
      <c r="D19" s="92">
        <f t="shared" si="0"/>
        <v>-0.75</v>
      </c>
      <c r="E19" s="93">
        <f t="shared" si="1"/>
        <v>12160384.560000001</v>
      </c>
      <c r="F19" s="93">
        <f t="shared" si="2"/>
        <v>40</v>
      </c>
      <c r="G19" s="93">
        <f t="shared" si="3"/>
        <v>482809.73822178645</v>
      </c>
      <c r="H19" s="93">
        <f t="shared" si="4"/>
        <v>12070.243455544662</v>
      </c>
      <c r="I19" s="81">
        <v>36.72</v>
      </c>
      <c r="J19" s="93">
        <f t="shared" si="5"/>
        <v>42245.852094406313</v>
      </c>
      <c r="K19" s="95">
        <f t="shared" si="6"/>
        <v>1.2024396674643917E-2</v>
      </c>
      <c r="L19" s="93">
        <f t="shared" si="7"/>
        <v>146221.28766565523</v>
      </c>
      <c r="M19" s="93">
        <f t="shared" si="8"/>
        <v>188467.13976006155</v>
      </c>
      <c r="N19" s="93">
        <f t="shared" si="9"/>
        <v>12070.243455544662</v>
      </c>
      <c r="O19" s="147">
        <f t="shared" si="10"/>
        <v>4.3451426979004351E-3</v>
      </c>
      <c r="P19" s="93">
        <f t="shared" si="11"/>
        <v>52838.606174545195</v>
      </c>
      <c r="Q19" s="93">
        <f t="shared" si="12"/>
        <v>64908.849630089855</v>
      </c>
      <c r="R19" s="96">
        <f t="shared" si="13"/>
        <v>4.0032975094142411E-3</v>
      </c>
    </row>
    <row r="20" spans="1:18">
      <c r="A20" s="90">
        <f t="shared" si="14"/>
        <v>2002</v>
      </c>
      <c r="B20" s="146">
        <f t="shared" si="15"/>
        <v>4.5</v>
      </c>
      <c r="C20" s="81">
        <v>16704886.66</v>
      </c>
      <c r="D20" s="92">
        <f t="shared" si="0"/>
        <v>-0.75</v>
      </c>
      <c r="E20" s="93">
        <f t="shared" si="1"/>
        <v>12528664.995000001</v>
      </c>
      <c r="F20" s="93">
        <f t="shared" si="2"/>
        <v>40</v>
      </c>
      <c r="G20" s="93">
        <f t="shared" si="3"/>
        <v>497431.75774240558</v>
      </c>
      <c r="H20" s="93">
        <f t="shared" si="4"/>
        <v>12435.79394356014</v>
      </c>
      <c r="I20" s="81">
        <v>35.79</v>
      </c>
      <c r="J20" s="93">
        <f t="shared" si="5"/>
        <v>55961.072746020633</v>
      </c>
      <c r="K20" s="95">
        <f t="shared" si="6"/>
        <v>1.6053840116443209E-2</v>
      </c>
      <c r="L20" s="93">
        <f t="shared" si="7"/>
        <v>201133.18470220876</v>
      </c>
      <c r="M20" s="93">
        <f t="shared" si="8"/>
        <v>257094.25744822939</v>
      </c>
      <c r="N20" s="93">
        <f t="shared" si="9"/>
        <v>12435.79394356014</v>
      </c>
      <c r="O20" s="147">
        <f t="shared" si="10"/>
        <v>4.6836159470115685E-3</v>
      </c>
      <c r="P20" s="93">
        <f t="shared" si="11"/>
        <v>58679.455165347616</v>
      </c>
      <c r="Q20" s="93">
        <f t="shared" si="12"/>
        <v>71115.249108907752</v>
      </c>
      <c r="R20" s="96">
        <f t="shared" si="13"/>
        <v>4.2571524462475911E-3</v>
      </c>
    </row>
    <row r="21" spans="1:18">
      <c r="A21" s="90">
        <f t="shared" si="14"/>
        <v>2001</v>
      </c>
      <c r="B21" s="146">
        <f t="shared" si="15"/>
        <v>5.5</v>
      </c>
      <c r="C21" s="81">
        <v>25640119.579999998</v>
      </c>
      <c r="D21" s="92">
        <f t="shared" si="0"/>
        <v>-0.75</v>
      </c>
      <c r="E21" s="93">
        <f t="shared" si="1"/>
        <v>19230089.684999999</v>
      </c>
      <c r="F21" s="93">
        <f t="shared" si="2"/>
        <v>40</v>
      </c>
      <c r="G21" s="93">
        <f t="shared" si="3"/>
        <v>763501.72323796351</v>
      </c>
      <c r="H21" s="93">
        <f t="shared" si="4"/>
        <v>19087.543080949086</v>
      </c>
      <c r="I21" s="81">
        <v>34.869999999999997</v>
      </c>
      <c r="J21" s="93">
        <f t="shared" si="5"/>
        <v>104981.48694521998</v>
      </c>
      <c r="K21" s="95">
        <f t="shared" si="6"/>
        <v>2.0348708421122394E-2</v>
      </c>
      <c r="L21" s="93">
        <f t="shared" si="7"/>
        <v>391307.48791209835</v>
      </c>
      <c r="M21" s="93">
        <f t="shared" si="8"/>
        <v>496288.97485731833</v>
      </c>
      <c r="N21" s="93">
        <f t="shared" si="9"/>
        <v>19087.543080949086</v>
      </c>
      <c r="O21" s="147">
        <f t="shared" si="10"/>
        <v>5.0443848846046316E-3</v>
      </c>
      <c r="P21" s="93">
        <f t="shared" si="11"/>
        <v>97003.973736605432</v>
      </c>
      <c r="Q21" s="93">
        <f t="shared" si="12"/>
        <v>116091.51681755451</v>
      </c>
      <c r="R21" s="96">
        <f t="shared" si="13"/>
        <v>4.5277291494423885E-3</v>
      </c>
    </row>
    <row r="22" spans="1:18">
      <c r="A22" s="90">
        <f t="shared" si="14"/>
        <v>2000</v>
      </c>
      <c r="B22" s="146">
        <f t="shared" si="15"/>
        <v>6.5</v>
      </c>
      <c r="C22" s="81">
        <v>29672445.23</v>
      </c>
      <c r="D22" s="92">
        <f t="shared" si="0"/>
        <v>-0.75</v>
      </c>
      <c r="E22" s="93">
        <f t="shared" si="1"/>
        <v>22254333.922499999</v>
      </c>
      <c r="F22" s="93">
        <f t="shared" si="2"/>
        <v>40</v>
      </c>
      <c r="G22" s="93">
        <f t="shared" si="3"/>
        <v>883574.78190002614</v>
      </c>
      <c r="H22" s="93">
        <f t="shared" si="4"/>
        <v>22089.369547500653</v>
      </c>
      <c r="I22" s="81">
        <v>33.96</v>
      </c>
      <c r="J22" s="93">
        <f t="shared" si="5"/>
        <v>143580.90205875423</v>
      </c>
      <c r="K22" s="95">
        <f t="shared" si="6"/>
        <v>2.4922254462613265E-2</v>
      </c>
      <c r="L22" s="93">
        <f t="shared" si="7"/>
        <v>554628.17291251139</v>
      </c>
      <c r="M22" s="93">
        <f t="shared" si="8"/>
        <v>698209.07497126563</v>
      </c>
      <c r="N22" s="93">
        <f t="shared" si="9"/>
        <v>22089.369547500653</v>
      </c>
      <c r="O22" s="147">
        <f t="shared" si="10"/>
        <v>5.4285627520898605E-3</v>
      </c>
      <c r="P22" s="93">
        <f t="shared" si="11"/>
        <v>120809.04820425334</v>
      </c>
      <c r="Q22" s="93">
        <f t="shared" si="12"/>
        <v>142898.41775175399</v>
      </c>
      <c r="R22" s="96">
        <f t="shared" si="13"/>
        <v>4.8158625500563101E-3</v>
      </c>
    </row>
    <row r="23" spans="1:18">
      <c r="A23" s="90">
        <f t="shared" si="14"/>
        <v>1999</v>
      </c>
      <c r="B23" s="146">
        <f t="shared" si="15"/>
        <v>7.5</v>
      </c>
      <c r="C23" s="81">
        <v>46283843.530000001</v>
      </c>
      <c r="D23" s="92">
        <f t="shared" si="0"/>
        <v>-0.75</v>
      </c>
      <c r="E23" s="93">
        <f t="shared" si="1"/>
        <v>34712882.647500001</v>
      </c>
      <c r="F23" s="93">
        <f t="shared" si="2"/>
        <v>40</v>
      </c>
      <c r="G23" s="93">
        <f t="shared" si="3"/>
        <v>1378222.6788363236</v>
      </c>
      <c r="H23" s="93">
        <f t="shared" si="4"/>
        <v>34455.56697090809</v>
      </c>
      <c r="I23" s="81">
        <v>33.049999999999997</v>
      </c>
      <c r="J23" s="93">
        <f t="shared" si="5"/>
        <v>258416.75228181068</v>
      </c>
      <c r="K23" s="95">
        <f t="shared" si="6"/>
        <v>2.9844119517276217E-2</v>
      </c>
      <c r="L23" s="93">
        <f t="shared" si="7"/>
        <v>1035975.4185211736</v>
      </c>
      <c r="M23" s="93">
        <f t="shared" si="8"/>
        <v>1294392.1708029844</v>
      </c>
      <c r="N23" s="93">
        <f t="shared" si="9"/>
        <v>34455.56697090809</v>
      </c>
      <c r="O23" s="147">
        <f t="shared" si="10"/>
        <v>5.8419994166815509E-3</v>
      </c>
      <c r="P23" s="93">
        <f t="shared" si="11"/>
        <v>202792.64017803012</v>
      </c>
      <c r="Q23" s="93">
        <f t="shared" si="12"/>
        <v>237248.20714893821</v>
      </c>
      <c r="R23" s="96">
        <f t="shared" si="13"/>
        <v>5.1259400485000779E-3</v>
      </c>
    </row>
    <row r="24" spans="1:18">
      <c r="A24" s="90">
        <f t="shared" si="14"/>
        <v>1998</v>
      </c>
      <c r="B24" s="146">
        <f t="shared" si="15"/>
        <v>8.5</v>
      </c>
      <c r="C24" s="81">
        <v>31609465.829999998</v>
      </c>
      <c r="D24" s="92">
        <f t="shared" si="0"/>
        <v>-0.75</v>
      </c>
      <c r="E24" s="93">
        <f t="shared" si="1"/>
        <v>23707099.372499999</v>
      </c>
      <c r="F24" s="93">
        <f t="shared" si="2"/>
        <v>40</v>
      </c>
      <c r="G24" s="93">
        <f t="shared" si="3"/>
        <v>941254.64417340769</v>
      </c>
      <c r="H24" s="93">
        <f t="shared" si="4"/>
        <v>23531.366104335193</v>
      </c>
      <c r="I24" s="81">
        <v>32.15</v>
      </c>
      <c r="J24" s="93">
        <f t="shared" si="5"/>
        <v>200016.61188684913</v>
      </c>
      <c r="K24" s="95">
        <f t="shared" si="6"/>
        <v>3.5080487866475822E-2</v>
      </c>
      <c r="L24" s="93">
        <f t="shared" si="7"/>
        <v>831656.61188632273</v>
      </c>
      <c r="M24" s="93">
        <f t="shared" si="8"/>
        <v>1031673.2237731719</v>
      </c>
      <c r="N24" s="93">
        <f t="shared" si="9"/>
        <v>23531.366104335193</v>
      </c>
      <c r="O24" s="147">
        <f t="shared" si="10"/>
        <v>6.281854358014316E-3</v>
      </c>
      <c r="P24" s="93">
        <f t="shared" si="11"/>
        <v>148924.54550901757</v>
      </c>
      <c r="Q24" s="93">
        <f t="shared" si="12"/>
        <v>172455.91161335277</v>
      </c>
      <c r="R24" s="96">
        <f t="shared" si="13"/>
        <v>5.4558312544996518E-3</v>
      </c>
    </row>
    <row r="25" spans="1:18">
      <c r="A25" s="90">
        <f t="shared" si="14"/>
        <v>1997</v>
      </c>
      <c r="B25" s="146">
        <f t="shared" si="15"/>
        <v>9.5</v>
      </c>
      <c r="C25" s="81">
        <v>25749205.390000001</v>
      </c>
      <c r="D25" s="92">
        <f t="shared" si="0"/>
        <v>-0.75</v>
      </c>
      <c r="E25" s="93">
        <f t="shared" si="1"/>
        <v>19311904.0425</v>
      </c>
      <c r="F25" s="93">
        <f t="shared" si="2"/>
        <v>40</v>
      </c>
      <c r="G25" s="93">
        <f t="shared" si="3"/>
        <v>766750.03897439933</v>
      </c>
      <c r="H25" s="93">
        <f t="shared" si="4"/>
        <v>19168.750974359984</v>
      </c>
      <c r="I25" s="81">
        <v>31.26</v>
      </c>
      <c r="J25" s="93">
        <f t="shared" si="5"/>
        <v>182103.13425641984</v>
      </c>
      <c r="K25" s="95">
        <f t="shared" si="6"/>
        <v>4.0646277490557957E-2</v>
      </c>
      <c r="L25" s="93">
        <f t="shared" si="7"/>
        <v>784957.01058248302</v>
      </c>
      <c r="M25" s="93">
        <f t="shared" si="8"/>
        <v>967060.14483890287</v>
      </c>
      <c r="N25" s="93">
        <f t="shared" si="9"/>
        <v>19168.750974359984</v>
      </c>
      <c r="O25" s="147">
        <f t="shared" si="10"/>
        <v>6.7493806864372119E-3</v>
      </c>
      <c r="P25" s="93">
        <f t="shared" si="11"/>
        <v>130343.39216277823</v>
      </c>
      <c r="Q25" s="93">
        <f t="shared" si="12"/>
        <v>149512.14313713822</v>
      </c>
      <c r="R25" s="96">
        <f t="shared" si="13"/>
        <v>5.8064760008168246E-3</v>
      </c>
    </row>
    <row r="26" spans="1:18">
      <c r="A26" s="90">
        <f t="shared" si="14"/>
        <v>1996</v>
      </c>
      <c r="B26" s="146">
        <f t="shared" si="15"/>
        <v>10.5</v>
      </c>
      <c r="C26" s="81">
        <v>24381855.550000001</v>
      </c>
      <c r="D26" s="92">
        <f t="shared" si="0"/>
        <v>-0.75</v>
      </c>
      <c r="E26" s="93">
        <f t="shared" si="1"/>
        <v>18286391.662500001</v>
      </c>
      <c r="F26" s="93">
        <f t="shared" si="2"/>
        <v>40</v>
      </c>
      <c r="G26" s="93">
        <f t="shared" si="3"/>
        <v>726033.61579814076</v>
      </c>
      <c r="H26" s="93">
        <f t="shared" si="4"/>
        <v>18150.84039495352</v>
      </c>
      <c r="I26" s="81">
        <v>30.37</v>
      </c>
      <c r="J26" s="93">
        <f t="shared" si="5"/>
        <v>190583.82414701197</v>
      </c>
      <c r="K26" s="95">
        <f t="shared" si="6"/>
        <v>4.6626300403000524E-2</v>
      </c>
      <c r="L26" s="93">
        <f t="shared" si="7"/>
        <v>852626.79094264924</v>
      </c>
      <c r="M26" s="93">
        <f t="shared" si="8"/>
        <v>1043210.6150896612</v>
      </c>
      <c r="N26" s="93">
        <f t="shared" si="9"/>
        <v>18150.84039495352</v>
      </c>
      <c r="O26" s="147">
        <f t="shared" si="10"/>
        <v>7.2517026110823779E-3</v>
      </c>
      <c r="P26" s="93">
        <f t="shared" si="11"/>
        <v>132607.47416622628</v>
      </c>
      <c r="Q26" s="93">
        <f t="shared" si="12"/>
        <v>150758.31456117981</v>
      </c>
      <c r="R26" s="96">
        <f t="shared" si="13"/>
        <v>6.1832174443006991E-3</v>
      </c>
    </row>
    <row r="27" spans="1:18">
      <c r="A27" s="90">
        <f t="shared" si="14"/>
        <v>1995</v>
      </c>
      <c r="B27" s="146">
        <f t="shared" si="15"/>
        <v>11.5</v>
      </c>
      <c r="C27" s="81">
        <v>12817389.27</v>
      </c>
      <c r="D27" s="92">
        <f t="shared" si="0"/>
        <v>-0.75</v>
      </c>
      <c r="E27" s="93">
        <f t="shared" si="1"/>
        <v>9613041.9525000006</v>
      </c>
      <c r="F27" s="93">
        <f t="shared" si="2"/>
        <v>40</v>
      </c>
      <c r="G27" s="93">
        <f t="shared" si="3"/>
        <v>381671.33989071607</v>
      </c>
      <c r="H27" s="93">
        <f t="shared" si="4"/>
        <v>9541.7834972679011</v>
      </c>
      <c r="I27" s="81">
        <v>29.5</v>
      </c>
      <c r="J27" s="93">
        <f t="shared" si="5"/>
        <v>109730.51021858086</v>
      </c>
      <c r="K27" s="95">
        <f t="shared" si="6"/>
        <v>5.2901878213649438E-2</v>
      </c>
      <c r="L27" s="93">
        <f t="shared" si="7"/>
        <v>508547.97463385784</v>
      </c>
      <c r="M27" s="93">
        <f t="shared" si="8"/>
        <v>618278.48485243868</v>
      </c>
      <c r="N27" s="93">
        <f t="shared" si="9"/>
        <v>9541.7834972679011</v>
      </c>
      <c r="O27" s="147">
        <f t="shared" si="10"/>
        <v>7.778851147176899E-3</v>
      </c>
      <c r="P27" s="93">
        <f t="shared" si="11"/>
        <v>74778.422420064293</v>
      </c>
      <c r="Q27" s="93">
        <f t="shared" si="12"/>
        <v>84320.20591733219</v>
      </c>
      <c r="R27" s="96">
        <f t="shared" si="13"/>
        <v>6.5785788463715899E-3</v>
      </c>
    </row>
    <row r="28" spans="1:18">
      <c r="A28" s="90">
        <f t="shared" si="14"/>
        <v>1994</v>
      </c>
      <c r="B28" s="146">
        <f t="shared" si="15"/>
        <v>12.5</v>
      </c>
      <c r="C28" s="81">
        <v>20004485.649999999</v>
      </c>
      <c r="D28" s="92">
        <f t="shared" si="0"/>
        <v>-0.75</v>
      </c>
      <c r="E28" s="93">
        <f t="shared" si="1"/>
        <v>15003364.237499999</v>
      </c>
      <c r="F28" s="93">
        <f t="shared" si="2"/>
        <v>40</v>
      </c>
      <c r="G28" s="93">
        <f t="shared" si="3"/>
        <v>595685.96076977078</v>
      </c>
      <c r="H28" s="93">
        <f t="shared" si="4"/>
        <v>14892.149019244269</v>
      </c>
      <c r="I28" s="81">
        <v>28.63</v>
      </c>
      <c r="J28" s="93">
        <f t="shared" si="5"/>
        <v>186151.86274055336</v>
      </c>
      <c r="K28" s="95">
        <f t="shared" si="6"/>
        <v>5.9633647050523715E-2</v>
      </c>
      <c r="L28" s="93">
        <f t="shared" si="7"/>
        <v>894705.32750952477</v>
      </c>
      <c r="M28" s="93">
        <f t="shared" si="8"/>
        <v>1080857.1902500782</v>
      </c>
      <c r="N28" s="93">
        <f t="shared" si="9"/>
        <v>14892.149019244269</v>
      </c>
      <c r="O28" s="147">
        <f t="shared" si="10"/>
        <v>8.344319729474331E-3</v>
      </c>
      <c r="P28" s="93">
        <f t="shared" si="11"/>
        <v>125192.86821546084</v>
      </c>
      <c r="Q28" s="93">
        <f t="shared" si="12"/>
        <v>140085.0172347051</v>
      </c>
      <c r="R28" s="96">
        <f t="shared" si="13"/>
        <v>7.0026802830946621E-3</v>
      </c>
    </row>
    <row r="29" spans="1:18">
      <c r="A29" s="90">
        <f t="shared" si="14"/>
        <v>1993</v>
      </c>
      <c r="B29" s="146">
        <f t="shared" si="15"/>
        <v>13.5</v>
      </c>
      <c r="C29" s="81">
        <v>23361773.800000001</v>
      </c>
      <c r="D29" s="92">
        <f t="shared" si="0"/>
        <v>-0.75</v>
      </c>
      <c r="E29" s="93">
        <f t="shared" si="1"/>
        <v>17521330.350000001</v>
      </c>
      <c r="F29" s="93">
        <f t="shared" si="2"/>
        <v>40</v>
      </c>
      <c r="G29" s="93">
        <f t="shared" si="3"/>
        <v>695658.00964940386</v>
      </c>
      <c r="H29" s="93">
        <f t="shared" si="4"/>
        <v>17391.450241235096</v>
      </c>
      <c r="I29" s="81">
        <v>27.77</v>
      </c>
      <c r="J29" s="93">
        <f t="shared" si="5"/>
        <v>234784.57825667379</v>
      </c>
      <c r="K29" s="95">
        <f t="shared" si="6"/>
        <v>6.6768855833804902E-2</v>
      </c>
      <c r="L29" s="93">
        <f t="shared" si="7"/>
        <v>1169879.1801556204</v>
      </c>
      <c r="M29" s="93">
        <f t="shared" si="8"/>
        <v>1404663.7584122943</v>
      </c>
      <c r="N29" s="93">
        <f t="shared" si="9"/>
        <v>17391.450241235096</v>
      </c>
      <c r="O29" s="147">
        <f t="shared" si="10"/>
        <v>8.9436772672699671E-3</v>
      </c>
      <c r="P29" s="93">
        <f t="shared" si="11"/>
        <v>156705.12394362234</v>
      </c>
      <c r="Q29" s="93">
        <f t="shared" si="12"/>
        <v>174096.57418485743</v>
      </c>
      <c r="R29" s="96">
        <f t="shared" si="13"/>
        <v>7.4521984364413893E-3</v>
      </c>
    </row>
    <row r="30" spans="1:18">
      <c r="A30" s="90">
        <f t="shared" si="14"/>
        <v>1992</v>
      </c>
      <c r="B30" s="146">
        <f t="shared" si="15"/>
        <v>14.5</v>
      </c>
      <c r="C30" s="81">
        <v>27302467.59</v>
      </c>
      <c r="D30" s="92">
        <f t="shared" si="0"/>
        <v>-0.75</v>
      </c>
      <c r="E30" s="93">
        <f t="shared" si="1"/>
        <v>20476850.692499999</v>
      </c>
      <c r="F30" s="93">
        <f t="shared" si="2"/>
        <v>40</v>
      </c>
      <c r="G30" s="93">
        <f t="shared" si="3"/>
        <v>813002.48965584766</v>
      </c>
      <c r="H30" s="93">
        <f t="shared" si="4"/>
        <v>20325.06224139619</v>
      </c>
      <c r="I30" s="81">
        <v>26.92</v>
      </c>
      <c r="J30" s="93">
        <f t="shared" si="5"/>
        <v>294713.40250024473</v>
      </c>
      <c r="K30" s="95">
        <f t="shared" si="6"/>
        <v>7.4324564140686916E-2</v>
      </c>
      <c r="L30" s="93">
        <f t="shared" si="7"/>
        <v>1521933.0026939854</v>
      </c>
      <c r="M30" s="93">
        <f t="shared" si="8"/>
        <v>1816646.4051942301</v>
      </c>
      <c r="N30" s="93">
        <f t="shared" si="9"/>
        <v>20325.06224139619</v>
      </c>
      <c r="O30" s="147">
        <f t="shared" si="10"/>
        <v>9.578356765048035E-3</v>
      </c>
      <c r="P30" s="93">
        <f t="shared" si="11"/>
        <v>196134.5813573859</v>
      </c>
      <c r="Q30" s="93">
        <f t="shared" si="12"/>
        <v>216459.6435987821</v>
      </c>
      <c r="R30" s="96">
        <f t="shared" si="13"/>
        <v>7.928208059774941E-3</v>
      </c>
    </row>
    <row r="31" spans="1:18">
      <c r="A31" s="90">
        <f t="shared" si="14"/>
        <v>1991</v>
      </c>
      <c r="B31" s="146">
        <f t="shared" si="15"/>
        <v>15.5</v>
      </c>
      <c r="C31" s="81">
        <v>26011976.359999999</v>
      </c>
      <c r="D31" s="92">
        <f t="shared" si="0"/>
        <v>-0.75</v>
      </c>
      <c r="E31" s="93">
        <f t="shared" si="1"/>
        <v>19508982.27</v>
      </c>
      <c r="F31" s="93">
        <f t="shared" si="2"/>
        <v>40</v>
      </c>
      <c r="G31" s="93">
        <f t="shared" si="3"/>
        <v>774574.73291882244</v>
      </c>
      <c r="H31" s="93">
        <f t="shared" si="4"/>
        <v>19364.36832297056</v>
      </c>
      <c r="I31" s="81">
        <v>26.08</v>
      </c>
      <c r="J31" s="93">
        <f t="shared" si="5"/>
        <v>300147.70900604367</v>
      </c>
      <c r="K31" s="95">
        <f t="shared" si="6"/>
        <v>8.2317996379772773E-2</v>
      </c>
      <c r="L31" s="93">
        <f t="shared" si="7"/>
        <v>1605940.3318749112</v>
      </c>
      <c r="M31" s="93">
        <f t="shared" si="8"/>
        <v>1906088.0408809548</v>
      </c>
      <c r="N31" s="93">
        <f t="shared" si="9"/>
        <v>19364.36832297056</v>
      </c>
      <c r="O31" s="147">
        <f t="shared" si="10"/>
        <v>1.024980507313128E-2</v>
      </c>
      <c r="P31" s="93">
        <f t="shared" si="11"/>
        <v>199963.26544267419</v>
      </c>
      <c r="Q31" s="93">
        <f t="shared" si="12"/>
        <v>219327.63376564474</v>
      </c>
      <c r="R31" s="96">
        <f t="shared" si="13"/>
        <v>8.4317942908373744E-3</v>
      </c>
    </row>
    <row r="32" spans="1:18">
      <c r="A32" s="90">
        <f t="shared" si="14"/>
        <v>1990</v>
      </c>
      <c r="B32" s="146">
        <f t="shared" si="15"/>
        <v>16.5</v>
      </c>
      <c r="C32" s="81">
        <v>21434907.149999999</v>
      </c>
      <c r="D32" s="92">
        <f t="shared" si="0"/>
        <v>-0.75</v>
      </c>
      <c r="E32" s="93">
        <f t="shared" si="1"/>
        <v>16076180.362499999</v>
      </c>
      <c r="F32" s="93">
        <f t="shared" si="2"/>
        <v>40</v>
      </c>
      <c r="G32" s="93">
        <f t="shared" si="3"/>
        <v>638280.50783493044</v>
      </c>
      <c r="H32" s="93">
        <f t="shared" si="4"/>
        <v>15957.012695873262</v>
      </c>
      <c r="I32" s="81">
        <v>25.25</v>
      </c>
      <c r="J32" s="93">
        <f t="shared" si="5"/>
        <v>263290.70948190882</v>
      </c>
      <c r="K32" s="95">
        <f t="shared" si="6"/>
        <v>9.0766495999594438E-2</v>
      </c>
      <c r="L32" s="93">
        <f t="shared" si="7"/>
        <v>1459178.5605616148</v>
      </c>
      <c r="M32" s="93">
        <f t="shared" si="8"/>
        <v>1722469.2700435235</v>
      </c>
      <c r="N32" s="93">
        <f t="shared" si="9"/>
        <v>15957.012695873262</v>
      </c>
      <c r="O32" s="147">
        <f t="shared" si="10"/>
        <v>1.0959479041196291E-2</v>
      </c>
      <c r="P32" s="93">
        <f t="shared" si="11"/>
        <v>176186.56174531011</v>
      </c>
      <c r="Q32" s="93">
        <f t="shared" si="12"/>
        <v>192143.57444118339</v>
      </c>
      <c r="R32" s="96">
        <f t="shared" si="13"/>
        <v>8.9640497668861327E-3</v>
      </c>
    </row>
    <row r="33" spans="1:18">
      <c r="A33" s="90">
        <f t="shared" si="14"/>
        <v>1989</v>
      </c>
      <c r="B33" s="146">
        <f t="shared" si="15"/>
        <v>17.5</v>
      </c>
      <c r="C33" s="81">
        <v>15899800.960000001</v>
      </c>
      <c r="D33" s="92">
        <f t="shared" si="0"/>
        <v>-0.75</v>
      </c>
      <c r="E33" s="93">
        <f t="shared" si="1"/>
        <v>11924850.720000001</v>
      </c>
      <c r="F33" s="93">
        <f t="shared" si="2"/>
        <v>40</v>
      </c>
      <c r="G33" s="93">
        <f t="shared" si="3"/>
        <v>473458.22215157654</v>
      </c>
      <c r="H33" s="93">
        <f t="shared" si="4"/>
        <v>11836.455553789414</v>
      </c>
      <c r="I33" s="81">
        <v>24.43</v>
      </c>
      <c r="J33" s="93">
        <f t="shared" si="5"/>
        <v>207137.97219131474</v>
      </c>
      <c r="K33" s="95">
        <f t="shared" si="6"/>
        <v>9.9687475972039835E-2</v>
      </c>
      <c r="L33" s="93">
        <f t="shared" si="7"/>
        <v>1188758.269620162</v>
      </c>
      <c r="M33" s="93">
        <f t="shared" si="8"/>
        <v>1395896.2418114766</v>
      </c>
      <c r="N33" s="93">
        <f t="shared" si="9"/>
        <v>11836.455553789414</v>
      </c>
      <c r="O33" s="147">
        <f t="shared" si="10"/>
        <v>1.1708841358881728E-2</v>
      </c>
      <c r="P33" s="93">
        <f t="shared" si="11"/>
        <v>139626.18530882656</v>
      </c>
      <c r="Q33" s="93">
        <f t="shared" si="12"/>
        <v>151462.64086261598</v>
      </c>
      <c r="R33" s="96">
        <f t="shared" si="13"/>
        <v>9.5260715051502121E-3</v>
      </c>
    </row>
    <row r="34" spans="1:18">
      <c r="A34" s="90">
        <f t="shared" si="14"/>
        <v>1988</v>
      </c>
      <c r="B34" s="146">
        <f t="shared" si="15"/>
        <v>18.5</v>
      </c>
      <c r="C34" s="81">
        <v>14457088.17</v>
      </c>
      <c r="D34" s="92">
        <f t="shared" si="0"/>
        <v>-0.75</v>
      </c>
      <c r="E34" s="93">
        <f t="shared" si="1"/>
        <v>10842816.127499999</v>
      </c>
      <c r="F34" s="93">
        <f t="shared" si="2"/>
        <v>40</v>
      </c>
      <c r="G34" s="93">
        <f t="shared" si="3"/>
        <v>430497.66973037558</v>
      </c>
      <c r="H34" s="93">
        <f t="shared" si="4"/>
        <v>10762.441743259389</v>
      </c>
      <c r="I34" s="81">
        <v>23.62</v>
      </c>
      <c r="J34" s="93">
        <f t="shared" si="5"/>
        <v>199105.1722502987</v>
      </c>
      <c r="K34" s="95">
        <f t="shared" si="6"/>
        <v>0.10909836553738333</v>
      </c>
      <c r="L34" s="93">
        <f t="shared" si="7"/>
        <v>1182933.5173326302</v>
      </c>
      <c r="M34" s="93">
        <f t="shared" si="8"/>
        <v>1382038.689582929</v>
      </c>
      <c r="N34" s="93">
        <f t="shared" si="9"/>
        <v>10762.441743259389</v>
      </c>
      <c r="O34" s="147">
        <f t="shared" si="10"/>
        <v>1.2499356082370572E-2</v>
      </c>
      <c r="P34" s="93">
        <f t="shared" si="11"/>
        <v>135528.21971329284</v>
      </c>
      <c r="Q34" s="93">
        <f t="shared" si="12"/>
        <v>146290.66145655222</v>
      </c>
      <c r="R34" s="96">
        <f t="shared" si="13"/>
        <v>1.0118957547766842E-2</v>
      </c>
    </row>
    <row r="35" spans="1:18">
      <c r="A35" s="90">
        <f t="shared" si="14"/>
        <v>1987</v>
      </c>
      <c r="B35" s="146">
        <f t="shared" si="15"/>
        <v>19.5</v>
      </c>
      <c r="C35" s="81">
        <v>13284589.800000001</v>
      </c>
      <c r="D35" s="92">
        <f t="shared" si="0"/>
        <v>-0.75</v>
      </c>
      <c r="E35" s="93">
        <f t="shared" si="1"/>
        <v>9963442.3500000015</v>
      </c>
      <c r="F35" s="93">
        <f t="shared" si="2"/>
        <v>40</v>
      </c>
      <c r="G35" s="93">
        <f t="shared" si="3"/>
        <v>395583.45947501523</v>
      </c>
      <c r="H35" s="93">
        <f t="shared" si="4"/>
        <v>9889.5864868753815</v>
      </c>
      <c r="I35" s="81">
        <v>22.82</v>
      </c>
      <c r="J35" s="93">
        <f t="shared" si="5"/>
        <v>192846.93649406993</v>
      </c>
      <c r="K35" s="95">
        <f t="shared" si="6"/>
        <v>0.11901655321850135</v>
      </c>
      <c r="L35" s="93">
        <f t="shared" si="7"/>
        <v>1185814.5666882454</v>
      </c>
      <c r="M35" s="93">
        <f t="shared" si="8"/>
        <v>1378661.5031823153</v>
      </c>
      <c r="N35" s="93">
        <f t="shared" si="9"/>
        <v>9889.5864868753815</v>
      </c>
      <c r="O35" s="147">
        <f t="shared" si="10"/>
        <v>1.3332483847584481E-2</v>
      </c>
      <c r="P35" s="93">
        <f t="shared" si="11"/>
        <v>132837.43419771417</v>
      </c>
      <c r="Q35" s="93">
        <f t="shared" si="12"/>
        <v>142727.02068458954</v>
      </c>
      <c r="R35" s="96">
        <f t="shared" si="13"/>
        <v>1.0743803371677275E-2</v>
      </c>
    </row>
    <row r="36" spans="1:18">
      <c r="A36" s="90">
        <f t="shared" si="14"/>
        <v>1986</v>
      </c>
      <c r="B36" s="146">
        <f t="shared" si="15"/>
        <v>20.5</v>
      </c>
      <c r="C36" s="81">
        <v>9965253.2100000009</v>
      </c>
      <c r="D36" s="92">
        <f t="shared" si="0"/>
        <v>-0.75</v>
      </c>
      <c r="E36" s="93">
        <f t="shared" si="1"/>
        <v>7473939.9075000007</v>
      </c>
      <c r="F36" s="93">
        <f t="shared" si="2"/>
        <v>40</v>
      </c>
      <c r="G36" s="93">
        <f t="shared" si="3"/>
        <v>296741.51770619972</v>
      </c>
      <c r="H36" s="93">
        <f t="shared" si="4"/>
        <v>7418.5379426549935</v>
      </c>
      <c r="I36" s="81">
        <v>22.03</v>
      </c>
      <c r="J36" s="93">
        <f t="shared" si="5"/>
        <v>152080.02782442738</v>
      </c>
      <c r="K36" s="95">
        <f t="shared" si="6"/>
        <v>0.12945932613413511</v>
      </c>
      <c r="L36" s="93">
        <f t="shared" si="7"/>
        <v>967571.22399197018</v>
      </c>
      <c r="M36" s="93">
        <f t="shared" si="8"/>
        <v>1119651.2518163975</v>
      </c>
      <c r="N36" s="93">
        <f t="shared" si="9"/>
        <v>7418.5379426549935</v>
      </c>
      <c r="O36" s="147">
        <f t="shared" si="10"/>
        <v>1.4209676772497654E-2</v>
      </c>
      <c r="P36" s="93">
        <f t="shared" si="11"/>
        <v>106202.27030264602</v>
      </c>
      <c r="Q36" s="93">
        <f t="shared" si="12"/>
        <v>113620.80824530101</v>
      </c>
      <c r="R36" s="96">
        <f t="shared" si="13"/>
        <v>1.1401698065362155E-2</v>
      </c>
    </row>
    <row r="37" spans="1:18">
      <c r="A37" s="90">
        <f t="shared" si="14"/>
        <v>1985</v>
      </c>
      <c r="B37" s="146">
        <f t="shared" si="15"/>
        <v>21.5</v>
      </c>
      <c r="C37" s="81">
        <v>7279749.2199999997</v>
      </c>
      <c r="D37" s="92">
        <f t="shared" si="0"/>
        <v>-0.75</v>
      </c>
      <c r="E37" s="93">
        <f t="shared" si="1"/>
        <v>5459811.915</v>
      </c>
      <c r="F37" s="93">
        <f t="shared" si="2"/>
        <v>40</v>
      </c>
      <c r="G37" s="93">
        <f t="shared" si="3"/>
        <v>216773.60188856893</v>
      </c>
      <c r="H37" s="93">
        <f t="shared" si="4"/>
        <v>5419.340047214223</v>
      </c>
      <c r="I37" s="81">
        <v>21.25</v>
      </c>
      <c r="J37" s="93">
        <f t="shared" si="5"/>
        <v>116515.81101510579</v>
      </c>
      <c r="K37" s="95">
        <f t="shared" si="6"/>
        <v>0.14044380566466685</v>
      </c>
      <c r="L37" s="93">
        <f t="shared" si="7"/>
        <v>766796.76355589263</v>
      </c>
      <c r="M37" s="93">
        <f t="shared" si="8"/>
        <v>883312.57457099843</v>
      </c>
      <c r="N37" s="93">
        <f t="shared" si="9"/>
        <v>5419.340047214223</v>
      </c>
      <c r="O37" s="147">
        <f t="shared" si="10"/>
        <v>1.5132373053062337E-2</v>
      </c>
      <c r="P37" s="93">
        <f t="shared" si="11"/>
        <v>82619.910697334679</v>
      </c>
      <c r="Q37" s="93">
        <f t="shared" si="12"/>
        <v>88039.250744548903</v>
      </c>
      <c r="R37" s="96">
        <f t="shared" si="13"/>
        <v>1.2093720275785669E-2</v>
      </c>
    </row>
    <row r="38" spans="1:18">
      <c r="A38" s="90">
        <f t="shared" si="14"/>
        <v>1984</v>
      </c>
      <c r="B38" s="146">
        <f t="shared" si="15"/>
        <v>22.5</v>
      </c>
      <c r="C38" s="81">
        <v>6342289.9299999997</v>
      </c>
      <c r="D38" s="92">
        <f t="shared" si="0"/>
        <v>-0.75</v>
      </c>
      <c r="E38" s="93">
        <f t="shared" si="1"/>
        <v>4756717.4474999998</v>
      </c>
      <c r="F38" s="93">
        <f t="shared" si="2"/>
        <v>40</v>
      </c>
      <c r="G38" s="93">
        <f t="shared" si="3"/>
        <v>188858.295910872</v>
      </c>
      <c r="H38" s="93">
        <f t="shared" si="4"/>
        <v>4721.4573977718001</v>
      </c>
      <c r="I38" s="81">
        <v>20.49</v>
      </c>
      <c r="J38" s="93">
        <f t="shared" si="5"/>
        <v>106232.7914498655</v>
      </c>
      <c r="K38" s="95">
        <f t="shared" si="6"/>
        <v>0.15183232845148076</v>
      </c>
      <c r="L38" s="93">
        <f t="shared" si="7"/>
        <v>722223.48583970917</v>
      </c>
      <c r="M38" s="93">
        <f t="shared" si="8"/>
        <v>828456.27728957473</v>
      </c>
      <c r="N38" s="93">
        <f t="shared" si="9"/>
        <v>4721.4573977718001</v>
      </c>
      <c r="O38" s="147">
        <f t="shared" si="10"/>
        <v>1.6089008967154733E-2</v>
      </c>
      <c r="P38" s="93">
        <f t="shared" si="11"/>
        <v>76530.869667048872</v>
      </c>
      <c r="Q38" s="93">
        <f t="shared" si="12"/>
        <v>81252.327064820667</v>
      </c>
      <c r="R38" s="96">
        <f t="shared" si="13"/>
        <v>1.2811197211354965E-2</v>
      </c>
    </row>
    <row r="39" spans="1:18">
      <c r="A39" s="90">
        <f t="shared" si="14"/>
        <v>1983</v>
      </c>
      <c r="B39" s="146">
        <f t="shared" si="15"/>
        <v>23.5</v>
      </c>
      <c r="C39" s="81">
        <v>5519652.1299999999</v>
      </c>
      <c r="D39" s="92">
        <f t="shared" si="0"/>
        <v>-0.75</v>
      </c>
      <c r="E39" s="93">
        <f t="shared" si="1"/>
        <v>4139739.0975000001</v>
      </c>
      <c r="F39" s="93">
        <f t="shared" si="2"/>
        <v>40</v>
      </c>
      <c r="G39" s="93">
        <f t="shared" si="3"/>
        <v>164362.10056587795</v>
      </c>
      <c r="H39" s="93">
        <f t="shared" si="4"/>
        <v>4109.0525141469489</v>
      </c>
      <c r="I39" s="81">
        <v>19.739999999999998</v>
      </c>
      <c r="J39" s="93">
        <f t="shared" si="5"/>
        <v>96562.734082453302</v>
      </c>
      <c r="K39" s="95">
        <f t="shared" si="6"/>
        <v>0.16377662003261106</v>
      </c>
      <c r="L39" s="93">
        <f t="shared" si="7"/>
        <v>677992.47720540175</v>
      </c>
      <c r="M39" s="93">
        <f t="shared" si="8"/>
        <v>774555.21128785505</v>
      </c>
      <c r="N39" s="93">
        <f t="shared" si="9"/>
        <v>4109.0525141469489</v>
      </c>
      <c r="O39" s="147">
        <f t="shared" si="10"/>
        <v>1.7092329459969718E-2</v>
      </c>
      <c r="P39" s="93">
        <f t="shared" si="11"/>
        <v>70757.7845327877</v>
      </c>
      <c r="Q39" s="93">
        <f t="shared" si="12"/>
        <v>74866.837046934656</v>
      </c>
      <c r="R39" s="96">
        <f t="shared" si="13"/>
        <v>1.3563687580966204E-2</v>
      </c>
    </row>
    <row r="40" spans="1:18">
      <c r="A40" s="90">
        <f t="shared" si="14"/>
        <v>1982</v>
      </c>
      <c r="B40" s="146">
        <f t="shared" si="15"/>
        <v>24.5</v>
      </c>
      <c r="C40" s="81">
        <v>4636668.9400000004</v>
      </c>
      <c r="D40" s="92">
        <f t="shared" si="0"/>
        <v>-0.75</v>
      </c>
      <c r="E40" s="93">
        <f t="shared" si="1"/>
        <v>3477501.7050000001</v>
      </c>
      <c r="F40" s="93">
        <f t="shared" si="2"/>
        <v>40</v>
      </c>
      <c r="G40" s="93">
        <f t="shared" si="3"/>
        <v>138068.96316253225</v>
      </c>
      <c r="H40" s="93">
        <f t="shared" si="4"/>
        <v>3451.7240790633064</v>
      </c>
      <c r="I40" s="81">
        <v>19</v>
      </c>
      <c r="J40" s="93">
        <f t="shared" si="5"/>
        <v>84567.23993705101</v>
      </c>
      <c r="K40" s="95">
        <f t="shared" si="6"/>
        <v>0.17629147768921469</v>
      </c>
      <c r="L40" s="93">
        <f t="shared" si="7"/>
        <v>613053.91424121358</v>
      </c>
      <c r="M40" s="93">
        <f t="shared" si="8"/>
        <v>697621.15417826455</v>
      </c>
      <c r="N40" s="93">
        <f t="shared" si="9"/>
        <v>3451.7240790633064</v>
      </c>
      <c r="O40" s="147">
        <f t="shared" si="10"/>
        <v>1.814357750312437E-2</v>
      </c>
      <c r="P40" s="93">
        <f t="shared" si="11"/>
        <v>63094.32170191464</v>
      </c>
      <c r="Q40" s="93">
        <f t="shared" si="12"/>
        <v>66546.045780977947</v>
      </c>
      <c r="R40" s="96">
        <f t="shared" si="13"/>
        <v>1.4352123613332192E-2</v>
      </c>
    </row>
    <row r="41" spans="1:18">
      <c r="A41" s="90">
        <f t="shared" si="14"/>
        <v>1981</v>
      </c>
      <c r="B41" s="146">
        <f t="shared" si="15"/>
        <v>25.5</v>
      </c>
      <c r="C41" s="81">
        <v>5278839.3600000003</v>
      </c>
      <c r="D41" s="92">
        <f t="shared" si="0"/>
        <v>-0.75</v>
      </c>
      <c r="E41" s="93">
        <f t="shared" si="1"/>
        <v>3959129.5200000005</v>
      </c>
      <c r="F41" s="93">
        <f t="shared" si="2"/>
        <v>40</v>
      </c>
      <c r="G41" s="93">
        <f t="shared" si="3"/>
        <v>157191.26954463249</v>
      </c>
      <c r="H41" s="93">
        <f t="shared" si="4"/>
        <v>3929.7817386158122</v>
      </c>
      <c r="I41" s="81">
        <v>18.27</v>
      </c>
      <c r="J41" s="93">
        <f t="shared" si="5"/>
        <v>100209.43433470321</v>
      </c>
      <c r="K41" s="95">
        <f t="shared" si="6"/>
        <v>0.18939119267488996</v>
      </c>
      <c r="L41" s="93">
        <f t="shared" si="7"/>
        <v>749824.26174716465</v>
      </c>
      <c r="M41" s="93">
        <f t="shared" si="8"/>
        <v>850033.69608186791</v>
      </c>
      <c r="N41" s="93">
        <f t="shared" si="9"/>
        <v>3929.7817386158122</v>
      </c>
      <c r="O41" s="147">
        <f t="shared" si="10"/>
        <v>1.9243953561921129E-2</v>
      </c>
      <c r="P41" s="93">
        <f t="shared" si="11"/>
        <v>76189.304628511105</v>
      </c>
      <c r="Q41" s="93">
        <f t="shared" si="12"/>
        <v>80119.086367126918</v>
      </c>
      <c r="R41" s="96">
        <f t="shared" si="13"/>
        <v>1.5177405657429763E-2</v>
      </c>
    </row>
    <row r="42" spans="1:18">
      <c r="A42" s="90">
        <f t="shared" si="14"/>
        <v>1980</v>
      </c>
      <c r="B42" s="146">
        <f t="shared" si="15"/>
        <v>26.5</v>
      </c>
      <c r="C42" s="81">
        <v>6225941.7699999996</v>
      </c>
      <c r="D42" s="92">
        <f t="shared" si="0"/>
        <v>-0.75</v>
      </c>
      <c r="E42" s="93">
        <f t="shared" si="1"/>
        <v>4669456.3274999997</v>
      </c>
      <c r="F42" s="93">
        <f t="shared" si="2"/>
        <v>40</v>
      </c>
      <c r="G42" s="93">
        <f t="shared" si="3"/>
        <v>185393.72467989934</v>
      </c>
      <c r="H42" s="93">
        <f t="shared" si="4"/>
        <v>4634.8431169974838</v>
      </c>
      <c r="I42" s="81">
        <v>17.559999999999999</v>
      </c>
      <c r="J42" s="93">
        <f t="shared" si="5"/>
        <v>122823.34260043332</v>
      </c>
      <c r="K42" s="95">
        <f t="shared" si="6"/>
        <v>0.20289371886077842</v>
      </c>
      <c r="L42" s="93">
        <f t="shared" si="7"/>
        <v>947403.35934446787</v>
      </c>
      <c r="M42" s="93">
        <f t="shared" si="8"/>
        <v>1070226.7019449011</v>
      </c>
      <c r="N42" s="93">
        <f t="shared" si="9"/>
        <v>4634.8431169974838</v>
      </c>
      <c r="O42" s="147">
        <f t="shared" si="10"/>
        <v>2.0378165761535783E-2</v>
      </c>
      <c r="P42" s="93">
        <f t="shared" si="11"/>
        <v>95154.955058047111</v>
      </c>
      <c r="Q42" s="93">
        <f t="shared" si="12"/>
        <v>99789.798175044591</v>
      </c>
      <c r="R42" s="96">
        <f t="shared" si="13"/>
        <v>1.6028064807140752E-2</v>
      </c>
    </row>
    <row r="43" spans="1:18">
      <c r="A43" s="90">
        <f t="shared" si="14"/>
        <v>1979</v>
      </c>
      <c r="B43" s="146">
        <f t="shared" si="15"/>
        <v>27.5</v>
      </c>
      <c r="C43" s="81">
        <v>3728301.19</v>
      </c>
      <c r="D43" s="92">
        <f t="shared" si="0"/>
        <v>-0.75</v>
      </c>
      <c r="E43" s="93">
        <f t="shared" si="1"/>
        <v>2796225.8925000001</v>
      </c>
      <c r="F43" s="93">
        <f t="shared" si="2"/>
        <v>40</v>
      </c>
      <c r="G43" s="93">
        <f t="shared" si="3"/>
        <v>111019.93399186597</v>
      </c>
      <c r="H43" s="93">
        <f t="shared" si="4"/>
        <v>2775.4983497966491</v>
      </c>
      <c r="I43" s="81">
        <v>16.86</v>
      </c>
      <c r="J43" s="93">
        <f t="shared" si="5"/>
        <v>76326.204619407858</v>
      </c>
      <c r="K43" s="95">
        <f t="shared" si="6"/>
        <v>0.21698494237188662</v>
      </c>
      <c r="L43" s="93">
        <f t="shared" si="7"/>
        <v>606738.91414288979</v>
      </c>
      <c r="M43" s="93">
        <f t="shared" si="8"/>
        <v>683065.11876229767</v>
      </c>
      <c r="N43" s="93">
        <f t="shared" si="9"/>
        <v>2775.4983497966491</v>
      </c>
      <c r="O43" s="147">
        <f t="shared" si="10"/>
        <v>2.1561828536468874E-2</v>
      </c>
      <c r="P43" s="93">
        <f t="shared" si="11"/>
        <v>60291.743243319652</v>
      </c>
      <c r="Q43" s="93">
        <f t="shared" si="12"/>
        <v>63067.241593116298</v>
      </c>
      <c r="R43" s="96">
        <f t="shared" si="13"/>
        <v>1.6915811888340571E-2</v>
      </c>
    </row>
    <row r="44" spans="1:18">
      <c r="A44" s="90">
        <f t="shared" si="14"/>
        <v>1978</v>
      </c>
      <c r="B44" s="146">
        <f t="shared" si="15"/>
        <v>28.5</v>
      </c>
      <c r="C44" s="81">
        <v>2325325.2000000002</v>
      </c>
      <c r="D44" s="92">
        <f t="shared" si="0"/>
        <v>-0.75</v>
      </c>
      <c r="E44" s="93">
        <f t="shared" si="1"/>
        <v>1743993.9000000001</v>
      </c>
      <c r="F44" s="93">
        <f t="shared" si="2"/>
        <v>40</v>
      </c>
      <c r="G44" s="93">
        <f t="shared" si="3"/>
        <v>69242.648878810825</v>
      </c>
      <c r="H44" s="93">
        <f t="shared" si="4"/>
        <v>1731.0662219702706</v>
      </c>
      <c r="I44" s="81">
        <v>16.170000000000002</v>
      </c>
      <c r="J44" s="93">
        <f t="shared" si="5"/>
        <v>49335.387326152711</v>
      </c>
      <c r="K44" s="95">
        <f t="shared" si="6"/>
        <v>0.23167567549223553</v>
      </c>
      <c r="L44" s="93">
        <f t="shared" si="7"/>
        <v>404040.96483683831</v>
      </c>
      <c r="M44" s="93">
        <f t="shared" si="8"/>
        <v>453376.35216299101</v>
      </c>
      <c r="N44" s="93">
        <f t="shared" si="9"/>
        <v>1731.0662219702706</v>
      </c>
      <c r="O44" s="147">
        <f t="shared" si="10"/>
        <v>2.2795850118578098E-2</v>
      </c>
      <c r="P44" s="93">
        <f t="shared" si="11"/>
        <v>39755.823552114482</v>
      </c>
      <c r="Q44" s="93">
        <f t="shared" si="12"/>
        <v>41486.889774084753</v>
      </c>
      <c r="R44" s="96">
        <f t="shared" si="13"/>
        <v>1.7841328074922488E-2</v>
      </c>
    </row>
    <row r="45" spans="1:18">
      <c r="A45" s="90">
        <f t="shared" si="14"/>
        <v>1977</v>
      </c>
      <c r="B45" s="146">
        <f t="shared" si="15"/>
        <v>29.5</v>
      </c>
      <c r="C45" s="81">
        <v>2765239.68</v>
      </c>
      <c r="D45" s="92">
        <f t="shared" si="0"/>
        <v>-0.75</v>
      </c>
      <c r="E45" s="93">
        <f t="shared" si="1"/>
        <v>2073929.7600000002</v>
      </c>
      <c r="F45" s="93">
        <f t="shared" si="2"/>
        <v>40</v>
      </c>
      <c r="G45" s="93">
        <f t="shared" si="3"/>
        <v>82342.254850201251</v>
      </c>
      <c r="H45" s="93">
        <f t="shared" si="4"/>
        <v>2058.5563712550311</v>
      </c>
      <c r="I45" s="81">
        <v>15.5</v>
      </c>
      <c r="J45" s="93">
        <f t="shared" si="5"/>
        <v>60727.41295202342</v>
      </c>
      <c r="K45" s="95">
        <f t="shared" si="6"/>
        <v>0.24674472608917733</v>
      </c>
      <c r="L45" s="93">
        <f t="shared" si="7"/>
        <v>511731.23055939336</v>
      </c>
      <c r="M45" s="93">
        <f t="shared" si="8"/>
        <v>572458.64351141674</v>
      </c>
      <c r="N45" s="93">
        <f t="shared" si="9"/>
        <v>2058.5563712550311</v>
      </c>
      <c r="O45" s="147">
        <f t="shared" si="10"/>
        <v>2.406165036872121E-2</v>
      </c>
      <c r="P45" s="93">
        <f t="shared" si="11"/>
        <v>49902.172774405895</v>
      </c>
      <c r="Q45" s="93">
        <f t="shared" si="12"/>
        <v>51960.729145660924</v>
      </c>
      <c r="R45" s="96">
        <f t="shared" si="13"/>
        <v>1.8790678262529822E-2</v>
      </c>
    </row>
    <row r="46" spans="1:18">
      <c r="A46" s="90">
        <f t="shared" si="14"/>
        <v>1976</v>
      </c>
      <c r="B46" s="146">
        <f t="shared" si="15"/>
        <v>30.5</v>
      </c>
      <c r="C46" s="81">
        <v>2359131.63</v>
      </c>
      <c r="D46" s="92">
        <f t="shared" si="0"/>
        <v>-0.75</v>
      </c>
      <c r="E46" s="93">
        <f t="shared" si="1"/>
        <v>1769348.7224999999</v>
      </c>
      <c r="F46" s="93">
        <f t="shared" si="2"/>
        <v>40</v>
      </c>
      <c r="G46" s="93">
        <f t="shared" si="3"/>
        <v>70249.323885960825</v>
      </c>
      <c r="H46" s="93">
        <f t="shared" si="4"/>
        <v>1756.2330971490205</v>
      </c>
      <c r="I46" s="81">
        <v>14.85</v>
      </c>
      <c r="J46" s="93">
        <f t="shared" si="5"/>
        <v>53565.109463045126</v>
      </c>
      <c r="K46" s="95">
        <f t="shared" si="6"/>
        <v>0.26216317419896168</v>
      </c>
      <c r="L46" s="93">
        <f t="shared" si="7"/>
        <v>463858.07735547778</v>
      </c>
      <c r="M46" s="93">
        <f t="shared" si="8"/>
        <v>517423.18681852293</v>
      </c>
      <c r="N46" s="93">
        <f t="shared" si="9"/>
        <v>1756.2330971490205</v>
      </c>
      <c r="O46" s="147">
        <f t="shared" si="10"/>
        <v>2.5356800009943115E-2</v>
      </c>
      <c r="P46" s="93">
        <f t="shared" si="11"/>
        <v>44865.021704280836</v>
      </c>
      <c r="Q46" s="93">
        <f t="shared" si="12"/>
        <v>46621.254801429859</v>
      </c>
      <c r="R46" s="96">
        <f t="shared" si="13"/>
        <v>1.9762040493446251E-2</v>
      </c>
    </row>
    <row r="47" spans="1:18">
      <c r="A47" s="90">
        <f t="shared" si="14"/>
        <v>1975</v>
      </c>
      <c r="B47" s="146">
        <f t="shared" si="15"/>
        <v>31.5</v>
      </c>
      <c r="C47" s="81">
        <v>1688149.37</v>
      </c>
      <c r="D47" s="92">
        <f t="shared" si="0"/>
        <v>-0.75</v>
      </c>
      <c r="E47" s="93">
        <f t="shared" si="1"/>
        <v>1266112.0275000001</v>
      </c>
      <c r="F47" s="93">
        <f t="shared" si="2"/>
        <v>40</v>
      </c>
      <c r="G47" s="93">
        <f t="shared" si="3"/>
        <v>50269.069496987213</v>
      </c>
      <c r="H47" s="93">
        <f t="shared" si="4"/>
        <v>1256.7267374246803</v>
      </c>
      <c r="I47" s="81">
        <v>14.21</v>
      </c>
      <c r="J47" s="93">
        <f t="shared" si="5"/>
        <v>39586.892228877434</v>
      </c>
      <c r="K47" s="95">
        <f t="shared" si="6"/>
        <v>0.27815505887689634</v>
      </c>
      <c r="L47" s="93">
        <f t="shared" si="7"/>
        <v>352175.46555400913</v>
      </c>
      <c r="M47" s="93">
        <f t="shared" si="8"/>
        <v>391762.3577828866</v>
      </c>
      <c r="N47" s="93">
        <f t="shared" si="9"/>
        <v>1256.7267374246803</v>
      </c>
      <c r="O47" s="147">
        <f t="shared" si="10"/>
        <v>2.6700118322889654E-2</v>
      </c>
      <c r="P47" s="93">
        <f t="shared" si="11"/>
        <v>33805.340944283722</v>
      </c>
      <c r="Q47" s="93">
        <f t="shared" si="12"/>
        <v>35062.067681708402</v>
      </c>
      <c r="R47" s="96">
        <f t="shared" si="13"/>
        <v>2.0769529228156156E-2</v>
      </c>
    </row>
    <row r="48" spans="1:18">
      <c r="A48" s="90">
        <f t="shared" si="14"/>
        <v>1974</v>
      </c>
      <c r="B48" s="146">
        <f t="shared" si="15"/>
        <v>32.5</v>
      </c>
      <c r="C48" s="81">
        <v>2403589.59</v>
      </c>
      <c r="D48" s="92">
        <f t="shared" si="0"/>
        <v>-0.75</v>
      </c>
      <c r="E48" s="93">
        <f t="shared" si="1"/>
        <v>1802692.1924999999</v>
      </c>
      <c r="F48" s="93">
        <f t="shared" si="2"/>
        <v>40</v>
      </c>
      <c r="G48" s="93">
        <f t="shared" si="3"/>
        <v>71573.176099899851</v>
      </c>
      <c r="H48" s="93">
        <f t="shared" si="4"/>
        <v>1789.3294024974962</v>
      </c>
      <c r="I48" s="81">
        <v>13.59</v>
      </c>
      <c r="J48" s="93">
        <f t="shared" si="5"/>
        <v>58153.205581168622</v>
      </c>
      <c r="K48" s="95">
        <f t="shared" si="6"/>
        <v>0.29445465509867152</v>
      </c>
      <c r="L48" s="93">
        <f t="shared" si="7"/>
        <v>530811.10779165546</v>
      </c>
      <c r="M48" s="93">
        <f t="shared" si="8"/>
        <v>588964.31337282411</v>
      </c>
      <c r="N48" s="93">
        <f t="shared" si="9"/>
        <v>1789.3294024974962</v>
      </c>
      <c r="O48" s="147">
        <f t="shared" si="10"/>
        <v>2.8069284405518757E-2</v>
      </c>
      <c r="P48" s="93">
        <f t="shared" si="11"/>
        <v>50600.279846890662</v>
      </c>
      <c r="Q48" s="93">
        <f t="shared" si="12"/>
        <v>52389.609249388159</v>
      </c>
      <c r="R48" s="96">
        <f t="shared" si="13"/>
        <v>2.1796403790127983E-2</v>
      </c>
    </row>
    <row r="49" spans="1:18">
      <c r="A49" s="90">
        <f t="shared" si="14"/>
        <v>1973</v>
      </c>
      <c r="B49" s="146">
        <f t="shared" si="15"/>
        <v>33.5</v>
      </c>
      <c r="C49" s="81">
        <v>2570709.88</v>
      </c>
      <c r="D49" s="92">
        <f t="shared" si="0"/>
        <v>-0.75</v>
      </c>
      <c r="E49" s="93">
        <f t="shared" si="1"/>
        <v>1928032.41</v>
      </c>
      <c r="F49" s="93">
        <f t="shared" si="2"/>
        <v>40</v>
      </c>
      <c r="G49" s="93">
        <f t="shared" si="3"/>
        <v>76549.620496148185</v>
      </c>
      <c r="H49" s="93">
        <f t="shared" si="4"/>
        <v>1913.7405124037045</v>
      </c>
      <c r="I49" s="81">
        <v>12.99</v>
      </c>
      <c r="J49" s="93">
        <f t="shared" si="5"/>
        <v>64110.3071655241</v>
      </c>
      <c r="K49" s="95">
        <f t="shared" si="6"/>
        <v>0.31102384962662455</v>
      </c>
      <c r="L49" s="93">
        <f t="shared" si="7"/>
        <v>599664.06236309849</v>
      </c>
      <c r="M49" s="93">
        <f t="shared" si="8"/>
        <v>663774.3695286226</v>
      </c>
      <c r="N49" s="93">
        <f t="shared" si="9"/>
        <v>1913.7405124037045</v>
      </c>
      <c r="O49" s="147">
        <f t="shared" si="10"/>
        <v>2.9461096745866833E-2</v>
      </c>
      <c r="P49" s="93">
        <f t="shared" si="11"/>
        <v>56801.949360176783</v>
      </c>
      <c r="Q49" s="93">
        <f t="shared" si="12"/>
        <v>58715.689872580486</v>
      </c>
      <c r="R49" s="96">
        <f t="shared" si="13"/>
        <v>2.2840263045389039E-2</v>
      </c>
    </row>
    <row r="50" spans="1:18">
      <c r="A50" s="90">
        <f t="shared" si="14"/>
        <v>1972</v>
      </c>
      <c r="B50" s="146">
        <f t="shared" si="15"/>
        <v>34.5</v>
      </c>
      <c r="C50" s="81">
        <v>2218002.6</v>
      </c>
      <c r="D50" s="92">
        <f t="shared" si="0"/>
        <v>-0.75</v>
      </c>
      <c r="E50" s="93">
        <f t="shared" si="1"/>
        <v>1663501.9500000002</v>
      </c>
      <c r="F50" s="93">
        <f t="shared" si="2"/>
        <v>40</v>
      </c>
      <c r="G50" s="93">
        <f t="shared" si="3"/>
        <v>66046.837338747064</v>
      </c>
      <c r="H50" s="93">
        <f t="shared" si="4"/>
        <v>1651.1709334686766</v>
      </c>
      <c r="I50" s="81">
        <v>12.41</v>
      </c>
      <c r="J50" s="93">
        <f t="shared" si="5"/>
        <v>56965.397204669345</v>
      </c>
      <c r="K50" s="95">
        <f t="shared" si="6"/>
        <v>0.32782127182514459</v>
      </c>
      <c r="L50" s="93">
        <f t="shared" si="7"/>
        <v>545331.32493260817</v>
      </c>
      <c r="M50" s="93">
        <f t="shared" si="8"/>
        <v>602296.72213727748</v>
      </c>
      <c r="N50" s="93">
        <f t="shared" si="9"/>
        <v>1651.1709334686766</v>
      </c>
      <c r="O50" s="147">
        <f t="shared" si="10"/>
        <v>3.0872080210542496E-2</v>
      </c>
      <c r="P50" s="93">
        <f t="shared" si="11"/>
        <v>51355.76563079386</v>
      </c>
      <c r="Q50" s="93">
        <f t="shared" si="12"/>
        <v>53006.936564262534</v>
      </c>
      <c r="R50" s="96">
        <f t="shared" si="13"/>
        <v>2.3898500643895787E-2</v>
      </c>
    </row>
    <row r="51" spans="1:18">
      <c r="A51" s="90">
        <f t="shared" si="14"/>
        <v>1971</v>
      </c>
      <c r="B51" s="146">
        <f t="shared" si="15"/>
        <v>35.5</v>
      </c>
      <c r="C51" s="81">
        <v>2179515.6</v>
      </c>
      <c r="D51" s="92">
        <f t="shared" si="0"/>
        <v>-0.75</v>
      </c>
      <c r="E51" s="93">
        <f t="shared" si="1"/>
        <v>1634636.7000000002</v>
      </c>
      <c r="F51" s="93">
        <f t="shared" si="2"/>
        <v>40</v>
      </c>
      <c r="G51" s="93">
        <f t="shared" si="3"/>
        <v>64900.786099376855</v>
      </c>
      <c r="H51" s="93">
        <f t="shared" si="4"/>
        <v>1622.5196524844214</v>
      </c>
      <c r="I51" s="81">
        <v>11.84</v>
      </c>
      <c r="J51" s="93">
        <f t="shared" si="5"/>
        <v>57599.447663196959</v>
      </c>
      <c r="K51" s="95">
        <f t="shared" si="6"/>
        <v>0.34511266491405435</v>
      </c>
      <c r="L51" s="93">
        <f t="shared" si="7"/>
        <v>564133.82770331565</v>
      </c>
      <c r="M51" s="93">
        <f t="shared" si="8"/>
        <v>621733.27536651259</v>
      </c>
      <c r="N51" s="93">
        <f t="shared" si="9"/>
        <v>1622.5196524844214</v>
      </c>
      <c r="O51" s="147">
        <f t="shared" si="10"/>
        <v>3.2324557230010986E-2</v>
      </c>
      <c r="P51" s="93">
        <f t="shared" si="11"/>
        <v>52838.907559426305</v>
      </c>
      <c r="Q51" s="93">
        <f t="shared" si="12"/>
        <v>54461.427211910726</v>
      </c>
      <c r="R51" s="96">
        <f t="shared" si="13"/>
        <v>2.4987858408497154E-2</v>
      </c>
    </row>
    <row r="52" spans="1:18">
      <c r="A52" s="90">
        <f t="shared" si="14"/>
        <v>1970</v>
      </c>
      <c r="B52" s="146">
        <f t="shared" si="15"/>
        <v>36.5</v>
      </c>
      <c r="C52" s="81">
        <v>2564069.9900000002</v>
      </c>
      <c r="D52" s="92">
        <f t="shared" si="0"/>
        <v>-0.75</v>
      </c>
      <c r="E52" s="93">
        <f t="shared" si="1"/>
        <v>1923052.4925000002</v>
      </c>
      <c r="F52" s="93">
        <f t="shared" si="2"/>
        <v>40</v>
      </c>
      <c r="G52" s="93">
        <f t="shared" si="3"/>
        <v>76351.900378607679</v>
      </c>
      <c r="H52" s="93">
        <f t="shared" si="4"/>
        <v>1908.797509465192</v>
      </c>
      <c r="I52" s="81">
        <v>11.3</v>
      </c>
      <c r="J52" s="93">
        <f t="shared" si="5"/>
        <v>69671.109095479507</v>
      </c>
      <c r="K52" s="95">
        <f t="shared" si="6"/>
        <v>0.36224380314801019</v>
      </c>
      <c r="L52" s="93">
        <f t="shared" si="7"/>
        <v>696613.84853646043</v>
      </c>
      <c r="M52" s="93">
        <f t="shared" si="8"/>
        <v>766284.95763193991</v>
      </c>
      <c r="N52" s="93">
        <f t="shared" si="9"/>
        <v>1908.797509465192</v>
      </c>
      <c r="O52" s="147">
        <f t="shared" si="10"/>
        <v>3.3763572841663259E-2</v>
      </c>
      <c r="P52" s="93">
        <f t="shared" si="11"/>
        <v>64929.122908865844</v>
      </c>
      <c r="Q52" s="93">
        <f t="shared" si="12"/>
        <v>66837.920418331036</v>
      </c>
      <c r="R52" s="96">
        <f t="shared" si="13"/>
        <v>2.6067120117236359E-2</v>
      </c>
    </row>
    <row r="53" spans="1:18">
      <c r="A53" s="90">
        <f t="shared" si="14"/>
        <v>1969</v>
      </c>
      <c r="B53" s="146">
        <f t="shared" si="15"/>
        <v>37.5</v>
      </c>
      <c r="C53" s="81">
        <v>2770788.83</v>
      </c>
      <c r="D53" s="92">
        <f t="shared" si="0"/>
        <v>-0.75</v>
      </c>
      <c r="E53" s="93">
        <f t="shared" si="1"/>
        <v>2078091.6225000001</v>
      </c>
      <c r="F53" s="93">
        <f t="shared" si="2"/>
        <v>40</v>
      </c>
      <c r="G53" s="93">
        <f t="shared" si="3"/>
        <v>82507.495327114259</v>
      </c>
      <c r="H53" s="93">
        <f t="shared" si="4"/>
        <v>2062.6873831778566</v>
      </c>
      <c r="I53" s="81">
        <v>10.77</v>
      </c>
      <c r="J53" s="93">
        <f t="shared" si="5"/>
        <v>77350.776869169626</v>
      </c>
      <c r="K53" s="95">
        <f t="shared" si="6"/>
        <v>0.37979908213533153</v>
      </c>
      <c r="L53" s="93">
        <f t="shared" si="7"/>
        <v>789257.29081862187</v>
      </c>
      <c r="M53" s="93">
        <f t="shared" si="8"/>
        <v>866608.06768779154</v>
      </c>
      <c r="N53" s="93">
        <f t="shared" si="9"/>
        <v>2062.6873831778566</v>
      </c>
      <c r="O53" s="147">
        <f t="shared" si="10"/>
        <v>3.5238216276598233E-2</v>
      </c>
      <c r="P53" s="93">
        <f t="shared" si="11"/>
        <v>73228.242036241936</v>
      </c>
      <c r="Q53" s="93">
        <f t="shared" si="12"/>
        <v>75290.929419419786</v>
      </c>
      <c r="R53" s="96">
        <f t="shared" si="13"/>
        <v>2.717310269343759E-2</v>
      </c>
    </row>
    <row r="54" spans="1:18">
      <c r="A54" s="90">
        <f t="shared" si="14"/>
        <v>1968</v>
      </c>
      <c r="B54" s="146">
        <f t="shared" si="15"/>
        <v>38.5</v>
      </c>
      <c r="C54" s="81">
        <v>3167333.29</v>
      </c>
      <c r="D54" s="92">
        <f t="shared" si="0"/>
        <v>-0.75</v>
      </c>
      <c r="E54" s="93">
        <f t="shared" si="1"/>
        <v>2375499.9675000003</v>
      </c>
      <c r="F54" s="93">
        <f t="shared" si="2"/>
        <v>40</v>
      </c>
      <c r="G54" s="93">
        <f t="shared" si="3"/>
        <v>94315.645347858735</v>
      </c>
      <c r="H54" s="93">
        <f t="shared" si="4"/>
        <v>2357.8911336964684</v>
      </c>
      <c r="I54" s="81">
        <v>10.27</v>
      </c>
      <c r="J54" s="93">
        <f t="shared" si="5"/>
        <v>90778.808647314028</v>
      </c>
      <c r="K54" s="95">
        <f t="shared" si="6"/>
        <v>0.39706295833994559</v>
      </c>
      <c r="L54" s="93">
        <f t="shared" si="7"/>
        <v>943223.04463199468</v>
      </c>
      <c r="M54" s="93">
        <f t="shared" si="8"/>
        <v>1034001.8532793086</v>
      </c>
      <c r="N54" s="93">
        <f t="shared" si="9"/>
        <v>2357.8911336964684</v>
      </c>
      <c r="O54" s="147">
        <f t="shared" si="10"/>
        <v>3.6688381877785836E-2</v>
      </c>
      <c r="P54" s="93">
        <f t="shared" si="11"/>
        <v>87153.249958307846</v>
      </c>
      <c r="Q54" s="93">
        <f t="shared" si="12"/>
        <v>89511.141092004313</v>
      </c>
      <c r="R54" s="96">
        <f t="shared" si="13"/>
        <v>2.8260726894328292E-2</v>
      </c>
    </row>
    <row r="55" spans="1:18">
      <c r="A55" s="90">
        <f t="shared" si="14"/>
        <v>1967</v>
      </c>
      <c r="B55" s="146">
        <f t="shared" si="15"/>
        <v>39.5</v>
      </c>
      <c r="C55" s="81">
        <v>2520927.89</v>
      </c>
      <c r="D55" s="92">
        <f t="shared" si="0"/>
        <v>-0.75</v>
      </c>
      <c r="E55" s="93">
        <f t="shared" si="1"/>
        <v>1890695.9175</v>
      </c>
      <c r="F55" s="93">
        <f t="shared" si="2"/>
        <v>40</v>
      </c>
      <c r="G55" s="93">
        <f t="shared" si="3"/>
        <v>75067.231342984378</v>
      </c>
      <c r="H55" s="93">
        <f t="shared" si="4"/>
        <v>1876.6807835746094</v>
      </c>
      <c r="I55" s="81">
        <v>9.7899999999999991</v>
      </c>
      <c r="J55" s="93">
        <f t="shared" si="5"/>
        <v>74128.890951197071</v>
      </c>
      <c r="K55" s="95">
        <f t="shared" si="6"/>
        <v>0.41430432100272058</v>
      </c>
      <c r="L55" s="93">
        <f t="shared" si="7"/>
        <v>783323.48832245334</v>
      </c>
      <c r="M55" s="93">
        <f t="shared" si="8"/>
        <v>857452.37927365047</v>
      </c>
      <c r="N55" s="93">
        <f t="shared" si="9"/>
        <v>1876.6807835746094</v>
      </c>
      <c r="O55" s="147">
        <f t="shared" si="10"/>
        <v>3.8136656341458963E-2</v>
      </c>
      <c r="P55" s="93">
        <f t="shared" si="11"/>
        <v>72104.820451896943</v>
      </c>
      <c r="Q55" s="93">
        <f t="shared" si="12"/>
        <v>73981.501235471558</v>
      </c>
      <c r="R55" s="96">
        <f t="shared" si="13"/>
        <v>2.9346932742083137E-2</v>
      </c>
    </row>
    <row r="56" spans="1:18">
      <c r="A56" s="90">
        <f t="shared" si="14"/>
        <v>1966</v>
      </c>
      <c r="B56" s="146">
        <f t="shared" si="15"/>
        <v>40.5</v>
      </c>
      <c r="C56" s="81">
        <v>1985242.45</v>
      </c>
      <c r="D56" s="92">
        <f t="shared" si="0"/>
        <v>-0.75</v>
      </c>
      <c r="E56" s="93">
        <f t="shared" si="1"/>
        <v>1488931.8374999999</v>
      </c>
      <c r="F56" s="93">
        <f t="shared" si="2"/>
        <v>40</v>
      </c>
      <c r="G56" s="93">
        <f t="shared" si="3"/>
        <v>59115.794171352951</v>
      </c>
      <c r="H56" s="93">
        <f t="shared" si="4"/>
        <v>1477.8948542838239</v>
      </c>
      <c r="I56" s="81">
        <v>9.33</v>
      </c>
      <c r="J56" s="93">
        <f t="shared" si="5"/>
        <v>59115.794171352958</v>
      </c>
      <c r="K56" s="95">
        <f t="shared" si="6"/>
        <v>0.43146560312240639</v>
      </c>
      <c r="L56" s="93">
        <f t="shared" si="7"/>
        <v>642422.87327509024</v>
      </c>
      <c r="M56" s="93">
        <f t="shared" si="8"/>
        <v>701538.66744644323</v>
      </c>
      <c r="N56" s="93">
        <f t="shared" si="9"/>
        <v>1477.8948542838239</v>
      </c>
      <c r="O56" s="147">
        <f t="shared" si="10"/>
        <v>3.957820403951251E-2</v>
      </c>
      <c r="P56" s="93">
        <f t="shared" si="11"/>
        <v>58929.248065501284</v>
      </c>
      <c r="Q56" s="93">
        <f t="shared" si="12"/>
        <v>60407.14291978511</v>
      </c>
      <c r="R56" s="96">
        <f t="shared" si="13"/>
        <v>3.0428093515623301E-2</v>
      </c>
    </row>
    <row r="57" spans="1:18">
      <c r="A57" s="90">
        <f t="shared" si="14"/>
        <v>1965</v>
      </c>
      <c r="B57" s="146">
        <f t="shared" si="15"/>
        <v>41.5</v>
      </c>
      <c r="C57" s="81">
        <v>889651.56</v>
      </c>
      <c r="D57" s="92">
        <f t="shared" si="0"/>
        <v>-0.75</v>
      </c>
      <c r="E57" s="93">
        <f t="shared" si="1"/>
        <v>667238.67000000004</v>
      </c>
      <c r="F57" s="93">
        <f t="shared" si="2"/>
        <v>40</v>
      </c>
      <c r="G57" s="93">
        <f t="shared" si="3"/>
        <v>26491.705587487846</v>
      </c>
      <c r="H57" s="93">
        <f t="shared" si="4"/>
        <v>662.29263968719613</v>
      </c>
      <c r="I57" s="81">
        <v>8.89</v>
      </c>
      <c r="J57" s="93">
        <f t="shared" si="5"/>
        <v>26491.705587487846</v>
      </c>
      <c r="K57" s="95">
        <f t="shared" si="6"/>
        <v>0.44848740901202289</v>
      </c>
      <c r="L57" s="93">
        <f t="shared" si="7"/>
        <v>299248.14230092819</v>
      </c>
      <c r="M57" s="93">
        <f t="shared" si="8"/>
        <v>325739.84788841603</v>
      </c>
      <c r="N57" s="93">
        <f t="shared" si="9"/>
        <v>662.29263968719613</v>
      </c>
      <c r="O57" s="147">
        <f t="shared" si="10"/>
        <v>4.1008035734240333E-2</v>
      </c>
      <c r="P57" s="93">
        <f t="shared" si="11"/>
        <v>27362.147222626994</v>
      </c>
      <c r="Q57" s="93">
        <f t="shared" si="12"/>
        <v>28024.43986231419</v>
      </c>
      <c r="R57" s="96">
        <f t="shared" si="13"/>
        <v>3.1500467286669165E-2</v>
      </c>
    </row>
    <row r="58" spans="1:18">
      <c r="F58" s="93"/>
      <c r="I58" s="148"/>
      <c r="O58" s="147"/>
    </row>
    <row r="59" spans="1:18">
      <c r="F59" s="93"/>
      <c r="I59" s="148"/>
      <c r="O59" s="147"/>
    </row>
    <row r="60" spans="1:18">
      <c r="F60" s="93"/>
      <c r="I60" s="148"/>
      <c r="O60" s="147"/>
    </row>
    <row r="61" spans="1:18">
      <c r="F61" s="93"/>
      <c r="O61" s="147"/>
    </row>
  </sheetData>
  <mergeCells count="1">
    <mergeCell ref="H5:J5"/>
  </mergeCells>
  <phoneticPr fontId="1" type="noConversion"/>
  <printOptions horizontalCentered="1"/>
  <pageMargins left="0.75" right="0.75" top="1" bottom="1" header="0.5" footer="0.5"/>
  <pageSetup scale="58" fitToHeight="0" orientation="landscape" r:id="rId1"/>
  <headerFooter alignWithMargins="0">
    <oddFooter>&amp;L&amp;Z&amp;F&amp;RPage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1"/>
  <sheetViews>
    <sheetView workbookViewId="0">
      <selection activeCell="Q20" sqref="Q20"/>
    </sheetView>
  </sheetViews>
  <sheetFormatPr defaultRowHeight="12.75"/>
  <cols>
    <col min="1" max="1" width="3.5703125" customWidth="1"/>
    <col min="2" max="2" width="11" style="1" customWidth="1"/>
    <col min="3" max="3" width="43.5703125" customWidth="1"/>
    <col min="4" max="4" width="15.7109375" customWidth="1"/>
    <col min="5" max="5" width="1.7109375" customWidth="1"/>
    <col min="6" max="6" width="14.85546875" style="1" customWidth="1"/>
    <col min="7" max="7" width="19.28515625" customWidth="1"/>
    <col min="8" max="8" width="19.7109375" hidden="1" customWidth="1"/>
    <col min="9" max="9" width="3.7109375" customWidth="1"/>
    <col min="10" max="10" width="14.85546875" bestFit="1" customWidth="1"/>
    <col min="11" max="11" width="19.5703125" bestFit="1" customWidth="1"/>
    <col min="12" max="12" width="3.7109375" customWidth="1"/>
    <col min="13" max="13" width="12.42578125" bestFit="1" customWidth="1"/>
  </cols>
  <sheetData>
    <row r="1" spans="1:13">
      <c r="D1" s="259" t="s">
        <v>306</v>
      </c>
      <c r="E1" s="259"/>
      <c r="F1" s="259"/>
      <c r="G1" s="259"/>
    </row>
    <row r="2" spans="1:13" ht="15.75">
      <c r="A2" s="263" t="s">
        <v>299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3" ht="15.75">
      <c r="A3" s="263" t="s">
        <v>191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</row>
    <row r="4" spans="1:13" ht="15.75">
      <c r="A4" s="263" t="s">
        <v>300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6" spans="1:13">
      <c r="B6" s="172"/>
      <c r="C6" s="172"/>
      <c r="D6" s="172"/>
      <c r="E6" s="172"/>
      <c r="F6" s="272" t="s">
        <v>296</v>
      </c>
      <c r="G6" s="273"/>
      <c r="H6" s="173" t="s">
        <v>183</v>
      </c>
      <c r="J6" s="274" t="s">
        <v>297</v>
      </c>
      <c r="K6" s="275"/>
    </row>
    <row r="7" spans="1:13">
      <c r="A7" s="1"/>
      <c r="B7" s="172" t="s">
        <v>184</v>
      </c>
      <c r="C7" s="172"/>
      <c r="D7" s="172" t="s">
        <v>294</v>
      </c>
      <c r="E7" s="172"/>
      <c r="F7" s="252" t="s">
        <v>185</v>
      </c>
      <c r="G7" s="255" t="s">
        <v>185</v>
      </c>
      <c r="H7" s="173" t="s">
        <v>185</v>
      </c>
      <c r="J7" s="253" t="s">
        <v>185</v>
      </c>
      <c r="K7" s="251" t="s">
        <v>185</v>
      </c>
      <c r="M7" s="203" t="s">
        <v>298</v>
      </c>
    </row>
    <row r="8" spans="1:13">
      <c r="A8" s="174"/>
      <c r="B8" s="175" t="s">
        <v>186</v>
      </c>
      <c r="C8" s="175" t="s">
        <v>187</v>
      </c>
      <c r="D8" s="193" t="s">
        <v>295</v>
      </c>
      <c r="E8" s="193"/>
      <c r="F8" s="253" t="s">
        <v>189</v>
      </c>
      <c r="G8" s="256" t="s">
        <v>188</v>
      </c>
      <c r="H8" s="176" t="s">
        <v>188</v>
      </c>
      <c r="J8" s="253" t="s">
        <v>189</v>
      </c>
      <c r="K8" s="251" t="s">
        <v>188</v>
      </c>
    </row>
    <row r="9" spans="1:13" s="179" customFormat="1" ht="11.25">
      <c r="A9" s="177"/>
      <c r="B9" s="178"/>
      <c r="C9" s="178"/>
      <c r="D9" s="250"/>
      <c r="E9" s="250"/>
      <c r="F9" s="254"/>
      <c r="G9" s="254"/>
      <c r="H9" s="178" t="s">
        <v>190</v>
      </c>
      <c r="J9" s="258"/>
      <c r="K9" s="257"/>
    </row>
    <row r="10" spans="1:13" ht="3" customHeight="1">
      <c r="B10" s="220"/>
      <c r="C10" s="221"/>
      <c r="D10" s="221"/>
      <c r="E10" s="180"/>
      <c r="F10" s="181"/>
    </row>
    <row r="11" spans="1:13">
      <c r="A11" s="269" t="s">
        <v>191</v>
      </c>
      <c r="B11" s="269"/>
      <c r="C11" s="269"/>
      <c r="D11" s="269"/>
      <c r="E11" s="269"/>
      <c r="F11" s="269"/>
      <c r="G11" s="222"/>
      <c r="H11" s="184"/>
    </row>
    <row r="12" spans="1:13">
      <c r="G12" s="222"/>
      <c r="H12" s="184"/>
    </row>
    <row r="13" spans="1:13" s="155" customFormat="1">
      <c r="A13" s="159" t="s">
        <v>192</v>
      </c>
      <c r="B13" s="185"/>
      <c r="E13" s="180"/>
      <c r="F13" s="181"/>
      <c r="G13" s="223"/>
      <c r="H13" s="183"/>
    </row>
    <row r="14" spans="1:13" s="155" customFormat="1">
      <c r="B14" s="185" t="s">
        <v>193</v>
      </c>
      <c r="C14" s="186" t="s">
        <v>194</v>
      </c>
      <c r="D14" s="156">
        <f>+G14/F14</f>
        <v>472577.11864406784</v>
      </c>
      <c r="E14" s="224"/>
      <c r="F14" s="225">
        <v>5.0000000000000001E-3</v>
      </c>
      <c r="G14" s="223">
        <v>2362.8855932203392</v>
      </c>
      <c r="H14" s="183" t="e">
        <f>$G14-#REF!</f>
        <v>#REF!</v>
      </c>
      <c r="J14" s="201">
        <f>'[43]Sch 1'!M15</f>
        <v>3.8489380648006181E-3</v>
      </c>
      <c r="K14" s="223">
        <f>+J14*D14</f>
        <v>1818.9200605029505</v>
      </c>
      <c r="M14" s="223">
        <f>+K14-G14</f>
        <v>-543.96553271738867</v>
      </c>
    </row>
    <row r="15" spans="1:13" s="155" customFormat="1">
      <c r="B15" s="185" t="s">
        <v>195</v>
      </c>
      <c r="C15" s="186" t="s">
        <v>196</v>
      </c>
      <c r="D15" s="156">
        <f t="shared" ref="D15:D78" si="0">+G15/F15</f>
        <v>6204814.6718146726</v>
      </c>
      <c r="E15" s="224"/>
      <c r="F15" s="225">
        <v>9.4999999999999998E-3</v>
      </c>
      <c r="G15" s="223">
        <v>58945.739382239386</v>
      </c>
      <c r="H15" s="183" t="e">
        <f>$G15-#REF!</f>
        <v>#REF!</v>
      </c>
      <c r="J15" s="201">
        <f>'[43]Sch 1'!M16</f>
        <v>7.1024260699737475E-3</v>
      </c>
      <c r="K15" s="223">
        <f>+J15*D15</f>
        <v>44069.237484452133</v>
      </c>
      <c r="M15" s="223">
        <f>+K15-G15</f>
        <v>-14876.501897787253</v>
      </c>
    </row>
    <row r="16" spans="1:13" s="155" customFormat="1">
      <c r="B16" s="185" t="s">
        <v>197</v>
      </c>
      <c r="C16" s="186" t="s">
        <v>198</v>
      </c>
      <c r="D16" s="156">
        <f t="shared" si="0"/>
        <v>63370.588235294119</v>
      </c>
      <c r="E16" s="224"/>
      <c r="F16" s="225">
        <v>5.0000000000000001E-4</v>
      </c>
      <c r="G16" s="226">
        <v>31.685294117647061</v>
      </c>
      <c r="H16" s="187" t="e">
        <f>$G16-#REF!</f>
        <v>#REF!</v>
      </c>
      <c r="J16" s="201">
        <f>'[43]Sch 1'!M17</f>
        <v>5.2652410752813115E-4</v>
      </c>
      <c r="K16" s="226">
        <f>+J16*D16</f>
        <v>33.366142414120922</v>
      </c>
      <c r="M16" s="226">
        <f t="shared" ref="M16:M79" si="1">+K16-G16</f>
        <v>1.6808482964738616</v>
      </c>
    </row>
    <row r="17" spans="1:13" s="155" customFormat="1">
      <c r="B17" s="185"/>
      <c r="D17" s="156"/>
      <c r="E17" s="224"/>
      <c r="F17" s="225"/>
      <c r="G17" s="223"/>
      <c r="H17" s="183"/>
      <c r="J17" s="201"/>
      <c r="K17" s="223"/>
      <c r="M17" s="223"/>
    </row>
    <row r="18" spans="1:13" s="155" customFormat="1">
      <c r="B18" s="188" t="s">
        <v>199</v>
      </c>
      <c r="C18" s="159"/>
      <c r="D18" s="207">
        <f>+SUM(D14:D16)</f>
        <v>6740762.3786940351</v>
      </c>
      <c r="E18" s="208"/>
      <c r="F18" s="212"/>
      <c r="G18" s="207">
        <v>61340.31026957737</v>
      </c>
      <c r="H18" s="209" t="e">
        <f>$G18-#REF!</f>
        <v>#REF!</v>
      </c>
      <c r="I18" s="159"/>
      <c r="J18" s="213"/>
      <c r="K18" s="207">
        <f>+SUM(K14:K16)</f>
        <v>45921.523687369197</v>
      </c>
      <c r="M18" s="207">
        <f t="shared" si="1"/>
        <v>-15418.786582208173</v>
      </c>
    </row>
    <row r="19" spans="1:13" s="155" customFormat="1">
      <c r="B19" s="185"/>
      <c r="D19" s="156"/>
      <c r="E19" s="224"/>
      <c r="F19" s="225"/>
      <c r="G19" s="223"/>
      <c r="H19" s="183"/>
      <c r="J19" s="201"/>
      <c r="K19" s="223"/>
      <c r="M19" s="223"/>
    </row>
    <row r="20" spans="1:13" s="155" customFormat="1">
      <c r="A20" s="159" t="s">
        <v>200</v>
      </c>
      <c r="B20" s="185"/>
      <c r="D20" s="156"/>
      <c r="E20" s="224"/>
      <c r="F20" s="225"/>
      <c r="G20" s="223"/>
      <c r="H20" s="183"/>
      <c r="J20" s="201"/>
      <c r="K20" s="223"/>
      <c r="M20" s="223"/>
    </row>
    <row r="21" spans="1:13" s="155" customFormat="1">
      <c r="B21" s="185" t="s">
        <v>201</v>
      </c>
      <c r="C21" s="186" t="s">
        <v>202</v>
      </c>
      <c r="D21" s="156">
        <f t="shared" si="0"/>
        <v>320568.02325581398</v>
      </c>
      <c r="E21" s="224"/>
      <c r="F21" s="225">
        <v>1.6299999999999999E-2</v>
      </c>
      <c r="G21" s="223">
        <v>5225.2587790697671</v>
      </c>
      <c r="H21" s="183" t="e">
        <f>$G21-#REF!</f>
        <v>#REF!</v>
      </c>
      <c r="J21" s="202">
        <f>'[43]Sch 1'!M24</f>
        <v>1.3582173721775391E-2</v>
      </c>
      <c r="K21" s="223">
        <f>+J21*D21</f>
        <v>4354.010581506599</v>
      </c>
      <c r="L21" s="60"/>
      <c r="M21" s="223">
        <f t="shared" si="1"/>
        <v>-871.24819756316811</v>
      </c>
    </row>
    <row r="22" spans="1:13" s="155" customFormat="1">
      <c r="B22" s="185" t="s">
        <v>203</v>
      </c>
      <c r="C22" s="186" t="s">
        <v>204</v>
      </c>
      <c r="D22" s="156">
        <f t="shared" si="0"/>
        <v>290598.80952380953</v>
      </c>
      <c r="E22" s="224"/>
      <c r="F22" s="225">
        <v>2.5000000000000001E-3</v>
      </c>
      <c r="G22" s="223">
        <v>726.49702380952385</v>
      </c>
      <c r="H22" s="183" t="e">
        <f>$G22-#REF!</f>
        <v>#REF!</v>
      </c>
      <c r="J22" s="202">
        <f>'[43]Sch 1'!M25</f>
        <v>9.4273848300467742E-4</v>
      </c>
      <c r="K22" s="223">
        <f t="shared" ref="K22:K83" si="2">+J22*D22</f>
        <v>273.95868085344142</v>
      </c>
      <c r="L22" s="60"/>
      <c r="M22" s="223">
        <f t="shared" si="1"/>
        <v>-452.53834295608243</v>
      </c>
    </row>
    <row r="23" spans="1:13" s="155" customFormat="1">
      <c r="B23" s="185" t="s">
        <v>205</v>
      </c>
      <c r="C23" s="186" t="s">
        <v>206</v>
      </c>
      <c r="D23" s="156"/>
      <c r="E23" s="224"/>
      <c r="F23" s="225">
        <v>0</v>
      </c>
      <c r="G23" s="223">
        <v>0</v>
      </c>
      <c r="H23" s="183" t="e">
        <f>$G23-#REF!</f>
        <v>#REF!</v>
      </c>
      <c r="J23" s="202">
        <f>'[43]Sch 1'!M26</f>
        <v>5.9810976991835698E-5</v>
      </c>
      <c r="K23" s="223">
        <f t="shared" si="2"/>
        <v>0</v>
      </c>
      <c r="L23" s="60"/>
      <c r="M23" s="223">
        <f t="shared" si="1"/>
        <v>0</v>
      </c>
    </row>
    <row r="24" spans="1:13" s="155" customFormat="1">
      <c r="B24" s="185" t="s">
        <v>207</v>
      </c>
      <c r="C24" s="186" t="s">
        <v>208</v>
      </c>
      <c r="D24" s="156">
        <f t="shared" si="0"/>
        <v>117881.51815181519</v>
      </c>
      <c r="E24" s="224"/>
      <c r="F24" s="225">
        <v>1.4999999999999999E-2</v>
      </c>
      <c r="G24" s="223">
        <v>1768.2227722772279</v>
      </c>
      <c r="H24" s="183" t="e">
        <f>$G24-#REF!</f>
        <v>#REF!</v>
      </c>
      <c r="J24" s="202">
        <f>'[43]Sch 1'!M27</f>
        <v>1.2344282406967125E-2</v>
      </c>
      <c r="K24" s="223">
        <f t="shared" si="2"/>
        <v>1455.1627506280281</v>
      </c>
      <c r="L24" s="60"/>
      <c r="M24" s="223">
        <f t="shared" si="1"/>
        <v>-313.06002164919983</v>
      </c>
    </row>
    <row r="25" spans="1:13" s="155" customFormat="1">
      <c r="B25" s="185" t="s">
        <v>209</v>
      </c>
      <c r="C25" s="155" t="s">
        <v>210</v>
      </c>
      <c r="D25" s="156">
        <f t="shared" si="0"/>
        <v>7462321.1864406774</v>
      </c>
      <c r="E25" s="224"/>
      <c r="F25" s="225">
        <v>1.2E-2</v>
      </c>
      <c r="G25" s="223">
        <v>89547.854237288135</v>
      </c>
      <c r="H25" s="183" t="e">
        <f>$G25-#REF!</f>
        <v>#REF!</v>
      </c>
      <c r="J25" s="202">
        <f>'[43]Sch 1'!M28</f>
        <v>8.0930491144882988E-3</v>
      </c>
      <c r="K25" s="223">
        <f t="shared" si="2"/>
        <v>60392.931869950997</v>
      </c>
      <c r="L25" s="60"/>
      <c r="M25" s="223">
        <f t="shared" si="1"/>
        <v>-29154.922367337138</v>
      </c>
    </row>
    <row r="26" spans="1:13" s="155" customFormat="1">
      <c r="B26" s="185" t="s">
        <v>211</v>
      </c>
      <c r="C26" s="155" t="s">
        <v>212</v>
      </c>
      <c r="D26" s="156">
        <f t="shared" si="0"/>
        <v>1418624.1830065357</v>
      </c>
      <c r="E26" s="224"/>
      <c r="F26" s="225">
        <v>2.0199999999999999E-2</v>
      </c>
      <c r="G26" s="223">
        <v>28656.208496732022</v>
      </c>
      <c r="H26" s="183" t="e">
        <f>$G26-#REF!</f>
        <v>#REF!</v>
      </c>
      <c r="J26" s="202">
        <f>'[43]Sch 1'!M29</f>
        <v>1.6336073396993792E-2</v>
      </c>
      <c r="K26" s="223">
        <f t="shared" si="2"/>
        <v>23174.748776345121</v>
      </c>
      <c r="L26" s="60"/>
      <c r="M26" s="223">
        <f t="shared" si="1"/>
        <v>-5481.4597203869016</v>
      </c>
    </row>
    <row r="27" spans="1:13" s="155" customFormat="1">
      <c r="B27" s="185" t="s">
        <v>213</v>
      </c>
      <c r="C27" s="155" t="s">
        <v>214</v>
      </c>
      <c r="D27" s="156">
        <f t="shared" si="0"/>
        <v>3213892.3976608189</v>
      </c>
      <c r="E27" s="224"/>
      <c r="F27" s="225">
        <v>2.1000000000000001E-2</v>
      </c>
      <c r="G27" s="223">
        <v>67491.740350877197</v>
      </c>
      <c r="H27" s="183" t="e">
        <f>$G27-#REF!</f>
        <v>#REF!</v>
      </c>
      <c r="J27" s="202">
        <f>'[43]Sch 1'!M30</f>
        <v>2.1036738990308616E-2</v>
      </c>
      <c r="K27" s="223">
        <f t="shared" si="2"/>
        <v>67609.815512527784</v>
      </c>
      <c r="L27" s="60"/>
      <c r="M27" s="223">
        <f t="shared" si="1"/>
        <v>118.07516165058769</v>
      </c>
    </row>
    <row r="28" spans="1:13" s="155" customFormat="1">
      <c r="B28" s="185" t="s">
        <v>215</v>
      </c>
      <c r="C28" s="155" t="s">
        <v>216</v>
      </c>
      <c r="D28" s="156">
        <f t="shared" si="0"/>
        <v>1658097.4619289343</v>
      </c>
      <c r="E28" s="224"/>
      <c r="F28" s="225">
        <v>2.5000000000000001E-2</v>
      </c>
      <c r="G28" s="223">
        <v>41452.436548223362</v>
      </c>
      <c r="H28" s="183" t="e">
        <f>$G28-#REF!</f>
        <v>#REF!</v>
      </c>
      <c r="J28" s="202">
        <f>'[43]Sch 1'!M31</f>
        <v>1.972504582048952E-2</v>
      </c>
      <c r="K28" s="223">
        <f t="shared" si="2"/>
        <v>32706.048411385607</v>
      </c>
      <c r="L28" s="60"/>
      <c r="M28" s="223">
        <f t="shared" si="1"/>
        <v>-8746.3881368377552</v>
      </c>
    </row>
    <row r="29" spans="1:13" s="155" customFormat="1">
      <c r="B29" s="185" t="s">
        <v>217</v>
      </c>
      <c r="C29" s="155" t="s">
        <v>218</v>
      </c>
      <c r="D29" s="156">
        <f t="shared" si="0"/>
        <v>7650147.3815461351</v>
      </c>
      <c r="E29" s="224"/>
      <c r="F29" s="225">
        <v>2.5600000000000001E-2</v>
      </c>
      <c r="G29" s="223">
        <v>195843.77296758106</v>
      </c>
      <c r="H29" s="183" t="e">
        <f>$G29-#REF!</f>
        <v>#REF!</v>
      </c>
      <c r="J29" s="202">
        <f>'[43]Sch 1'!M32</f>
        <v>2.285484710719015E-2</v>
      </c>
      <c r="K29" s="223">
        <f t="shared" si="2"/>
        <v>174842.94875270798</v>
      </c>
      <c r="L29" s="60"/>
      <c r="M29" s="223">
        <f t="shared" si="1"/>
        <v>-21000.824214873079</v>
      </c>
    </row>
    <row r="30" spans="1:13" s="155" customFormat="1">
      <c r="B30" s="185" t="s">
        <v>219</v>
      </c>
      <c r="C30" s="155" t="s">
        <v>180</v>
      </c>
      <c r="D30" s="156">
        <f t="shared" si="0"/>
        <v>343183.16062176169</v>
      </c>
      <c r="E30" s="224"/>
      <c r="F30" s="225">
        <v>3.27E-2</v>
      </c>
      <c r="G30" s="223">
        <v>11222.089352331608</v>
      </c>
      <c r="H30" s="183" t="e">
        <f>$G30-#REF!</f>
        <v>#REF!</v>
      </c>
      <c r="J30" s="202">
        <f>'[43]Sch 1'!M33</f>
        <v>2.9936067471713297E-2</v>
      </c>
      <c r="K30" s="223">
        <f t="shared" si="2"/>
        <v>10273.55425152888</v>
      </c>
      <c r="L30" s="60"/>
      <c r="M30" s="223">
        <f t="shared" si="1"/>
        <v>-948.53510080272827</v>
      </c>
    </row>
    <row r="31" spans="1:13" s="155" customFormat="1">
      <c r="B31" s="185" t="s">
        <v>220</v>
      </c>
      <c r="C31" s="155" t="s">
        <v>221</v>
      </c>
      <c r="D31" s="156">
        <f t="shared" si="0"/>
        <v>1010440.4145077722</v>
      </c>
      <c r="E31" s="224"/>
      <c r="F31" s="225">
        <v>1.8799999999999997E-2</v>
      </c>
      <c r="G31" s="223">
        <v>18996.279792746114</v>
      </c>
      <c r="H31" s="183" t="e">
        <f>$G31-#REF!</f>
        <v>#REF!</v>
      </c>
      <c r="J31" s="202">
        <f>'[43]Sch 1'!M34</f>
        <v>1.7363170504586339E-2</v>
      </c>
      <c r="K31" s="223">
        <f t="shared" si="2"/>
        <v>17544.449201823343</v>
      </c>
      <c r="L31" s="60"/>
      <c r="M31" s="223">
        <f t="shared" si="1"/>
        <v>-1451.8305909227711</v>
      </c>
    </row>
    <row r="32" spans="1:13" s="155" customFormat="1">
      <c r="B32" s="185" t="s">
        <v>222</v>
      </c>
      <c r="C32" s="155" t="s">
        <v>198</v>
      </c>
      <c r="D32" s="156">
        <f t="shared" si="0"/>
        <v>489100</v>
      </c>
      <c r="E32" s="224"/>
      <c r="F32" s="225">
        <v>9.4999999999999998E-3</v>
      </c>
      <c r="G32" s="226">
        <v>4646.45</v>
      </c>
      <c r="H32" s="187" t="e">
        <f>$G32-#REF!</f>
        <v>#REF!</v>
      </c>
      <c r="J32" s="202">
        <f>'[43]Sch 1'!M35</f>
        <v>9.488944240231785E-3</v>
      </c>
      <c r="K32" s="226">
        <f t="shared" si="2"/>
        <v>4641.0426278973664</v>
      </c>
      <c r="L32" s="60"/>
      <c r="M32" s="226">
        <f t="shared" si="1"/>
        <v>-5.4073721026334169</v>
      </c>
    </row>
    <row r="33" spans="1:13" s="155" customFormat="1">
      <c r="B33" s="185"/>
      <c r="D33" s="156"/>
      <c r="E33" s="224"/>
      <c r="F33" s="225"/>
      <c r="G33" s="223"/>
      <c r="H33" s="183"/>
      <c r="J33" s="202"/>
      <c r="K33" s="223"/>
      <c r="M33" s="223"/>
    </row>
    <row r="34" spans="1:13" s="155" customFormat="1">
      <c r="B34" s="188" t="s">
        <v>95</v>
      </c>
      <c r="D34" s="207">
        <f>+SUM(D21:D32)</f>
        <v>23974854.536644075</v>
      </c>
      <c r="E34" s="208"/>
      <c r="F34" s="210"/>
      <c r="G34" s="207">
        <v>465576.81032093603</v>
      </c>
      <c r="H34" s="209" t="e">
        <f>$G34-#REF!</f>
        <v>#REF!</v>
      </c>
      <c r="I34" s="159"/>
      <c r="J34" s="211"/>
      <c r="K34" s="207">
        <f>+SUM(K21:K32)</f>
        <v>397268.67141715513</v>
      </c>
      <c r="M34" s="207">
        <f t="shared" si="1"/>
        <v>-68308.138903780899</v>
      </c>
    </row>
    <row r="35" spans="1:13" s="155" customFormat="1">
      <c r="B35" s="185"/>
      <c r="C35" s="159"/>
      <c r="D35" s="156"/>
      <c r="E35" s="224"/>
      <c r="F35" s="227"/>
      <c r="G35" s="223"/>
      <c r="H35" s="183"/>
      <c r="J35" s="202"/>
      <c r="K35" s="223"/>
      <c r="M35" s="223"/>
    </row>
    <row r="36" spans="1:13" s="155" customFormat="1">
      <c r="A36" s="188" t="s">
        <v>96</v>
      </c>
      <c r="B36" s="185"/>
      <c r="D36" s="156"/>
      <c r="E36" s="224"/>
      <c r="F36" s="227"/>
      <c r="G36" s="223"/>
      <c r="H36" s="183"/>
      <c r="J36" s="202"/>
      <c r="K36" s="223"/>
      <c r="M36" s="223"/>
    </row>
    <row r="37" spans="1:13" s="155" customFormat="1">
      <c r="B37" s="185" t="s">
        <v>223</v>
      </c>
      <c r="C37" s="155" t="s">
        <v>179</v>
      </c>
      <c r="D37" s="156">
        <f t="shared" si="0"/>
        <v>3973839.2156862738</v>
      </c>
      <c r="E37" s="224"/>
      <c r="F37" s="225">
        <v>2.86E-2</v>
      </c>
      <c r="G37" s="223">
        <v>113651.80156862743</v>
      </c>
      <c r="H37" s="183" t="e">
        <f>$G37-#REF!</f>
        <v>#REF!</v>
      </c>
      <c r="J37" s="202">
        <f>'[43]Sch 1'!M42</f>
        <v>2.859463213598579E-2</v>
      </c>
      <c r="K37" s="223">
        <f t="shared" si="2"/>
        <v>113630.4705401033</v>
      </c>
      <c r="M37" s="223">
        <f t="shared" si="1"/>
        <v>-21.331028524131398</v>
      </c>
    </row>
    <row r="38" spans="1:13" s="155" customFormat="1">
      <c r="B38" s="185" t="s">
        <v>224</v>
      </c>
      <c r="C38" s="155" t="s">
        <v>225</v>
      </c>
      <c r="D38" s="156">
        <f t="shared" si="0"/>
        <v>4021144.6078431373</v>
      </c>
      <c r="E38" s="224"/>
      <c r="F38" s="225">
        <v>3.6299999999999999E-2</v>
      </c>
      <c r="G38" s="223">
        <v>145967.54926470589</v>
      </c>
      <c r="H38" s="183" t="e">
        <f>$G38-#REF!</f>
        <v>#REF!</v>
      </c>
      <c r="J38" s="202">
        <f>'[43]Sch 1'!M43</f>
        <v>3.1469769231644469E-2</v>
      </c>
      <c r="K38" s="223">
        <f t="shared" si="2"/>
        <v>126544.49285589503</v>
      </c>
      <c r="M38" s="223">
        <f t="shared" si="1"/>
        <v>-19423.056408810851</v>
      </c>
    </row>
    <row r="39" spans="1:13" s="155" customFormat="1">
      <c r="B39" s="185" t="s">
        <v>226</v>
      </c>
      <c r="C39" s="155" t="s">
        <v>221</v>
      </c>
      <c r="D39" s="156">
        <f t="shared" si="0"/>
        <v>3968452.5581395347</v>
      </c>
      <c r="E39" s="224"/>
      <c r="F39" s="225">
        <v>3.1400000000000004E-2</v>
      </c>
      <c r="G39" s="223">
        <v>124609.41032558141</v>
      </c>
      <c r="H39" s="183" t="e">
        <f>$G39-#REF!</f>
        <v>#REF!</v>
      </c>
      <c r="J39" s="202">
        <f>'[43]Sch 1'!M44</f>
        <v>3.0173839683684162E-2</v>
      </c>
      <c r="K39" s="223">
        <f t="shared" si="2"/>
        <v>119743.45128160862</v>
      </c>
      <c r="M39" s="223">
        <f t="shared" si="1"/>
        <v>-4865.9590439727908</v>
      </c>
    </row>
    <row r="40" spans="1:13" s="155" customFormat="1">
      <c r="B40" s="185" t="s">
        <v>227</v>
      </c>
      <c r="C40" s="155" t="s">
        <v>100</v>
      </c>
      <c r="D40" s="156">
        <f t="shared" si="0"/>
        <v>944085.01440922183</v>
      </c>
      <c r="E40" s="224"/>
      <c r="F40" s="225">
        <v>3.2099999999999997E-2</v>
      </c>
      <c r="G40" s="226">
        <v>30305.128962536019</v>
      </c>
      <c r="H40" s="187" t="e">
        <f>$G40-#REF!</f>
        <v>#REF!</v>
      </c>
      <c r="J40" s="202">
        <f>'[43]Sch 1'!M45</f>
        <v>3.6788454960669091E-2</v>
      </c>
      <c r="K40" s="226">
        <f t="shared" si="2"/>
        <v>34731.429031636289</v>
      </c>
      <c r="M40" s="226">
        <f t="shared" si="1"/>
        <v>4426.3000691002708</v>
      </c>
    </row>
    <row r="41" spans="1:13" s="155" customFormat="1">
      <c r="B41" s="185"/>
      <c r="D41" s="156"/>
      <c r="E41" s="224"/>
      <c r="F41" s="185"/>
      <c r="G41" s="223"/>
      <c r="H41" s="183"/>
      <c r="J41" s="185"/>
      <c r="K41" s="223">
        <f t="shared" si="2"/>
        <v>0</v>
      </c>
      <c r="M41" s="223">
        <f t="shared" si="1"/>
        <v>0</v>
      </c>
    </row>
    <row r="42" spans="1:13" s="155" customFormat="1">
      <c r="B42" s="188" t="s">
        <v>228</v>
      </c>
      <c r="D42" s="207">
        <f>+SUM(D37:D40)</f>
        <v>12907521.396078167</v>
      </c>
      <c r="E42" s="224"/>
      <c r="G42" s="207">
        <v>414533.89012145076</v>
      </c>
      <c r="H42" s="209" t="e">
        <f>$G42-#REF!</f>
        <v>#REF!</v>
      </c>
      <c r="I42" s="159"/>
      <c r="J42" s="172"/>
      <c r="K42" s="207">
        <f>+SUM(K37:K40)</f>
        <v>394649.84370924323</v>
      </c>
      <c r="M42" s="207">
        <f t="shared" si="1"/>
        <v>-19884.046412207535</v>
      </c>
    </row>
    <row r="43" spans="1:13" s="155" customFormat="1">
      <c r="B43" s="185"/>
      <c r="D43" s="156"/>
      <c r="E43" s="224"/>
      <c r="G43" s="223"/>
      <c r="H43" s="183"/>
      <c r="J43" s="185"/>
      <c r="K43" s="223"/>
      <c r="M43" s="223"/>
    </row>
    <row r="44" spans="1:13" s="155" customFormat="1">
      <c r="A44" s="159" t="s">
        <v>229</v>
      </c>
      <c r="B44" s="185"/>
      <c r="D44" s="156"/>
      <c r="E44" s="224"/>
      <c r="G44" s="223"/>
      <c r="H44" s="183"/>
      <c r="J44" s="185"/>
      <c r="K44" s="223"/>
      <c r="M44" s="223"/>
    </row>
    <row r="45" spans="1:13" s="155" customFormat="1">
      <c r="B45" s="185" t="s">
        <v>230</v>
      </c>
      <c r="C45" s="155" t="s">
        <v>231</v>
      </c>
      <c r="D45" s="156">
        <f t="shared" si="0"/>
        <v>9312828.1767955795</v>
      </c>
      <c r="E45" s="224"/>
      <c r="F45" s="225">
        <v>2.0099999999999996E-2</v>
      </c>
      <c r="G45" s="223">
        <v>187187.84635359113</v>
      </c>
      <c r="H45" s="183" t="e">
        <f>$G45-#REF!</f>
        <v>#REF!</v>
      </c>
      <c r="J45" s="202">
        <f>'[43]Sch 1'!M59</f>
        <v>2.0058559525851154E-2</v>
      </c>
      <c r="K45" s="223">
        <f t="shared" si="2"/>
        <v>186801.91833827802</v>
      </c>
      <c r="M45" s="223">
        <f t="shared" si="1"/>
        <v>-385.92801531311125</v>
      </c>
    </row>
    <row r="46" spans="1:13" s="155" customFormat="1">
      <c r="B46" s="185" t="s">
        <v>232</v>
      </c>
      <c r="C46" s="155" t="s">
        <v>179</v>
      </c>
      <c r="D46" s="156">
        <f t="shared" si="0"/>
        <v>7975549.9999999981</v>
      </c>
      <c r="E46" s="224"/>
      <c r="F46" s="225">
        <v>2.1899999999999999E-2</v>
      </c>
      <c r="G46" s="223">
        <v>174664.54499999995</v>
      </c>
      <c r="H46" s="183" t="e">
        <f>$G46-#REF!</f>
        <v>#REF!</v>
      </c>
      <c r="J46" s="202">
        <f>'[43]Sch 1'!M60</f>
        <v>2.0727726831036453E-2</v>
      </c>
      <c r="K46" s="223">
        <f t="shared" si="2"/>
        <v>165315.02172727275</v>
      </c>
      <c r="M46" s="223">
        <f t="shared" si="1"/>
        <v>-9349.5232727272087</v>
      </c>
    </row>
    <row r="47" spans="1:13" s="155" customFormat="1">
      <c r="B47" s="185" t="s">
        <v>233</v>
      </c>
      <c r="C47" s="155" t="s">
        <v>234</v>
      </c>
      <c r="D47" s="156">
        <f t="shared" si="0"/>
        <v>3493590.0700934576</v>
      </c>
      <c r="E47" s="224"/>
      <c r="F47" s="225">
        <v>0.69499999999999995</v>
      </c>
      <c r="G47" s="223">
        <v>2428045.0987149528</v>
      </c>
      <c r="H47" s="183" t="e">
        <f>$G47-#REF!</f>
        <v>#REF!</v>
      </c>
      <c r="J47" s="202">
        <f>'[43]Sch 1'!M61</f>
        <v>9.8116490475698134E-2</v>
      </c>
      <c r="K47" s="223">
        <f t="shared" si="2"/>
        <v>342778.79683831829</v>
      </c>
      <c r="M47" s="223">
        <f t="shared" si="1"/>
        <v>-2085266.3018766346</v>
      </c>
    </row>
    <row r="48" spans="1:13" s="155" customFormat="1">
      <c r="B48" s="185" t="s">
        <v>235</v>
      </c>
      <c r="C48" s="155" t="s">
        <v>236</v>
      </c>
      <c r="D48" s="156">
        <f t="shared" si="0"/>
        <v>648796301.79211473</v>
      </c>
      <c r="E48" s="224"/>
      <c r="F48" s="225">
        <v>2.7699999999999999E-2</v>
      </c>
      <c r="G48" s="223">
        <v>17971657.559641577</v>
      </c>
      <c r="H48" s="183" t="e">
        <f>$G48-#REF!</f>
        <v>#REF!</v>
      </c>
      <c r="J48" s="202">
        <f>'[43]Sch 1'!M62</f>
        <v>2.041922430728698E-2</v>
      </c>
      <c r="K48" s="223">
        <f t="shared" si="2"/>
        <v>13247917.216031449</v>
      </c>
      <c r="M48" s="223">
        <f t="shared" si="1"/>
        <v>-4723740.3436101284</v>
      </c>
    </row>
    <row r="49" spans="2:13" s="155" customFormat="1">
      <c r="B49" s="185" t="s">
        <v>237</v>
      </c>
      <c r="C49" s="155" t="s">
        <v>238</v>
      </c>
      <c r="D49" s="156">
        <f t="shared" si="0"/>
        <v>38245446.799116991</v>
      </c>
      <c r="E49" s="224"/>
      <c r="F49" s="225">
        <v>1.6299999999999999E-2</v>
      </c>
      <c r="G49" s="223">
        <v>623400.78282560688</v>
      </c>
      <c r="H49" s="183" t="e">
        <f>$G49-#REF!</f>
        <v>#REF!</v>
      </c>
      <c r="J49" s="202">
        <f>'[43]Sch 1'!M63</f>
        <v>1.0750154556268567E-2</v>
      </c>
      <c r="K49" s="223">
        <f t="shared" si="2"/>
        <v>411144.4641640546</v>
      </c>
      <c r="M49" s="223">
        <f t="shared" si="1"/>
        <v>-212256.31866155227</v>
      </c>
    </row>
    <row r="50" spans="2:13" s="155" customFormat="1">
      <c r="B50" s="185" t="s">
        <v>239</v>
      </c>
      <c r="C50" s="155" t="s">
        <v>240</v>
      </c>
      <c r="D50" s="156">
        <f t="shared" si="0"/>
        <v>275044129.23076922</v>
      </c>
      <c r="E50" s="224"/>
      <c r="F50" s="225">
        <v>3.27E-2</v>
      </c>
      <c r="G50" s="223">
        <v>8993943.0258461535</v>
      </c>
      <c r="H50" s="183" t="e">
        <f>$G50-#REF!</f>
        <v>#REF!</v>
      </c>
      <c r="J50" s="202">
        <f>'[43]Sch 1'!M64</f>
        <v>2.2688011559919216E-2</v>
      </c>
      <c r="K50" s="223">
        <f t="shared" si="2"/>
        <v>6240204.3834756063</v>
      </c>
      <c r="M50" s="223">
        <f t="shared" si="1"/>
        <v>-2753738.6423705472</v>
      </c>
    </row>
    <row r="51" spans="2:13" s="155" customFormat="1">
      <c r="B51" s="185" t="s">
        <v>241</v>
      </c>
      <c r="C51" s="155" t="s">
        <v>180</v>
      </c>
      <c r="D51" s="156">
        <f t="shared" si="0"/>
        <v>51408796.009389669</v>
      </c>
      <c r="E51" s="224"/>
      <c r="F51" s="225">
        <v>4.1700000000000001E-2</v>
      </c>
      <c r="G51" s="223">
        <v>2143746.7935915492</v>
      </c>
      <c r="H51" s="183" t="e">
        <f>$G51-#REF!</f>
        <v>#REF!</v>
      </c>
      <c r="J51" s="202">
        <f>'[43]Sch 1'!M65</f>
        <v>3.6584631031781854E-2</v>
      </c>
      <c r="K51" s="223">
        <f t="shared" si="2"/>
        <v>1880771.8337916604</v>
      </c>
      <c r="M51" s="223">
        <f t="shared" si="1"/>
        <v>-262974.95979988878</v>
      </c>
    </row>
    <row r="52" spans="2:13" s="155" customFormat="1">
      <c r="B52" s="185" t="s">
        <v>242</v>
      </c>
      <c r="C52" s="155" t="s">
        <v>132</v>
      </c>
      <c r="D52" s="156">
        <f t="shared" si="0"/>
        <v>552215350.48231518</v>
      </c>
      <c r="E52" s="224"/>
      <c r="F52" s="225">
        <v>4.58E-2</v>
      </c>
      <c r="G52" s="223">
        <v>25291463.052090038</v>
      </c>
      <c r="H52" s="183" t="e">
        <f>$G52-#REF!</f>
        <v>#REF!</v>
      </c>
      <c r="J52" s="202">
        <f>'[43]Sch 1'!M66</f>
        <v>2.779143914270845E-2</v>
      </c>
      <c r="K52" s="223">
        <f t="shared" si="2"/>
        <v>15346859.30659868</v>
      </c>
      <c r="M52" s="223">
        <f t="shared" si="1"/>
        <v>-9944603.7454913575</v>
      </c>
    </row>
    <row r="53" spans="2:13" s="155" customFormat="1">
      <c r="B53" s="185" t="s">
        <v>243</v>
      </c>
      <c r="C53" s="155" t="s">
        <v>244</v>
      </c>
      <c r="D53" s="156">
        <f t="shared" si="0"/>
        <v>3402128.6173633439</v>
      </c>
      <c r="E53" s="224"/>
      <c r="F53" s="225">
        <v>5.1799999999999999E-2</v>
      </c>
      <c r="G53" s="223">
        <v>176230.26237942121</v>
      </c>
      <c r="H53" s="183" t="e">
        <f>$G53-#REF!</f>
        <v>#REF!</v>
      </c>
      <c r="J53" s="202">
        <f>'[43]Sch 1'!M67</f>
        <v>4.3453380803704561E-2</v>
      </c>
      <c r="K53" s="223">
        <f t="shared" si="2"/>
        <v>147833.99035347026</v>
      </c>
      <c r="M53" s="223">
        <f t="shared" si="1"/>
        <v>-28396.272025950952</v>
      </c>
    </row>
    <row r="54" spans="2:13" s="155" customFormat="1">
      <c r="B54" s="185" t="s">
        <v>245</v>
      </c>
      <c r="C54" s="155" t="s">
        <v>246</v>
      </c>
      <c r="D54" s="156">
        <f t="shared" si="0"/>
        <v>54040957.453416161</v>
      </c>
      <c r="E54" s="224"/>
      <c r="F54" s="225">
        <v>2.7300000000000001E-2</v>
      </c>
      <c r="G54" s="223">
        <v>1475318.1384782612</v>
      </c>
      <c r="H54" s="183" t="e">
        <f>$G54-#REF!</f>
        <v>#REF!</v>
      </c>
      <c r="J54" s="202">
        <f>'[43]Sch 1'!M68</f>
        <v>2.7307007973756375E-2</v>
      </c>
      <c r="K54" s="223">
        <f t="shared" si="2"/>
        <v>1475696.8560898642</v>
      </c>
      <c r="M54" s="223">
        <f t="shared" si="1"/>
        <v>378.71761160297319</v>
      </c>
    </row>
    <row r="55" spans="2:13" s="155" customFormat="1">
      <c r="B55" s="185" t="s">
        <v>247</v>
      </c>
      <c r="C55" s="155" t="s">
        <v>248</v>
      </c>
      <c r="D55" s="156">
        <f t="shared" si="0"/>
        <v>160890609.77777779</v>
      </c>
      <c r="E55" s="224"/>
      <c r="F55" s="225">
        <v>2.4E-2</v>
      </c>
      <c r="G55" s="223">
        <v>3861374.6346666669</v>
      </c>
      <c r="H55" s="183" t="e">
        <f>$G55-#REF!</f>
        <v>#REF!</v>
      </c>
      <c r="J55" s="202">
        <f>'[43]Sch 1'!M69</f>
        <v>2.3986055966951979E-2</v>
      </c>
      <c r="K55" s="223">
        <f t="shared" si="2"/>
        <v>3859131.1706868093</v>
      </c>
      <c r="M55" s="223">
        <f t="shared" si="1"/>
        <v>-2243.4639798575081</v>
      </c>
    </row>
    <row r="56" spans="2:13" s="155" customFormat="1">
      <c r="B56" s="185" t="s">
        <v>249</v>
      </c>
      <c r="C56" s="155" t="s">
        <v>250</v>
      </c>
      <c r="D56" s="156">
        <f t="shared" si="0"/>
        <v>12368055.489614241</v>
      </c>
      <c r="E56" s="224"/>
      <c r="F56" s="225">
        <v>2.41E-2</v>
      </c>
      <c r="G56" s="223">
        <v>298070.1372997032</v>
      </c>
      <c r="H56" s="183" t="e">
        <f>$G56-#REF!</f>
        <v>#REF!</v>
      </c>
      <c r="J56" s="202">
        <f>'[43]Sch 1'!M70</f>
        <v>2.1874108192425478E-2</v>
      </c>
      <c r="K56" s="223">
        <f t="shared" si="2"/>
        <v>270540.18390974379</v>
      </c>
      <c r="M56" s="223">
        <f t="shared" si="1"/>
        <v>-27529.95338995941</v>
      </c>
    </row>
    <row r="57" spans="2:13" s="155" customFormat="1">
      <c r="B57" s="185" t="s">
        <v>251</v>
      </c>
      <c r="C57" s="155" t="s">
        <v>252</v>
      </c>
      <c r="D57" s="156">
        <f t="shared" si="0"/>
        <v>26010279.729729727</v>
      </c>
      <c r="E57" s="224"/>
      <c r="F57" s="225">
        <v>2.46E-2</v>
      </c>
      <c r="G57" s="223">
        <v>639852.88135135127</v>
      </c>
      <c r="H57" s="183" t="e">
        <f>$G57-#REF!</f>
        <v>#REF!</v>
      </c>
      <c r="J57" s="202">
        <f>'[43]Sch 1'!M71</f>
        <v>2.4621736028362998E-2</v>
      </c>
      <c r="K57" s="223">
        <f t="shared" si="2"/>
        <v>640418.24152928614</v>
      </c>
      <c r="M57" s="223">
        <f t="shared" si="1"/>
        <v>565.36017793486826</v>
      </c>
    </row>
    <row r="58" spans="2:13" s="155" customFormat="1">
      <c r="B58" s="220" t="s">
        <v>253</v>
      </c>
      <c r="C58" s="155" t="s">
        <v>254</v>
      </c>
      <c r="D58" s="156">
        <f t="shared" si="0"/>
        <v>34087115.533980578</v>
      </c>
      <c r="E58" s="224"/>
      <c r="F58" s="225">
        <v>3.9100000000000003E-2</v>
      </c>
      <c r="G58" s="223">
        <v>1332806.2173786408</v>
      </c>
      <c r="H58" s="183" t="e">
        <f>$G58-#REF!</f>
        <v>#REF!</v>
      </c>
      <c r="J58" s="202">
        <f>'[43]Sch 1'!M72</f>
        <v>3.6270715751720986E-2</v>
      </c>
      <c r="K58" s="223">
        <f t="shared" si="2"/>
        <v>1236364.0783290826</v>
      </c>
      <c r="M58" s="223">
        <f t="shared" si="1"/>
        <v>-96442.139049558202</v>
      </c>
    </row>
    <row r="59" spans="2:13" s="155" customFormat="1">
      <c r="B59" s="185" t="s">
        <v>255</v>
      </c>
      <c r="C59" s="155" t="s">
        <v>256</v>
      </c>
      <c r="D59" s="156">
        <f t="shared" si="0"/>
        <v>13785153.577023499</v>
      </c>
      <c r="E59" s="224"/>
      <c r="F59" s="225">
        <v>0.2177</v>
      </c>
      <c r="G59" s="223">
        <v>3001027.9337180159</v>
      </c>
      <c r="H59" s="183" t="e">
        <f>$G59-#REF!</f>
        <v>#REF!</v>
      </c>
      <c r="J59" s="202">
        <f>'[43]Sch 1'!M73</f>
        <v>0.22093963362918947</v>
      </c>
      <c r="K59" s="223">
        <f t="shared" si="2"/>
        <v>3045686.7808296825</v>
      </c>
      <c r="M59" s="223">
        <f t="shared" si="1"/>
        <v>44658.847111666575</v>
      </c>
    </row>
    <row r="60" spans="2:13" s="155" customFormat="1">
      <c r="B60" s="185" t="s">
        <v>257</v>
      </c>
      <c r="C60" s="155" t="s">
        <v>258</v>
      </c>
      <c r="D60" s="156">
        <f t="shared" si="0"/>
        <v>21280773.651771959</v>
      </c>
      <c r="E60" s="224"/>
      <c r="F60" s="225">
        <v>0.19309999999999999</v>
      </c>
      <c r="G60" s="223">
        <v>4109317.3921571649</v>
      </c>
      <c r="H60" s="183" t="e">
        <f>$G60-#REF!</f>
        <v>#REF!</v>
      </c>
      <c r="J60" s="202">
        <f>'[43]Sch 1'!M74</f>
        <v>0.19378619232794064</v>
      </c>
      <c r="K60" s="223">
        <f t="shared" si="2"/>
        <v>4123920.0957696526</v>
      </c>
      <c r="M60" s="223">
        <f t="shared" si="1"/>
        <v>14602.703612487763</v>
      </c>
    </row>
    <row r="61" spans="2:13" s="155" customFormat="1">
      <c r="B61" s="185" t="s">
        <v>259</v>
      </c>
      <c r="C61" s="155" t="s">
        <v>260</v>
      </c>
      <c r="D61" s="156">
        <f t="shared" si="0"/>
        <v>3412881</v>
      </c>
      <c r="E61" s="224"/>
      <c r="F61" s="225">
        <v>0.14510000000000001</v>
      </c>
      <c r="G61" s="223">
        <v>495209.0331</v>
      </c>
      <c r="H61" s="183" t="e">
        <f>$G61-#REF!</f>
        <v>#REF!</v>
      </c>
      <c r="J61" s="202">
        <f>'[43]Sch 1'!M75</f>
        <v>0.14581398133266338</v>
      </c>
      <c r="K61" s="223">
        <f t="shared" si="2"/>
        <v>497645.76642460155</v>
      </c>
      <c r="M61" s="223">
        <f t="shared" si="1"/>
        <v>2436.7333246015478</v>
      </c>
    </row>
    <row r="62" spans="2:13" s="155" customFormat="1">
      <c r="B62" s="185" t="s">
        <v>261</v>
      </c>
      <c r="C62" s="155" t="s">
        <v>262</v>
      </c>
      <c r="D62" s="156">
        <f t="shared" si="0"/>
        <v>251801.30735708796</v>
      </c>
      <c r="E62" s="224"/>
      <c r="F62" s="225">
        <v>0.23329999999999998</v>
      </c>
      <c r="G62" s="223">
        <v>58745.245006408615</v>
      </c>
      <c r="H62" s="183" t="e">
        <f>$G62-#REF!</f>
        <v>#REF!</v>
      </c>
      <c r="J62" s="202">
        <f>'[43]Sch 1'!M76</f>
        <v>0.23110824550526968</v>
      </c>
      <c r="K62" s="223">
        <f t="shared" si="2"/>
        <v>58193.358359229751</v>
      </c>
      <c r="M62" s="223">
        <f t="shared" si="1"/>
        <v>-551.88664717886422</v>
      </c>
    </row>
    <row r="63" spans="2:13" s="155" customFormat="1">
      <c r="B63" s="185" t="s">
        <v>263</v>
      </c>
      <c r="C63" s="155" t="s">
        <v>198</v>
      </c>
      <c r="D63" s="156">
        <f t="shared" si="0"/>
        <v>7220751.9021739149</v>
      </c>
      <c r="E63" s="224"/>
      <c r="F63" s="225">
        <v>2.6599999999999999E-2</v>
      </c>
      <c r="G63" s="226">
        <v>192072.00059782612</v>
      </c>
      <c r="H63" s="187" t="e">
        <f>$G63-#REF!</f>
        <v>#REF!</v>
      </c>
      <c r="J63" s="202">
        <f>'[43]Sch 1'!M77</f>
        <v>0</v>
      </c>
      <c r="K63" s="226">
        <f t="shared" si="2"/>
        <v>0</v>
      </c>
      <c r="M63" s="226">
        <f t="shared" si="1"/>
        <v>-192072.00059782612</v>
      </c>
    </row>
    <row r="64" spans="2:13" s="155" customFormat="1">
      <c r="B64" s="185"/>
      <c r="D64" s="156"/>
      <c r="E64" s="224"/>
      <c r="G64" s="223"/>
      <c r="H64" s="183"/>
      <c r="K64" s="223"/>
      <c r="M64" s="223"/>
    </row>
    <row r="65" spans="1:13" s="155" customFormat="1">
      <c r="B65" s="188" t="s">
        <v>264</v>
      </c>
      <c r="C65" s="159"/>
      <c r="D65" s="207">
        <f>+SUM(D45:D63)</f>
        <v>1923242500.6008031</v>
      </c>
      <c r="E65" s="208"/>
      <c r="F65" s="159"/>
      <c r="G65" s="207">
        <v>73454132.580196917</v>
      </c>
      <c r="H65" s="209" t="e">
        <f>$G65-#REF!</f>
        <v>#REF!</v>
      </c>
      <c r="I65" s="159"/>
      <c r="J65" s="159"/>
      <c r="K65" s="207">
        <f>+SUM(K45:K63)</f>
        <v>53177223.463246748</v>
      </c>
      <c r="M65" s="207">
        <f>+K65-G65</f>
        <v>-20276909.116950169</v>
      </c>
    </row>
    <row r="66" spans="1:13" s="155" customFormat="1">
      <c r="B66" s="185"/>
      <c r="D66" s="156"/>
      <c r="E66" s="224"/>
      <c r="G66" s="223"/>
      <c r="H66" s="183"/>
      <c r="K66" s="223"/>
      <c r="M66" s="223"/>
    </row>
    <row r="67" spans="1:13" s="155" customFormat="1">
      <c r="A67" s="159" t="s">
        <v>265</v>
      </c>
      <c r="B67" s="185"/>
      <c r="D67" s="156"/>
      <c r="E67" s="224"/>
      <c r="G67" s="223"/>
      <c r="H67" s="183"/>
      <c r="K67" s="223"/>
      <c r="M67" s="223"/>
    </row>
    <row r="68" spans="1:13" s="155" customFormat="1">
      <c r="B68" s="185" t="s">
        <v>266</v>
      </c>
      <c r="C68" s="155" t="s">
        <v>179</v>
      </c>
      <c r="D68" s="156">
        <f t="shared" si="0"/>
        <v>231563.85964912278</v>
      </c>
      <c r="E68" s="224"/>
      <c r="F68" s="225">
        <v>0.89590000000000003</v>
      </c>
      <c r="G68" s="223">
        <v>207458.06185964911</v>
      </c>
      <c r="H68" s="183" t="e">
        <f>$G68-#REF!</f>
        <v>#REF!</v>
      </c>
      <c r="J68" s="225">
        <v>0.89590000000000003</v>
      </c>
      <c r="K68" s="223">
        <f t="shared" si="2"/>
        <v>207458.06185964911</v>
      </c>
      <c r="M68" s="223">
        <f t="shared" si="1"/>
        <v>0</v>
      </c>
    </row>
    <row r="69" spans="1:13" s="155" customFormat="1">
      <c r="B69" s="185" t="s">
        <v>267</v>
      </c>
      <c r="C69" s="155" t="s">
        <v>268</v>
      </c>
      <c r="D69" s="156">
        <f t="shared" si="0"/>
        <v>8094498.9189189188</v>
      </c>
      <c r="E69" s="189"/>
      <c r="F69" s="225">
        <v>0.05</v>
      </c>
      <c r="G69" s="223">
        <v>404724.94594594598</v>
      </c>
      <c r="H69" s="183" t="e">
        <f>$G69-#REF!</f>
        <v>#REF!</v>
      </c>
      <c r="J69" s="225">
        <v>0.05</v>
      </c>
      <c r="K69" s="223">
        <f t="shared" si="2"/>
        <v>404724.94594594598</v>
      </c>
      <c r="M69" s="223">
        <f t="shared" si="1"/>
        <v>0</v>
      </c>
    </row>
    <row r="70" spans="1:13" s="155" customFormat="1">
      <c r="B70" s="185" t="s">
        <v>267</v>
      </c>
      <c r="C70" s="155" t="s">
        <v>269</v>
      </c>
      <c r="D70" s="156">
        <f t="shared" si="0"/>
        <v>946702.19780219777</v>
      </c>
      <c r="E70" s="189"/>
      <c r="F70" s="225">
        <v>0.05</v>
      </c>
      <c r="G70" s="223">
        <v>47335.109890109889</v>
      </c>
      <c r="H70" s="183" t="e">
        <f>$G70-#REF!</f>
        <v>#REF!</v>
      </c>
      <c r="J70" s="225">
        <v>0.05</v>
      </c>
      <c r="K70" s="223">
        <f t="shared" si="2"/>
        <v>47335.109890109889</v>
      </c>
      <c r="M70" s="223">
        <f t="shared" si="1"/>
        <v>0</v>
      </c>
    </row>
    <row r="71" spans="1:13" s="155" customFormat="1">
      <c r="B71" s="185" t="s">
        <v>270</v>
      </c>
      <c r="C71" s="155" t="s">
        <v>271</v>
      </c>
      <c r="D71" s="156">
        <f t="shared" si="0"/>
        <v>5979525.7552870102</v>
      </c>
      <c r="E71" s="224"/>
      <c r="F71" s="225">
        <v>0.2</v>
      </c>
      <c r="G71" s="223">
        <v>1195905.1510574021</v>
      </c>
      <c r="H71" s="183" t="e">
        <f>$G71-#REF!</f>
        <v>#REF!</v>
      </c>
      <c r="J71" s="225">
        <v>0.2</v>
      </c>
      <c r="K71" s="223">
        <f t="shared" si="2"/>
        <v>1195905.1510574021</v>
      </c>
      <c r="M71" s="223">
        <f t="shared" si="1"/>
        <v>0</v>
      </c>
    </row>
    <row r="72" spans="1:13" s="155" customFormat="1">
      <c r="B72" s="185" t="s">
        <v>270</v>
      </c>
      <c r="C72" s="155" t="s">
        <v>272</v>
      </c>
      <c r="D72" s="156">
        <f t="shared" si="0"/>
        <v>11917537.297297297</v>
      </c>
      <c r="E72" s="224"/>
      <c r="F72" s="225">
        <v>0.2</v>
      </c>
      <c r="G72" s="223">
        <v>2383507.4594594594</v>
      </c>
      <c r="H72" s="183" t="e">
        <f>$G72-#REF!</f>
        <v>#REF!</v>
      </c>
      <c r="J72" s="225">
        <v>0.2</v>
      </c>
      <c r="K72" s="223">
        <f t="shared" si="2"/>
        <v>2383507.4594594594</v>
      </c>
      <c r="M72" s="223">
        <f t="shared" si="1"/>
        <v>0</v>
      </c>
    </row>
    <row r="73" spans="1:13" s="155" customFormat="1">
      <c r="B73" s="185" t="s">
        <v>273</v>
      </c>
      <c r="C73" s="155" t="s">
        <v>100</v>
      </c>
      <c r="D73" s="156">
        <f t="shared" si="0"/>
        <v>0.42016806722689082</v>
      </c>
      <c r="E73" s="224"/>
      <c r="F73" s="225">
        <v>0.09</v>
      </c>
      <c r="G73" s="223">
        <v>3.7815126050420172E-2</v>
      </c>
      <c r="H73" s="183"/>
      <c r="J73" s="225">
        <v>0.09</v>
      </c>
      <c r="K73" s="223">
        <f t="shared" si="2"/>
        <v>3.7815126050420172E-2</v>
      </c>
      <c r="M73" s="223">
        <f t="shared" si="1"/>
        <v>0</v>
      </c>
    </row>
    <row r="74" spans="1:13" s="155" customFormat="1">
      <c r="B74" s="185" t="s">
        <v>274</v>
      </c>
      <c r="C74" s="155" t="s">
        <v>275</v>
      </c>
      <c r="D74" s="156">
        <f t="shared" si="0"/>
        <v>245735.57951482481</v>
      </c>
      <c r="E74" s="224"/>
      <c r="F74" s="225">
        <v>0.05</v>
      </c>
      <c r="G74" s="223">
        <v>12286.778975741241</v>
      </c>
      <c r="H74" s="183" t="e">
        <f>$G74-#REF!</f>
        <v>#REF!</v>
      </c>
      <c r="J74" s="225">
        <v>0.05</v>
      </c>
      <c r="K74" s="223">
        <f t="shared" si="2"/>
        <v>12286.778975741241</v>
      </c>
      <c r="M74" s="223">
        <f t="shared" si="1"/>
        <v>0</v>
      </c>
    </row>
    <row r="75" spans="1:13" s="155" customFormat="1">
      <c r="B75" s="185" t="s">
        <v>276</v>
      </c>
      <c r="C75" s="155" t="s">
        <v>277</v>
      </c>
      <c r="D75" s="156">
        <f t="shared" si="0"/>
        <v>920651.50753768859</v>
      </c>
      <c r="E75" s="224"/>
      <c r="F75" s="225">
        <v>0.05</v>
      </c>
      <c r="G75" s="223">
        <v>46032.57537688443</v>
      </c>
      <c r="H75" s="183" t="e">
        <f>$G75-#REF!</f>
        <v>#REF!</v>
      </c>
      <c r="J75" s="225">
        <v>0.05</v>
      </c>
      <c r="K75" s="223">
        <f t="shared" si="2"/>
        <v>46032.57537688443</v>
      </c>
      <c r="M75" s="223">
        <f t="shared" si="1"/>
        <v>0</v>
      </c>
    </row>
    <row r="76" spans="1:13" s="155" customFormat="1">
      <c r="B76" s="185" t="s">
        <v>276</v>
      </c>
      <c r="C76" s="155" t="s">
        <v>278</v>
      </c>
      <c r="D76" s="156">
        <f t="shared" si="0"/>
        <v>4729243.9873417718</v>
      </c>
      <c r="E76" s="224"/>
      <c r="F76" s="225">
        <v>0.05</v>
      </c>
      <c r="G76" s="223">
        <v>236462.19936708859</v>
      </c>
      <c r="H76" s="183" t="e">
        <f>$G76-#REF!</f>
        <v>#REF!</v>
      </c>
      <c r="J76" s="225">
        <v>0.05</v>
      </c>
      <c r="K76" s="223">
        <f t="shared" si="2"/>
        <v>236462.19936708861</v>
      </c>
      <c r="M76" s="223">
        <f t="shared" si="1"/>
        <v>0</v>
      </c>
    </row>
    <row r="77" spans="1:13" s="155" customFormat="1">
      <c r="B77" s="185" t="s">
        <v>276</v>
      </c>
      <c r="C77" s="155" t="s">
        <v>279</v>
      </c>
      <c r="D77" s="156">
        <f t="shared" si="0"/>
        <v>1610306.6666666667</v>
      </c>
      <c r="E77" s="224"/>
      <c r="F77" s="225">
        <v>0.05</v>
      </c>
      <c r="G77" s="223">
        <v>80515.333333333343</v>
      </c>
      <c r="H77" s="183" t="e">
        <f>$G77-#REF!</f>
        <v>#REF!</v>
      </c>
      <c r="J77" s="225">
        <v>0.05</v>
      </c>
      <c r="K77" s="223">
        <f t="shared" si="2"/>
        <v>80515.333333333343</v>
      </c>
      <c r="M77" s="223">
        <f t="shared" si="1"/>
        <v>0</v>
      </c>
    </row>
    <row r="78" spans="1:13" s="155" customFormat="1">
      <c r="B78" s="185" t="s">
        <v>276</v>
      </c>
      <c r="C78" s="155" t="s">
        <v>280</v>
      </c>
      <c r="D78" s="156">
        <f t="shared" si="0"/>
        <v>168069.44999999998</v>
      </c>
      <c r="E78" s="224"/>
      <c r="F78" s="225">
        <v>0.05</v>
      </c>
      <c r="G78" s="223">
        <v>8403.4724999999999</v>
      </c>
      <c r="H78" s="183" t="e">
        <f>$G78-#REF!</f>
        <v>#REF!</v>
      </c>
      <c r="J78" s="225">
        <v>0.05</v>
      </c>
      <c r="K78" s="223">
        <f t="shared" si="2"/>
        <v>8403.4724999999999</v>
      </c>
      <c r="M78" s="223">
        <f t="shared" si="1"/>
        <v>0</v>
      </c>
    </row>
    <row r="79" spans="1:13" s="155" customFormat="1">
      <c r="B79" s="185" t="s">
        <v>281</v>
      </c>
      <c r="C79" s="155" t="s">
        <v>282</v>
      </c>
      <c r="D79" s="156">
        <f>+G79/F79</f>
        <v>1491654.6125461254</v>
      </c>
      <c r="E79" s="224"/>
      <c r="F79" s="225">
        <v>0.05</v>
      </c>
      <c r="G79" s="223">
        <v>74582.730627306271</v>
      </c>
      <c r="H79" s="183" t="e">
        <f>$G79-#REF!</f>
        <v>#REF!</v>
      </c>
      <c r="J79" s="225">
        <v>0.05</v>
      </c>
      <c r="K79" s="223">
        <f t="shared" si="2"/>
        <v>74582.730627306271</v>
      </c>
      <c r="M79" s="223">
        <f t="shared" si="1"/>
        <v>0</v>
      </c>
    </row>
    <row r="80" spans="1:13" s="155" customFormat="1">
      <c r="B80" s="185" t="s">
        <v>283</v>
      </c>
      <c r="C80" s="155" t="s">
        <v>284</v>
      </c>
      <c r="D80" s="156">
        <f>+G80/F80</f>
        <v>505645.06648005592</v>
      </c>
      <c r="E80" s="224"/>
      <c r="F80" s="225">
        <v>0.06</v>
      </c>
      <c r="G80" s="223">
        <v>30338.703988803354</v>
      </c>
      <c r="H80" s="183" t="e">
        <f>$G80-#REF!</f>
        <v>#REF!</v>
      </c>
      <c r="J80" s="225">
        <v>0.06</v>
      </c>
      <c r="K80" s="223">
        <f t="shared" si="2"/>
        <v>30338.703988803354</v>
      </c>
      <c r="M80" s="223">
        <f>+K80-G80</f>
        <v>0</v>
      </c>
    </row>
    <row r="81" spans="2:13" s="155" customFormat="1">
      <c r="B81" s="185" t="s">
        <v>285</v>
      </c>
      <c r="C81" s="155" t="s">
        <v>286</v>
      </c>
      <c r="D81" s="156">
        <f>+G81/F81</f>
        <v>6931583.1349206353</v>
      </c>
      <c r="E81" s="224"/>
      <c r="F81" s="225">
        <v>6.6699999999999995E-2</v>
      </c>
      <c r="G81" s="223">
        <v>462336.59509920632</v>
      </c>
      <c r="H81" s="183" t="e">
        <f>$G81-#REF!</f>
        <v>#REF!</v>
      </c>
      <c r="J81" s="225">
        <v>6.6699999999999995E-2</v>
      </c>
      <c r="K81" s="223">
        <f t="shared" si="2"/>
        <v>462336.59509920632</v>
      </c>
      <c r="M81" s="223">
        <f>+K81-G81</f>
        <v>0</v>
      </c>
    </row>
    <row r="82" spans="2:13" s="155" customFormat="1">
      <c r="B82" s="185" t="s">
        <v>285</v>
      </c>
      <c r="C82" s="155" t="s">
        <v>287</v>
      </c>
      <c r="D82" s="156">
        <f>+G82/F82</f>
        <v>346938.64734299516</v>
      </c>
      <c r="E82" s="224"/>
      <c r="F82" s="225">
        <v>6.6699999999999995E-2</v>
      </c>
      <c r="G82" s="223">
        <v>23140.807777777776</v>
      </c>
      <c r="H82" s="183" t="e">
        <f>$G82-#REF!</f>
        <v>#REF!</v>
      </c>
      <c r="J82" s="225">
        <v>6.6699999999999995E-2</v>
      </c>
      <c r="K82" s="223">
        <f t="shared" si="2"/>
        <v>23140.807777777776</v>
      </c>
      <c r="M82" s="223">
        <f>+K82-G82</f>
        <v>0</v>
      </c>
    </row>
    <row r="83" spans="2:13" s="155" customFormat="1">
      <c r="B83" s="185" t="s">
        <v>288</v>
      </c>
      <c r="C83" s="155" t="s">
        <v>289</v>
      </c>
      <c r="D83" s="156">
        <f>+G83/F83</f>
        <v>321956.88311688311</v>
      </c>
      <c r="E83" s="224"/>
      <c r="F83" s="225">
        <v>6.6699999999999995E-2</v>
      </c>
      <c r="G83" s="226">
        <v>21474.524103896103</v>
      </c>
      <c r="H83" s="187" t="e">
        <f>$G83-#REF!</f>
        <v>#REF!</v>
      </c>
      <c r="J83" s="225">
        <v>6.6699999999999995E-2</v>
      </c>
      <c r="K83" s="226">
        <f t="shared" si="2"/>
        <v>21474.524103896103</v>
      </c>
      <c r="M83" s="226">
        <f>+K83-G83</f>
        <v>0</v>
      </c>
    </row>
    <row r="84" spans="2:13" s="155" customFormat="1">
      <c r="B84" s="228" t="s">
        <v>290</v>
      </c>
      <c r="D84" s="204">
        <f>+SUM(D68:D83)</f>
        <v>44441613.984590262</v>
      </c>
      <c r="E84" s="224"/>
      <c r="F84" s="225"/>
      <c r="G84" s="229">
        <v>5234504.4871777277</v>
      </c>
      <c r="H84" s="190"/>
      <c r="K84" s="229">
        <f>+SUM(K68:K83)</f>
        <v>5234504.4871777277</v>
      </c>
      <c r="M84" s="229">
        <f>+K84-G84</f>
        <v>0</v>
      </c>
    </row>
    <row r="85" spans="2:13" s="155" customFormat="1">
      <c r="B85" s="228" t="s">
        <v>291</v>
      </c>
      <c r="E85" s="224"/>
      <c r="F85" s="225"/>
      <c r="G85" s="230"/>
      <c r="H85" s="190"/>
      <c r="K85" s="230"/>
      <c r="M85" s="230"/>
    </row>
    <row r="86" spans="2:13" s="155" customFormat="1">
      <c r="B86" s="185" t="s">
        <v>273</v>
      </c>
      <c r="C86" s="155" t="s">
        <v>100</v>
      </c>
      <c r="E86" s="224"/>
      <c r="F86" s="225"/>
      <c r="G86" s="230">
        <v>-3.7815126050420172E-2</v>
      </c>
      <c r="H86" s="190"/>
      <c r="K86" s="230">
        <f>+G86</f>
        <v>-3.7815126050420172E-2</v>
      </c>
      <c r="M86" s="230"/>
    </row>
    <row r="87" spans="2:13" s="155" customFormat="1">
      <c r="B87" s="185" t="s">
        <v>283</v>
      </c>
      <c r="C87" s="155" t="s">
        <v>284</v>
      </c>
      <c r="E87" s="224"/>
      <c r="F87" s="225"/>
      <c r="G87" s="230">
        <v>-30338.703988803354</v>
      </c>
      <c r="H87" s="190"/>
      <c r="K87" s="230">
        <f>+G87</f>
        <v>-30338.703988803354</v>
      </c>
      <c r="M87" s="230"/>
    </row>
    <row r="88" spans="2:13" s="155" customFormat="1">
      <c r="B88" s="185"/>
      <c r="E88" s="191"/>
      <c r="F88" s="192"/>
      <c r="G88" s="229"/>
      <c r="H88" s="183"/>
      <c r="K88" s="229"/>
      <c r="M88" s="229"/>
    </row>
    <row r="89" spans="2:13" s="155" customFormat="1">
      <c r="B89" s="188" t="s">
        <v>292</v>
      </c>
      <c r="C89" s="159"/>
      <c r="E89" s="191"/>
      <c r="F89" s="192"/>
      <c r="G89" s="205">
        <v>5204165.7453737985</v>
      </c>
      <c r="H89" s="206" t="e">
        <f>SUM(H68:H88)</f>
        <v>#REF!</v>
      </c>
      <c r="I89" s="159"/>
      <c r="J89" s="159"/>
      <c r="K89" s="205">
        <f>+K84+K86+K87</f>
        <v>5204165.7453737985</v>
      </c>
      <c r="M89" s="205"/>
    </row>
    <row r="90" spans="2:13" s="155" customFormat="1">
      <c r="B90" s="185"/>
      <c r="E90" s="191"/>
      <c r="F90" s="192"/>
      <c r="G90" s="231"/>
      <c r="H90" s="183"/>
      <c r="K90" s="231"/>
      <c r="M90" s="231"/>
    </row>
    <row r="91" spans="2:13" s="155" customFormat="1" ht="13.5" thickBot="1">
      <c r="B91" s="185"/>
      <c r="C91" s="172" t="s">
        <v>293</v>
      </c>
      <c r="E91" s="191"/>
      <c r="F91" s="192"/>
      <c r="G91" s="200">
        <v>79599749.33628267</v>
      </c>
      <c r="H91" s="232" t="e">
        <f>SUM(H89,H65,H42,H34,H18)</f>
        <v>#REF!</v>
      </c>
      <c r="K91" s="200">
        <f>+K89+K65+K42+K34+K18</f>
        <v>59219229.247434318</v>
      </c>
      <c r="M91" s="200">
        <f>+M89+M65+M42+M34+M18</f>
        <v>-20380520.088848367</v>
      </c>
    </row>
    <row r="92" spans="2:13" s="155" customFormat="1" ht="13.5" thickTop="1">
      <c r="B92" s="185"/>
      <c r="C92" s="182"/>
      <c r="E92" s="191"/>
      <c r="F92" s="192"/>
      <c r="G92" s="233"/>
      <c r="H92" s="183"/>
      <c r="K92" s="233"/>
      <c r="M92" s="233"/>
    </row>
    <row r="93" spans="2:13" s="155" customFormat="1">
      <c r="B93" s="270"/>
      <c r="C93" s="270"/>
      <c r="D93" s="195"/>
      <c r="E93" s="193"/>
      <c r="F93" s="194"/>
      <c r="G93" s="195"/>
    </row>
    <row r="94" spans="2:13" s="155" customFormat="1">
      <c r="B94" s="271"/>
      <c r="C94" s="271"/>
      <c r="D94" s="271"/>
      <c r="E94" s="196"/>
      <c r="F94" s="194"/>
      <c r="G94" s="195"/>
    </row>
    <row r="95" spans="2:13" s="155" customFormat="1">
      <c r="B95" s="195"/>
      <c r="C95" s="197"/>
      <c r="D95" s="195"/>
      <c r="E95" s="196"/>
      <c r="F95" s="194"/>
      <c r="G95" s="195"/>
    </row>
    <row r="96" spans="2:13" s="155" customFormat="1">
      <c r="B96" s="195"/>
      <c r="C96" s="197"/>
      <c r="D96" s="195"/>
      <c r="E96" s="196"/>
      <c r="F96" s="194"/>
      <c r="G96" s="195"/>
    </row>
    <row r="97" spans="2:7" s="155" customFormat="1">
      <c r="B97" s="195"/>
      <c r="C97" s="198"/>
      <c r="D97" s="195"/>
      <c r="E97" s="199"/>
      <c r="F97" s="194"/>
      <c r="G97" s="195"/>
    </row>
    <row r="98" spans="2:7" s="155" customFormat="1">
      <c r="B98" s="195"/>
      <c r="C98" s="198"/>
      <c r="D98" s="195"/>
      <c r="E98" s="199"/>
      <c r="F98" s="194"/>
      <c r="G98" s="195"/>
    </row>
    <row r="99" spans="2:7" s="155" customFormat="1">
      <c r="B99" s="195"/>
      <c r="C99" s="195"/>
      <c r="D99" s="214"/>
      <c r="E99" s="199"/>
      <c r="F99" s="194"/>
      <c r="G99" s="195"/>
    </row>
    <row r="100" spans="2:7" s="155" customFormat="1">
      <c r="B100" s="195"/>
      <c r="C100" s="195"/>
      <c r="D100" s="195"/>
      <c r="E100" s="195"/>
      <c r="F100" s="194"/>
      <c r="G100" s="195"/>
    </row>
    <row r="101" spans="2:7" s="155" customFormat="1">
      <c r="B101" s="185"/>
      <c r="E101" s="195"/>
      <c r="F101" s="194"/>
    </row>
    <row r="102" spans="2:7" s="155" customFormat="1">
      <c r="B102" s="185"/>
      <c r="F102" s="185"/>
    </row>
    <row r="103" spans="2:7" s="155" customFormat="1">
      <c r="B103" s="185"/>
      <c r="F103" s="185"/>
    </row>
    <row r="104" spans="2:7" s="155" customFormat="1">
      <c r="B104" s="185"/>
      <c r="F104" s="185"/>
    </row>
    <row r="105" spans="2:7" s="155" customFormat="1">
      <c r="B105" s="185"/>
      <c r="F105" s="185"/>
    </row>
    <row r="106" spans="2:7" s="155" customFormat="1">
      <c r="B106" s="185"/>
      <c r="F106" s="185"/>
    </row>
    <row r="107" spans="2:7" s="155" customFormat="1">
      <c r="B107" s="185"/>
      <c r="F107" s="185"/>
    </row>
    <row r="108" spans="2:7" s="155" customFormat="1">
      <c r="B108" s="185"/>
      <c r="F108" s="185"/>
    </row>
    <row r="109" spans="2:7" s="155" customFormat="1">
      <c r="B109" s="185"/>
      <c r="F109" s="185"/>
    </row>
    <row r="110" spans="2:7" s="155" customFormat="1">
      <c r="B110" s="185"/>
      <c r="F110" s="185"/>
    </row>
    <row r="111" spans="2:7" s="155" customFormat="1">
      <c r="B111" s="185"/>
      <c r="F111" s="185"/>
    </row>
    <row r="112" spans="2:7" s="155" customFormat="1">
      <c r="B112" s="185"/>
      <c r="F112" s="185"/>
    </row>
    <row r="113" spans="2:6" s="155" customFormat="1">
      <c r="B113" s="185"/>
      <c r="F113" s="185"/>
    </row>
    <row r="114" spans="2:6" s="155" customFormat="1">
      <c r="B114" s="185"/>
      <c r="F114" s="185"/>
    </row>
    <row r="115" spans="2:6" s="155" customFormat="1">
      <c r="B115" s="185"/>
      <c r="F115" s="185"/>
    </row>
    <row r="116" spans="2:6" s="155" customFormat="1">
      <c r="B116" s="185"/>
      <c r="F116" s="185"/>
    </row>
    <row r="117" spans="2:6" s="155" customFormat="1">
      <c r="B117" s="185"/>
      <c r="F117" s="185"/>
    </row>
    <row r="118" spans="2:6" s="155" customFormat="1">
      <c r="B118" s="185"/>
      <c r="F118" s="185"/>
    </row>
    <row r="119" spans="2:6" s="155" customFormat="1">
      <c r="B119" s="185"/>
      <c r="F119" s="185"/>
    </row>
    <row r="120" spans="2:6" s="155" customFormat="1">
      <c r="B120" s="185"/>
      <c r="F120" s="185"/>
    </row>
    <row r="121" spans="2:6" s="155" customFormat="1">
      <c r="B121" s="185"/>
      <c r="F121" s="185"/>
    </row>
    <row r="122" spans="2:6" s="155" customFormat="1">
      <c r="B122" s="185"/>
      <c r="F122" s="185"/>
    </row>
    <row r="123" spans="2:6" s="155" customFormat="1">
      <c r="B123" s="185"/>
      <c r="F123" s="185"/>
    </row>
    <row r="124" spans="2:6" s="155" customFormat="1">
      <c r="B124" s="185"/>
      <c r="F124" s="185"/>
    </row>
    <row r="125" spans="2:6" s="155" customFormat="1">
      <c r="B125" s="185"/>
      <c r="F125" s="185"/>
    </row>
    <row r="126" spans="2:6" s="155" customFormat="1">
      <c r="B126" s="185"/>
      <c r="F126" s="185"/>
    </row>
    <row r="127" spans="2:6" s="155" customFormat="1">
      <c r="B127" s="185"/>
      <c r="F127" s="185"/>
    </row>
    <row r="128" spans="2:6" s="155" customFormat="1">
      <c r="B128" s="185"/>
      <c r="F128" s="185"/>
    </row>
    <row r="129" spans="2:6" s="155" customFormat="1">
      <c r="B129" s="185"/>
      <c r="F129" s="185"/>
    </row>
    <row r="130" spans="2:6" s="155" customFormat="1">
      <c r="B130" s="185"/>
      <c r="F130" s="185"/>
    </row>
    <row r="131" spans="2:6" s="155" customFormat="1">
      <c r="B131" s="185"/>
      <c r="F131" s="185"/>
    </row>
    <row r="132" spans="2:6" s="155" customFormat="1">
      <c r="B132" s="185"/>
      <c r="F132" s="185"/>
    </row>
    <row r="133" spans="2:6" s="155" customFormat="1">
      <c r="B133" s="185"/>
      <c r="F133" s="185"/>
    </row>
    <row r="134" spans="2:6" s="155" customFormat="1">
      <c r="B134" s="185"/>
      <c r="F134" s="185"/>
    </row>
    <row r="135" spans="2:6" s="155" customFormat="1">
      <c r="B135" s="185"/>
      <c r="F135" s="185"/>
    </row>
    <row r="136" spans="2:6" s="155" customFormat="1">
      <c r="B136" s="185"/>
      <c r="F136" s="185"/>
    </row>
    <row r="137" spans="2:6" s="155" customFormat="1">
      <c r="B137" s="185"/>
      <c r="F137" s="185"/>
    </row>
    <row r="138" spans="2:6" s="155" customFormat="1">
      <c r="B138" s="185"/>
      <c r="F138" s="185"/>
    </row>
    <row r="139" spans="2:6" s="155" customFormat="1">
      <c r="B139" s="185"/>
      <c r="F139" s="185"/>
    </row>
    <row r="140" spans="2:6" s="155" customFormat="1">
      <c r="B140" s="185"/>
      <c r="F140" s="185"/>
    </row>
    <row r="141" spans="2:6" s="155" customFormat="1">
      <c r="B141" s="185"/>
      <c r="F141" s="185"/>
    </row>
    <row r="142" spans="2:6" s="155" customFormat="1">
      <c r="B142" s="185"/>
      <c r="F142" s="185"/>
    </row>
    <row r="143" spans="2:6" s="155" customFormat="1">
      <c r="B143" s="185"/>
      <c r="F143" s="185"/>
    </row>
    <row r="144" spans="2:6" s="155" customFormat="1">
      <c r="B144" s="185"/>
      <c r="F144" s="185"/>
    </row>
    <row r="145" spans="2:6" s="155" customFormat="1">
      <c r="B145" s="185"/>
      <c r="F145" s="185"/>
    </row>
    <row r="146" spans="2:6" s="155" customFormat="1">
      <c r="B146" s="185"/>
      <c r="F146" s="185"/>
    </row>
    <row r="147" spans="2:6" s="155" customFormat="1">
      <c r="B147" s="185"/>
      <c r="F147" s="185"/>
    </row>
    <row r="148" spans="2:6" s="155" customFormat="1">
      <c r="B148" s="185"/>
      <c r="F148" s="185"/>
    </row>
    <row r="149" spans="2:6" s="155" customFormat="1">
      <c r="B149" s="185"/>
      <c r="F149" s="185"/>
    </row>
    <row r="150" spans="2:6" s="155" customFormat="1">
      <c r="B150" s="185"/>
      <c r="F150" s="185"/>
    </row>
    <row r="151" spans="2:6" s="155" customFormat="1">
      <c r="B151" s="185"/>
      <c r="F151" s="185"/>
    </row>
    <row r="152" spans="2:6" s="155" customFormat="1">
      <c r="B152" s="185"/>
      <c r="F152" s="185"/>
    </row>
    <row r="153" spans="2:6" s="155" customFormat="1">
      <c r="B153" s="185"/>
      <c r="F153" s="185"/>
    </row>
    <row r="154" spans="2:6" s="155" customFormat="1">
      <c r="B154" s="185"/>
      <c r="F154" s="185"/>
    </row>
    <row r="155" spans="2:6" s="155" customFormat="1">
      <c r="B155" s="185"/>
      <c r="F155" s="185"/>
    </row>
    <row r="156" spans="2:6" s="155" customFormat="1">
      <c r="B156" s="185"/>
      <c r="F156" s="185"/>
    </row>
    <row r="157" spans="2:6" s="155" customFormat="1">
      <c r="B157" s="185"/>
      <c r="F157" s="185"/>
    </row>
    <row r="158" spans="2:6" s="155" customFormat="1">
      <c r="B158" s="185"/>
      <c r="F158" s="185"/>
    </row>
    <row r="159" spans="2:6" s="155" customFormat="1">
      <c r="B159" s="185"/>
      <c r="F159" s="185"/>
    </row>
    <row r="160" spans="2:6" s="155" customFormat="1">
      <c r="B160" s="185"/>
      <c r="F160" s="185"/>
    </row>
    <row r="161" spans="2:6" s="155" customFormat="1">
      <c r="B161" s="185"/>
      <c r="F161" s="185"/>
    </row>
    <row r="162" spans="2:6" s="155" customFormat="1">
      <c r="B162" s="185"/>
      <c r="F162" s="185"/>
    </row>
    <row r="163" spans="2:6" s="155" customFormat="1">
      <c r="B163" s="185"/>
      <c r="F163" s="185"/>
    </row>
    <row r="164" spans="2:6" s="155" customFormat="1">
      <c r="B164" s="185"/>
      <c r="F164" s="185"/>
    </row>
    <row r="165" spans="2:6" s="155" customFormat="1">
      <c r="B165" s="185"/>
      <c r="F165" s="185"/>
    </row>
    <row r="166" spans="2:6" s="155" customFormat="1">
      <c r="B166" s="185"/>
      <c r="F166" s="185"/>
    </row>
    <row r="167" spans="2:6" s="155" customFormat="1">
      <c r="B167" s="185"/>
      <c r="F167" s="185"/>
    </row>
    <row r="168" spans="2:6" s="155" customFormat="1">
      <c r="B168" s="185"/>
      <c r="F168" s="185"/>
    </row>
    <row r="169" spans="2:6" s="155" customFormat="1">
      <c r="B169" s="185"/>
      <c r="F169" s="185"/>
    </row>
    <row r="170" spans="2:6" s="155" customFormat="1">
      <c r="B170" s="185"/>
      <c r="F170" s="185"/>
    </row>
    <row r="171" spans="2:6" s="155" customFormat="1">
      <c r="B171" s="185"/>
      <c r="F171" s="185"/>
    </row>
    <row r="172" spans="2:6" s="155" customFormat="1">
      <c r="B172" s="185"/>
      <c r="F172" s="185"/>
    </row>
    <row r="173" spans="2:6" s="155" customFormat="1">
      <c r="B173" s="185"/>
      <c r="F173" s="185"/>
    </row>
    <row r="174" spans="2:6" s="155" customFormat="1">
      <c r="B174" s="185"/>
      <c r="F174" s="185"/>
    </row>
    <row r="175" spans="2:6" s="155" customFormat="1">
      <c r="B175" s="185"/>
      <c r="F175" s="185"/>
    </row>
    <row r="176" spans="2:6" s="155" customFormat="1">
      <c r="B176" s="185"/>
      <c r="F176" s="185"/>
    </row>
    <row r="177" spans="2:6" s="155" customFormat="1">
      <c r="B177" s="185"/>
      <c r="F177" s="185"/>
    </row>
    <row r="178" spans="2:6" s="155" customFormat="1">
      <c r="B178" s="185"/>
      <c r="F178" s="185"/>
    </row>
    <row r="179" spans="2:6" s="155" customFormat="1">
      <c r="B179" s="185"/>
      <c r="F179" s="185"/>
    </row>
    <row r="180" spans="2:6" s="155" customFormat="1">
      <c r="B180" s="185"/>
      <c r="F180" s="185"/>
    </row>
    <row r="181" spans="2:6" s="155" customFormat="1">
      <c r="B181" s="185"/>
      <c r="F181" s="185"/>
    </row>
    <row r="182" spans="2:6" s="155" customFormat="1">
      <c r="B182" s="185"/>
      <c r="F182" s="185"/>
    </row>
    <row r="183" spans="2:6" s="155" customFormat="1">
      <c r="B183" s="185"/>
      <c r="F183" s="185"/>
    </row>
    <row r="184" spans="2:6" s="155" customFormat="1">
      <c r="B184" s="185"/>
      <c r="F184" s="185"/>
    </row>
    <row r="185" spans="2:6" s="155" customFormat="1">
      <c r="B185" s="185"/>
      <c r="F185" s="185"/>
    </row>
    <row r="186" spans="2:6" s="155" customFormat="1">
      <c r="B186" s="185"/>
      <c r="F186" s="185"/>
    </row>
    <row r="187" spans="2:6" s="155" customFormat="1">
      <c r="B187" s="185"/>
      <c r="F187" s="185"/>
    </row>
    <row r="188" spans="2:6" s="155" customFormat="1">
      <c r="B188" s="185"/>
      <c r="F188" s="185"/>
    </row>
    <row r="189" spans="2:6" s="155" customFormat="1">
      <c r="B189" s="185"/>
      <c r="F189" s="185"/>
    </row>
    <row r="190" spans="2:6" s="155" customFormat="1">
      <c r="B190" s="185"/>
      <c r="F190" s="185"/>
    </row>
    <row r="191" spans="2:6" s="155" customFormat="1">
      <c r="B191" s="185"/>
      <c r="F191" s="185"/>
    </row>
    <row r="192" spans="2:6" s="155" customFormat="1">
      <c r="B192" s="185"/>
      <c r="F192" s="185"/>
    </row>
    <row r="193" spans="2:6" s="155" customFormat="1">
      <c r="B193" s="185"/>
      <c r="F193" s="185"/>
    </row>
    <row r="194" spans="2:6" s="155" customFormat="1">
      <c r="B194" s="185"/>
      <c r="F194" s="185"/>
    </row>
    <row r="195" spans="2:6" s="155" customFormat="1">
      <c r="B195" s="185"/>
      <c r="F195" s="185"/>
    </row>
    <row r="196" spans="2:6" s="155" customFormat="1">
      <c r="B196" s="185"/>
      <c r="F196" s="185"/>
    </row>
    <row r="197" spans="2:6" s="155" customFormat="1">
      <c r="B197" s="185"/>
      <c r="F197" s="185"/>
    </row>
    <row r="198" spans="2:6" s="155" customFormat="1">
      <c r="B198" s="185"/>
      <c r="F198" s="185"/>
    </row>
    <row r="199" spans="2:6" s="155" customFormat="1">
      <c r="B199" s="185"/>
      <c r="F199" s="185"/>
    </row>
    <row r="200" spans="2:6" s="155" customFormat="1">
      <c r="B200" s="185"/>
      <c r="F200" s="185"/>
    </row>
    <row r="201" spans="2:6" s="155" customFormat="1">
      <c r="B201" s="185"/>
      <c r="F201" s="185"/>
    </row>
    <row r="202" spans="2:6" s="155" customFormat="1">
      <c r="B202" s="185"/>
      <c r="F202" s="185"/>
    </row>
    <row r="203" spans="2:6" s="155" customFormat="1">
      <c r="B203" s="185"/>
      <c r="F203" s="185"/>
    </row>
    <row r="204" spans="2:6" s="155" customFormat="1">
      <c r="B204" s="185"/>
      <c r="F204" s="185"/>
    </row>
    <row r="205" spans="2:6" s="155" customFormat="1">
      <c r="B205" s="185"/>
      <c r="F205" s="185"/>
    </row>
    <row r="206" spans="2:6" s="155" customFormat="1">
      <c r="B206" s="185"/>
      <c r="F206" s="185"/>
    </row>
    <row r="207" spans="2:6" s="155" customFormat="1">
      <c r="B207" s="185"/>
      <c r="F207" s="185"/>
    </row>
    <row r="208" spans="2:6" s="155" customFormat="1">
      <c r="B208" s="185"/>
      <c r="F208" s="185"/>
    </row>
    <row r="209" spans="2:6" s="155" customFormat="1">
      <c r="B209" s="185"/>
      <c r="F209" s="185"/>
    </row>
    <row r="210" spans="2:6" s="155" customFormat="1">
      <c r="B210" s="185"/>
      <c r="F210" s="185"/>
    </row>
    <row r="211" spans="2:6" s="155" customFormat="1">
      <c r="B211" s="185"/>
      <c r="F211" s="185"/>
    </row>
    <row r="212" spans="2:6" s="155" customFormat="1">
      <c r="B212" s="185"/>
      <c r="F212" s="185"/>
    </row>
    <row r="213" spans="2:6" s="155" customFormat="1">
      <c r="B213" s="185"/>
      <c r="F213" s="185"/>
    </row>
    <row r="214" spans="2:6" s="155" customFormat="1">
      <c r="B214" s="185"/>
      <c r="F214" s="185"/>
    </row>
    <row r="215" spans="2:6" s="155" customFormat="1">
      <c r="B215" s="185"/>
      <c r="F215" s="185"/>
    </row>
    <row r="216" spans="2:6" s="155" customFormat="1">
      <c r="B216" s="185"/>
      <c r="F216" s="185"/>
    </row>
    <row r="217" spans="2:6" s="155" customFormat="1">
      <c r="B217" s="185"/>
      <c r="F217" s="185"/>
    </row>
    <row r="218" spans="2:6" s="155" customFormat="1">
      <c r="B218" s="185"/>
      <c r="F218" s="185"/>
    </row>
    <row r="219" spans="2:6" s="155" customFormat="1">
      <c r="B219" s="185"/>
      <c r="F219" s="185"/>
    </row>
    <row r="220" spans="2:6" s="155" customFormat="1">
      <c r="B220" s="185"/>
      <c r="F220" s="185"/>
    </row>
    <row r="221" spans="2:6" s="155" customFormat="1">
      <c r="B221" s="185"/>
      <c r="F221" s="185"/>
    </row>
    <row r="222" spans="2:6" s="155" customFormat="1">
      <c r="B222" s="185"/>
      <c r="F222" s="185"/>
    </row>
    <row r="223" spans="2:6" s="155" customFormat="1">
      <c r="B223" s="185"/>
      <c r="F223" s="185"/>
    </row>
    <row r="224" spans="2:6" s="155" customFormat="1">
      <c r="B224" s="185"/>
      <c r="F224" s="185"/>
    </row>
    <row r="225" spans="2:6" s="155" customFormat="1">
      <c r="B225" s="185"/>
      <c r="F225" s="185"/>
    </row>
    <row r="226" spans="2:6" s="155" customFormat="1">
      <c r="B226" s="185"/>
      <c r="F226" s="185"/>
    </row>
    <row r="227" spans="2:6" s="155" customFormat="1">
      <c r="B227" s="185"/>
      <c r="F227" s="185"/>
    </row>
    <row r="228" spans="2:6" s="155" customFormat="1">
      <c r="B228" s="185"/>
      <c r="F228" s="185"/>
    </row>
    <row r="229" spans="2:6" s="155" customFormat="1">
      <c r="B229" s="185"/>
      <c r="F229" s="185"/>
    </row>
    <row r="230" spans="2:6" s="155" customFormat="1">
      <c r="B230" s="185"/>
      <c r="F230" s="185"/>
    </row>
    <row r="231" spans="2:6" s="155" customFormat="1">
      <c r="B231" s="185"/>
      <c r="F231" s="185"/>
    </row>
    <row r="232" spans="2:6" s="155" customFormat="1">
      <c r="B232" s="185"/>
      <c r="F232" s="185"/>
    </row>
    <row r="233" spans="2:6" s="155" customFormat="1">
      <c r="B233" s="185"/>
      <c r="F233" s="185"/>
    </row>
    <row r="234" spans="2:6" s="155" customFormat="1">
      <c r="B234" s="185"/>
      <c r="F234" s="185"/>
    </row>
    <row r="235" spans="2:6" s="155" customFormat="1">
      <c r="B235" s="185"/>
      <c r="F235" s="185"/>
    </row>
    <row r="236" spans="2:6" s="155" customFormat="1">
      <c r="B236" s="185"/>
      <c r="F236" s="185"/>
    </row>
    <row r="237" spans="2:6" s="155" customFormat="1">
      <c r="B237" s="185"/>
      <c r="F237" s="185"/>
    </row>
    <row r="238" spans="2:6" s="155" customFormat="1">
      <c r="B238" s="185"/>
      <c r="F238" s="185"/>
    </row>
    <row r="239" spans="2:6" s="155" customFormat="1">
      <c r="B239" s="185"/>
      <c r="F239" s="185"/>
    </row>
    <row r="240" spans="2:6" s="155" customFormat="1">
      <c r="B240" s="185"/>
      <c r="F240" s="185"/>
    </row>
    <row r="241" spans="2:6" s="155" customFormat="1">
      <c r="B241" s="185"/>
      <c r="F241" s="185"/>
    </row>
    <row r="242" spans="2:6" s="155" customFormat="1">
      <c r="B242" s="185"/>
      <c r="F242" s="185"/>
    </row>
    <row r="243" spans="2:6" s="155" customFormat="1">
      <c r="B243" s="185"/>
      <c r="F243" s="185"/>
    </row>
    <row r="244" spans="2:6" s="155" customFormat="1">
      <c r="B244" s="185"/>
      <c r="F244" s="185"/>
    </row>
    <row r="245" spans="2:6" s="155" customFormat="1">
      <c r="B245" s="185"/>
      <c r="F245" s="185"/>
    </row>
    <row r="246" spans="2:6" s="155" customFormat="1">
      <c r="B246" s="185"/>
      <c r="F246" s="185"/>
    </row>
    <row r="247" spans="2:6" s="155" customFormat="1">
      <c r="B247" s="185"/>
      <c r="F247" s="185"/>
    </row>
    <row r="248" spans="2:6" s="155" customFormat="1">
      <c r="B248" s="185"/>
      <c r="F248" s="185"/>
    </row>
    <row r="249" spans="2:6" s="155" customFormat="1">
      <c r="B249" s="185"/>
      <c r="F249" s="185"/>
    </row>
    <row r="250" spans="2:6" s="155" customFormat="1">
      <c r="B250" s="185"/>
      <c r="F250" s="185"/>
    </row>
    <row r="251" spans="2:6" s="155" customFormat="1">
      <c r="B251" s="185"/>
      <c r="F251" s="185"/>
    </row>
    <row r="252" spans="2:6" s="155" customFormat="1">
      <c r="B252" s="185"/>
      <c r="F252" s="185"/>
    </row>
    <row r="253" spans="2:6" s="155" customFormat="1">
      <c r="B253" s="185"/>
      <c r="F253" s="185"/>
    </row>
    <row r="254" spans="2:6" s="155" customFormat="1">
      <c r="B254" s="185"/>
      <c r="F254" s="185"/>
    </row>
    <row r="255" spans="2:6" s="155" customFormat="1">
      <c r="B255" s="185"/>
      <c r="F255" s="185"/>
    </row>
    <row r="256" spans="2:6" s="155" customFormat="1">
      <c r="B256" s="185"/>
      <c r="F256" s="185"/>
    </row>
    <row r="257" spans="2:6" s="155" customFormat="1">
      <c r="B257" s="185"/>
      <c r="F257" s="185"/>
    </row>
    <row r="258" spans="2:6" s="155" customFormat="1">
      <c r="B258" s="185"/>
      <c r="F258" s="185"/>
    </row>
    <row r="259" spans="2:6" s="155" customFormat="1">
      <c r="B259" s="185"/>
      <c r="F259" s="185"/>
    </row>
    <row r="260" spans="2:6" s="155" customFormat="1">
      <c r="B260" s="185"/>
      <c r="F260" s="185"/>
    </row>
    <row r="261" spans="2:6" s="155" customFormat="1">
      <c r="B261" s="185"/>
      <c r="F261" s="185"/>
    </row>
    <row r="262" spans="2:6" s="155" customFormat="1">
      <c r="B262" s="185"/>
      <c r="F262" s="185"/>
    </row>
    <row r="263" spans="2:6" s="155" customFormat="1">
      <c r="B263" s="185"/>
      <c r="F263" s="185"/>
    </row>
    <row r="264" spans="2:6" s="155" customFormat="1">
      <c r="B264" s="185"/>
      <c r="F264" s="185"/>
    </row>
    <row r="265" spans="2:6" s="155" customFormat="1">
      <c r="B265" s="185"/>
      <c r="F265" s="185"/>
    </row>
    <row r="266" spans="2:6" s="155" customFormat="1">
      <c r="B266" s="185"/>
      <c r="F266" s="185"/>
    </row>
    <row r="267" spans="2:6" s="155" customFormat="1">
      <c r="B267" s="185"/>
      <c r="F267" s="185"/>
    </row>
    <row r="268" spans="2:6" s="155" customFormat="1">
      <c r="B268" s="185"/>
      <c r="F268" s="185"/>
    </row>
    <row r="269" spans="2:6" s="155" customFormat="1">
      <c r="B269" s="185"/>
      <c r="F269" s="185"/>
    </row>
    <row r="270" spans="2:6" s="155" customFormat="1">
      <c r="B270" s="185"/>
      <c r="F270" s="185"/>
    </row>
    <row r="271" spans="2:6" s="155" customFormat="1">
      <c r="B271" s="185"/>
      <c r="F271" s="185"/>
    </row>
    <row r="272" spans="2:6" s="155" customFormat="1">
      <c r="B272" s="185"/>
      <c r="F272" s="185"/>
    </row>
    <row r="273" spans="2:6" s="155" customFormat="1">
      <c r="B273" s="185"/>
      <c r="F273" s="185"/>
    </row>
    <row r="274" spans="2:6" s="155" customFormat="1">
      <c r="B274" s="185"/>
      <c r="F274" s="185"/>
    </row>
    <row r="275" spans="2:6" s="155" customFormat="1">
      <c r="B275" s="185"/>
      <c r="F275" s="185"/>
    </row>
    <row r="276" spans="2:6" s="155" customFormat="1">
      <c r="B276" s="185"/>
      <c r="F276" s="185"/>
    </row>
    <row r="277" spans="2:6" s="155" customFormat="1">
      <c r="B277" s="185"/>
      <c r="F277" s="185"/>
    </row>
    <row r="278" spans="2:6" s="155" customFormat="1">
      <c r="B278" s="185"/>
      <c r="F278" s="185"/>
    </row>
    <row r="279" spans="2:6" s="155" customFormat="1">
      <c r="B279" s="185"/>
      <c r="F279" s="185"/>
    </row>
    <row r="280" spans="2:6" s="155" customFormat="1">
      <c r="B280" s="185"/>
      <c r="F280" s="185"/>
    </row>
    <row r="281" spans="2:6" s="155" customFormat="1">
      <c r="B281" s="185"/>
      <c r="F281" s="185"/>
    </row>
    <row r="282" spans="2:6" s="155" customFormat="1">
      <c r="B282" s="185"/>
      <c r="F282" s="185"/>
    </row>
    <row r="283" spans="2:6" s="155" customFormat="1">
      <c r="B283" s="185"/>
      <c r="F283" s="185"/>
    </row>
    <row r="284" spans="2:6" s="155" customFormat="1">
      <c r="B284" s="185"/>
      <c r="F284" s="185"/>
    </row>
    <row r="285" spans="2:6" s="155" customFormat="1">
      <c r="B285" s="185"/>
      <c r="F285" s="185"/>
    </row>
    <row r="286" spans="2:6" s="155" customFormat="1">
      <c r="B286" s="185"/>
      <c r="F286" s="185"/>
    </row>
    <row r="287" spans="2:6" s="155" customFormat="1">
      <c r="B287" s="185"/>
      <c r="F287" s="185"/>
    </row>
    <row r="288" spans="2:6" s="155" customFormat="1">
      <c r="B288" s="185"/>
      <c r="F288" s="185"/>
    </row>
    <row r="289" spans="2:6" s="155" customFormat="1">
      <c r="B289" s="185"/>
      <c r="F289" s="185"/>
    </row>
    <row r="290" spans="2:6" s="155" customFormat="1">
      <c r="B290" s="185"/>
      <c r="F290" s="185"/>
    </row>
    <row r="291" spans="2:6" s="155" customFormat="1">
      <c r="B291" s="185"/>
      <c r="F291" s="185"/>
    </row>
    <row r="292" spans="2:6" s="155" customFormat="1">
      <c r="B292" s="185"/>
      <c r="F292" s="185"/>
    </row>
    <row r="293" spans="2:6" s="155" customFormat="1">
      <c r="B293" s="185"/>
      <c r="F293" s="185"/>
    </row>
    <row r="294" spans="2:6" s="155" customFormat="1">
      <c r="B294" s="185"/>
      <c r="F294" s="185"/>
    </row>
    <row r="295" spans="2:6" s="155" customFormat="1">
      <c r="B295" s="185"/>
      <c r="F295" s="185"/>
    </row>
    <row r="296" spans="2:6" s="155" customFormat="1">
      <c r="B296" s="185"/>
      <c r="F296" s="185"/>
    </row>
    <row r="297" spans="2:6" s="155" customFormat="1">
      <c r="B297" s="185"/>
      <c r="F297" s="185"/>
    </row>
    <row r="298" spans="2:6" s="155" customFormat="1">
      <c r="B298" s="185"/>
      <c r="F298" s="185"/>
    </row>
    <row r="299" spans="2:6" s="155" customFormat="1">
      <c r="B299" s="185"/>
      <c r="F299" s="185"/>
    </row>
    <row r="300" spans="2:6" s="155" customFormat="1">
      <c r="B300" s="185"/>
      <c r="F300" s="185"/>
    </row>
    <row r="301" spans="2:6" s="155" customFormat="1">
      <c r="B301" s="185"/>
      <c r="F301" s="185"/>
    </row>
    <row r="302" spans="2:6" s="155" customFormat="1">
      <c r="B302" s="185"/>
      <c r="F302" s="185"/>
    </row>
    <row r="303" spans="2:6" s="155" customFormat="1">
      <c r="B303" s="185"/>
      <c r="F303" s="185"/>
    </row>
    <row r="304" spans="2:6" s="155" customFormat="1">
      <c r="B304" s="185"/>
      <c r="F304" s="185"/>
    </row>
    <row r="305" spans="2:6" s="155" customFormat="1">
      <c r="B305" s="185"/>
      <c r="F305" s="185"/>
    </row>
    <row r="306" spans="2:6" s="155" customFormat="1">
      <c r="B306" s="185"/>
      <c r="F306" s="185"/>
    </row>
    <row r="307" spans="2:6" s="155" customFormat="1">
      <c r="B307" s="185"/>
      <c r="F307" s="185"/>
    </row>
    <row r="308" spans="2:6" s="155" customFormat="1">
      <c r="B308" s="185"/>
      <c r="F308" s="185"/>
    </row>
    <row r="309" spans="2:6" s="155" customFormat="1">
      <c r="B309" s="185"/>
      <c r="F309" s="185"/>
    </row>
    <row r="310" spans="2:6" s="155" customFormat="1">
      <c r="B310" s="185"/>
      <c r="F310" s="185"/>
    </row>
    <row r="311" spans="2:6" s="155" customFormat="1">
      <c r="B311" s="185"/>
      <c r="F311" s="185"/>
    </row>
  </sheetData>
  <mergeCells count="9">
    <mergeCell ref="A11:F11"/>
    <mergeCell ref="B93:C93"/>
    <mergeCell ref="B94:D94"/>
    <mergeCell ref="D1:G1"/>
    <mergeCell ref="A2:M2"/>
    <mergeCell ref="A3:M3"/>
    <mergeCell ref="A4:M4"/>
    <mergeCell ref="F6:G6"/>
    <mergeCell ref="J6:K6"/>
  </mergeCells>
  <pageMargins left="0.7" right="0.7" top="0.75" bottom="0.75" header="0.3" footer="0.3"/>
  <pageSetup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887D659DE22543A2760D28314F79CB" ma:contentTypeVersion="132" ma:contentTypeDescription="" ma:contentTypeScope="" ma:versionID="4a96f96fb5d3ed2f60b433e89abd5b1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2007-12-03T08:00:00+00:00</OpenedDate>
    <Date1 xmlns="dc463f71-b30c-4ab2-9473-d307f9d35888">2008-07-02T07:00:00+00:00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072300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4E45B37-D92D-4B41-A845-6BFF2B0E87CA}"/>
</file>

<file path=customXml/itemProps2.xml><?xml version="1.0" encoding="utf-8"?>
<ds:datastoreItem xmlns:ds="http://schemas.openxmlformats.org/officeDocument/2006/customXml" ds:itemID="{1737D1F3-0738-41B1-AFB3-48B8A8FE17FE}"/>
</file>

<file path=customXml/itemProps3.xml><?xml version="1.0" encoding="utf-8"?>
<ds:datastoreItem xmlns:ds="http://schemas.openxmlformats.org/officeDocument/2006/customXml" ds:itemID="{3257A7BE-E724-4E3A-BC72-18BD212A45A5}"/>
</file>

<file path=customXml/itemProps4.xml><?xml version="1.0" encoding="utf-8"?>
<ds:datastoreItem xmlns:ds="http://schemas.openxmlformats.org/officeDocument/2006/customXml" ds:itemID="{E5BA73CC-DE0D-41B7-AC5A-5F79EEB11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Schedule 1</vt:lpstr>
      <vt:lpstr>Schedule 2</vt:lpstr>
      <vt:lpstr>Schedule 3</vt:lpstr>
      <vt:lpstr>Schedule 4</vt:lpstr>
      <vt:lpstr>'Schedule 3'!Print_Area</vt:lpstr>
      <vt:lpstr>'Schedule 1'!Print_Titles</vt:lpstr>
      <vt:lpstr>'Schedule 3'!Print_Titles</vt:lpstr>
      <vt:lpstr>'Schedule 4'!Print_Titles</vt:lpstr>
    </vt:vector>
  </TitlesOfParts>
  <Company>Snavely King Majoros O'Connor &amp; Lee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Snavely King Laptop</dc:creator>
  <cp:lastModifiedBy>carolw</cp:lastModifiedBy>
  <cp:lastPrinted>2008-06-30T14:17:49Z</cp:lastPrinted>
  <dcterms:created xsi:type="dcterms:W3CDTF">2008-04-23T20:55:14Z</dcterms:created>
  <dcterms:modified xsi:type="dcterms:W3CDTF">2008-06-30T14:21:22Z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0x0101006E56B4D1795A2E4DB2F0B01679ED314A00CF887D659DE22543A2760D28314F79CB</vt:lpwstr>
  </property>
  <property fmtid="{D5CDD505-2E9C-101B-9397-08002B2CF9AE}" pid="3" name="_docset_NoMedatataSyncRequired">
    <vt:lpwstr>False</vt:lpwstr>
  </property>
</Properties>
</file>