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codeName="ThisWorkbook" defaultThemeVersion="124226"/>
  <bookViews>
    <workbookView xWindow="-15" yWindow="-15" windowWidth="9705" windowHeight="7305" tabRatio="731" activeTab="3"/>
  </bookViews>
  <sheets>
    <sheet name="PF 2016" sheetId="20" r:id="rId1"/>
    <sheet name="WGJ-2" sheetId="1" r:id="rId2"/>
    <sheet name="WGJ-4" sheetId="16" r:id="rId3"/>
    <sheet name="WGJ-5" sheetId="19" r:id="rId4"/>
    <sheet name="Aurora" sheetId="18" r:id="rId5"/>
    <sheet name="Index" sheetId="17" r:id="rId6"/>
  </sheets>
  <definedNames>
    <definedName name="_xlnm.Print_Area" localSheetId="5">Index!$A$23:$O$59</definedName>
    <definedName name="_xlnm.Print_Area" localSheetId="0">'PF 2016'!$A$1:$J$47</definedName>
    <definedName name="_xlnm.Print_Area" localSheetId="1">'WGJ-2'!$A$1:$F$114</definedName>
    <definedName name="_xlnm.Print_Area" localSheetId="2">'WGJ-4'!$A$1:$O$57</definedName>
    <definedName name="_xlnm.Print_Titles" localSheetId="1">'WGJ-2'!$1:$7</definedName>
  </definedNames>
  <calcPr calcId="125725"/>
</workbook>
</file>

<file path=xl/calcChain.xml><?xml version="1.0" encoding="utf-8"?>
<calcChain xmlns="http://schemas.openxmlformats.org/spreadsheetml/2006/main">
  <c r="H30" i="20"/>
  <c r="J30"/>
  <c r="F30"/>
  <c r="D30"/>
  <c r="D29"/>
  <c r="D28"/>
  <c r="D27" s="1"/>
  <c r="D22"/>
  <c r="D21"/>
  <c r="D19"/>
  <c r="E15"/>
  <c r="D15"/>
  <c r="D12"/>
  <c r="D11"/>
  <c r="F12" l="1"/>
  <c r="H12" s="1"/>
  <c r="F29"/>
  <c r="E28"/>
  <c r="E31" s="1"/>
  <c r="F28"/>
  <c r="J28" s="1"/>
  <c r="F26"/>
  <c r="H26" s="1"/>
  <c r="J25"/>
  <c r="F25"/>
  <c r="H25" s="1"/>
  <c r="J24"/>
  <c r="H24"/>
  <c r="F24"/>
  <c r="H22"/>
  <c r="F22"/>
  <c r="H21"/>
  <c r="F21"/>
  <c r="H20"/>
  <c r="F20"/>
  <c r="F19"/>
  <c r="H19" s="1"/>
  <c r="E16"/>
  <c r="H15"/>
  <c r="F15"/>
  <c r="H13"/>
  <c r="F13"/>
  <c r="F11"/>
  <c r="H11" s="1"/>
  <c r="J9"/>
  <c r="J29" l="1"/>
  <c r="H29"/>
  <c r="E33"/>
  <c r="J11"/>
  <c r="J26"/>
  <c r="H28"/>
  <c r="J12"/>
  <c r="J19"/>
  <c r="J13"/>
  <c r="J15"/>
  <c r="J20"/>
  <c r="J21"/>
  <c r="J22"/>
  <c r="F27" l="1"/>
  <c r="H27" l="1"/>
  <c r="J27"/>
  <c r="N28" i="19" l="1"/>
  <c r="C28"/>
  <c r="D28"/>
  <c r="E28"/>
  <c r="F28"/>
  <c r="G28"/>
  <c r="H28"/>
  <c r="I28"/>
  <c r="J28"/>
  <c r="K28"/>
  <c r="L28"/>
  <c r="M28"/>
  <c r="B26"/>
  <c r="D26"/>
  <c r="E26"/>
  <c r="F26"/>
  <c r="G26"/>
  <c r="H26"/>
  <c r="I26"/>
  <c r="J26"/>
  <c r="K26"/>
  <c r="L26"/>
  <c r="M26"/>
  <c r="N26"/>
  <c r="C26"/>
  <c r="V82" i="1" l="1"/>
  <c r="U82"/>
  <c r="T82"/>
  <c r="S82"/>
  <c r="R82"/>
  <c r="Q82"/>
  <c r="P82"/>
  <c r="O82"/>
  <c r="N82"/>
  <c r="M82"/>
  <c r="L82"/>
  <c r="K82"/>
  <c r="J81"/>
  <c r="J82" s="1"/>
  <c r="J80"/>
  <c r="F80"/>
  <c r="A84"/>
  <c r="D82"/>
  <c r="A82"/>
  <c r="A81"/>
  <c r="A80"/>
  <c r="B37" i="19"/>
  <c r="E80" i="1" l="1"/>
  <c r="F81"/>
  <c r="E81" s="1"/>
  <c r="L51"/>
  <c r="M51"/>
  <c r="N51"/>
  <c r="O51"/>
  <c r="P51"/>
  <c r="Q51"/>
  <c r="R51"/>
  <c r="S51"/>
  <c r="T51"/>
  <c r="U51"/>
  <c r="V51"/>
  <c r="K51"/>
  <c r="L52"/>
  <c r="M52"/>
  <c r="N52"/>
  <c r="O52"/>
  <c r="P52"/>
  <c r="Q52"/>
  <c r="R52"/>
  <c r="S52"/>
  <c r="T52"/>
  <c r="U52"/>
  <c r="V52"/>
  <c r="K52"/>
  <c r="E34"/>
  <c r="A35"/>
  <c r="A34"/>
  <c r="L94"/>
  <c r="M94"/>
  <c r="N94"/>
  <c r="O94"/>
  <c r="P94"/>
  <c r="Q94"/>
  <c r="R94"/>
  <c r="S94"/>
  <c r="T94"/>
  <c r="U94"/>
  <c r="V94"/>
  <c r="K94"/>
  <c r="F94"/>
  <c r="C21" i="17"/>
  <c r="C19"/>
  <c r="E21"/>
  <c r="F21"/>
  <c r="G21"/>
  <c r="H21"/>
  <c r="I21"/>
  <c r="J21"/>
  <c r="K21"/>
  <c r="L21"/>
  <c r="M21"/>
  <c r="N21"/>
  <c r="O21"/>
  <c r="D21"/>
  <c r="E20"/>
  <c r="F20"/>
  <c r="G20"/>
  <c r="H20"/>
  <c r="I20"/>
  <c r="J20"/>
  <c r="K20"/>
  <c r="L20"/>
  <c r="M20"/>
  <c r="N20"/>
  <c r="O20"/>
  <c r="D20"/>
  <c r="C11"/>
  <c r="F82" i="1" l="1"/>
  <c r="E82"/>
  <c r="F84"/>
  <c r="L72"/>
  <c r="M72"/>
  <c r="N72"/>
  <c r="O72"/>
  <c r="P72"/>
  <c r="Q72"/>
  <c r="R72"/>
  <c r="S72"/>
  <c r="T72"/>
  <c r="U72"/>
  <c r="V72"/>
  <c r="K72"/>
  <c r="L66" l="1"/>
  <c r="M66"/>
  <c r="N66"/>
  <c r="O66"/>
  <c r="P66"/>
  <c r="Q66"/>
  <c r="R66"/>
  <c r="S66"/>
  <c r="T66"/>
  <c r="U66"/>
  <c r="V66"/>
  <c r="K66"/>
  <c r="L53"/>
  <c r="M53"/>
  <c r="N53"/>
  <c r="O53"/>
  <c r="P53"/>
  <c r="Q53"/>
  <c r="R53"/>
  <c r="S53"/>
  <c r="T53"/>
  <c r="U53"/>
  <c r="V53"/>
  <c r="K53"/>
  <c r="L32"/>
  <c r="M32"/>
  <c r="N32"/>
  <c r="O32"/>
  <c r="P32"/>
  <c r="Q32"/>
  <c r="R32"/>
  <c r="S32"/>
  <c r="T32"/>
  <c r="U32"/>
  <c r="V32"/>
  <c r="K32"/>
  <c r="L13" l="1"/>
  <c r="M13"/>
  <c r="N13"/>
  <c r="O13"/>
  <c r="P13"/>
  <c r="Q13"/>
  <c r="R13"/>
  <c r="S13"/>
  <c r="T13"/>
  <c r="U13"/>
  <c r="V13"/>
  <c r="K13"/>
  <c r="H63" i="17" l="1"/>
  <c r="I63"/>
  <c r="J63"/>
  <c r="K63"/>
  <c r="L63"/>
  <c r="M63"/>
  <c r="N63"/>
  <c r="O63"/>
  <c r="E63"/>
  <c r="F63"/>
  <c r="G63"/>
  <c r="D63"/>
  <c r="L71" i="1" l="1"/>
  <c r="M71"/>
  <c r="N71"/>
  <c r="O71"/>
  <c r="P71"/>
  <c r="Q71"/>
  <c r="R71"/>
  <c r="S71"/>
  <c r="T71"/>
  <c r="U71"/>
  <c r="V71"/>
  <c r="K71"/>
  <c r="L65" l="1"/>
  <c r="M65"/>
  <c r="N65"/>
  <c r="O65"/>
  <c r="P65"/>
  <c r="Q65"/>
  <c r="R65"/>
  <c r="S65"/>
  <c r="T65"/>
  <c r="U65"/>
  <c r="V65"/>
  <c r="K65"/>
  <c r="J54"/>
  <c r="L50" l="1"/>
  <c r="M50"/>
  <c r="N50"/>
  <c r="O50"/>
  <c r="P50"/>
  <c r="Q50"/>
  <c r="R50"/>
  <c r="S50"/>
  <c r="T50"/>
  <c r="U50"/>
  <c r="V50"/>
  <c r="K50"/>
  <c r="L41"/>
  <c r="M41"/>
  <c r="N41"/>
  <c r="O41"/>
  <c r="P41"/>
  <c r="Q41"/>
  <c r="R41"/>
  <c r="S41"/>
  <c r="T41"/>
  <c r="U41"/>
  <c r="V41"/>
  <c r="K41"/>
  <c r="J24"/>
  <c r="J25"/>
  <c r="J26"/>
  <c r="J27"/>
  <c r="E52" l="1"/>
  <c r="C67" i="17"/>
  <c r="C62"/>
  <c r="E26" l="1"/>
  <c r="F26"/>
  <c r="G26"/>
  <c r="H26"/>
  <c r="I26"/>
  <c r="J26"/>
  <c r="K26"/>
  <c r="L26"/>
  <c r="M26"/>
  <c r="N26"/>
  <c r="O26"/>
  <c r="D26"/>
  <c r="E68"/>
  <c r="E69" s="1"/>
  <c r="L14" i="1" s="1"/>
  <c r="F68" i="17"/>
  <c r="G68"/>
  <c r="G69" s="1"/>
  <c r="N14" i="1" s="1"/>
  <c r="H68" i="17"/>
  <c r="H69" s="1"/>
  <c r="O14" i="1" s="1"/>
  <c r="I68" i="17"/>
  <c r="I69" s="1"/>
  <c r="P14" i="1" s="1"/>
  <c r="J68" i="17"/>
  <c r="J69" s="1"/>
  <c r="Q14" i="1" s="1"/>
  <c r="K68" i="17"/>
  <c r="K69" s="1"/>
  <c r="R14" i="1" s="1"/>
  <c r="L68" i="17"/>
  <c r="L69" s="1"/>
  <c r="S14" i="1" s="1"/>
  <c r="M68" i="17"/>
  <c r="M69" s="1"/>
  <c r="T14" i="1" s="1"/>
  <c r="N68" i="17"/>
  <c r="N69" s="1"/>
  <c r="U14" i="1" s="1"/>
  <c r="O68" i="17"/>
  <c r="O69" s="1"/>
  <c r="V14" i="1" s="1"/>
  <c r="F69" i="17"/>
  <c r="M14" i="1" s="1"/>
  <c r="E64" i="17"/>
  <c r="L12" i="1" s="1"/>
  <c r="G64" i="17"/>
  <c r="N12" i="1" s="1"/>
  <c r="H64" i="17"/>
  <c r="O12" i="1" s="1"/>
  <c r="I64" i="17"/>
  <c r="P12" i="1" s="1"/>
  <c r="J64" i="17"/>
  <c r="Q12" i="1" s="1"/>
  <c r="K64" i="17"/>
  <c r="R12" i="1" s="1"/>
  <c r="L64" i="17"/>
  <c r="S12" i="1" s="1"/>
  <c r="M64" i="17"/>
  <c r="T12" i="1" s="1"/>
  <c r="N64" i="17"/>
  <c r="U12" i="1" s="1"/>
  <c r="O64" i="17"/>
  <c r="V12" i="1" s="1"/>
  <c r="F64" i="17"/>
  <c r="M12" i="1" s="1"/>
  <c r="D68" i="17"/>
  <c r="D69" s="1"/>
  <c r="K14" i="1" s="1"/>
  <c r="D64" i="17"/>
  <c r="K12" i="1" s="1"/>
  <c r="C10" i="17"/>
  <c r="C69" l="1"/>
  <c r="F14" i="1" s="1"/>
  <c r="C64" i="17"/>
  <c r="F12" i="1" s="1"/>
  <c r="E15" i="17" l="1"/>
  <c r="E16" s="1"/>
  <c r="F15"/>
  <c r="F16" s="1"/>
  <c r="G15"/>
  <c r="G16" s="1"/>
  <c r="M15"/>
  <c r="M16" s="1"/>
  <c r="N15"/>
  <c r="N16" s="1"/>
  <c r="E33" l="1"/>
  <c r="F33"/>
  <c r="G33"/>
  <c r="H33"/>
  <c r="I33"/>
  <c r="J33"/>
  <c r="K33"/>
  <c r="L33"/>
  <c r="M33"/>
  <c r="N33"/>
  <c r="O33"/>
  <c r="D33"/>
  <c r="E100" i="1" l="1"/>
  <c r="E33"/>
  <c r="E35"/>
  <c r="E27" l="1"/>
  <c r="E54" l="1"/>
  <c r="E24" l="1"/>
  <c r="E24" i="17" l="1"/>
  <c r="F24"/>
  <c r="G24"/>
  <c r="H24"/>
  <c r="I24"/>
  <c r="J24"/>
  <c r="K24"/>
  <c r="L24"/>
  <c r="M24"/>
  <c r="N24"/>
  <c r="O24"/>
  <c r="D24"/>
  <c r="D32" i="19"/>
  <c r="E32"/>
  <c r="F32"/>
  <c r="G32"/>
  <c r="H32"/>
  <c r="I32"/>
  <c r="J32"/>
  <c r="K32"/>
  <c r="L32"/>
  <c r="M32"/>
  <c r="N32"/>
  <c r="C32"/>
  <c r="L99" i="1" l="1"/>
  <c r="M99"/>
  <c r="N99"/>
  <c r="O99"/>
  <c r="P99"/>
  <c r="Q99"/>
  <c r="R99"/>
  <c r="S99"/>
  <c r="T99"/>
  <c r="U99"/>
  <c r="V99"/>
  <c r="K99"/>
  <c r="J99" l="1"/>
  <c r="D24" i="19" l="1"/>
  <c r="E24"/>
  <c r="F24"/>
  <c r="G24"/>
  <c r="H24"/>
  <c r="I24"/>
  <c r="J24"/>
  <c r="K24"/>
  <c r="L24"/>
  <c r="M24"/>
  <c r="N24"/>
  <c r="C24"/>
  <c r="J12" i="1" l="1"/>
  <c r="V20"/>
  <c r="U20"/>
  <c r="T20"/>
  <c r="S20"/>
  <c r="R20"/>
  <c r="Q20"/>
  <c r="P20"/>
  <c r="O20"/>
  <c r="N20"/>
  <c r="M20"/>
  <c r="L20"/>
  <c r="K20"/>
  <c r="E53" l="1"/>
  <c r="E56" i="17"/>
  <c r="F56"/>
  <c r="G56"/>
  <c r="H56"/>
  <c r="I56"/>
  <c r="J56"/>
  <c r="K56"/>
  <c r="L56"/>
  <c r="M56"/>
  <c r="N56"/>
  <c r="O56"/>
  <c r="D56"/>
  <c r="E12" i="1"/>
  <c r="J51" l="1"/>
  <c r="J14"/>
  <c r="J28"/>
  <c r="E51"/>
  <c r="B24" i="19"/>
  <c r="J89" i="1"/>
  <c r="E89"/>
  <c r="A9"/>
  <c r="A10" s="1"/>
  <c r="A11" s="1"/>
  <c r="A12" s="1"/>
  <c r="D33" i="16"/>
  <c r="K18" i="1" s="1"/>
  <c r="E33" i="16"/>
  <c r="L18" i="1" s="1"/>
  <c r="F33" i="16"/>
  <c r="M18" i="1" s="1"/>
  <c r="G33" i="16"/>
  <c r="N18" i="1" s="1"/>
  <c r="H33" i="16"/>
  <c r="O18" i="1" s="1"/>
  <c r="I33" i="16"/>
  <c r="P18" i="1" s="1"/>
  <c r="J33" i="16"/>
  <c r="Q18" i="1" s="1"/>
  <c r="K33" i="16"/>
  <c r="R18" i="1" s="1"/>
  <c r="L33" i="16"/>
  <c r="S18" i="1" s="1"/>
  <c r="M33" i="16"/>
  <c r="T18" i="1" s="1"/>
  <c r="N33" i="16"/>
  <c r="U18" i="1" s="1"/>
  <c r="O33" i="16"/>
  <c r="V18" i="1" s="1"/>
  <c r="D96"/>
  <c r="E14"/>
  <c r="E36" i="17"/>
  <c r="D6"/>
  <c r="D15" s="1"/>
  <c r="D16" s="1"/>
  <c r="K91" i="1" s="1"/>
  <c r="H6" i="17"/>
  <c r="H15" s="1"/>
  <c r="I6"/>
  <c r="I15" s="1"/>
  <c r="I16" s="1"/>
  <c r="P91" i="1" s="1"/>
  <c r="J6" i="17"/>
  <c r="J15" s="1"/>
  <c r="K6"/>
  <c r="K15" s="1"/>
  <c r="K16" s="1"/>
  <c r="R91" i="1" s="1"/>
  <c r="L6" i="17"/>
  <c r="L15" s="1"/>
  <c r="O6"/>
  <c r="O15" s="1"/>
  <c r="O16" s="1"/>
  <c r="V91" i="1" s="1"/>
  <c r="E48" i="17"/>
  <c r="F36"/>
  <c r="G36"/>
  <c r="H36"/>
  <c r="I36"/>
  <c r="J36"/>
  <c r="K36"/>
  <c r="L36"/>
  <c r="M36"/>
  <c r="N36"/>
  <c r="O36"/>
  <c r="D36"/>
  <c r="L74" i="1"/>
  <c r="M74"/>
  <c r="E20" i="19" s="1"/>
  <c r="N74" i="1"/>
  <c r="F20" i="19" s="1"/>
  <c r="O74" i="1"/>
  <c r="G20" i="19" s="1"/>
  <c r="P74" i="1"/>
  <c r="H20" i="19" s="1"/>
  <c r="Q74" i="1"/>
  <c r="I20" i="19" s="1"/>
  <c r="R74" i="1"/>
  <c r="J20" i="19" s="1"/>
  <c r="S74" i="1"/>
  <c r="K20" i="19" s="1"/>
  <c r="T74" i="1"/>
  <c r="L20" i="19" s="1"/>
  <c r="U74" i="1"/>
  <c r="M20" i="19" s="1"/>
  <c r="V74" i="1"/>
  <c r="N20" i="19" s="1"/>
  <c r="K74" i="1"/>
  <c r="C20" i="19" s="1"/>
  <c r="B22"/>
  <c r="B28" s="1"/>
  <c r="J95" i="1"/>
  <c r="J88"/>
  <c r="J17"/>
  <c r="J19"/>
  <c r="J11"/>
  <c r="E35" i="16"/>
  <c r="L49" i="1" s="1"/>
  <c r="F35" i="16"/>
  <c r="M49" i="1" s="1"/>
  <c r="G35" i="16"/>
  <c r="N49" i="1" s="1"/>
  <c r="H35" i="16"/>
  <c r="O49" i="1" s="1"/>
  <c r="I35" i="16"/>
  <c r="P49" i="1" s="1"/>
  <c r="J35" i="16"/>
  <c r="Q49" i="1" s="1"/>
  <c r="K35" i="16"/>
  <c r="R49" i="1" s="1"/>
  <c r="L35" i="16"/>
  <c r="S49" i="1" s="1"/>
  <c r="M35" i="16"/>
  <c r="T49" i="1" s="1"/>
  <c r="N35" i="16"/>
  <c r="U49" i="1" s="1"/>
  <c r="O35" i="16"/>
  <c r="V49" i="1" s="1"/>
  <c r="D35" i="16"/>
  <c r="K49" i="1" s="1"/>
  <c r="J50"/>
  <c r="C29" i="17"/>
  <c r="C28"/>
  <c r="E11" i="1"/>
  <c r="D23" i="16"/>
  <c r="K42" i="1" s="1"/>
  <c r="D27" i="16"/>
  <c r="D31"/>
  <c r="K47" i="1" s="1"/>
  <c r="D39" i="16"/>
  <c r="D43"/>
  <c r="K58" i="1" s="1"/>
  <c r="D47" i="16"/>
  <c r="K55" i="1" s="1"/>
  <c r="D51" i="16"/>
  <c r="K56" i="1" s="1"/>
  <c r="E23" i="16"/>
  <c r="L42" i="1" s="1"/>
  <c r="E27" i="16"/>
  <c r="E31"/>
  <c r="L47" i="1" s="1"/>
  <c r="E39" i="16"/>
  <c r="E43"/>
  <c r="L58" i="1" s="1"/>
  <c r="E47" i="16"/>
  <c r="E51"/>
  <c r="L56" i="1" s="1"/>
  <c r="F23" i="16"/>
  <c r="M42" i="1" s="1"/>
  <c r="F27" i="16"/>
  <c r="F31"/>
  <c r="M47" i="1" s="1"/>
  <c r="F39" i="16"/>
  <c r="F43"/>
  <c r="F47"/>
  <c r="M55" i="1" s="1"/>
  <c r="F51" i="16"/>
  <c r="G23"/>
  <c r="G27"/>
  <c r="N40" i="1" s="1"/>
  <c r="G31" i="16"/>
  <c r="G39"/>
  <c r="N57" i="1" s="1"/>
  <c r="G43" i="16"/>
  <c r="G47"/>
  <c r="N55" i="1" s="1"/>
  <c r="G51" i="16"/>
  <c r="N56" i="1" s="1"/>
  <c r="H23" i="16"/>
  <c r="O42" i="1" s="1"/>
  <c r="H27" i="16"/>
  <c r="O40" i="1" s="1"/>
  <c r="H31" i="16"/>
  <c r="O47" i="1" s="1"/>
  <c r="H39" i="16"/>
  <c r="O57" i="1" s="1"/>
  <c r="H43" i="16"/>
  <c r="O58" i="1" s="1"/>
  <c r="H47" i="16"/>
  <c r="H51"/>
  <c r="O56" i="1" s="1"/>
  <c r="I23" i="16"/>
  <c r="P42" i="1" s="1"/>
  <c r="I27" i="16"/>
  <c r="P40" i="1" s="1"/>
  <c r="I31" i="16"/>
  <c r="I39"/>
  <c r="P57" i="1" s="1"/>
  <c r="I43" i="16"/>
  <c r="I47"/>
  <c r="P55" i="1" s="1"/>
  <c r="I51" i="16"/>
  <c r="P56" i="1" s="1"/>
  <c r="J23" i="16"/>
  <c r="Q42" i="1" s="1"/>
  <c r="J27" i="16"/>
  <c r="Q40" i="1" s="1"/>
  <c r="J31" i="16"/>
  <c r="Q47" i="1" s="1"/>
  <c r="J39" i="16"/>
  <c r="Q57" i="1" s="1"/>
  <c r="J43" i="16"/>
  <c r="Q58" i="1" s="1"/>
  <c r="J47" i="16"/>
  <c r="Q55" i="1" s="1"/>
  <c r="J51" i="16"/>
  <c r="Q56" i="1" s="1"/>
  <c r="L23" i="16"/>
  <c r="S42" i="1" s="1"/>
  <c r="L27" i="16"/>
  <c r="S40" i="1" s="1"/>
  <c r="L31" i="16"/>
  <c r="L39"/>
  <c r="L43"/>
  <c r="L47"/>
  <c r="L51"/>
  <c r="M23"/>
  <c r="T42" i="1" s="1"/>
  <c r="M27" i="16"/>
  <c r="M31"/>
  <c r="T47" i="1" s="1"/>
  <c r="M39" i="16"/>
  <c r="T57" i="1" s="1"/>
  <c r="M43" i="16"/>
  <c r="T58" i="1" s="1"/>
  <c r="M47" i="16"/>
  <c r="M51"/>
  <c r="T56" i="1" s="1"/>
  <c r="N23" i="16"/>
  <c r="U42" i="1" s="1"/>
  <c r="N27" i="16"/>
  <c r="N31"/>
  <c r="N39"/>
  <c r="U57" i="1" s="1"/>
  <c r="N43" i="16"/>
  <c r="N47"/>
  <c r="U55" i="1" s="1"/>
  <c r="N51" i="16"/>
  <c r="U56" i="1" s="1"/>
  <c r="O23" i="16"/>
  <c r="O27"/>
  <c r="V40" i="1" s="1"/>
  <c r="O31" i="16"/>
  <c r="V47" i="1" s="1"/>
  <c r="O39" i="16"/>
  <c r="O43"/>
  <c r="V58" i="1" s="1"/>
  <c r="O47" i="16"/>
  <c r="V55" i="1" s="1"/>
  <c r="O51" i="16"/>
  <c r="V56" i="1" s="1"/>
  <c r="K23" i="16"/>
  <c r="R42" i="1" s="1"/>
  <c r="K27" i="16"/>
  <c r="R40" i="1" s="1"/>
  <c r="K31" i="16"/>
  <c r="R47" i="1" s="1"/>
  <c r="K39" i="16"/>
  <c r="K43"/>
  <c r="R58" i="1" s="1"/>
  <c r="K47" i="16"/>
  <c r="K51"/>
  <c r="R56" i="1" s="1"/>
  <c r="E17"/>
  <c r="E50"/>
  <c r="O34" i="16"/>
  <c r="E44" i="17"/>
  <c r="F44"/>
  <c r="G44"/>
  <c r="H44"/>
  <c r="I44"/>
  <c r="J44"/>
  <c r="K44"/>
  <c r="L44"/>
  <c r="M44"/>
  <c r="N44"/>
  <c r="O44"/>
  <c r="D44"/>
  <c r="B34" i="19"/>
  <c r="D21" i="16"/>
  <c r="E21"/>
  <c r="F21"/>
  <c r="G21"/>
  <c r="H21"/>
  <c r="I21"/>
  <c r="J21"/>
  <c r="K21"/>
  <c r="L21"/>
  <c r="M21"/>
  <c r="N21"/>
  <c r="O21"/>
  <c r="E88" i="1"/>
  <c r="E10"/>
  <c r="E95"/>
  <c r="D13" i="16"/>
  <c r="K9" i="1" s="1"/>
  <c r="K40"/>
  <c r="K43"/>
  <c r="K57"/>
  <c r="K48"/>
  <c r="D9" i="16"/>
  <c r="K87" i="1" s="1"/>
  <c r="K92"/>
  <c r="K93"/>
  <c r="E13" i="16"/>
  <c r="L9" i="1" s="1"/>
  <c r="L40"/>
  <c r="L43"/>
  <c r="L55"/>
  <c r="L57"/>
  <c r="L48"/>
  <c r="E9" i="16"/>
  <c r="L87" i="1" s="1"/>
  <c r="L91"/>
  <c r="L92"/>
  <c r="L93"/>
  <c r="F13" i="16"/>
  <c r="M9" i="1" s="1"/>
  <c r="M40"/>
  <c r="M43"/>
  <c r="M56"/>
  <c r="M57"/>
  <c r="M58"/>
  <c r="M48"/>
  <c r="F9" i="16"/>
  <c r="M87" i="1" s="1"/>
  <c r="M91"/>
  <c r="M92"/>
  <c r="M93"/>
  <c r="G13" i="16"/>
  <c r="N9" i="1" s="1"/>
  <c r="N42"/>
  <c r="N43"/>
  <c r="N47"/>
  <c r="N58"/>
  <c r="N48"/>
  <c r="G9" i="16"/>
  <c r="N87" i="1" s="1"/>
  <c r="N91"/>
  <c r="N92"/>
  <c r="N93"/>
  <c r="H13" i="16"/>
  <c r="O9" i="1" s="1"/>
  <c r="O43"/>
  <c r="O55"/>
  <c r="O48"/>
  <c r="H9" i="16"/>
  <c r="O87" i="1" s="1"/>
  <c r="O92"/>
  <c r="O93"/>
  <c r="I13" i="16"/>
  <c r="P9" i="1" s="1"/>
  <c r="P43"/>
  <c r="P47"/>
  <c r="P58"/>
  <c r="P48"/>
  <c r="I9" i="16"/>
  <c r="P87" i="1" s="1"/>
  <c r="P92"/>
  <c r="P93"/>
  <c r="J13" i="16"/>
  <c r="Q9" i="1" s="1"/>
  <c r="Q43"/>
  <c r="Q48"/>
  <c r="J9" i="16"/>
  <c r="Q87" i="1" s="1"/>
  <c r="Q92"/>
  <c r="Q93"/>
  <c r="K13" i="16"/>
  <c r="R9" i="1" s="1"/>
  <c r="R43"/>
  <c r="R55"/>
  <c r="R57"/>
  <c r="R48"/>
  <c r="K9" i="16"/>
  <c r="R87" i="1" s="1"/>
  <c r="R92"/>
  <c r="R93"/>
  <c r="L13" i="16"/>
  <c r="S9" i="1" s="1"/>
  <c r="S43"/>
  <c r="S47"/>
  <c r="S55"/>
  <c r="S56"/>
  <c r="S57"/>
  <c r="S58"/>
  <c r="S48"/>
  <c r="L9" i="16"/>
  <c r="S87" i="1" s="1"/>
  <c r="S92"/>
  <c r="S93"/>
  <c r="M13" i="16"/>
  <c r="T9" i="1" s="1"/>
  <c r="T40"/>
  <c r="T43"/>
  <c r="T55"/>
  <c r="T48"/>
  <c r="M9" i="16"/>
  <c r="T87" i="1" s="1"/>
  <c r="T91"/>
  <c r="T92"/>
  <c r="T93"/>
  <c r="N13" i="16"/>
  <c r="U9" i="1" s="1"/>
  <c r="U40"/>
  <c r="U43"/>
  <c r="U47"/>
  <c r="U58"/>
  <c r="U48"/>
  <c r="N9" i="16"/>
  <c r="U87" i="1" s="1"/>
  <c r="U91"/>
  <c r="U92"/>
  <c r="U93"/>
  <c r="O13" i="16"/>
  <c r="V9" i="1" s="1"/>
  <c r="V43"/>
  <c r="V57"/>
  <c r="V48"/>
  <c r="O9" i="16"/>
  <c r="V87" i="1" s="1"/>
  <c r="V92"/>
  <c r="V93"/>
  <c r="F37"/>
  <c r="F74"/>
  <c r="F102"/>
  <c r="D29"/>
  <c r="D84" s="1"/>
  <c r="D37"/>
  <c r="D44"/>
  <c r="D59"/>
  <c r="D61" s="1"/>
  <c r="D74"/>
  <c r="D102"/>
  <c r="J36"/>
  <c r="J32"/>
  <c r="E26"/>
  <c r="E99"/>
  <c r="J66"/>
  <c r="J67"/>
  <c r="J68"/>
  <c r="J69"/>
  <c r="J70"/>
  <c r="J71"/>
  <c r="J72"/>
  <c r="J73"/>
  <c r="J65"/>
  <c r="J94"/>
  <c r="E94"/>
  <c r="J16"/>
  <c r="E71"/>
  <c r="E16"/>
  <c r="E28"/>
  <c r="J13"/>
  <c r="J20"/>
  <c r="J21"/>
  <c r="J22"/>
  <c r="J41"/>
  <c r="E48"/>
  <c r="E69"/>
  <c r="E70"/>
  <c r="E65"/>
  <c r="E66"/>
  <c r="E67"/>
  <c r="E68"/>
  <c r="E72"/>
  <c r="E73"/>
  <c r="E25"/>
  <c r="E22"/>
  <c r="E43"/>
  <c r="E13"/>
  <c r="E19"/>
  <c r="E20"/>
  <c r="E21"/>
  <c r="E23"/>
  <c r="E36"/>
  <c r="E77"/>
  <c r="E90"/>
  <c r="E92"/>
  <c r="E93"/>
  <c r="E101"/>
  <c r="E105"/>
  <c r="E41"/>
  <c r="E32"/>
  <c r="N32" i="18"/>
  <c r="N33"/>
  <c r="N6"/>
  <c r="N7"/>
  <c r="O7" s="1"/>
  <c r="N8"/>
  <c r="N9"/>
  <c r="O9" s="1"/>
  <c r="N11"/>
  <c r="O11" s="1"/>
  <c r="N12"/>
  <c r="O12" s="1"/>
  <c r="N5"/>
  <c r="N29"/>
  <c r="N28"/>
  <c r="N18"/>
  <c r="N19"/>
  <c r="O19" s="1"/>
  <c r="N20"/>
  <c r="O20" s="1"/>
  <c r="N21"/>
  <c r="O21" s="1"/>
  <c r="N23"/>
  <c r="N24"/>
  <c r="N17"/>
  <c r="P7"/>
  <c r="N30"/>
  <c r="O30" s="1"/>
  <c r="N15"/>
  <c r="O8"/>
  <c r="O6"/>
  <c r="O5"/>
  <c r="E29" i="16"/>
  <c r="F29"/>
  <c r="G29"/>
  <c r="H29"/>
  <c r="I29"/>
  <c r="J29"/>
  <c r="K29"/>
  <c r="L29"/>
  <c r="M29"/>
  <c r="N29"/>
  <c r="O29"/>
  <c r="D29"/>
  <c r="E10"/>
  <c r="E11" s="1"/>
  <c r="F10"/>
  <c r="G10"/>
  <c r="G11" s="1"/>
  <c r="H10"/>
  <c r="H11" s="1"/>
  <c r="I10"/>
  <c r="I11" s="1"/>
  <c r="J10"/>
  <c r="J11" s="1"/>
  <c r="K10"/>
  <c r="L10"/>
  <c r="L11" s="1"/>
  <c r="M10"/>
  <c r="M11" s="1"/>
  <c r="N10"/>
  <c r="O10"/>
  <c r="F11"/>
  <c r="E14"/>
  <c r="E16" s="1"/>
  <c r="F14"/>
  <c r="G14"/>
  <c r="G16" s="1"/>
  <c r="H14"/>
  <c r="I14"/>
  <c r="I15" s="1"/>
  <c r="J14"/>
  <c r="K14"/>
  <c r="K16" s="1"/>
  <c r="L14"/>
  <c r="L16" s="1"/>
  <c r="M14"/>
  <c r="M16" s="1"/>
  <c r="N14"/>
  <c r="O14"/>
  <c r="D14"/>
  <c r="D16" s="1"/>
  <c r="D10"/>
  <c r="D37"/>
  <c r="D38" s="1"/>
  <c r="E37"/>
  <c r="E38" s="1"/>
  <c r="F37"/>
  <c r="G37"/>
  <c r="G38" s="1"/>
  <c r="H37"/>
  <c r="H38" s="1"/>
  <c r="I37"/>
  <c r="I38" s="1"/>
  <c r="J37"/>
  <c r="K37"/>
  <c r="K38" s="1"/>
  <c r="L37"/>
  <c r="M37"/>
  <c r="M38" s="1"/>
  <c r="N37"/>
  <c r="O37"/>
  <c r="O38" s="1"/>
  <c r="D41"/>
  <c r="E41"/>
  <c r="E42" s="1"/>
  <c r="F41"/>
  <c r="G41"/>
  <c r="G42" s="1"/>
  <c r="H41"/>
  <c r="I41"/>
  <c r="I42" s="1"/>
  <c r="J41"/>
  <c r="K41"/>
  <c r="K42" s="1"/>
  <c r="L41"/>
  <c r="L42" s="1"/>
  <c r="M41"/>
  <c r="M42" s="1"/>
  <c r="N41"/>
  <c r="O41"/>
  <c r="O42" s="1"/>
  <c r="D45"/>
  <c r="D46" s="1"/>
  <c r="E45"/>
  <c r="E46" s="1"/>
  <c r="F45"/>
  <c r="G45"/>
  <c r="G46" s="1"/>
  <c r="H45"/>
  <c r="H46" s="1"/>
  <c r="I45"/>
  <c r="I46" s="1"/>
  <c r="J45"/>
  <c r="K45"/>
  <c r="K46" s="1"/>
  <c r="L45"/>
  <c r="M45"/>
  <c r="N45"/>
  <c r="O45"/>
  <c r="D49"/>
  <c r="E49"/>
  <c r="E50" s="1"/>
  <c r="F49"/>
  <c r="F50" s="1"/>
  <c r="G49"/>
  <c r="G50" s="1"/>
  <c r="H49"/>
  <c r="I49"/>
  <c r="I50" s="1"/>
  <c r="J49"/>
  <c r="K49"/>
  <c r="K50" s="1"/>
  <c r="L49"/>
  <c r="L50" s="1"/>
  <c r="M49"/>
  <c r="M50" s="1"/>
  <c r="N49"/>
  <c r="O49"/>
  <c r="O50" s="1"/>
  <c r="D25"/>
  <c r="E25"/>
  <c r="F25"/>
  <c r="F26" s="1"/>
  <c r="G25"/>
  <c r="H25"/>
  <c r="H26" s="1"/>
  <c r="I25"/>
  <c r="J25"/>
  <c r="K25"/>
  <c r="L25"/>
  <c r="M25"/>
  <c r="N25"/>
  <c r="O25"/>
  <c r="O26" s="1"/>
  <c r="N50"/>
  <c r="J46"/>
  <c r="N42"/>
  <c r="F42"/>
  <c r="F38"/>
  <c r="J38"/>
  <c r="E30"/>
  <c r="G30"/>
  <c r="I30"/>
  <c r="K30"/>
  <c r="L30"/>
  <c r="N30"/>
  <c r="E22"/>
  <c r="G22"/>
  <c r="I22"/>
  <c r="K22"/>
  <c r="J26"/>
  <c r="M26"/>
  <c r="D26"/>
  <c r="G19"/>
  <c r="C14"/>
  <c r="O16"/>
  <c r="N17"/>
  <c r="N18" s="1"/>
  <c r="O15"/>
  <c r="D15"/>
  <c r="D12"/>
  <c r="F17"/>
  <c r="F18" s="1"/>
  <c r="E15"/>
  <c r="C9" i="17"/>
  <c r="D20" i="19"/>
  <c r="C44" i="17"/>
  <c r="L53" i="16"/>
  <c r="F53"/>
  <c r="C49"/>
  <c r="P49" s="1"/>
  <c r="C45"/>
  <c r="P45" s="1"/>
  <c r="J10" i="1"/>
  <c r="H17" i="16" l="1"/>
  <c r="H18" s="1"/>
  <c r="L17"/>
  <c r="L18" s="1"/>
  <c r="J17"/>
  <c r="J18" s="1"/>
  <c r="E19"/>
  <c r="L12"/>
  <c r="C37"/>
  <c r="P37" s="1"/>
  <c r="K34"/>
  <c r="C15" i="17"/>
  <c r="J48" i="1"/>
  <c r="O37" i="17"/>
  <c r="M37"/>
  <c r="K37"/>
  <c r="I37"/>
  <c r="G37"/>
  <c r="E37"/>
  <c r="D37"/>
  <c r="N37"/>
  <c r="L37"/>
  <c r="J37"/>
  <c r="H37"/>
  <c r="F37"/>
  <c r="C10" i="16"/>
  <c r="C17" s="1"/>
  <c r="C18" s="1"/>
  <c r="O17"/>
  <c r="O18" s="1"/>
  <c r="K17"/>
  <c r="K18" s="1"/>
  <c r="I17"/>
  <c r="I18" s="1"/>
  <c r="J43" i="1"/>
  <c r="J92"/>
  <c r="I12" i="16"/>
  <c r="G15"/>
  <c r="E17"/>
  <c r="E18" s="1"/>
  <c r="G17"/>
  <c r="G18" s="1"/>
  <c r="M17"/>
  <c r="M18" s="1"/>
  <c r="I19"/>
  <c r="G12"/>
  <c r="L19"/>
  <c r="D17"/>
  <c r="D18" s="1"/>
  <c r="L15"/>
  <c r="J12"/>
  <c r="M34"/>
  <c r="C39"/>
  <c r="F57" i="1" s="1"/>
  <c r="E57" s="1"/>
  <c r="C27" i="16"/>
  <c r="F40" i="1" s="1"/>
  <c r="E40" s="1"/>
  <c r="C13" i="16"/>
  <c r="F9" i="1" s="1"/>
  <c r="E9" s="1"/>
  <c r="F46" i="16"/>
  <c r="O46"/>
  <c r="M46"/>
  <c r="C47"/>
  <c r="F55" i="1" s="1"/>
  <c r="E55" s="1"/>
  <c r="D34" i="16"/>
  <c r="N34"/>
  <c r="L34"/>
  <c r="H34"/>
  <c r="M22"/>
  <c r="F34"/>
  <c r="T44" i="1"/>
  <c r="L12" i="19" s="1"/>
  <c r="L44" i="1"/>
  <c r="D12" i="19" s="1"/>
  <c r="O22" i="16"/>
  <c r="N26"/>
  <c r="E53"/>
  <c r="C23"/>
  <c r="F42" i="1" s="1"/>
  <c r="E42" s="1"/>
  <c r="V42"/>
  <c r="J42" s="1"/>
  <c r="D30" i="16"/>
  <c r="J30"/>
  <c r="H30"/>
  <c r="F30"/>
  <c r="N38"/>
  <c r="J42"/>
  <c r="N46"/>
  <c r="J50"/>
  <c r="H50"/>
  <c r="D50"/>
  <c r="L46"/>
  <c r="H42"/>
  <c r="D42"/>
  <c r="L38"/>
  <c r="C43"/>
  <c r="F58" i="1" s="1"/>
  <c r="E58" s="1"/>
  <c r="C51" i="16"/>
  <c r="F56" i="1" s="1"/>
  <c r="E56" s="1"/>
  <c r="J22" i="16"/>
  <c r="H22"/>
  <c r="F22"/>
  <c r="D22"/>
  <c r="J53"/>
  <c r="I53"/>
  <c r="N53"/>
  <c r="L26"/>
  <c r="K26"/>
  <c r="G26"/>
  <c r="E26"/>
  <c r="U59" i="1"/>
  <c r="M14" i="19" s="1"/>
  <c r="R59" i="1"/>
  <c r="J14" i="19" s="1"/>
  <c r="Q59" i="1"/>
  <c r="I14" i="19" s="1"/>
  <c r="S59" i="1"/>
  <c r="K14" i="19" s="1"/>
  <c r="P59" i="1"/>
  <c r="H14" i="19" s="1"/>
  <c r="N59" i="1"/>
  <c r="F14" i="19" s="1"/>
  <c r="M59" i="1"/>
  <c r="E14" i="19" s="1"/>
  <c r="O53" i="16"/>
  <c r="G53"/>
  <c r="K53"/>
  <c r="I34"/>
  <c r="G34"/>
  <c r="E34"/>
  <c r="C35"/>
  <c r="F49" i="1" s="1"/>
  <c r="E49" s="1"/>
  <c r="N22" i="16"/>
  <c r="L22"/>
  <c r="J34"/>
  <c r="L16" i="17"/>
  <c r="S91" i="1" s="1"/>
  <c r="S96" s="1"/>
  <c r="K16" i="19" s="1"/>
  <c r="J16" i="17"/>
  <c r="Q91" i="1" s="1"/>
  <c r="H16" i="17"/>
  <c r="O91" i="1" s="1"/>
  <c r="O96" s="1"/>
  <c r="G16" i="19" s="1"/>
  <c r="C25" i="16"/>
  <c r="P25" s="1"/>
  <c r="J58" i="1"/>
  <c r="K15" i="16"/>
  <c r="M15"/>
  <c r="H16"/>
  <c r="F16"/>
  <c r="N19"/>
  <c r="J19"/>
  <c r="H19"/>
  <c r="F19"/>
  <c r="N12"/>
  <c r="H12"/>
  <c r="F12"/>
  <c r="N25" i="18"/>
  <c r="C38" i="16"/>
  <c r="N13" i="18"/>
  <c r="O13" s="1"/>
  <c r="C21" i="16"/>
  <c r="C41"/>
  <c r="C42" s="1"/>
  <c r="C29"/>
  <c r="P29" s="1"/>
  <c r="E74" i="1"/>
  <c r="P44"/>
  <c r="M44"/>
  <c r="F15" i="16"/>
  <c r="H15"/>
  <c r="D11"/>
  <c r="N15"/>
  <c r="J15"/>
  <c r="N16"/>
  <c r="J16"/>
  <c r="D19"/>
  <c r="O19"/>
  <c r="M19"/>
  <c r="K19"/>
  <c r="O12"/>
  <c r="N11"/>
  <c r="O11"/>
  <c r="K11"/>
  <c r="N34" i="18"/>
  <c r="C6" i="17"/>
  <c r="K59" i="1"/>
  <c r="C14" i="19" s="1"/>
  <c r="J56" i="1"/>
  <c r="L59"/>
  <c r="D14" i="19" s="1"/>
  <c r="C26" i="16"/>
  <c r="H53"/>
  <c r="D108" i="1"/>
  <c r="E102"/>
  <c r="D14" i="20" s="1"/>
  <c r="E37" i="1"/>
  <c r="R44"/>
  <c r="N44"/>
  <c r="J93"/>
  <c r="J90"/>
  <c r="J23"/>
  <c r="J57"/>
  <c r="J55"/>
  <c r="J40"/>
  <c r="J74"/>
  <c r="S44"/>
  <c r="P96"/>
  <c r="H16" i="19" s="1"/>
  <c r="N96" i="1"/>
  <c r="F16" i="19" s="1"/>
  <c r="J47" i="1"/>
  <c r="D53" i="16"/>
  <c r="M53"/>
  <c r="O30"/>
  <c r="M30"/>
  <c r="C31"/>
  <c r="F47" i="1" s="1"/>
  <c r="E47" s="1"/>
  <c r="K44"/>
  <c r="C12" i="19" s="1"/>
  <c r="M48" i="17"/>
  <c r="V96" i="1"/>
  <c r="N16" i="19" s="1"/>
  <c r="I48" i="17"/>
  <c r="Q44" i="1"/>
  <c r="O44"/>
  <c r="O48" i="17"/>
  <c r="K48"/>
  <c r="G48"/>
  <c r="D48"/>
  <c r="V59" i="1"/>
  <c r="N14" i="19" s="1"/>
  <c r="K96" i="1"/>
  <c r="C16" i="19" s="1"/>
  <c r="C36" i="17"/>
  <c r="J49" i="1"/>
  <c r="B20" i="19"/>
  <c r="U44" i="1"/>
  <c r="T96"/>
  <c r="L16" i="19" s="1"/>
  <c r="R96" i="1"/>
  <c r="J16" i="19" s="1"/>
  <c r="M96" i="1"/>
  <c r="E16" i="19" s="1"/>
  <c r="N48" i="17"/>
  <c r="L48"/>
  <c r="J48"/>
  <c r="H48"/>
  <c r="F48"/>
  <c r="C33" i="16"/>
  <c r="C46"/>
  <c r="C15"/>
  <c r="C16"/>
  <c r="M12"/>
  <c r="K12"/>
  <c r="E12"/>
  <c r="C9"/>
  <c r="U96" i="1"/>
  <c r="M16" i="19" s="1"/>
  <c r="J87" i="1"/>
  <c r="L96"/>
  <c r="C56" i="17"/>
  <c r="D34" s="1"/>
  <c r="E34" s="1"/>
  <c r="F34" s="1"/>
  <c r="G34" s="1"/>
  <c r="H34" s="1"/>
  <c r="I34" s="1"/>
  <c r="J34" s="1"/>
  <c r="K34" s="1"/>
  <c r="L34" s="1"/>
  <c r="M34" s="1"/>
  <c r="N34" s="1"/>
  <c r="O34" s="1"/>
  <c r="J18" i="1"/>
  <c r="F18" s="1"/>
  <c r="J9"/>
  <c r="F14" i="20" l="1"/>
  <c r="D16"/>
  <c r="C19" i="16"/>
  <c r="V44" i="1"/>
  <c r="N12" i="19" s="1"/>
  <c r="F44" i="1"/>
  <c r="E44" s="1"/>
  <c r="C50" i="16"/>
  <c r="I12" i="19"/>
  <c r="K12"/>
  <c r="M12"/>
  <c r="G12"/>
  <c r="J12"/>
  <c r="H12"/>
  <c r="F12"/>
  <c r="E12"/>
  <c r="J91" i="1"/>
  <c r="Q96"/>
  <c r="I16" i="19" s="1"/>
  <c r="C16" i="17"/>
  <c r="F91" i="1" s="1"/>
  <c r="E91" s="1"/>
  <c r="P41" i="16"/>
  <c r="Q37" s="1"/>
  <c r="N36" i="18"/>
  <c r="C37" i="17"/>
  <c r="C30" i="16"/>
  <c r="C22"/>
  <c r="P21"/>
  <c r="Q21" s="1"/>
  <c r="P33"/>
  <c r="D110" i="1"/>
  <c r="J53"/>
  <c r="C53" i="16"/>
  <c r="C55" s="1"/>
  <c r="A13" i="1"/>
  <c r="A14" s="1"/>
  <c r="A15" s="1"/>
  <c r="A16" s="1"/>
  <c r="F59"/>
  <c r="E59" s="1"/>
  <c r="C48" i="17"/>
  <c r="E18" i="1"/>
  <c r="C34" i="16"/>
  <c r="F87" i="1"/>
  <c r="C11" i="16"/>
  <c r="C12"/>
  <c r="C58" i="17"/>
  <c r="D16" i="19"/>
  <c r="H14" i="20" l="1"/>
  <c r="H16" s="1"/>
  <c r="F16"/>
  <c r="J14"/>
  <c r="J16" s="1"/>
  <c r="J44" i="1"/>
  <c r="O39" i="17"/>
  <c r="M39"/>
  <c r="K39"/>
  <c r="I39"/>
  <c r="G39"/>
  <c r="E39"/>
  <c r="D39"/>
  <c r="N39"/>
  <c r="L39"/>
  <c r="J39"/>
  <c r="H39"/>
  <c r="F39"/>
  <c r="B12" i="19"/>
  <c r="B16"/>
  <c r="J96" i="1"/>
  <c r="A17"/>
  <c r="A18" s="1"/>
  <c r="A19" s="1"/>
  <c r="F49" i="17"/>
  <c r="H49"/>
  <c r="J49"/>
  <c r="L49"/>
  <c r="N49"/>
  <c r="D49"/>
  <c r="E49"/>
  <c r="G49"/>
  <c r="I49"/>
  <c r="K49"/>
  <c r="M49"/>
  <c r="O49"/>
  <c r="F45"/>
  <c r="H45"/>
  <c r="J45"/>
  <c r="L45"/>
  <c r="N45"/>
  <c r="D45"/>
  <c r="E45"/>
  <c r="G45"/>
  <c r="I45"/>
  <c r="K45"/>
  <c r="M45"/>
  <c r="O45"/>
  <c r="E87" i="1"/>
  <c r="F96"/>
  <c r="F108" s="1"/>
  <c r="E46" i="17"/>
  <c r="G46"/>
  <c r="I46"/>
  <c r="K46"/>
  <c r="M46"/>
  <c r="O46"/>
  <c r="F46"/>
  <c r="H46"/>
  <c r="J46"/>
  <c r="L46"/>
  <c r="N46"/>
  <c r="D46"/>
  <c r="A20" i="1" l="1"/>
  <c r="A21" s="1"/>
  <c r="A22" s="1"/>
  <c r="A23" s="1"/>
  <c r="A24" s="1"/>
  <c r="A25" s="1"/>
  <c r="A26" s="1"/>
  <c r="C46" i="17"/>
  <c r="E108" i="1"/>
  <c r="E96"/>
  <c r="L41" i="17"/>
  <c r="L50"/>
  <c r="H41"/>
  <c r="H50"/>
  <c r="D50"/>
  <c r="M41"/>
  <c r="M50"/>
  <c r="I41"/>
  <c r="I50"/>
  <c r="E41"/>
  <c r="E50"/>
  <c r="N41"/>
  <c r="N50"/>
  <c r="J41"/>
  <c r="J50"/>
  <c r="F41"/>
  <c r="F50"/>
  <c r="O41"/>
  <c r="O50"/>
  <c r="K41"/>
  <c r="K50"/>
  <c r="G41"/>
  <c r="G50"/>
  <c r="H53" l="1"/>
  <c r="O15" i="1" s="1"/>
  <c r="O29" s="1"/>
  <c r="L53" i="17"/>
  <c r="S15" i="1" s="1"/>
  <c r="S29" s="1"/>
  <c r="S116" s="1"/>
  <c r="G53" i="17"/>
  <c r="N15" i="1" s="1"/>
  <c r="N29" s="1"/>
  <c r="N116" s="1"/>
  <c r="K53" i="17"/>
  <c r="R15" i="1" s="1"/>
  <c r="R29" s="1"/>
  <c r="R116" s="1"/>
  <c r="O53" i="17"/>
  <c r="V15" i="1" s="1"/>
  <c r="V29" s="1"/>
  <c r="V116" s="1"/>
  <c r="F53" i="17"/>
  <c r="M15" i="1" s="1"/>
  <c r="M29" s="1"/>
  <c r="M116" s="1"/>
  <c r="J53" i="17"/>
  <c r="Q15" i="1" s="1"/>
  <c r="Q29" s="1"/>
  <c r="Q116" s="1"/>
  <c r="N53" i="17"/>
  <c r="U15" i="1" s="1"/>
  <c r="U29" s="1"/>
  <c r="U116" s="1"/>
  <c r="E53" i="17"/>
  <c r="L15" i="1" s="1"/>
  <c r="L29" s="1"/>
  <c r="L116" s="1"/>
  <c r="I53" i="17"/>
  <c r="P15" i="1" s="1"/>
  <c r="P29" s="1"/>
  <c r="P116" s="1"/>
  <c r="M53" i="17"/>
  <c r="T15" i="1" s="1"/>
  <c r="T29" s="1"/>
  <c r="K42" i="17"/>
  <c r="F42"/>
  <c r="J42"/>
  <c r="N42"/>
  <c r="E42"/>
  <c r="I42"/>
  <c r="M42"/>
  <c r="H42"/>
  <c r="L42"/>
  <c r="C50"/>
  <c r="C51" s="1"/>
  <c r="G42"/>
  <c r="O42"/>
  <c r="C39"/>
  <c r="D41"/>
  <c r="D53" s="1"/>
  <c r="K15" i="1" s="1"/>
  <c r="A27" l="1"/>
  <c r="A28" s="1"/>
  <c r="A29" s="1"/>
  <c r="A32" s="1"/>
  <c r="A33" s="1"/>
  <c r="K10" i="19"/>
  <c r="K18" s="1"/>
  <c r="G10"/>
  <c r="L10"/>
  <c r="H10"/>
  <c r="H18" s="1"/>
  <c r="M10"/>
  <c r="M18" s="1"/>
  <c r="I10"/>
  <c r="I18" s="1"/>
  <c r="E10"/>
  <c r="E18" s="1"/>
  <c r="D42" i="17"/>
  <c r="C41"/>
  <c r="C42" s="1"/>
  <c r="N10" i="19"/>
  <c r="N18" s="1"/>
  <c r="F10"/>
  <c r="F18" s="1"/>
  <c r="D10"/>
  <c r="D18" s="1"/>
  <c r="J10"/>
  <c r="J18" s="1"/>
  <c r="A36" i="1" l="1"/>
  <c r="A37" s="1"/>
  <c r="A40" s="1"/>
  <c r="A41" s="1"/>
  <c r="A42" s="1"/>
  <c r="A43" s="1"/>
  <c r="A44" s="1"/>
  <c r="A47" s="1"/>
  <c r="A48" s="1"/>
  <c r="A49" s="1"/>
  <c r="A50" s="1"/>
  <c r="A51" s="1"/>
  <c r="A52" s="1"/>
  <c r="A53" s="1"/>
  <c r="C53" i="17"/>
  <c r="F15" i="1" s="1"/>
  <c r="A54" l="1"/>
  <c r="A55" s="1"/>
  <c r="A56" s="1"/>
  <c r="A57" s="1"/>
  <c r="A58" s="1"/>
  <c r="A59" s="1"/>
  <c r="A65" s="1"/>
  <c r="J15"/>
  <c r="K29"/>
  <c r="C54" i="17"/>
  <c r="A66" i="1" l="1"/>
  <c r="A67" s="1"/>
  <c r="A68" s="1"/>
  <c r="A69" s="1"/>
  <c r="A70" s="1"/>
  <c r="A71" s="1"/>
  <c r="A72" s="1"/>
  <c r="A73" s="1"/>
  <c r="A74" s="1"/>
  <c r="A77" s="1"/>
  <c r="F29"/>
  <c r="E15"/>
  <c r="K116"/>
  <c r="C10" i="19"/>
  <c r="C18" s="1"/>
  <c r="J29" i="1"/>
  <c r="A87" l="1"/>
  <c r="A88" s="1"/>
  <c r="A89" s="1"/>
  <c r="A90" s="1"/>
  <c r="A91" s="1"/>
  <c r="A92" s="1"/>
  <c r="A93" s="1"/>
  <c r="E29"/>
  <c r="D23" i="20" s="1"/>
  <c r="B10" i="19"/>
  <c r="F23" i="20" l="1"/>
  <c r="D31"/>
  <c r="D33" s="1"/>
  <c r="A94" i="1"/>
  <c r="A95" s="1"/>
  <c r="A96" s="1"/>
  <c r="A99" s="1"/>
  <c r="A100" s="1"/>
  <c r="A101" s="1"/>
  <c r="A102" s="1"/>
  <c r="A105" s="1"/>
  <c r="A108" s="1"/>
  <c r="A110" s="1"/>
  <c r="E84"/>
  <c r="F110"/>
  <c r="E112" s="1"/>
  <c r="H23" i="20" l="1"/>
  <c r="H31" s="1"/>
  <c r="H33" s="1"/>
  <c r="H37" s="1"/>
  <c r="H39" s="1"/>
  <c r="H41" s="1"/>
  <c r="J23"/>
  <c r="J31" s="1"/>
  <c r="J33" s="1"/>
  <c r="J35" s="1"/>
  <c r="J37" s="1"/>
  <c r="J39" s="1"/>
  <c r="J41" s="1"/>
  <c r="F31"/>
  <c r="F33" s="1"/>
  <c r="E110" i="1"/>
  <c r="O59"/>
  <c r="O116" s="1"/>
  <c r="J52"/>
  <c r="J59" s="1"/>
  <c r="G14" i="19" l="1"/>
  <c r="G18" s="1"/>
  <c r="T59" i="1"/>
  <c r="T116" s="1"/>
  <c r="J116" l="1"/>
  <c r="L14" i="19"/>
  <c r="L18" s="1"/>
  <c r="B18" l="1"/>
  <c r="B36" s="1"/>
  <c r="B14"/>
</calcChain>
</file>

<file path=xl/sharedStrings.xml><?xml version="1.0" encoding="utf-8"?>
<sst xmlns="http://schemas.openxmlformats.org/spreadsheetml/2006/main" count="351" uniqueCount="296">
  <si>
    <t>Line</t>
  </si>
  <si>
    <t>No.</t>
  </si>
  <si>
    <t>Actuals</t>
  </si>
  <si>
    <t>Adjustment</t>
  </si>
  <si>
    <t>555 PURCHASED POWER</t>
  </si>
  <si>
    <t>WNP-3</t>
  </si>
  <si>
    <t>Deer Lake-IP&amp;L</t>
  </si>
  <si>
    <t>Spokane-Upriver</t>
  </si>
  <si>
    <t>Total Account 555</t>
  </si>
  <si>
    <t xml:space="preserve"> </t>
  </si>
  <si>
    <t>565 TRANSMISSION OF ELECTRICITY BY OTHERS</t>
  </si>
  <si>
    <t>Total Account 565</t>
  </si>
  <si>
    <t>Broker Commission Fees</t>
  </si>
  <si>
    <t>Total Account 557</t>
  </si>
  <si>
    <t>536 WATER FOR POWER</t>
  </si>
  <si>
    <t>TOTAL EXPENSE</t>
  </si>
  <si>
    <t>447 SALES FOR RESALE</t>
  </si>
  <si>
    <t>Total Account 447</t>
  </si>
  <si>
    <t>456 OTHER ELECTRIC REVENUE</t>
  </si>
  <si>
    <t>Total Account 456</t>
  </si>
  <si>
    <t>TOTAL REVENUE</t>
  </si>
  <si>
    <t>Kettle Falls</t>
  </si>
  <si>
    <t>Total Account 501</t>
  </si>
  <si>
    <t>Colstrip</t>
  </si>
  <si>
    <t>BPA Townsend-Garrison Wheeling</t>
  </si>
  <si>
    <t>Upstream Storage Revenue</t>
  </si>
  <si>
    <t>557 OTHER EXPENSES</t>
  </si>
  <si>
    <t>453 SALES OF WATER AND WATER POWER</t>
  </si>
  <si>
    <t>PGE Firm Wheeling</t>
  </si>
  <si>
    <t>Nichols Pumping Sale</t>
  </si>
  <si>
    <t>Pend Oreille DES &amp; Spinning</t>
  </si>
  <si>
    <t>Avista Corp.</t>
  </si>
  <si>
    <t>Total</t>
  </si>
  <si>
    <t>Colstrip MWh</t>
  </si>
  <si>
    <t>Colstrip Fuel Cost</t>
  </si>
  <si>
    <t>Kettle Falls MWh</t>
  </si>
  <si>
    <t>Kettle Falls Fuel Cost</t>
  </si>
  <si>
    <t>Rathdrum MWh</t>
  </si>
  <si>
    <t>Rathdrum Fuel Cost</t>
  </si>
  <si>
    <t>Total Fuel Expense</t>
  </si>
  <si>
    <t>Nichols Pumping</t>
  </si>
  <si>
    <t>Sales</t>
  </si>
  <si>
    <t>Northeast MWh</t>
  </si>
  <si>
    <t>Northeast Fuel Cost</t>
  </si>
  <si>
    <t>Total Account 547</t>
  </si>
  <si>
    <t>Kettle Falls - Wood Fuel</t>
  </si>
  <si>
    <t>Colstrip - Coal</t>
  </si>
  <si>
    <t>501 THERMAL FUEL EXPENSE</t>
  </si>
  <si>
    <t>547 OTHER FUEL EXPENSE</t>
  </si>
  <si>
    <t xml:space="preserve">Non-Monetary </t>
  </si>
  <si>
    <t>$</t>
  </si>
  <si>
    <t>Secondary Sales - MWh</t>
  </si>
  <si>
    <t>Secondary Purchase - MWh</t>
  </si>
  <si>
    <t>Boulder Park Fuel Cost</t>
  </si>
  <si>
    <t>Boulder Park MWh</t>
  </si>
  <si>
    <t>Kettle Falls CT Fuel Cost</t>
  </si>
  <si>
    <t>Kettle Falls CT MWh</t>
  </si>
  <si>
    <t>Coyote Springs Gas</t>
  </si>
  <si>
    <t>Boulder Park Gas</t>
  </si>
  <si>
    <t>Kettle Falls CT Gas</t>
  </si>
  <si>
    <t>Northeast CT Gas</t>
  </si>
  <si>
    <t>Rathdrum  Gas</t>
  </si>
  <si>
    <t>Scenario 1</t>
  </si>
  <si>
    <t>ANNUAL</t>
  </si>
  <si>
    <t>GENERATION (GWh)</t>
  </si>
  <si>
    <t>Boulder Park</t>
  </si>
  <si>
    <t>Coyote Springs</t>
  </si>
  <si>
    <t>Kettle Falls CT</t>
  </si>
  <si>
    <t>Northeast</t>
  </si>
  <si>
    <t>Rathdrum</t>
  </si>
  <si>
    <t>FUEL COST ($000)</t>
  </si>
  <si>
    <t>MARKET (GWh)</t>
  </si>
  <si>
    <t>Market Purch</t>
  </si>
  <si>
    <t>Market Sale</t>
  </si>
  <si>
    <t>MARKET ($000)</t>
  </si>
  <si>
    <t>Jan</t>
  </si>
  <si>
    <t>Feb</t>
  </si>
  <si>
    <t>Mar</t>
  </si>
  <si>
    <t>Apr</t>
  </si>
  <si>
    <t>May</t>
  </si>
  <si>
    <t>Jun</t>
  </si>
  <si>
    <t>Jul</t>
  </si>
  <si>
    <t>Aug</t>
  </si>
  <si>
    <t>Sep</t>
  </si>
  <si>
    <t>Oct</t>
  </si>
  <si>
    <t>Nov</t>
  </si>
  <si>
    <t>Dec</t>
  </si>
  <si>
    <t>Coyote Springs Fuel Cost</t>
  </si>
  <si>
    <t>Net Fuel and Purchase Expense</t>
  </si>
  <si>
    <t>Coyote Springs  MWh</t>
  </si>
  <si>
    <t>(GWh)</t>
  </si>
  <si>
    <t>NET POWER SUPPLY COST ($000)</t>
  </si>
  <si>
    <t>MWh</t>
  </si>
  <si>
    <t>Kootenai for Worley</t>
  </si>
  <si>
    <t>Avista on BPA - Borderline</t>
  </si>
  <si>
    <t>Gas Not Consumed Sales Revenue</t>
  </si>
  <si>
    <t>Rathdrum Fuel Cost $/MWh</t>
  </si>
  <si>
    <t>Northeast Fuel Cost $/MWh</t>
  </si>
  <si>
    <t>Coyote Springs Fuel Cost  $/MWh</t>
  </si>
  <si>
    <t>Boulder Park Fuel Cost $/MWh</t>
  </si>
  <si>
    <t>Kettle Falls Fuel Cost $/MWh</t>
  </si>
  <si>
    <t>Colstrip Fuel Cost $/MWh</t>
  </si>
  <si>
    <t>Kettle Falls CT Fuel Cost $/MWh</t>
  </si>
  <si>
    <t>Headwater Benefits Payments</t>
  </si>
  <si>
    <t>Revenue</t>
  </si>
  <si>
    <t>Average Market Sales Price -$/ MWh</t>
  </si>
  <si>
    <t>Market Sales - Dollars</t>
  </si>
  <si>
    <t>Market Sales - MWh</t>
  </si>
  <si>
    <t>Market Purchases - Dollars</t>
  </si>
  <si>
    <t>Net Market Purchases (Sales) MWh</t>
  </si>
  <si>
    <t>Average Market Purchase Price - $/MWh</t>
  </si>
  <si>
    <t>Net Market Purchases (Sales) aMW</t>
  </si>
  <si>
    <t>Market Purchases - MWh</t>
  </si>
  <si>
    <t>Average Sale and Purchase Price - $/MWh</t>
  </si>
  <si>
    <t>Peaker (PGE) Capacity Sale</t>
  </si>
  <si>
    <t>normal $0</t>
  </si>
  <si>
    <t>Comment</t>
  </si>
  <si>
    <t>Market Purchases and Sales, Plant Generation and Fuel Cost Summary</t>
  </si>
  <si>
    <t>Sovereign/Kaiser DES</t>
  </si>
  <si>
    <t>Douglas Settlement</t>
  </si>
  <si>
    <t>modeled energy higher than actual</t>
  </si>
  <si>
    <t>index</t>
  </si>
  <si>
    <t>model</t>
  </si>
  <si>
    <t>only gas burned modeled</t>
  </si>
  <si>
    <t>modeled MWh x new contract rate</t>
  </si>
  <si>
    <t>Sagle-Northern Lights</t>
  </si>
  <si>
    <t>Jan 06 - Dec 06</t>
  </si>
  <si>
    <t>Authorized</t>
  </si>
  <si>
    <t>Small Power</t>
  </si>
  <si>
    <t>Priest Rapids Meaningful Priority, MWh</t>
  </si>
  <si>
    <t>Priest Rapids Meaningful Priority Expense</t>
  </si>
  <si>
    <t>Reasonable Portion Revenue</t>
  </si>
  <si>
    <t>Net Meaningful Priority Cost</t>
  </si>
  <si>
    <t>Net Meaningful Priority Cost per MWh</t>
  </si>
  <si>
    <t>includes Mean Pri &amp; Reas Port</t>
  </si>
  <si>
    <t xml:space="preserve">  Meaningful Priority</t>
  </si>
  <si>
    <t xml:space="preserve">  Surplus Conversion</t>
  </si>
  <si>
    <t>Surplus Conversion Cost</t>
  </si>
  <si>
    <t>Surplus Conversion MWh</t>
  </si>
  <si>
    <t xml:space="preserve">  Avista Total Slice</t>
  </si>
  <si>
    <t>Power Supply Expense</t>
  </si>
  <si>
    <t>TOTAL NET EXPENSE</t>
  </si>
  <si>
    <t>Ancillary Services</t>
  </si>
  <si>
    <t>Account 447 - Sale for Resale</t>
  </si>
  <si>
    <t>Account 501 - Thermal Fuel</t>
  </si>
  <si>
    <t>Account 555 - Purchased Power</t>
  </si>
  <si>
    <t>Stimson</t>
  </si>
  <si>
    <t xml:space="preserve">  Grant's Share of Reasonable Portion Revenue</t>
  </si>
  <si>
    <t>Priest Rapids Project Cost</t>
  </si>
  <si>
    <t>Priest Rapids Project</t>
  </si>
  <si>
    <t>Surplus Conversion Cost per MWh</t>
  </si>
  <si>
    <t>Total Priest Rapids Product Cost</t>
  </si>
  <si>
    <t>Total Priest Rapids Product Cost per MWh</t>
  </si>
  <si>
    <t>Modeled Short-Term Market Sales</t>
  </si>
  <si>
    <t>Pro forma</t>
  </si>
  <si>
    <t>Natural Gas Fuel Purchases</t>
  </si>
  <si>
    <t>Avista Corp</t>
  </si>
  <si>
    <t>check MWh</t>
  </si>
  <si>
    <t>new rate</t>
  </si>
  <si>
    <t>check energy</t>
  </si>
  <si>
    <t>modeled MWh x Actual</t>
  </si>
  <si>
    <t xml:space="preserve">  Surplus</t>
  </si>
  <si>
    <t>Priest Rapids, MWh</t>
  </si>
  <si>
    <t>Wanpum, MWh</t>
  </si>
  <si>
    <t>Stateline Wind Purchase</t>
  </si>
  <si>
    <t>Surplus MWh</t>
  </si>
  <si>
    <t>Surplus Cost</t>
  </si>
  <si>
    <t>Lancaster Gas</t>
  </si>
  <si>
    <t>Lancaster</t>
  </si>
  <si>
    <t>Lancaster  MWh</t>
  </si>
  <si>
    <t>Lancaster Fuel Cost  $/MWh</t>
  </si>
  <si>
    <t>Lancaster Fuel Cost</t>
  </si>
  <si>
    <t>Lancaster Variable O&amp;M Payments</t>
  </si>
  <si>
    <t>Lancaster Capacity Payment</t>
  </si>
  <si>
    <t>Kettle Falls - Start-up Gas</t>
  </si>
  <si>
    <t>Power Supply Pro forma - Washington Jurisdiction</t>
  </si>
  <si>
    <t>ERM Authorized Expense and Retail Sales</t>
  </si>
  <si>
    <t>Transmission Expense</t>
  </si>
  <si>
    <t>Wells - Avista Share</t>
  </si>
  <si>
    <t>Wells - Colville Tribe's Share</t>
  </si>
  <si>
    <t>Lancaster Gas Transportation</t>
  </si>
  <si>
    <t>Coyote Springs 2 Gas Transportation</t>
  </si>
  <si>
    <t>Actual ST Market Sales - Financial M-to-M</t>
  </si>
  <si>
    <t>Actual ST Market Sales - Physical</t>
  </si>
  <si>
    <t>Broker Fees</t>
  </si>
  <si>
    <t>Retail Revenue Credit Rate</t>
  </si>
  <si>
    <t>/MWh</t>
  </si>
  <si>
    <t>Actual Financial Gas Transactions M-to-M</t>
  </si>
  <si>
    <t>Account 547 - Natural Gas Fuel</t>
  </si>
  <si>
    <t>ERM Authorized Power Supply Expense - System Numbers (1)</t>
  </si>
  <si>
    <t>Rocky Reach/Rock Island Purchase</t>
  </si>
  <si>
    <t>Total Priest Rapids Product MWh</t>
  </si>
  <si>
    <t>Gas Transportation for BP, NE and KFCT</t>
  </si>
  <si>
    <t>Total Priest RapidsCost per MWh</t>
  </si>
  <si>
    <t>Colstrip - Oil</t>
  </si>
  <si>
    <t>January</t>
  </si>
  <si>
    <t>February</t>
  </si>
  <si>
    <t>March</t>
  </si>
  <si>
    <t>April</t>
  </si>
  <si>
    <t>June</t>
  </si>
  <si>
    <t>July</t>
  </si>
  <si>
    <t>August</t>
  </si>
  <si>
    <t>September</t>
  </si>
  <si>
    <t>October</t>
  </si>
  <si>
    <t>November</t>
  </si>
  <si>
    <t>December</t>
  </si>
  <si>
    <t>BPA PTP for Colstrip, Coyote &amp; Lancaster</t>
  </si>
  <si>
    <t>Northwestern for Colstrip</t>
  </si>
  <si>
    <t>Palouse Wind</t>
  </si>
  <si>
    <t>Spokane Waste-to-Energy</t>
  </si>
  <si>
    <t>Imbalance and Tax Adjustment</t>
  </si>
  <si>
    <t>Non-WA EIA REC Sales</t>
  </si>
  <si>
    <t>Optional Renewable Power Expense Offset</t>
  </si>
  <si>
    <t>Pro Forma</t>
  </si>
  <si>
    <t>****LOAD NEW PRICES*****</t>
  </si>
  <si>
    <t>Modeled HLH Electric Price</t>
  </si>
  <si>
    <t>Modeled LLH Electric Price</t>
  </si>
  <si>
    <t>Predicted Auction Price</t>
  </si>
  <si>
    <t>Rocky Reach/Rock Island Slice</t>
  </si>
  <si>
    <t>Wells Coville Tribe's Share</t>
  </si>
  <si>
    <t>Modeled MWh</t>
  </si>
  <si>
    <t>Expense</t>
  </si>
  <si>
    <t>ERM Authorized Washington Retail Sales (2)</t>
  </si>
  <si>
    <t>Modeled ST Market Purchases</t>
  </si>
  <si>
    <t>Actual ST Market Purchases</t>
  </si>
  <si>
    <t>Actual ST Purchases - Financial M-to-M</t>
  </si>
  <si>
    <t>Transmission Revenue</t>
  </si>
  <si>
    <t>Total Retail Sales, MWh (2)</t>
  </si>
  <si>
    <t>System Numbers - Oct 2013 - Sep 2014 Actual and 2016 Pro Forma</t>
  </si>
  <si>
    <t>Oct 13 - Sep 14</t>
  </si>
  <si>
    <t>Intracompany Generation</t>
  </si>
  <si>
    <t>Short-term Transmission Purchases</t>
  </si>
  <si>
    <t>WA EIA REC Sales</t>
  </si>
  <si>
    <t>Pullman Battery</t>
  </si>
  <si>
    <t>2010-2012 avg</t>
  </si>
  <si>
    <t>Modeled Flat Electric Price</t>
  </si>
  <si>
    <t>Rate (Mid C plus $3/MWh)</t>
  </si>
  <si>
    <t>SMUD Sale - (Energy America)</t>
  </si>
  <si>
    <t>Energy America</t>
  </si>
  <si>
    <t>WA EIA REC Purchase - Direct WA</t>
  </si>
  <si>
    <t>WA RECs Power Supply Expense Deferral - Direct WA</t>
  </si>
  <si>
    <t>Oct 13 - Sep 14 Test Year Load</t>
  </si>
  <si>
    <t>Gas Transport Optimization</t>
  </si>
  <si>
    <t xml:space="preserve">  Total</t>
  </si>
  <si>
    <t>(1)  Multiply system numbers by 65.19% to determine Washington share.</t>
  </si>
  <si>
    <t>UE-140188 Settlement Method</t>
  </si>
  <si>
    <t>Pro forma January 2016 - December 2016</t>
  </si>
  <si>
    <t>October 2013 - September 2014 Historic Normalized Loads</t>
  </si>
  <si>
    <t>CS2 and Colstrip O&amp;M</t>
  </si>
  <si>
    <t>546-562 CS2 O&amp;M</t>
  </si>
  <si>
    <t>500-514 Colstrip O&amp;M</t>
  </si>
  <si>
    <t>Total CS2 and Colstrip O&amp;M</t>
  </si>
  <si>
    <t>Avista Corporation</t>
  </si>
  <si>
    <t>WA Power Supply Adjustment</t>
  </si>
  <si>
    <t>2016 Pro Forma - 09/30/2014 Historical Loads</t>
  </si>
  <si>
    <t xml:space="preserve">Less </t>
  </si>
  <si>
    <t>System</t>
  </si>
  <si>
    <t>P/T Ratio Revised</t>
  </si>
  <si>
    <t>Power</t>
  </si>
  <si>
    <t>Net Power</t>
  </si>
  <si>
    <t>Supply</t>
  </si>
  <si>
    <t>Washington</t>
  </si>
  <si>
    <t>Idaho</t>
  </si>
  <si>
    <r>
      <t xml:space="preserve">Adjustment </t>
    </r>
    <r>
      <rPr>
        <b/>
        <u/>
        <sz val="10"/>
        <rFont val="Arial"/>
        <family val="2"/>
      </rPr>
      <t>(1) (2)</t>
    </r>
  </si>
  <si>
    <t>P/T Allocation Percentages</t>
  </si>
  <si>
    <t>447 Sales for Resale</t>
  </si>
  <si>
    <t>453 Sales of Water and Water Power</t>
  </si>
  <si>
    <t>454 Misc Rents</t>
  </si>
  <si>
    <t>456 Other Electric Revenue</t>
  </si>
  <si>
    <t>456 Other Electric Revenue - Direct WA</t>
  </si>
  <si>
    <t xml:space="preserve">   Total Revenue</t>
  </si>
  <si>
    <t>501 Thermal Fuel Expense</t>
  </si>
  <si>
    <t>546 Other Power Gen Supvsn &amp; Eng</t>
  </si>
  <si>
    <t>547 Other Fuel Expense</t>
  </si>
  <si>
    <t>536 Water for Power</t>
  </si>
  <si>
    <t>555 Purchased Power</t>
  </si>
  <si>
    <t>549 Misc Other Gen Expense</t>
  </si>
  <si>
    <t>550 Rents</t>
  </si>
  <si>
    <t>556 System Control &amp; Dispatch</t>
  </si>
  <si>
    <t>557 Other Expenses</t>
  </si>
  <si>
    <t>557 Other Expenses - Direct WA</t>
  </si>
  <si>
    <t>565 Trans. of Elec. by Others</t>
  </si>
  <si>
    <t xml:space="preserve">   Total Expense</t>
  </si>
  <si>
    <t>Net Income Before Income Taxes</t>
  </si>
  <si>
    <t>Idaho State Income Tax</t>
  </si>
  <si>
    <t>Net Income before FIT</t>
  </si>
  <si>
    <t>Federal Income Tax</t>
  </si>
  <si>
    <t>Net Income</t>
  </si>
  <si>
    <r>
      <rPr>
        <b/>
        <sz val="10"/>
        <rFont val="Arial"/>
        <family val="2"/>
      </rPr>
      <t>(1)</t>
    </r>
    <r>
      <rPr>
        <sz val="10"/>
        <rFont val="Geneva"/>
      </rPr>
      <t xml:space="preserve"> EIA Rec Purchases are direct assigned to WA </t>
    </r>
  </si>
  <si>
    <r>
      <rPr>
        <b/>
        <sz val="10"/>
        <rFont val="Arial"/>
        <family val="2"/>
      </rPr>
      <t>(2)</t>
    </r>
    <r>
      <rPr>
        <sz val="10"/>
        <rFont val="Arial"/>
        <family val="2"/>
      </rPr>
      <t xml:space="preserve"> The 10-Year contract with Clearwater Paper cogeneration ended June 2013. Customer now generates into own load. Previously purchase was directly assigned to Idaho and power supply worksheets removed the Clearwater Paper cogeneration. </t>
    </r>
  </si>
  <si>
    <t>If in the future it is determined necessary to remove the Clearwater Paper cogeneration amount, any adjustment would again be directly assigned to Idaho.  At that time it would be necessary to add back the Potlatch cogeneration removal so that the adjustment only reflects system power supply revenue and expense amounts that are allocated to jurisdictions.</t>
  </si>
  <si>
    <t>Directly</t>
  </si>
  <si>
    <t>Assigned</t>
  </si>
  <si>
    <t>(2)  Twelve months ended September 2014 normalized monthly WA Retail Sales.</t>
  </si>
  <si>
    <t>Washington Normalized January 2016 - December 2016</t>
  </si>
  <si>
    <t>UE-15__ Proposed Method</t>
  </si>
</sst>
</file>

<file path=xl/styles.xml><?xml version="1.0" encoding="utf-8"?>
<styleSheet xmlns="http://schemas.openxmlformats.org/spreadsheetml/2006/main">
  <numFmts count="7">
    <numFmt numFmtId="5" formatCode="&quot;$&quot;#,##0_);\(&quot;$&quot;#,##0\)"/>
    <numFmt numFmtId="164" formatCode="#,##0\ ;\(#,##0\)"/>
    <numFmt numFmtId="165" formatCode="&quot;$&quot;#,##0"/>
    <numFmt numFmtId="166" formatCode="&quot;$&quot;#,##0.00"/>
    <numFmt numFmtId="167" formatCode="#,##0.0_);[Red]\(#,##0.0\)"/>
    <numFmt numFmtId="168" formatCode="#,##0.0"/>
    <numFmt numFmtId="169" formatCode="0.0000%"/>
  </numFmts>
  <fonts count="17">
    <font>
      <sz val="10"/>
      <name val="Geneva"/>
    </font>
    <font>
      <b/>
      <sz val="10"/>
      <name val="Geneva"/>
    </font>
    <font>
      <sz val="10"/>
      <name val="Geneva"/>
    </font>
    <font>
      <u/>
      <sz val="10"/>
      <name val="Geneva"/>
    </font>
    <font>
      <sz val="10"/>
      <name val="Geneva"/>
    </font>
    <font>
      <sz val="9"/>
      <name val="Geneva"/>
    </font>
    <font>
      <sz val="8"/>
      <name val="Geneva"/>
    </font>
    <font>
      <sz val="10"/>
      <name val="Arial"/>
      <family val="2"/>
    </font>
    <font>
      <b/>
      <sz val="12"/>
      <name val="Arial"/>
      <family val="2"/>
    </font>
    <font>
      <b/>
      <sz val="10"/>
      <name val="Arial"/>
      <family val="2"/>
    </font>
    <font>
      <b/>
      <u/>
      <sz val="10"/>
      <name val="Arial"/>
      <family val="2"/>
    </font>
    <font>
      <b/>
      <sz val="14"/>
      <name val="Geneva"/>
    </font>
    <font>
      <b/>
      <u/>
      <sz val="10"/>
      <name val="Geneva"/>
    </font>
    <font>
      <b/>
      <sz val="12"/>
      <name val="Geneva"/>
    </font>
    <font>
      <b/>
      <sz val="10"/>
      <color rgb="FFFF0000"/>
      <name val="Geneva"/>
    </font>
    <font>
      <u/>
      <sz val="10"/>
      <name val="Arial"/>
      <family val="2"/>
    </font>
    <font>
      <sz val="10"/>
      <name val="Arial"/>
      <family val="2"/>
    </font>
  </fonts>
  <fills count="8">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4" fontId="2" fillId="0" borderId="0" applyFont="0" applyFill="0" applyBorder="0" applyAlignment="0" applyProtection="0"/>
    <xf numFmtId="9" fontId="2" fillId="0" borderId="0" applyFont="0" applyFill="0" applyBorder="0" applyAlignment="0" applyProtection="0"/>
    <xf numFmtId="0" fontId="7" fillId="0" borderId="0"/>
    <xf numFmtId="9" fontId="7" fillId="0" borderId="0" applyFont="0" applyFill="0" applyBorder="0" applyAlignment="0" applyProtection="0"/>
    <xf numFmtId="0" fontId="16" fillId="0" borderId="0"/>
    <xf numFmtId="0" fontId="7" fillId="0" borderId="0"/>
  </cellStyleXfs>
  <cellXfs count="188">
    <xf numFmtId="0" fontId="0" fillId="0" borderId="0" xfId="0"/>
    <xf numFmtId="0" fontId="0" fillId="0" borderId="1" xfId="0" applyBorder="1" applyAlignment="1">
      <alignment horizontal="center"/>
    </xf>
    <xf numFmtId="0" fontId="1" fillId="0" borderId="0" xfId="0" applyFont="1"/>
    <xf numFmtId="3" fontId="0" fillId="0" borderId="0" xfId="0" applyNumberFormat="1"/>
    <xf numFmtId="0" fontId="0" fillId="0" borderId="0" xfId="0" applyAlignment="1">
      <alignment horizontal="left"/>
    </xf>
    <xf numFmtId="0" fontId="0" fillId="0" borderId="0" xfId="0" applyAlignment="1">
      <alignment horizontal="center"/>
    </xf>
    <xf numFmtId="0" fontId="4" fillId="0" borderId="0" xfId="0" applyFont="1"/>
    <xf numFmtId="0" fontId="3" fillId="0" borderId="0" xfId="0" applyFont="1"/>
    <xf numFmtId="14" fontId="0" fillId="0" borderId="0" xfId="0" applyNumberFormat="1" applyAlignment="1">
      <alignment horizontal="left"/>
    </xf>
    <xf numFmtId="3" fontId="0" fillId="0" borderId="0" xfId="0" applyNumberFormat="1" applyBorder="1"/>
    <xf numFmtId="14" fontId="0" fillId="0" borderId="0" xfId="0" applyNumberFormat="1" applyAlignment="1">
      <alignment horizontal="center"/>
    </xf>
    <xf numFmtId="0" fontId="0" fillId="0" borderId="0" xfId="0" applyBorder="1" applyAlignment="1">
      <alignment horizontal="center"/>
    </xf>
    <xf numFmtId="0" fontId="0" fillId="0" borderId="0" xfId="0" applyBorder="1"/>
    <xf numFmtId="0" fontId="0" fillId="0" borderId="0" xfId="0" applyNumberFormat="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2" fillId="0" borderId="0" xfId="0" applyFont="1"/>
    <xf numFmtId="0" fontId="0" fillId="0" borderId="1" xfId="0" applyBorder="1"/>
    <xf numFmtId="165" fontId="0" fillId="0" borderId="0" xfId="0" applyNumberFormat="1" applyBorder="1" applyAlignment="1">
      <alignment horizontal="right"/>
    </xf>
    <xf numFmtId="3" fontId="0" fillId="0" borderId="0" xfId="0" applyNumberFormat="1" applyBorder="1" applyAlignment="1">
      <alignment horizontal="right"/>
    </xf>
    <xf numFmtId="3" fontId="0" fillId="0" borderId="0" xfId="0" applyNumberFormat="1" applyAlignment="1">
      <alignment horizontal="right"/>
    </xf>
    <xf numFmtId="3" fontId="0" fillId="0" borderId="2" xfId="0" applyNumberFormat="1" applyBorder="1" applyAlignment="1">
      <alignment horizontal="right"/>
    </xf>
    <xf numFmtId="3" fontId="2" fillId="0" borderId="0" xfId="0" applyNumberFormat="1" applyFont="1" applyBorder="1" applyAlignment="1">
      <alignment horizontal="right"/>
    </xf>
    <xf numFmtId="0" fontId="0" fillId="0" borderId="3" xfId="0" applyBorder="1" applyAlignment="1">
      <alignment horizontal="center"/>
    </xf>
    <xf numFmtId="165" fontId="0" fillId="0" borderId="4" xfId="0" applyNumberFormat="1" applyBorder="1" applyAlignment="1">
      <alignment horizontal="center"/>
    </xf>
    <xf numFmtId="165" fontId="0" fillId="0" borderId="0" xfId="0" applyNumberFormat="1"/>
    <xf numFmtId="164" fontId="0" fillId="0" borderId="4" xfId="0" applyNumberFormat="1" applyBorder="1" applyAlignment="1">
      <alignment horizontal="center"/>
    </xf>
    <xf numFmtId="3" fontId="0" fillId="0" borderId="4" xfId="0" applyNumberFormat="1" applyBorder="1" applyAlignment="1">
      <alignment horizontal="center"/>
    </xf>
    <xf numFmtId="166" fontId="0" fillId="0" borderId="4" xfId="0" applyNumberFormat="1" applyBorder="1" applyAlignment="1">
      <alignment horizontal="center"/>
    </xf>
    <xf numFmtId="166" fontId="0" fillId="0" borderId="0" xfId="0" applyNumberFormat="1"/>
    <xf numFmtId="165" fontId="1" fillId="0" borderId="3" xfId="0" applyNumberFormat="1" applyFont="1" applyBorder="1" applyAlignment="1">
      <alignment horizontal="center"/>
    </xf>
    <xf numFmtId="5" fontId="0" fillId="0" borderId="2" xfId="0" applyNumberFormat="1" applyBorder="1"/>
    <xf numFmtId="165" fontId="0" fillId="0" borderId="2" xfId="0" applyNumberFormat="1" applyBorder="1"/>
    <xf numFmtId="165" fontId="0" fillId="0" borderId="0" xfId="0" applyNumberFormat="1" applyBorder="1"/>
    <xf numFmtId="3" fontId="0" fillId="0" borderId="5" xfId="0" applyNumberFormat="1" applyBorder="1"/>
    <xf numFmtId="0" fontId="0" fillId="0" borderId="6" xfId="0" applyBorder="1"/>
    <xf numFmtId="5" fontId="0" fillId="0" borderId="0" xfId="0" applyNumberFormat="1" applyBorder="1"/>
    <xf numFmtId="0" fontId="6" fillId="0" borderId="0" xfId="0" applyFont="1" applyAlignment="1">
      <alignment horizontal="center"/>
    </xf>
    <xf numFmtId="165" fontId="1" fillId="0" borderId="4" xfId="0" applyNumberFormat="1" applyFont="1" applyBorder="1" applyAlignment="1">
      <alignment horizontal="center"/>
    </xf>
    <xf numFmtId="3" fontId="0" fillId="0" borderId="1" xfId="0" applyNumberFormat="1" applyBorder="1" applyAlignment="1">
      <alignment horizontal="right"/>
    </xf>
    <xf numFmtId="0" fontId="0" fillId="0" borderId="1" xfId="0" applyNumberFormat="1" applyBorder="1" applyAlignment="1">
      <alignment horizontal="center"/>
    </xf>
    <xf numFmtId="0" fontId="1" fillId="0" borderId="5" xfId="0" applyFont="1" applyBorder="1"/>
    <xf numFmtId="3" fontId="0" fillId="0" borderId="6" xfId="0" applyNumberFormat="1" applyBorder="1" applyAlignment="1">
      <alignment horizontal="right"/>
    </xf>
    <xf numFmtId="3" fontId="0" fillId="0" borderId="7" xfId="0" applyNumberFormat="1" applyBorder="1" applyAlignment="1">
      <alignment horizontal="right"/>
    </xf>
    <xf numFmtId="0" fontId="3" fillId="0" borderId="0" xfId="0" applyFont="1" applyBorder="1"/>
    <xf numFmtId="0" fontId="3" fillId="0" borderId="0" xfId="0" applyFont="1" applyBorder="1" applyAlignment="1">
      <alignment horizontal="center"/>
    </xf>
    <xf numFmtId="0" fontId="6" fillId="0" borderId="0" xfId="0" applyFont="1"/>
    <xf numFmtId="17" fontId="0" fillId="0" borderId="1" xfId="0" applyNumberFormat="1" applyBorder="1"/>
    <xf numFmtId="17" fontId="0" fillId="0" borderId="0" xfId="0" applyNumberFormat="1" applyBorder="1"/>
    <xf numFmtId="166" fontId="2" fillId="0" borderId="0" xfId="0" applyNumberFormat="1" applyFont="1"/>
    <xf numFmtId="0" fontId="0" fillId="0" borderId="8" xfId="0" applyBorder="1" applyAlignment="1">
      <alignment horizontal="center"/>
    </xf>
    <xf numFmtId="166" fontId="2" fillId="0" borderId="4" xfId="0" applyNumberFormat="1" applyFont="1" applyBorder="1" applyAlignment="1">
      <alignment horizontal="center"/>
    </xf>
    <xf numFmtId="5" fontId="1" fillId="0" borderId="3" xfId="0" applyNumberFormat="1" applyFont="1" applyBorder="1" applyAlignment="1">
      <alignment horizontal="center"/>
    </xf>
    <xf numFmtId="0" fontId="2" fillId="0" borderId="0" xfId="0" applyFont="1" applyBorder="1" applyAlignment="1">
      <alignment horizontal="center"/>
    </xf>
    <xf numFmtId="0" fontId="0" fillId="2" borderId="0" xfId="0" applyFill="1"/>
    <xf numFmtId="1" fontId="0" fillId="0" borderId="0" xfId="0" applyNumberFormat="1" applyAlignment="1">
      <alignment horizontal="right"/>
    </xf>
    <xf numFmtId="1" fontId="0" fillId="0" borderId="0" xfId="0" applyNumberFormat="1"/>
    <xf numFmtId="167" fontId="8" fillId="0" borderId="9" xfId="0" applyNumberFormat="1" applyFont="1" applyBorder="1"/>
    <xf numFmtId="167" fontId="0" fillId="0" borderId="9" xfId="0" applyNumberFormat="1" applyBorder="1"/>
    <xf numFmtId="167" fontId="7" fillId="0" borderId="9" xfId="0" applyNumberFormat="1" applyFont="1" applyBorder="1"/>
    <xf numFmtId="167" fontId="0" fillId="0" borderId="0" xfId="0" applyNumberFormat="1"/>
    <xf numFmtId="167" fontId="9" fillId="0" borderId="0" xfId="0" applyNumberFormat="1" applyFont="1"/>
    <xf numFmtId="167" fontId="7" fillId="0" borderId="0" xfId="0" applyNumberFormat="1" applyFont="1"/>
    <xf numFmtId="38" fontId="10" fillId="0" borderId="0" xfId="0" applyNumberFormat="1" applyFont="1" applyAlignment="1">
      <alignment horizontal="center"/>
    </xf>
    <xf numFmtId="167" fontId="10" fillId="0" borderId="0" xfId="0" applyNumberFormat="1" applyFont="1" applyAlignment="1">
      <alignment horizontal="center"/>
    </xf>
    <xf numFmtId="167" fontId="0" fillId="0" borderId="0" xfId="0" applyNumberFormat="1" applyAlignment="1">
      <alignment horizontal="right"/>
    </xf>
    <xf numFmtId="38" fontId="0" fillId="0" borderId="0" xfId="0" applyNumberFormat="1"/>
    <xf numFmtId="38" fontId="7" fillId="0" borderId="0" xfId="0" applyNumberFormat="1" applyFont="1"/>
    <xf numFmtId="38" fontId="9" fillId="0" borderId="0" xfId="0" applyNumberFormat="1" applyFont="1"/>
    <xf numFmtId="38" fontId="9" fillId="0" borderId="0" xfId="0" applyNumberFormat="1" applyFont="1" applyAlignment="1">
      <alignment horizontal="right"/>
    </xf>
    <xf numFmtId="167" fontId="0" fillId="0" borderId="0" xfId="0" applyNumberFormat="1" applyAlignment="1">
      <alignment horizontal="center"/>
    </xf>
    <xf numFmtId="165" fontId="1" fillId="0" borderId="7" xfId="0" applyNumberFormat="1" applyFont="1" applyBorder="1" applyAlignment="1">
      <alignment horizontal="center"/>
    </xf>
    <xf numFmtId="0" fontId="0" fillId="0" borderId="0" xfId="0" applyAlignment="1">
      <alignment horizontal="right"/>
    </xf>
    <xf numFmtId="166" fontId="0" fillId="0" borderId="10" xfId="0" applyNumberFormat="1" applyBorder="1" applyAlignment="1">
      <alignment horizontal="center"/>
    </xf>
    <xf numFmtId="167" fontId="9" fillId="0" borderId="0" xfId="0" applyNumberFormat="1" applyFont="1" applyAlignment="1">
      <alignment horizontal="left"/>
    </xf>
    <xf numFmtId="167" fontId="7" fillId="0" borderId="0" xfId="0" applyNumberFormat="1" applyFont="1" applyAlignment="1">
      <alignment horizontal="center"/>
    </xf>
    <xf numFmtId="166" fontId="0" fillId="0" borderId="1" xfId="0" applyNumberFormat="1" applyBorder="1"/>
    <xf numFmtId="1" fontId="0" fillId="0" borderId="1" xfId="0" applyNumberFormat="1" applyBorder="1" applyAlignment="1">
      <alignment horizontal="right"/>
    </xf>
    <xf numFmtId="3" fontId="2" fillId="0" borderId="0" xfId="0" applyNumberFormat="1" applyFont="1" applyAlignment="1">
      <alignment horizontal="right"/>
    </xf>
    <xf numFmtId="166" fontId="1" fillId="0" borderId="4" xfId="0" applyNumberFormat="1" applyFont="1" applyBorder="1" applyAlignment="1">
      <alignment horizontal="center"/>
    </xf>
    <xf numFmtId="0" fontId="1" fillId="0" borderId="0" xfId="0" applyFont="1" applyFill="1" applyBorder="1" applyAlignment="1">
      <alignment horizontal="center"/>
    </xf>
    <xf numFmtId="5" fontId="0" fillId="0" borderId="0" xfId="0" applyNumberFormat="1"/>
    <xf numFmtId="165" fontId="0" fillId="0" borderId="0" xfId="0" applyNumberFormat="1" applyAlignment="1">
      <alignment horizontal="right"/>
    </xf>
    <xf numFmtId="0" fontId="0" fillId="0" borderId="0" xfId="0" applyBorder="1" applyAlignment="1">
      <alignment horizontal="right"/>
    </xf>
    <xf numFmtId="0" fontId="5" fillId="0" borderId="0" xfId="0" applyFont="1" applyBorder="1" applyAlignment="1">
      <alignment horizontal="right"/>
    </xf>
    <xf numFmtId="3" fontId="0" fillId="0" borderId="1" xfId="0" applyNumberFormat="1" applyBorder="1"/>
    <xf numFmtId="168" fontId="0" fillId="0" borderId="0" xfId="0" applyNumberFormat="1"/>
    <xf numFmtId="0" fontId="2" fillId="0" borderId="1" xfId="0" applyFont="1" applyBorder="1" applyAlignment="1">
      <alignment horizontal="center"/>
    </xf>
    <xf numFmtId="0" fontId="11" fillId="0" borderId="0" xfId="0" applyFont="1"/>
    <xf numFmtId="3" fontId="0" fillId="0" borderId="0" xfId="0" applyNumberFormat="1" applyFill="1" applyBorder="1" applyAlignment="1">
      <alignment horizontal="right"/>
    </xf>
    <xf numFmtId="3" fontId="0" fillId="0" borderId="1" xfId="0" applyNumberFormat="1" applyFill="1" applyBorder="1" applyAlignment="1">
      <alignment horizontal="right"/>
    </xf>
    <xf numFmtId="3" fontId="2" fillId="0" borderId="0" xfId="0" applyNumberFormat="1" applyFont="1" applyFill="1" applyBorder="1" applyAlignment="1">
      <alignment horizontal="right"/>
    </xf>
    <xf numFmtId="3" fontId="0" fillId="0" borderId="0" xfId="0" applyNumberFormat="1" applyFill="1" applyBorder="1" applyAlignment="1">
      <alignment horizontal="left"/>
    </xf>
    <xf numFmtId="3" fontId="0" fillId="0" borderId="0" xfId="0" applyNumberFormat="1" applyAlignment="1">
      <alignment horizontal="left"/>
    </xf>
    <xf numFmtId="3" fontId="0" fillId="0" borderId="0" xfId="0" applyNumberFormat="1" applyBorder="1" applyAlignment="1">
      <alignment horizontal="left"/>
    </xf>
    <xf numFmtId="165" fontId="0" fillId="0" borderId="0" xfId="0" applyNumberFormat="1" applyBorder="1" applyAlignment="1">
      <alignment horizontal="left"/>
    </xf>
    <xf numFmtId="168" fontId="0" fillId="0" borderId="0" xfId="0" applyNumberFormat="1" applyBorder="1" applyAlignment="1">
      <alignment horizontal="left"/>
    </xf>
    <xf numFmtId="3" fontId="0" fillId="0" borderId="0" xfId="0" applyNumberFormat="1" applyFill="1" applyAlignment="1">
      <alignment horizontal="right"/>
    </xf>
    <xf numFmtId="166" fontId="0" fillId="2" borderId="0" xfId="1" applyNumberFormat="1" applyFont="1" applyFill="1"/>
    <xf numFmtId="165" fontId="0" fillId="0" borderId="0" xfId="0" applyNumberFormat="1" applyBorder="1" applyAlignment="1">
      <alignment horizontal="center"/>
    </xf>
    <xf numFmtId="3" fontId="0" fillId="0" borderId="0" xfId="0" applyNumberFormat="1" applyBorder="1" applyAlignment="1">
      <alignment horizontal="center"/>
    </xf>
    <xf numFmtId="10" fontId="0" fillId="0" borderId="0" xfId="2" applyNumberFormat="1" applyFont="1" applyBorder="1" applyAlignment="1">
      <alignment horizontal="center"/>
    </xf>
    <xf numFmtId="165" fontId="0" fillId="3" borderId="0" xfId="0" applyNumberFormat="1" applyFill="1" applyBorder="1" applyAlignment="1">
      <alignment horizontal="center"/>
    </xf>
    <xf numFmtId="1" fontId="0" fillId="0" borderId="1" xfId="0" applyNumberFormat="1" applyBorder="1"/>
    <xf numFmtId="0" fontId="2" fillId="0" borderId="1" xfId="0" applyFont="1" applyBorder="1"/>
    <xf numFmtId="3" fontId="0" fillId="0" borderId="2" xfId="0" applyNumberFormat="1" applyFill="1" applyBorder="1" applyAlignment="1">
      <alignment horizontal="right"/>
    </xf>
    <xf numFmtId="165" fontId="0" fillId="0" borderId="1" xfId="0" applyNumberFormat="1" applyBorder="1" applyAlignment="1">
      <alignment horizontal="right"/>
    </xf>
    <xf numFmtId="0" fontId="12" fillId="0" borderId="0" xfId="0" applyFont="1"/>
    <xf numFmtId="3" fontId="0" fillId="0" borderId="0" xfId="0" applyNumberFormat="1" applyFill="1" applyBorder="1" applyAlignment="1">
      <alignment horizontal="center"/>
    </xf>
    <xf numFmtId="9" fontId="0" fillId="2" borderId="0" xfId="2" applyNumberFormat="1" applyFont="1" applyFill="1" applyBorder="1" applyAlignment="1">
      <alignment horizontal="center"/>
    </xf>
    <xf numFmtId="165" fontId="0" fillId="2" borderId="0" xfId="0" applyNumberFormat="1" applyFill="1"/>
    <xf numFmtId="166" fontId="0" fillId="2" borderId="0" xfId="0" applyNumberFormat="1" applyFill="1"/>
    <xf numFmtId="17" fontId="3" fillId="0" borderId="0" xfId="0" applyNumberFormat="1" applyFont="1" applyAlignment="1">
      <alignment horizontal="center"/>
    </xf>
    <xf numFmtId="166" fontId="0" fillId="0" borderId="0" xfId="0" applyNumberFormat="1" applyAlignment="1">
      <alignment horizontal="center"/>
    </xf>
    <xf numFmtId="9" fontId="0" fillId="0" borderId="0" xfId="2" applyFont="1"/>
    <xf numFmtId="168" fontId="0" fillId="0" borderId="4" xfId="0" applyNumberFormat="1" applyBorder="1" applyAlignment="1">
      <alignment horizontal="center"/>
    </xf>
    <xf numFmtId="0" fontId="0" fillId="0" borderId="0" xfId="0" applyFill="1"/>
    <xf numFmtId="0" fontId="12" fillId="0" borderId="0" xfId="0" applyFont="1" applyFill="1"/>
    <xf numFmtId="3" fontId="0" fillId="0" borderId="0" xfId="0" applyNumberFormat="1" applyFill="1" applyAlignment="1">
      <alignment horizontal="left"/>
    </xf>
    <xf numFmtId="10" fontId="0" fillId="0" borderId="0" xfId="2" applyNumberFormat="1" applyFont="1" applyAlignment="1">
      <alignment horizontal="center"/>
    </xf>
    <xf numFmtId="165" fontId="2" fillId="0" borderId="0" xfId="0" applyNumberFormat="1" applyFont="1" applyFill="1"/>
    <xf numFmtId="165" fontId="0" fillId="0" borderId="1" xfId="0" applyNumberFormat="1" applyBorder="1"/>
    <xf numFmtId="3" fontId="0" fillId="4" borderId="0" xfId="0" applyNumberFormat="1" applyFill="1" applyBorder="1" applyAlignment="1">
      <alignment horizontal="center"/>
    </xf>
    <xf numFmtId="3" fontId="3" fillId="0" borderId="0" xfId="0" applyNumberFormat="1" applyFont="1" applyFill="1" applyBorder="1" applyAlignment="1">
      <alignment horizontal="center"/>
    </xf>
    <xf numFmtId="166" fontId="0" fillId="0" borderId="0" xfId="0" applyNumberFormat="1" applyBorder="1" applyAlignment="1">
      <alignment horizontal="center"/>
    </xf>
    <xf numFmtId="165" fontId="2" fillId="4" borderId="0" xfId="0" applyNumberFormat="1" applyFont="1" applyFill="1" applyBorder="1" applyAlignment="1">
      <alignment horizontal="center"/>
    </xf>
    <xf numFmtId="165" fontId="0" fillId="4" borderId="0" xfId="0" applyNumberFormat="1" applyFill="1" applyBorder="1" applyAlignment="1">
      <alignment horizontal="center"/>
    </xf>
    <xf numFmtId="0" fontId="14" fillId="0" borderId="0" xfId="0" applyFont="1" applyAlignment="1">
      <alignment horizontal="center"/>
    </xf>
    <xf numFmtId="3" fontId="0" fillId="5" borderId="0" xfId="0" applyNumberFormat="1" applyFill="1"/>
    <xf numFmtId="3" fontId="0" fillId="0" borderId="0" xfId="0" applyNumberFormat="1" applyFont="1" applyFill="1" applyBorder="1" applyAlignment="1">
      <alignment horizontal="right"/>
    </xf>
    <xf numFmtId="17" fontId="0" fillId="0" borderId="1" xfId="0" applyNumberFormat="1" applyFill="1" applyBorder="1" applyAlignment="1">
      <alignment horizontal="center"/>
    </xf>
    <xf numFmtId="165" fontId="0" fillId="0" borderId="0" xfId="2" applyNumberFormat="1" applyFont="1" applyAlignment="1">
      <alignment horizontal="right"/>
    </xf>
    <xf numFmtId="165" fontId="0" fillId="0" borderId="0" xfId="0" applyNumberFormat="1" applyBorder="1" applyProtection="1">
      <protection locked="0"/>
    </xf>
    <xf numFmtId="3" fontId="0" fillId="0" borderId="0" xfId="0" applyNumberFormat="1" applyFill="1"/>
    <xf numFmtId="0" fontId="1" fillId="0" borderId="0" xfId="0" applyFont="1" applyFill="1"/>
    <xf numFmtId="0" fontId="13" fillId="0" borderId="0" xfId="0" applyFont="1" applyFill="1"/>
    <xf numFmtId="0" fontId="0" fillId="0" borderId="0" xfId="0" applyFont="1" applyFill="1"/>
    <xf numFmtId="0" fontId="3" fillId="0" borderId="0" xfId="0" applyFont="1" applyFill="1" applyAlignment="1">
      <alignment horizontal="center"/>
    </xf>
    <xf numFmtId="17" fontId="3" fillId="0" borderId="0" xfId="0" applyNumberFormat="1" applyFont="1" applyFill="1" applyAlignment="1">
      <alignment horizontal="center"/>
    </xf>
    <xf numFmtId="165" fontId="0" fillId="0" borderId="0" xfId="0" applyNumberFormat="1" applyFill="1"/>
    <xf numFmtId="0" fontId="0" fillId="0" borderId="1" xfId="0" applyFill="1" applyBorder="1"/>
    <xf numFmtId="165" fontId="0" fillId="0" borderId="1" xfId="0" applyNumberFormat="1" applyFill="1" applyBorder="1"/>
    <xf numFmtId="166" fontId="0" fillId="0" borderId="0" xfId="0" applyNumberFormat="1" applyFill="1"/>
    <xf numFmtId="0" fontId="0" fillId="0" borderId="0" xfId="0" quotePrefix="1" applyFill="1"/>
    <xf numFmtId="3" fontId="0" fillId="0" borderId="1" xfId="0" applyNumberFormat="1" applyFont="1" applyFill="1" applyBorder="1" applyAlignment="1">
      <alignment horizontal="right"/>
    </xf>
    <xf numFmtId="3" fontId="2" fillId="0" borderId="1" xfId="0" applyNumberFormat="1" applyFont="1" applyFill="1" applyBorder="1" applyAlignment="1">
      <alignment horizontal="right"/>
    </xf>
    <xf numFmtId="10" fontId="0" fillId="0" borderId="0" xfId="2" applyNumberFormat="1" applyFont="1"/>
    <xf numFmtId="3" fontId="0" fillId="0" borderId="0" xfId="1" applyNumberFormat="1" applyFont="1"/>
    <xf numFmtId="165" fontId="0" fillId="0" borderId="0" xfId="0" applyNumberFormat="1" applyFill="1" applyBorder="1" applyAlignment="1">
      <alignment horizontal="center"/>
    </xf>
    <xf numFmtId="0" fontId="0" fillId="0" borderId="2" xfId="0" applyFill="1" applyBorder="1"/>
    <xf numFmtId="166" fontId="2" fillId="0" borderId="0" xfId="0" applyNumberFormat="1" applyFont="1" applyFill="1"/>
    <xf numFmtId="0" fontId="7" fillId="0" borderId="0" xfId="3"/>
    <xf numFmtId="0" fontId="0" fillId="0" borderId="2" xfId="0" applyBorder="1"/>
    <xf numFmtId="3" fontId="0" fillId="0" borderId="2" xfId="0" applyNumberFormat="1" applyBorder="1"/>
    <xf numFmtId="0" fontId="7" fillId="0" borderId="0" xfId="3" applyAlignment="1">
      <alignment horizontal="centerContinuous"/>
    </xf>
    <xf numFmtId="0" fontId="9" fillId="0" borderId="0" xfId="3" applyFont="1" applyAlignment="1">
      <alignment horizontal="centerContinuous"/>
    </xf>
    <xf numFmtId="0" fontId="15" fillId="0" borderId="0" xfId="3" applyFont="1" applyAlignment="1">
      <alignment horizontal="centerContinuous"/>
    </xf>
    <xf numFmtId="0" fontId="7" fillId="0" borderId="0" xfId="3" applyBorder="1"/>
    <xf numFmtId="0" fontId="7" fillId="0" borderId="0" xfId="3" applyAlignment="1">
      <alignment horizontal="center"/>
    </xf>
    <xf numFmtId="0" fontId="9" fillId="0" borderId="0" xfId="3" applyFont="1" applyAlignment="1">
      <alignment wrapText="1"/>
    </xf>
    <xf numFmtId="0" fontId="7" fillId="0" borderId="0" xfId="3" applyFont="1" applyAlignment="1">
      <alignment horizontal="center"/>
    </xf>
    <xf numFmtId="0" fontId="15" fillId="0" borderId="0" xfId="3" applyFont="1" applyAlignment="1">
      <alignment horizontal="center"/>
    </xf>
    <xf numFmtId="0" fontId="15" fillId="0" borderId="0" xfId="3" applyFont="1" applyBorder="1" applyAlignment="1">
      <alignment horizontal="center"/>
    </xf>
    <xf numFmtId="10" fontId="0" fillId="0" borderId="0" xfId="4" applyNumberFormat="1" applyFont="1" applyAlignment="1">
      <alignment horizontal="center"/>
    </xf>
    <xf numFmtId="10" fontId="9" fillId="6" borderId="0" xfId="4" applyNumberFormat="1" applyFont="1" applyFill="1" applyAlignment="1">
      <alignment horizontal="center"/>
    </xf>
    <xf numFmtId="10" fontId="0" fillId="0" borderId="0" xfId="4" applyNumberFormat="1" applyFont="1" applyBorder="1" applyAlignment="1">
      <alignment horizontal="center"/>
    </xf>
    <xf numFmtId="10" fontId="0" fillId="0" borderId="0" xfId="4" applyNumberFormat="1" applyFont="1" applyFill="1" applyAlignment="1">
      <alignment horizontal="center"/>
    </xf>
    <xf numFmtId="165" fontId="7" fillId="0" borderId="0" xfId="3" applyNumberFormat="1"/>
    <xf numFmtId="165" fontId="7" fillId="0" borderId="0" xfId="3" applyNumberFormat="1" applyBorder="1"/>
    <xf numFmtId="3" fontId="7" fillId="0" borderId="0" xfId="3" applyNumberFormat="1"/>
    <xf numFmtId="3" fontId="7" fillId="0" borderId="0" xfId="3" applyNumberFormat="1" applyBorder="1"/>
    <xf numFmtId="3" fontId="7" fillId="0" borderId="1" xfId="3" applyNumberFormat="1" applyBorder="1"/>
    <xf numFmtId="3" fontId="7" fillId="0" borderId="1" xfId="3" applyNumberFormat="1" applyFill="1" applyBorder="1"/>
    <xf numFmtId="3" fontId="7" fillId="0" borderId="0" xfId="3" applyNumberFormat="1" applyFill="1"/>
    <xf numFmtId="0" fontId="7" fillId="0" borderId="0" xfId="3" applyFill="1"/>
    <xf numFmtId="165" fontId="7" fillId="0" borderId="0" xfId="3" applyNumberFormat="1" applyFill="1"/>
    <xf numFmtId="3" fontId="7" fillId="0" borderId="0" xfId="3" applyNumberFormat="1" applyFill="1" applyBorder="1"/>
    <xf numFmtId="0" fontId="7" fillId="0" borderId="0" xfId="3" applyFont="1" applyFill="1"/>
    <xf numFmtId="3" fontId="7" fillId="0" borderId="6" xfId="3" applyNumberFormat="1" applyBorder="1"/>
    <xf numFmtId="169" fontId="0" fillId="0" borderId="0" xfId="4" applyNumberFormat="1" applyFont="1"/>
    <xf numFmtId="9" fontId="7" fillId="0" borderId="0" xfId="3" applyNumberFormat="1"/>
    <xf numFmtId="0" fontId="7" fillId="0" borderId="0" xfId="3" applyFont="1"/>
    <xf numFmtId="0" fontId="7" fillId="7" borderId="0" xfId="3" applyFont="1" applyFill="1"/>
    <xf numFmtId="0" fontId="7" fillId="7" borderId="0" xfId="3" applyFill="1"/>
    <xf numFmtId="3" fontId="7" fillId="0" borderId="0" xfId="1" applyNumberFormat="1" applyFont="1"/>
    <xf numFmtId="3" fontId="7" fillId="0" borderId="1" xfId="1" applyNumberFormat="1" applyFont="1" applyBorder="1"/>
    <xf numFmtId="0" fontId="7" fillId="0" borderId="0" xfId="5" applyFont="1" applyAlignment="1">
      <alignment horizontal="left" wrapText="1"/>
    </xf>
    <xf numFmtId="0" fontId="7" fillId="0" borderId="0" xfId="3" applyFont="1" applyAlignment="1">
      <alignment horizontal="left" wrapText="1"/>
    </xf>
  </cellXfs>
  <cellStyles count="7">
    <cellStyle name="Comma" xfId="1" builtinId="3"/>
    <cellStyle name="Normal" xfId="0" builtinId="0"/>
    <cellStyle name="Normal 2" xfId="6"/>
    <cellStyle name="Normal 2 3" xfId="3"/>
    <cellStyle name="Normal 3" xfId="5"/>
    <cellStyle name="Percent" xfId="2" builtinId="5"/>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47"/>
  <sheetViews>
    <sheetView topLeftCell="A25" zoomScaleNormal="100" workbookViewId="0">
      <selection activeCell="E8" sqref="E8"/>
    </sheetView>
  </sheetViews>
  <sheetFormatPr defaultRowHeight="12.75"/>
  <cols>
    <col min="1" max="1" width="22.140625" style="151" customWidth="1"/>
    <col min="2" max="2" width="8.85546875" style="151"/>
    <col min="3" max="3" width="10.5703125" style="151" customWidth="1"/>
    <col min="4" max="4" width="11.5703125" style="151" customWidth="1"/>
    <col min="5" max="5" width="15.42578125" style="151" customWidth="1"/>
    <col min="6" max="6" width="11.42578125" style="151" customWidth="1"/>
    <col min="7" max="7" width="1.42578125" style="151" customWidth="1"/>
    <col min="8" max="8" width="10.85546875" style="151" bestFit="1" customWidth="1"/>
    <col min="9" max="9" width="1.85546875" style="151" customWidth="1"/>
    <col min="10" max="10" width="10.42578125" style="151" bestFit="1" customWidth="1"/>
    <col min="11" max="256" width="8.85546875" style="151"/>
    <col min="257" max="257" width="22.140625" style="151" customWidth="1"/>
    <col min="258" max="258" width="8.85546875" style="151"/>
    <col min="259" max="259" width="10.5703125" style="151" customWidth="1"/>
    <col min="260" max="260" width="11.5703125" style="151" customWidth="1"/>
    <col min="261" max="261" width="16.42578125" style="151" customWidth="1"/>
    <col min="262" max="262" width="11.42578125" style="151" customWidth="1"/>
    <col min="263" max="263" width="1.42578125" style="151" customWidth="1"/>
    <col min="264" max="264" width="10.85546875" style="151" bestFit="1" customWidth="1"/>
    <col min="265" max="265" width="1.85546875" style="151" customWidth="1"/>
    <col min="266" max="266" width="10.42578125" style="151" bestFit="1" customWidth="1"/>
    <col min="267" max="512" width="8.85546875" style="151"/>
    <col min="513" max="513" width="22.140625" style="151" customWidth="1"/>
    <col min="514" max="514" width="8.85546875" style="151"/>
    <col min="515" max="515" width="10.5703125" style="151" customWidth="1"/>
    <col min="516" max="516" width="11.5703125" style="151" customWidth="1"/>
    <col min="517" max="517" width="16.42578125" style="151" customWidth="1"/>
    <col min="518" max="518" width="11.42578125" style="151" customWidth="1"/>
    <col min="519" max="519" width="1.42578125" style="151" customWidth="1"/>
    <col min="520" max="520" width="10.85546875" style="151" bestFit="1" customWidth="1"/>
    <col min="521" max="521" width="1.85546875" style="151" customWidth="1"/>
    <col min="522" max="522" width="10.42578125" style="151" bestFit="1" customWidth="1"/>
    <col min="523" max="768" width="8.85546875" style="151"/>
    <col min="769" max="769" width="22.140625" style="151" customWidth="1"/>
    <col min="770" max="770" width="8.85546875" style="151"/>
    <col min="771" max="771" width="10.5703125" style="151" customWidth="1"/>
    <col min="772" max="772" width="11.5703125" style="151" customWidth="1"/>
    <col min="773" max="773" width="16.42578125" style="151" customWidth="1"/>
    <col min="774" max="774" width="11.42578125" style="151" customWidth="1"/>
    <col min="775" max="775" width="1.42578125" style="151" customWidth="1"/>
    <col min="776" max="776" width="10.85546875" style="151" bestFit="1" customWidth="1"/>
    <col min="777" max="777" width="1.85546875" style="151" customWidth="1"/>
    <col min="778" max="778" width="10.42578125" style="151" bestFit="1" customWidth="1"/>
    <col min="779" max="1024" width="8.85546875" style="151"/>
    <col min="1025" max="1025" width="22.140625" style="151" customWidth="1"/>
    <col min="1026" max="1026" width="8.85546875" style="151"/>
    <col min="1027" max="1027" width="10.5703125" style="151" customWidth="1"/>
    <col min="1028" max="1028" width="11.5703125" style="151" customWidth="1"/>
    <col min="1029" max="1029" width="16.42578125" style="151" customWidth="1"/>
    <col min="1030" max="1030" width="11.42578125" style="151" customWidth="1"/>
    <col min="1031" max="1031" width="1.42578125" style="151" customWidth="1"/>
    <col min="1032" max="1032" width="10.85546875" style="151" bestFit="1" customWidth="1"/>
    <col min="1033" max="1033" width="1.85546875" style="151" customWidth="1"/>
    <col min="1034" max="1034" width="10.42578125" style="151" bestFit="1" customWidth="1"/>
    <col min="1035" max="1280" width="8.85546875" style="151"/>
    <col min="1281" max="1281" width="22.140625" style="151" customWidth="1"/>
    <col min="1282" max="1282" width="8.85546875" style="151"/>
    <col min="1283" max="1283" width="10.5703125" style="151" customWidth="1"/>
    <col min="1284" max="1284" width="11.5703125" style="151" customWidth="1"/>
    <col min="1285" max="1285" width="16.42578125" style="151" customWidth="1"/>
    <col min="1286" max="1286" width="11.42578125" style="151" customWidth="1"/>
    <col min="1287" max="1287" width="1.42578125" style="151" customWidth="1"/>
    <col min="1288" max="1288" width="10.85546875" style="151" bestFit="1" customWidth="1"/>
    <col min="1289" max="1289" width="1.85546875" style="151" customWidth="1"/>
    <col min="1290" max="1290" width="10.42578125" style="151" bestFit="1" customWidth="1"/>
    <col min="1291" max="1536" width="8.85546875" style="151"/>
    <col min="1537" max="1537" width="22.140625" style="151" customWidth="1"/>
    <col min="1538" max="1538" width="8.85546875" style="151"/>
    <col min="1539" max="1539" width="10.5703125" style="151" customWidth="1"/>
    <col min="1540" max="1540" width="11.5703125" style="151" customWidth="1"/>
    <col min="1541" max="1541" width="16.42578125" style="151" customWidth="1"/>
    <col min="1542" max="1542" width="11.42578125" style="151" customWidth="1"/>
    <col min="1543" max="1543" width="1.42578125" style="151" customWidth="1"/>
    <col min="1544" max="1544" width="10.85546875" style="151" bestFit="1" customWidth="1"/>
    <col min="1545" max="1545" width="1.85546875" style="151" customWidth="1"/>
    <col min="1546" max="1546" width="10.42578125" style="151" bestFit="1" customWidth="1"/>
    <col min="1547" max="1792" width="8.85546875" style="151"/>
    <col min="1793" max="1793" width="22.140625" style="151" customWidth="1"/>
    <col min="1794" max="1794" width="8.85546875" style="151"/>
    <col min="1795" max="1795" width="10.5703125" style="151" customWidth="1"/>
    <col min="1796" max="1796" width="11.5703125" style="151" customWidth="1"/>
    <col min="1797" max="1797" width="16.42578125" style="151" customWidth="1"/>
    <col min="1798" max="1798" width="11.42578125" style="151" customWidth="1"/>
    <col min="1799" max="1799" width="1.42578125" style="151" customWidth="1"/>
    <col min="1800" max="1800" width="10.85546875" style="151" bestFit="1" customWidth="1"/>
    <col min="1801" max="1801" width="1.85546875" style="151" customWidth="1"/>
    <col min="1802" max="1802" width="10.42578125" style="151" bestFit="1" customWidth="1"/>
    <col min="1803" max="2048" width="8.85546875" style="151"/>
    <col min="2049" max="2049" width="22.140625" style="151" customWidth="1"/>
    <col min="2050" max="2050" width="8.85546875" style="151"/>
    <col min="2051" max="2051" width="10.5703125" style="151" customWidth="1"/>
    <col min="2052" max="2052" width="11.5703125" style="151" customWidth="1"/>
    <col min="2053" max="2053" width="16.42578125" style="151" customWidth="1"/>
    <col min="2054" max="2054" width="11.42578125" style="151" customWidth="1"/>
    <col min="2055" max="2055" width="1.42578125" style="151" customWidth="1"/>
    <col min="2056" max="2056" width="10.85546875" style="151" bestFit="1" customWidth="1"/>
    <col min="2057" max="2057" width="1.85546875" style="151" customWidth="1"/>
    <col min="2058" max="2058" width="10.42578125" style="151" bestFit="1" customWidth="1"/>
    <col min="2059" max="2304" width="8.85546875" style="151"/>
    <col min="2305" max="2305" width="22.140625" style="151" customWidth="1"/>
    <col min="2306" max="2306" width="8.85546875" style="151"/>
    <col min="2307" max="2307" width="10.5703125" style="151" customWidth="1"/>
    <col min="2308" max="2308" width="11.5703125" style="151" customWidth="1"/>
    <col min="2309" max="2309" width="16.42578125" style="151" customWidth="1"/>
    <col min="2310" max="2310" width="11.42578125" style="151" customWidth="1"/>
    <col min="2311" max="2311" width="1.42578125" style="151" customWidth="1"/>
    <col min="2312" max="2312" width="10.85546875" style="151" bestFit="1" customWidth="1"/>
    <col min="2313" max="2313" width="1.85546875" style="151" customWidth="1"/>
    <col min="2314" max="2314" width="10.42578125" style="151" bestFit="1" customWidth="1"/>
    <col min="2315" max="2560" width="8.85546875" style="151"/>
    <col min="2561" max="2561" width="22.140625" style="151" customWidth="1"/>
    <col min="2562" max="2562" width="8.85546875" style="151"/>
    <col min="2563" max="2563" width="10.5703125" style="151" customWidth="1"/>
    <col min="2564" max="2564" width="11.5703125" style="151" customWidth="1"/>
    <col min="2565" max="2565" width="16.42578125" style="151" customWidth="1"/>
    <col min="2566" max="2566" width="11.42578125" style="151" customWidth="1"/>
    <col min="2567" max="2567" width="1.42578125" style="151" customWidth="1"/>
    <col min="2568" max="2568" width="10.85546875" style="151" bestFit="1" customWidth="1"/>
    <col min="2569" max="2569" width="1.85546875" style="151" customWidth="1"/>
    <col min="2570" max="2570" width="10.42578125" style="151" bestFit="1" customWidth="1"/>
    <col min="2571" max="2816" width="8.85546875" style="151"/>
    <col min="2817" max="2817" width="22.140625" style="151" customWidth="1"/>
    <col min="2818" max="2818" width="8.85546875" style="151"/>
    <col min="2819" max="2819" width="10.5703125" style="151" customWidth="1"/>
    <col min="2820" max="2820" width="11.5703125" style="151" customWidth="1"/>
    <col min="2821" max="2821" width="16.42578125" style="151" customWidth="1"/>
    <col min="2822" max="2822" width="11.42578125" style="151" customWidth="1"/>
    <col min="2823" max="2823" width="1.42578125" style="151" customWidth="1"/>
    <col min="2824" max="2824" width="10.85546875" style="151" bestFit="1" customWidth="1"/>
    <col min="2825" max="2825" width="1.85546875" style="151" customWidth="1"/>
    <col min="2826" max="2826" width="10.42578125" style="151" bestFit="1" customWidth="1"/>
    <col min="2827" max="3072" width="8.85546875" style="151"/>
    <col min="3073" max="3073" width="22.140625" style="151" customWidth="1"/>
    <col min="3074" max="3074" width="8.85546875" style="151"/>
    <col min="3075" max="3075" width="10.5703125" style="151" customWidth="1"/>
    <col min="3076" max="3076" width="11.5703125" style="151" customWidth="1"/>
    <col min="3077" max="3077" width="16.42578125" style="151" customWidth="1"/>
    <col min="3078" max="3078" width="11.42578125" style="151" customWidth="1"/>
    <col min="3079" max="3079" width="1.42578125" style="151" customWidth="1"/>
    <col min="3080" max="3080" width="10.85546875" style="151" bestFit="1" customWidth="1"/>
    <col min="3081" max="3081" width="1.85546875" style="151" customWidth="1"/>
    <col min="3082" max="3082" width="10.42578125" style="151" bestFit="1" customWidth="1"/>
    <col min="3083" max="3328" width="8.85546875" style="151"/>
    <col min="3329" max="3329" width="22.140625" style="151" customWidth="1"/>
    <col min="3330" max="3330" width="8.85546875" style="151"/>
    <col min="3331" max="3331" width="10.5703125" style="151" customWidth="1"/>
    <col min="3332" max="3332" width="11.5703125" style="151" customWidth="1"/>
    <col min="3333" max="3333" width="16.42578125" style="151" customWidth="1"/>
    <col min="3334" max="3334" width="11.42578125" style="151" customWidth="1"/>
    <col min="3335" max="3335" width="1.42578125" style="151" customWidth="1"/>
    <col min="3336" max="3336" width="10.85546875" style="151" bestFit="1" customWidth="1"/>
    <col min="3337" max="3337" width="1.85546875" style="151" customWidth="1"/>
    <col min="3338" max="3338" width="10.42578125" style="151" bestFit="1" customWidth="1"/>
    <col min="3339" max="3584" width="8.85546875" style="151"/>
    <col min="3585" max="3585" width="22.140625" style="151" customWidth="1"/>
    <col min="3586" max="3586" width="8.85546875" style="151"/>
    <col min="3587" max="3587" width="10.5703125" style="151" customWidth="1"/>
    <col min="3588" max="3588" width="11.5703125" style="151" customWidth="1"/>
    <col min="3589" max="3589" width="16.42578125" style="151" customWidth="1"/>
    <col min="3590" max="3590" width="11.42578125" style="151" customWidth="1"/>
    <col min="3591" max="3591" width="1.42578125" style="151" customWidth="1"/>
    <col min="3592" max="3592" width="10.85546875" style="151" bestFit="1" customWidth="1"/>
    <col min="3593" max="3593" width="1.85546875" style="151" customWidth="1"/>
    <col min="3594" max="3594" width="10.42578125" style="151" bestFit="1" customWidth="1"/>
    <col min="3595" max="3840" width="8.85546875" style="151"/>
    <col min="3841" max="3841" width="22.140625" style="151" customWidth="1"/>
    <col min="3842" max="3842" width="8.85546875" style="151"/>
    <col min="3843" max="3843" width="10.5703125" style="151" customWidth="1"/>
    <col min="3844" max="3844" width="11.5703125" style="151" customWidth="1"/>
    <col min="3845" max="3845" width="16.42578125" style="151" customWidth="1"/>
    <col min="3846" max="3846" width="11.42578125" style="151" customWidth="1"/>
    <col min="3847" max="3847" width="1.42578125" style="151" customWidth="1"/>
    <col min="3848" max="3848" width="10.85546875" style="151" bestFit="1" customWidth="1"/>
    <col min="3849" max="3849" width="1.85546875" style="151" customWidth="1"/>
    <col min="3850" max="3850" width="10.42578125" style="151" bestFit="1" customWidth="1"/>
    <col min="3851" max="4096" width="8.85546875" style="151"/>
    <col min="4097" max="4097" width="22.140625" style="151" customWidth="1"/>
    <col min="4098" max="4098" width="8.85546875" style="151"/>
    <col min="4099" max="4099" width="10.5703125" style="151" customWidth="1"/>
    <col min="4100" max="4100" width="11.5703125" style="151" customWidth="1"/>
    <col min="4101" max="4101" width="16.42578125" style="151" customWidth="1"/>
    <col min="4102" max="4102" width="11.42578125" style="151" customWidth="1"/>
    <col min="4103" max="4103" width="1.42578125" style="151" customWidth="1"/>
    <col min="4104" max="4104" width="10.85546875" style="151" bestFit="1" customWidth="1"/>
    <col min="4105" max="4105" width="1.85546875" style="151" customWidth="1"/>
    <col min="4106" max="4106" width="10.42578125" style="151" bestFit="1" customWidth="1"/>
    <col min="4107" max="4352" width="8.85546875" style="151"/>
    <col min="4353" max="4353" width="22.140625" style="151" customWidth="1"/>
    <col min="4354" max="4354" width="8.85546875" style="151"/>
    <col min="4355" max="4355" width="10.5703125" style="151" customWidth="1"/>
    <col min="4356" max="4356" width="11.5703125" style="151" customWidth="1"/>
    <col min="4357" max="4357" width="16.42578125" style="151" customWidth="1"/>
    <col min="4358" max="4358" width="11.42578125" style="151" customWidth="1"/>
    <col min="4359" max="4359" width="1.42578125" style="151" customWidth="1"/>
    <col min="4360" max="4360" width="10.85546875" style="151" bestFit="1" customWidth="1"/>
    <col min="4361" max="4361" width="1.85546875" style="151" customWidth="1"/>
    <col min="4362" max="4362" width="10.42578125" style="151" bestFit="1" customWidth="1"/>
    <col min="4363" max="4608" width="8.85546875" style="151"/>
    <col min="4609" max="4609" width="22.140625" style="151" customWidth="1"/>
    <col min="4610" max="4610" width="8.85546875" style="151"/>
    <col min="4611" max="4611" width="10.5703125" style="151" customWidth="1"/>
    <col min="4612" max="4612" width="11.5703125" style="151" customWidth="1"/>
    <col min="4613" max="4613" width="16.42578125" style="151" customWidth="1"/>
    <col min="4614" max="4614" width="11.42578125" style="151" customWidth="1"/>
    <col min="4615" max="4615" width="1.42578125" style="151" customWidth="1"/>
    <col min="4616" max="4616" width="10.85546875" style="151" bestFit="1" customWidth="1"/>
    <col min="4617" max="4617" width="1.85546875" style="151" customWidth="1"/>
    <col min="4618" max="4618" width="10.42578125" style="151" bestFit="1" customWidth="1"/>
    <col min="4619" max="4864" width="8.85546875" style="151"/>
    <col min="4865" max="4865" width="22.140625" style="151" customWidth="1"/>
    <col min="4866" max="4866" width="8.85546875" style="151"/>
    <col min="4867" max="4867" width="10.5703125" style="151" customWidth="1"/>
    <col min="4868" max="4868" width="11.5703125" style="151" customWidth="1"/>
    <col min="4869" max="4869" width="16.42578125" style="151" customWidth="1"/>
    <col min="4870" max="4870" width="11.42578125" style="151" customWidth="1"/>
    <col min="4871" max="4871" width="1.42578125" style="151" customWidth="1"/>
    <col min="4872" max="4872" width="10.85546875" style="151" bestFit="1" customWidth="1"/>
    <col min="4873" max="4873" width="1.85546875" style="151" customWidth="1"/>
    <col min="4874" max="4874" width="10.42578125" style="151" bestFit="1" customWidth="1"/>
    <col min="4875" max="5120" width="8.85546875" style="151"/>
    <col min="5121" max="5121" width="22.140625" style="151" customWidth="1"/>
    <col min="5122" max="5122" width="8.85546875" style="151"/>
    <col min="5123" max="5123" width="10.5703125" style="151" customWidth="1"/>
    <col min="5124" max="5124" width="11.5703125" style="151" customWidth="1"/>
    <col min="5125" max="5125" width="16.42578125" style="151" customWidth="1"/>
    <col min="5126" max="5126" width="11.42578125" style="151" customWidth="1"/>
    <col min="5127" max="5127" width="1.42578125" style="151" customWidth="1"/>
    <col min="5128" max="5128" width="10.85546875" style="151" bestFit="1" customWidth="1"/>
    <col min="5129" max="5129" width="1.85546875" style="151" customWidth="1"/>
    <col min="5130" max="5130" width="10.42578125" style="151" bestFit="1" customWidth="1"/>
    <col min="5131" max="5376" width="8.85546875" style="151"/>
    <col min="5377" max="5377" width="22.140625" style="151" customWidth="1"/>
    <col min="5378" max="5378" width="8.85546875" style="151"/>
    <col min="5379" max="5379" width="10.5703125" style="151" customWidth="1"/>
    <col min="5380" max="5380" width="11.5703125" style="151" customWidth="1"/>
    <col min="5381" max="5381" width="16.42578125" style="151" customWidth="1"/>
    <col min="5382" max="5382" width="11.42578125" style="151" customWidth="1"/>
    <col min="5383" max="5383" width="1.42578125" style="151" customWidth="1"/>
    <col min="5384" max="5384" width="10.85546875" style="151" bestFit="1" customWidth="1"/>
    <col min="5385" max="5385" width="1.85546875" style="151" customWidth="1"/>
    <col min="5386" max="5386" width="10.42578125" style="151" bestFit="1" customWidth="1"/>
    <col min="5387" max="5632" width="8.85546875" style="151"/>
    <col min="5633" max="5633" width="22.140625" style="151" customWidth="1"/>
    <col min="5634" max="5634" width="8.85546875" style="151"/>
    <col min="5635" max="5635" width="10.5703125" style="151" customWidth="1"/>
    <col min="5636" max="5636" width="11.5703125" style="151" customWidth="1"/>
    <col min="5637" max="5637" width="16.42578125" style="151" customWidth="1"/>
    <col min="5638" max="5638" width="11.42578125" style="151" customWidth="1"/>
    <col min="5639" max="5639" width="1.42578125" style="151" customWidth="1"/>
    <col min="5640" max="5640" width="10.85546875" style="151" bestFit="1" customWidth="1"/>
    <col min="5641" max="5641" width="1.85546875" style="151" customWidth="1"/>
    <col min="5642" max="5642" width="10.42578125" style="151" bestFit="1" customWidth="1"/>
    <col min="5643" max="5888" width="8.85546875" style="151"/>
    <col min="5889" max="5889" width="22.140625" style="151" customWidth="1"/>
    <col min="5890" max="5890" width="8.85546875" style="151"/>
    <col min="5891" max="5891" width="10.5703125" style="151" customWidth="1"/>
    <col min="5892" max="5892" width="11.5703125" style="151" customWidth="1"/>
    <col min="5893" max="5893" width="16.42578125" style="151" customWidth="1"/>
    <col min="5894" max="5894" width="11.42578125" style="151" customWidth="1"/>
    <col min="5895" max="5895" width="1.42578125" style="151" customWidth="1"/>
    <col min="5896" max="5896" width="10.85546875" style="151" bestFit="1" customWidth="1"/>
    <col min="5897" max="5897" width="1.85546875" style="151" customWidth="1"/>
    <col min="5898" max="5898" width="10.42578125" style="151" bestFit="1" customWidth="1"/>
    <col min="5899" max="6144" width="8.85546875" style="151"/>
    <col min="6145" max="6145" width="22.140625" style="151" customWidth="1"/>
    <col min="6146" max="6146" width="8.85546875" style="151"/>
    <col min="6147" max="6147" width="10.5703125" style="151" customWidth="1"/>
    <col min="6148" max="6148" width="11.5703125" style="151" customWidth="1"/>
    <col min="6149" max="6149" width="16.42578125" style="151" customWidth="1"/>
    <col min="6150" max="6150" width="11.42578125" style="151" customWidth="1"/>
    <col min="6151" max="6151" width="1.42578125" style="151" customWidth="1"/>
    <col min="6152" max="6152" width="10.85546875" style="151" bestFit="1" customWidth="1"/>
    <col min="6153" max="6153" width="1.85546875" style="151" customWidth="1"/>
    <col min="6154" max="6154" width="10.42578125" style="151" bestFit="1" customWidth="1"/>
    <col min="6155" max="6400" width="8.85546875" style="151"/>
    <col min="6401" max="6401" width="22.140625" style="151" customWidth="1"/>
    <col min="6402" max="6402" width="8.85546875" style="151"/>
    <col min="6403" max="6403" width="10.5703125" style="151" customWidth="1"/>
    <col min="6404" max="6404" width="11.5703125" style="151" customWidth="1"/>
    <col min="6405" max="6405" width="16.42578125" style="151" customWidth="1"/>
    <col min="6406" max="6406" width="11.42578125" style="151" customWidth="1"/>
    <col min="6407" max="6407" width="1.42578125" style="151" customWidth="1"/>
    <col min="6408" max="6408" width="10.85546875" style="151" bestFit="1" customWidth="1"/>
    <col min="6409" max="6409" width="1.85546875" style="151" customWidth="1"/>
    <col min="6410" max="6410" width="10.42578125" style="151" bestFit="1" customWidth="1"/>
    <col min="6411" max="6656" width="8.85546875" style="151"/>
    <col min="6657" max="6657" width="22.140625" style="151" customWidth="1"/>
    <col min="6658" max="6658" width="8.85546875" style="151"/>
    <col min="6659" max="6659" width="10.5703125" style="151" customWidth="1"/>
    <col min="6660" max="6660" width="11.5703125" style="151" customWidth="1"/>
    <col min="6661" max="6661" width="16.42578125" style="151" customWidth="1"/>
    <col min="6662" max="6662" width="11.42578125" style="151" customWidth="1"/>
    <col min="6663" max="6663" width="1.42578125" style="151" customWidth="1"/>
    <col min="6664" max="6664" width="10.85546875" style="151" bestFit="1" customWidth="1"/>
    <col min="6665" max="6665" width="1.85546875" style="151" customWidth="1"/>
    <col min="6666" max="6666" width="10.42578125" style="151" bestFit="1" customWidth="1"/>
    <col min="6667" max="6912" width="8.85546875" style="151"/>
    <col min="6913" max="6913" width="22.140625" style="151" customWidth="1"/>
    <col min="6914" max="6914" width="8.85546875" style="151"/>
    <col min="6915" max="6915" width="10.5703125" style="151" customWidth="1"/>
    <col min="6916" max="6916" width="11.5703125" style="151" customWidth="1"/>
    <col min="6917" max="6917" width="16.42578125" style="151" customWidth="1"/>
    <col min="6918" max="6918" width="11.42578125" style="151" customWidth="1"/>
    <col min="6919" max="6919" width="1.42578125" style="151" customWidth="1"/>
    <col min="6920" max="6920" width="10.85546875" style="151" bestFit="1" customWidth="1"/>
    <col min="6921" max="6921" width="1.85546875" style="151" customWidth="1"/>
    <col min="6922" max="6922" width="10.42578125" style="151" bestFit="1" customWidth="1"/>
    <col min="6923" max="7168" width="8.85546875" style="151"/>
    <col min="7169" max="7169" width="22.140625" style="151" customWidth="1"/>
    <col min="7170" max="7170" width="8.85546875" style="151"/>
    <col min="7171" max="7171" width="10.5703125" style="151" customWidth="1"/>
    <col min="7172" max="7172" width="11.5703125" style="151" customWidth="1"/>
    <col min="7173" max="7173" width="16.42578125" style="151" customWidth="1"/>
    <col min="7174" max="7174" width="11.42578125" style="151" customWidth="1"/>
    <col min="7175" max="7175" width="1.42578125" style="151" customWidth="1"/>
    <col min="7176" max="7176" width="10.85546875" style="151" bestFit="1" customWidth="1"/>
    <col min="7177" max="7177" width="1.85546875" style="151" customWidth="1"/>
    <col min="7178" max="7178" width="10.42578125" style="151" bestFit="1" customWidth="1"/>
    <col min="7179" max="7424" width="8.85546875" style="151"/>
    <col min="7425" max="7425" width="22.140625" style="151" customWidth="1"/>
    <col min="7426" max="7426" width="8.85546875" style="151"/>
    <col min="7427" max="7427" width="10.5703125" style="151" customWidth="1"/>
    <col min="7428" max="7428" width="11.5703125" style="151" customWidth="1"/>
    <col min="7429" max="7429" width="16.42578125" style="151" customWidth="1"/>
    <col min="7430" max="7430" width="11.42578125" style="151" customWidth="1"/>
    <col min="7431" max="7431" width="1.42578125" style="151" customWidth="1"/>
    <col min="7432" max="7432" width="10.85546875" style="151" bestFit="1" customWidth="1"/>
    <col min="7433" max="7433" width="1.85546875" style="151" customWidth="1"/>
    <col min="7434" max="7434" width="10.42578125" style="151" bestFit="1" customWidth="1"/>
    <col min="7435" max="7680" width="8.85546875" style="151"/>
    <col min="7681" max="7681" width="22.140625" style="151" customWidth="1"/>
    <col min="7682" max="7682" width="8.85546875" style="151"/>
    <col min="7683" max="7683" width="10.5703125" style="151" customWidth="1"/>
    <col min="7684" max="7684" width="11.5703125" style="151" customWidth="1"/>
    <col min="7685" max="7685" width="16.42578125" style="151" customWidth="1"/>
    <col min="7686" max="7686" width="11.42578125" style="151" customWidth="1"/>
    <col min="7687" max="7687" width="1.42578125" style="151" customWidth="1"/>
    <col min="7688" max="7688" width="10.85546875" style="151" bestFit="1" customWidth="1"/>
    <col min="7689" max="7689" width="1.85546875" style="151" customWidth="1"/>
    <col min="7690" max="7690" width="10.42578125" style="151" bestFit="1" customWidth="1"/>
    <col min="7691" max="7936" width="8.85546875" style="151"/>
    <col min="7937" max="7937" width="22.140625" style="151" customWidth="1"/>
    <col min="7938" max="7938" width="8.85546875" style="151"/>
    <col min="7939" max="7939" width="10.5703125" style="151" customWidth="1"/>
    <col min="7940" max="7940" width="11.5703125" style="151" customWidth="1"/>
    <col min="7941" max="7941" width="16.42578125" style="151" customWidth="1"/>
    <col min="7942" max="7942" width="11.42578125" style="151" customWidth="1"/>
    <col min="7943" max="7943" width="1.42578125" style="151" customWidth="1"/>
    <col min="7944" max="7944" width="10.85546875" style="151" bestFit="1" customWidth="1"/>
    <col min="7945" max="7945" width="1.85546875" style="151" customWidth="1"/>
    <col min="7946" max="7946" width="10.42578125" style="151" bestFit="1" customWidth="1"/>
    <col min="7947" max="8192" width="8.85546875" style="151"/>
    <col min="8193" max="8193" width="22.140625" style="151" customWidth="1"/>
    <col min="8194" max="8194" width="8.85546875" style="151"/>
    <col min="8195" max="8195" width="10.5703125" style="151" customWidth="1"/>
    <col min="8196" max="8196" width="11.5703125" style="151" customWidth="1"/>
    <col min="8197" max="8197" width="16.42578125" style="151" customWidth="1"/>
    <col min="8198" max="8198" width="11.42578125" style="151" customWidth="1"/>
    <col min="8199" max="8199" width="1.42578125" style="151" customWidth="1"/>
    <col min="8200" max="8200" width="10.85546875" style="151" bestFit="1" customWidth="1"/>
    <col min="8201" max="8201" width="1.85546875" style="151" customWidth="1"/>
    <col min="8202" max="8202" width="10.42578125" style="151" bestFit="1" customWidth="1"/>
    <col min="8203" max="8448" width="8.85546875" style="151"/>
    <col min="8449" max="8449" width="22.140625" style="151" customWidth="1"/>
    <col min="8450" max="8450" width="8.85546875" style="151"/>
    <col min="8451" max="8451" width="10.5703125" style="151" customWidth="1"/>
    <col min="8452" max="8452" width="11.5703125" style="151" customWidth="1"/>
    <col min="8453" max="8453" width="16.42578125" style="151" customWidth="1"/>
    <col min="8454" max="8454" width="11.42578125" style="151" customWidth="1"/>
    <col min="8455" max="8455" width="1.42578125" style="151" customWidth="1"/>
    <col min="8456" max="8456" width="10.85546875" style="151" bestFit="1" customWidth="1"/>
    <col min="8457" max="8457" width="1.85546875" style="151" customWidth="1"/>
    <col min="8458" max="8458" width="10.42578125" style="151" bestFit="1" customWidth="1"/>
    <col min="8459" max="8704" width="8.85546875" style="151"/>
    <col min="8705" max="8705" width="22.140625" style="151" customWidth="1"/>
    <col min="8706" max="8706" width="8.85546875" style="151"/>
    <col min="8707" max="8707" width="10.5703125" style="151" customWidth="1"/>
    <col min="8708" max="8708" width="11.5703125" style="151" customWidth="1"/>
    <col min="8709" max="8709" width="16.42578125" style="151" customWidth="1"/>
    <col min="8710" max="8710" width="11.42578125" style="151" customWidth="1"/>
    <col min="8711" max="8711" width="1.42578125" style="151" customWidth="1"/>
    <col min="8712" max="8712" width="10.85546875" style="151" bestFit="1" customWidth="1"/>
    <col min="8713" max="8713" width="1.85546875" style="151" customWidth="1"/>
    <col min="8714" max="8714" width="10.42578125" style="151" bestFit="1" customWidth="1"/>
    <col min="8715" max="8960" width="8.85546875" style="151"/>
    <col min="8961" max="8961" width="22.140625" style="151" customWidth="1"/>
    <col min="8962" max="8962" width="8.85546875" style="151"/>
    <col min="8963" max="8963" width="10.5703125" style="151" customWidth="1"/>
    <col min="8964" max="8964" width="11.5703125" style="151" customWidth="1"/>
    <col min="8965" max="8965" width="16.42578125" style="151" customWidth="1"/>
    <col min="8966" max="8966" width="11.42578125" style="151" customWidth="1"/>
    <col min="8967" max="8967" width="1.42578125" style="151" customWidth="1"/>
    <col min="8968" max="8968" width="10.85546875" style="151" bestFit="1" customWidth="1"/>
    <col min="8969" max="8969" width="1.85546875" style="151" customWidth="1"/>
    <col min="8970" max="8970" width="10.42578125" style="151" bestFit="1" customWidth="1"/>
    <col min="8971" max="9216" width="8.85546875" style="151"/>
    <col min="9217" max="9217" width="22.140625" style="151" customWidth="1"/>
    <col min="9218" max="9218" width="8.85546875" style="151"/>
    <col min="9219" max="9219" width="10.5703125" style="151" customWidth="1"/>
    <col min="9220" max="9220" width="11.5703125" style="151" customWidth="1"/>
    <col min="9221" max="9221" width="16.42578125" style="151" customWidth="1"/>
    <col min="9222" max="9222" width="11.42578125" style="151" customWidth="1"/>
    <col min="9223" max="9223" width="1.42578125" style="151" customWidth="1"/>
    <col min="9224" max="9224" width="10.85546875" style="151" bestFit="1" customWidth="1"/>
    <col min="9225" max="9225" width="1.85546875" style="151" customWidth="1"/>
    <col min="9226" max="9226" width="10.42578125" style="151" bestFit="1" customWidth="1"/>
    <col min="9227" max="9472" width="8.85546875" style="151"/>
    <col min="9473" max="9473" width="22.140625" style="151" customWidth="1"/>
    <col min="9474" max="9474" width="8.85546875" style="151"/>
    <col min="9475" max="9475" width="10.5703125" style="151" customWidth="1"/>
    <col min="9476" max="9476" width="11.5703125" style="151" customWidth="1"/>
    <col min="9477" max="9477" width="16.42578125" style="151" customWidth="1"/>
    <col min="9478" max="9478" width="11.42578125" style="151" customWidth="1"/>
    <col min="9479" max="9479" width="1.42578125" style="151" customWidth="1"/>
    <col min="9480" max="9480" width="10.85546875" style="151" bestFit="1" customWidth="1"/>
    <col min="9481" max="9481" width="1.85546875" style="151" customWidth="1"/>
    <col min="9482" max="9482" width="10.42578125" style="151" bestFit="1" customWidth="1"/>
    <col min="9483" max="9728" width="8.85546875" style="151"/>
    <col min="9729" max="9729" width="22.140625" style="151" customWidth="1"/>
    <col min="9730" max="9730" width="8.85546875" style="151"/>
    <col min="9731" max="9731" width="10.5703125" style="151" customWidth="1"/>
    <col min="9732" max="9732" width="11.5703125" style="151" customWidth="1"/>
    <col min="9733" max="9733" width="16.42578125" style="151" customWidth="1"/>
    <col min="9734" max="9734" width="11.42578125" style="151" customWidth="1"/>
    <col min="9735" max="9735" width="1.42578125" style="151" customWidth="1"/>
    <col min="9736" max="9736" width="10.85546875" style="151" bestFit="1" customWidth="1"/>
    <col min="9737" max="9737" width="1.85546875" style="151" customWidth="1"/>
    <col min="9738" max="9738" width="10.42578125" style="151" bestFit="1" customWidth="1"/>
    <col min="9739" max="9984" width="8.85546875" style="151"/>
    <col min="9985" max="9985" width="22.140625" style="151" customWidth="1"/>
    <col min="9986" max="9986" width="8.85546875" style="151"/>
    <col min="9987" max="9987" width="10.5703125" style="151" customWidth="1"/>
    <col min="9988" max="9988" width="11.5703125" style="151" customWidth="1"/>
    <col min="9989" max="9989" width="16.42578125" style="151" customWidth="1"/>
    <col min="9990" max="9990" width="11.42578125" style="151" customWidth="1"/>
    <col min="9991" max="9991" width="1.42578125" style="151" customWidth="1"/>
    <col min="9992" max="9992" width="10.85546875" style="151" bestFit="1" customWidth="1"/>
    <col min="9993" max="9993" width="1.85546875" style="151" customWidth="1"/>
    <col min="9994" max="9994" width="10.42578125" style="151" bestFit="1" customWidth="1"/>
    <col min="9995" max="10240" width="8.85546875" style="151"/>
    <col min="10241" max="10241" width="22.140625" style="151" customWidth="1"/>
    <col min="10242" max="10242" width="8.85546875" style="151"/>
    <col min="10243" max="10243" width="10.5703125" style="151" customWidth="1"/>
    <col min="10244" max="10244" width="11.5703125" style="151" customWidth="1"/>
    <col min="10245" max="10245" width="16.42578125" style="151" customWidth="1"/>
    <col min="10246" max="10246" width="11.42578125" style="151" customWidth="1"/>
    <col min="10247" max="10247" width="1.42578125" style="151" customWidth="1"/>
    <col min="10248" max="10248" width="10.85546875" style="151" bestFit="1" customWidth="1"/>
    <col min="10249" max="10249" width="1.85546875" style="151" customWidth="1"/>
    <col min="10250" max="10250" width="10.42578125" style="151" bestFit="1" customWidth="1"/>
    <col min="10251" max="10496" width="8.85546875" style="151"/>
    <col min="10497" max="10497" width="22.140625" style="151" customWidth="1"/>
    <col min="10498" max="10498" width="8.85546875" style="151"/>
    <col min="10499" max="10499" width="10.5703125" style="151" customWidth="1"/>
    <col min="10500" max="10500" width="11.5703125" style="151" customWidth="1"/>
    <col min="10501" max="10501" width="16.42578125" style="151" customWidth="1"/>
    <col min="10502" max="10502" width="11.42578125" style="151" customWidth="1"/>
    <col min="10503" max="10503" width="1.42578125" style="151" customWidth="1"/>
    <col min="10504" max="10504" width="10.85546875" style="151" bestFit="1" customWidth="1"/>
    <col min="10505" max="10505" width="1.85546875" style="151" customWidth="1"/>
    <col min="10506" max="10506" width="10.42578125" style="151" bestFit="1" customWidth="1"/>
    <col min="10507" max="10752" width="8.85546875" style="151"/>
    <col min="10753" max="10753" width="22.140625" style="151" customWidth="1"/>
    <col min="10754" max="10754" width="8.85546875" style="151"/>
    <col min="10755" max="10755" width="10.5703125" style="151" customWidth="1"/>
    <col min="10756" max="10756" width="11.5703125" style="151" customWidth="1"/>
    <col min="10757" max="10757" width="16.42578125" style="151" customWidth="1"/>
    <col min="10758" max="10758" width="11.42578125" style="151" customWidth="1"/>
    <col min="10759" max="10759" width="1.42578125" style="151" customWidth="1"/>
    <col min="10760" max="10760" width="10.85546875" style="151" bestFit="1" customWidth="1"/>
    <col min="10761" max="10761" width="1.85546875" style="151" customWidth="1"/>
    <col min="10762" max="10762" width="10.42578125" style="151" bestFit="1" customWidth="1"/>
    <col min="10763" max="11008" width="8.85546875" style="151"/>
    <col min="11009" max="11009" width="22.140625" style="151" customWidth="1"/>
    <col min="11010" max="11010" width="8.85546875" style="151"/>
    <col min="11011" max="11011" width="10.5703125" style="151" customWidth="1"/>
    <col min="11012" max="11012" width="11.5703125" style="151" customWidth="1"/>
    <col min="11013" max="11013" width="16.42578125" style="151" customWidth="1"/>
    <col min="11014" max="11014" width="11.42578125" style="151" customWidth="1"/>
    <col min="11015" max="11015" width="1.42578125" style="151" customWidth="1"/>
    <col min="11016" max="11016" width="10.85546875" style="151" bestFit="1" customWidth="1"/>
    <col min="11017" max="11017" width="1.85546875" style="151" customWidth="1"/>
    <col min="11018" max="11018" width="10.42578125" style="151" bestFit="1" customWidth="1"/>
    <col min="11019" max="11264" width="8.85546875" style="151"/>
    <col min="11265" max="11265" width="22.140625" style="151" customWidth="1"/>
    <col min="11266" max="11266" width="8.85546875" style="151"/>
    <col min="11267" max="11267" width="10.5703125" style="151" customWidth="1"/>
    <col min="11268" max="11268" width="11.5703125" style="151" customWidth="1"/>
    <col min="11269" max="11269" width="16.42578125" style="151" customWidth="1"/>
    <col min="11270" max="11270" width="11.42578125" style="151" customWidth="1"/>
    <col min="11271" max="11271" width="1.42578125" style="151" customWidth="1"/>
    <col min="11272" max="11272" width="10.85546875" style="151" bestFit="1" customWidth="1"/>
    <col min="11273" max="11273" width="1.85546875" style="151" customWidth="1"/>
    <col min="11274" max="11274" width="10.42578125" style="151" bestFit="1" customWidth="1"/>
    <col min="11275" max="11520" width="8.85546875" style="151"/>
    <col min="11521" max="11521" width="22.140625" style="151" customWidth="1"/>
    <col min="11522" max="11522" width="8.85546875" style="151"/>
    <col min="11523" max="11523" width="10.5703125" style="151" customWidth="1"/>
    <col min="11524" max="11524" width="11.5703125" style="151" customWidth="1"/>
    <col min="11525" max="11525" width="16.42578125" style="151" customWidth="1"/>
    <col min="11526" max="11526" width="11.42578125" style="151" customWidth="1"/>
    <col min="11527" max="11527" width="1.42578125" style="151" customWidth="1"/>
    <col min="11528" max="11528" width="10.85546875" style="151" bestFit="1" customWidth="1"/>
    <col min="11529" max="11529" width="1.85546875" style="151" customWidth="1"/>
    <col min="11530" max="11530" width="10.42578125" style="151" bestFit="1" customWidth="1"/>
    <col min="11531" max="11776" width="8.85546875" style="151"/>
    <col min="11777" max="11777" width="22.140625" style="151" customWidth="1"/>
    <col min="11778" max="11778" width="8.85546875" style="151"/>
    <col min="11779" max="11779" width="10.5703125" style="151" customWidth="1"/>
    <col min="11780" max="11780" width="11.5703125" style="151" customWidth="1"/>
    <col min="11781" max="11781" width="16.42578125" style="151" customWidth="1"/>
    <col min="11782" max="11782" width="11.42578125" style="151" customWidth="1"/>
    <col min="11783" max="11783" width="1.42578125" style="151" customWidth="1"/>
    <col min="11784" max="11784" width="10.85546875" style="151" bestFit="1" customWidth="1"/>
    <col min="11785" max="11785" width="1.85546875" style="151" customWidth="1"/>
    <col min="11786" max="11786" width="10.42578125" style="151" bestFit="1" customWidth="1"/>
    <col min="11787" max="12032" width="8.85546875" style="151"/>
    <col min="12033" max="12033" width="22.140625" style="151" customWidth="1"/>
    <col min="12034" max="12034" width="8.85546875" style="151"/>
    <col min="12035" max="12035" width="10.5703125" style="151" customWidth="1"/>
    <col min="12036" max="12036" width="11.5703125" style="151" customWidth="1"/>
    <col min="12037" max="12037" width="16.42578125" style="151" customWidth="1"/>
    <col min="12038" max="12038" width="11.42578125" style="151" customWidth="1"/>
    <col min="12039" max="12039" width="1.42578125" style="151" customWidth="1"/>
    <col min="12040" max="12040" width="10.85546875" style="151" bestFit="1" customWidth="1"/>
    <col min="12041" max="12041" width="1.85546875" style="151" customWidth="1"/>
    <col min="12042" max="12042" width="10.42578125" style="151" bestFit="1" customWidth="1"/>
    <col min="12043" max="12288" width="8.85546875" style="151"/>
    <col min="12289" max="12289" width="22.140625" style="151" customWidth="1"/>
    <col min="12290" max="12290" width="8.85546875" style="151"/>
    <col min="12291" max="12291" width="10.5703125" style="151" customWidth="1"/>
    <col min="12292" max="12292" width="11.5703125" style="151" customWidth="1"/>
    <col min="12293" max="12293" width="16.42578125" style="151" customWidth="1"/>
    <col min="12294" max="12294" width="11.42578125" style="151" customWidth="1"/>
    <col min="12295" max="12295" width="1.42578125" style="151" customWidth="1"/>
    <col min="12296" max="12296" width="10.85546875" style="151" bestFit="1" customWidth="1"/>
    <col min="12297" max="12297" width="1.85546875" style="151" customWidth="1"/>
    <col min="12298" max="12298" width="10.42578125" style="151" bestFit="1" customWidth="1"/>
    <col min="12299" max="12544" width="8.85546875" style="151"/>
    <col min="12545" max="12545" width="22.140625" style="151" customWidth="1"/>
    <col min="12546" max="12546" width="8.85546875" style="151"/>
    <col min="12547" max="12547" width="10.5703125" style="151" customWidth="1"/>
    <col min="12548" max="12548" width="11.5703125" style="151" customWidth="1"/>
    <col min="12549" max="12549" width="16.42578125" style="151" customWidth="1"/>
    <col min="12550" max="12550" width="11.42578125" style="151" customWidth="1"/>
    <col min="12551" max="12551" width="1.42578125" style="151" customWidth="1"/>
    <col min="12552" max="12552" width="10.85546875" style="151" bestFit="1" customWidth="1"/>
    <col min="12553" max="12553" width="1.85546875" style="151" customWidth="1"/>
    <col min="12554" max="12554" width="10.42578125" style="151" bestFit="1" customWidth="1"/>
    <col min="12555" max="12800" width="8.85546875" style="151"/>
    <col min="12801" max="12801" width="22.140625" style="151" customWidth="1"/>
    <col min="12802" max="12802" width="8.85546875" style="151"/>
    <col min="12803" max="12803" width="10.5703125" style="151" customWidth="1"/>
    <col min="12804" max="12804" width="11.5703125" style="151" customWidth="1"/>
    <col min="12805" max="12805" width="16.42578125" style="151" customWidth="1"/>
    <col min="12806" max="12806" width="11.42578125" style="151" customWidth="1"/>
    <col min="12807" max="12807" width="1.42578125" style="151" customWidth="1"/>
    <col min="12808" max="12808" width="10.85546875" style="151" bestFit="1" customWidth="1"/>
    <col min="12809" max="12809" width="1.85546875" style="151" customWidth="1"/>
    <col min="12810" max="12810" width="10.42578125" style="151" bestFit="1" customWidth="1"/>
    <col min="12811" max="13056" width="8.85546875" style="151"/>
    <col min="13057" max="13057" width="22.140625" style="151" customWidth="1"/>
    <col min="13058" max="13058" width="8.85546875" style="151"/>
    <col min="13059" max="13059" width="10.5703125" style="151" customWidth="1"/>
    <col min="13060" max="13060" width="11.5703125" style="151" customWidth="1"/>
    <col min="13061" max="13061" width="16.42578125" style="151" customWidth="1"/>
    <col min="13062" max="13062" width="11.42578125" style="151" customWidth="1"/>
    <col min="13063" max="13063" width="1.42578125" style="151" customWidth="1"/>
    <col min="13064" max="13064" width="10.85546875" style="151" bestFit="1" customWidth="1"/>
    <col min="13065" max="13065" width="1.85546875" style="151" customWidth="1"/>
    <col min="13066" max="13066" width="10.42578125" style="151" bestFit="1" customWidth="1"/>
    <col min="13067" max="13312" width="8.85546875" style="151"/>
    <col min="13313" max="13313" width="22.140625" style="151" customWidth="1"/>
    <col min="13314" max="13314" width="8.85546875" style="151"/>
    <col min="13315" max="13315" width="10.5703125" style="151" customWidth="1"/>
    <col min="13316" max="13316" width="11.5703125" style="151" customWidth="1"/>
    <col min="13317" max="13317" width="16.42578125" style="151" customWidth="1"/>
    <col min="13318" max="13318" width="11.42578125" style="151" customWidth="1"/>
    <col min="13319" max="13319" width="1.42578125" style="151" customWidth="1"/>
    <col min="13320" max="13320" width="10.85546875" style="151" bestFit="1" customWidth="1"/>
    <col min="13321" max="13321" width="1.85546875" style="151" customWidth="1"/>
    <col min="13322" max="13322" width="10.42578125" style="151" bestFit="1" customWidth="1"/>
    <col min="13323" max="13568" width="8.85546875" style="151"/>
    <col min="13569" max="13569" width="22.140625" style="151" customWidth="1"/>
    <col min="13570" max="13570" width="8.85546875" style="151"/>
    <col min="13571" max="13571" width="10.5703125" style="151" customWidth="1"/>
    <col min="13572" max="13572" width="11.5703125" style="151" customWidth="1"/>
    <col min="13573" max="13573" width="16.42578125" style="151" customWidth="1"/>
    <col min="13574" max="13574" width="11.42578125" style="151" customWidth="1"/>
    <col min="13575" max="13575" width="1.42578125" style="151" customWidth="1"/>
    <col min="13576" max="13576" width="10.85546875" style="151" bestFit="1" customWidth="1"/>
    <col min="13577" max="13577" width="1.85546875" style="151" customWidth="1"/>
    <col min="13578" max="13578" width="10.42578125" style="151" bestFit="1" customWidth="1"/>
    <col min="13579" max="13824" width="8.85546875" style="151"/>
    <col min="13825" max="13825" width="22.140625" style="151" customWidth="1"/>
    <col min="13826" max="13826" width="8.85546875" style="151"/>
    <col min="13827" max="13827" width="10.5703125" style="151" customWidth="1"/>
    <col min="13828" max="13828" width="11.5703125" style="151" customWidth="1"/>
    <col min="13829" max="13829" width="16.42578125" style="151" customWidth="1"/>
    <col min="13830" max="13830" width="11.42578125" style="151" customWidth="1"/>
    <col min="13831" max="13831" width="1.42578125" style="151" customWidth="1"/>
    <col min="13832" max="13832" width="10.85546875" style="151" bestFit="1" customWidth="1"/>
    <col min="13833" max="13833" width="1.85546875" style="151" customWidth="1"/>
    <col min="13834" max="13834" width="10.42578125" style="151" bestFit="1" customWidth="1"/>
    <col min="13835" max="14080" width="8.85546875" style="151"/>
    <col min="14081" max="14081" width="22.140625" style="151" customWidth="1"/>
    <col min="14082" max="14082" width="8.85546875" style="151"/>
    <col min="14083" max="14083" width="10.5703125" style="151" customWidth="1"/>
    <col min="14084" max="14084" width="11.5703125" style="151" customWidth="1"/>
    <col min="14085" max="14085" width="16.42578125" style="151" customWidth="1"/>
    <col min="14086" max="14086" width="11.42578125" style="151" customWidth="1"/>
    <col min="14087" max="14087" width="1.42578125" style="151" customWidth="1"/>
    <col min="14088" max="14088" width="10.85546875" style="151" bestFit="1" customWidth="1"/>
    <col min="14089" max="14089" width="1.85546875" style="151" customWidth="1"/>
    <col min="14090" max="14090" width="10.42578125" style="151" bestFit="1" customWidth="1"/>
    <col min="14091" max="14336" width="8.85546875" style="151"/>
    <col min="14337" max="14337" width="22.140625" style="151" customWidth="1"/>
    <col min="14338" max="14338" width="8.85546875" style="151"/>
    <col min="14339" max="14339" width="10.5703125" style="151" customWidth="1"/>
    <col min="14340" max="14340" width="11.5703125" style="151" customWidth="1"/>
    <col min="14341" max="14341" width="16.42578125" style="151" customWidth="1"/>
    <col min="14342" max="14342" width="11.42578125" style="151" customWidth="1"/>
    <col min="14343" max="14343" width="1.42578125" style="151" customWidth="1"/>
    <col min="14344" max="14344" width="10.85546875" style="151" bestFit="1" customWidth="1"/>
    <col min="14345" max="14345" width="1.85546875" style="151" customWidth="1"/>
    <col min="14346" max="14346" width="10.42578125" style="151" bestFit="1" customWidth="1"/>
    <col min="14347" max="14592" width="8.85546875" style="151"/>
    <col min="14593" max="14593" width="22.140625" style="151" customWidth="1"/>
    <col min="14594" max="14594" width="8.85546875" style="151"/>
    <col min="14595" max="14595" width="10.5703125" style="151" customWidth="1"/>
    <col min="14596" max="14596" width="11.5703125" style="151" customWidth="1"/>
    <col min="14597" max="14597" width="16.42578125" style="151" customWidth="1"/>
    <col min="14598" max="14598" width="11.42578125" style="151" customWidth="1"/>
    <col min="14599" max="14599" width="1.42578125" style="151" customWidth="1"/>
    <col min="14600" max="14600" width="10.85546875" style="151" bestFit="1" customWidth="1"/>
    <col min="14601" max="14601" width="1.85546875" style="151" customWidth="1"/>
    <col min="14602" max="14602" width="10.42578125" style="151" bestFit="1" customWidth="1"/>
    <col min="14603" max="14848" width="8.85546875" style="151"/>
    <col min="14849" max="14849" width="22.140625" style="151" customWidth="1"/>
    <col min="14850" max="14850" width="8.85546875" style="151"/>
    <col min="14851" max="14851" width="10.5703125" style="151" customWidth="1"/>
    <col min="14852" max="14852" width="11.5703125" style="151" customWidth="1"/>
    <col min="14853" max="14853" width="16.42578125" style="151" customWidth="1"/>
    <col min="14854" max="14854" width="11.42578125" style="151" customWidth="1"/>
    <col min="14855" max="14855" width="1.42578125" style="151" customWidth="1"/>
    <col min="14856" max="14856" width="10.85546875" style="151" bestFit="1" customWidth="1"/>
    <col min="14857" max="14857" width="1.85546875" style="151" customWidth="1"/>
    <col min="14858" max="14858" width="10.42578125" style="151" bestFit="1" customWidth="1"/>
    <col min="14859" max="15104" width="8.85546875" style="151"/>
    <col min="15105" max="15105" width="22.140625" style="151" customWidth="1"/>
    <col min="15106" max="15106" width="8.85546875" style="151"/>
    <col min="15107" max="15107" width="10.5703125" style="151" customWidth="1"/>
    <col min="15108" max="15108" width="11.5703125" style="151" customWidth="1"/>
    <col min="15109" max="15109" width="16.42578125" style="151" customWidth="1"/>
    <col min="15110" max="15110" width="11.42578125" style="151" customWidth="1"/>
    <col min="15111" max="15111" width="1.42578125" style="151" customWidth="1"/>
    <col min="15112" max="15112" width="10.85546875" style="151" bestFit="1" customWidth="1"/>
    <col min="15113" max="15113" width="1.85546875" style="151" customWidth="1"/>
    <col min="15114" max="15114" width="10.42578125" style="151" bestFit="1" customWidth="1"/>
    <col min="15115" max="15360" width="8.85546875" style="151"/>
    <col min="15361" max="15361" width="22.140625" style="151" customWidth="1"/>
    <col min="15362" max="15362" width="8.85546875" style="151"/>
    <col min="15363" max="15363" width="10.5703125" style="151" customWidth="1"/>
    <col min="15364" max="15364" width="11.5703125" style="151" customWidth="1"/>
    <col min="15365" max="15365" width="16.42578125" style="151" customWidth="1"/>
    <col min="15366" max="15366" width="11.42578125" style="151" customWidth="1"/>
    <col min="15367" max="15367" width="1.42578125" style="151" customWidth="1"/>
    <col min="15368" max="15368" width="10.85546875" style="151" bestFit="1" customWidth="1"/>
    <col min="15369" max="15369" width="1.85546875" style="151" customWidth="1"/>
    <col min="15370" max="15370" width="10.42578125" style="151" bestFit="1" customWidth="1"/>
    <col min="15371" max="15616" width="8.85546875" style="151"/>
    <col min="15617" max="15617" width="22.140625" style="151" customWidth="1"/>
    <col min="15618" max="15618" width="8.85546875" style="151"/>
    <col min="15619" max="15619" width="10.5703125" style="151" customWidth="1"/>
    <col min="15620" max="15620" width="11.5703125" style="151" customWidth="1"/>
    <col min="15621" max="15621" width="16.42578125" style="151" customWidth="1"/>
    <col min="15622" max="15622" width="11.42578125" style="151" customWidth="1"/>
    <col min="15623" max="15623" width="1.42578125" style="151" customWidth="1"/>
    <col min="15624" max="15624" width="10.85546875" style="151" bestFit="1" customWidth="1"/>
    <col min="15625" max="15625" width="1.85546875" style="151" customWidth="1"/>
    <col min="15626" max="15626" width="10.42578125" style="151" bestFit="1" customWidth="1"/>
    <col min="15627" max="15872" width="8.85546875" style="151"/>
    <col min="15873" max="15873" width="22.140625" style="151" customWidth="1"/>
    <col min="15874" max="15874" width="8.85546875" style="151"/>
    <col min="15875" max="15875" width="10.5703125" style="151" customWidth="1"/>
    <col min="15876" max="15876" width="11.5703125" style="151" customWidth="1"/>
    <col min="15877" max="15877" width="16.42578125" style="151" customWidth="1"/>
    <col min="15878" max="15878" width="11.42578125" style="151" customWidth="1"/>
    <col min="15879" max="15879" width="1.42578125" style="151" customWidth="1"/>
    <col min="15880" max="15880" width="10.85546875" style="151" bestFit="1" customWidth="1"/>
    <col min="15881" max="15881" width="1.85546875" style="151" customWidth="1"/>
    <col min="15882" max="15882" width="10.42578125" style="151" bestFit="1" customWidth="1"/>
    <col min="15883" max="16128" width="8.85546875" style="151"/>
    <col min="16129" max="16129" width="22.140625" style="151" customWidth="1"/>
    <col min="16130" max="16130" width="8.85546875" style="151"/>
    <col min="16131" max="16131" width="10.5703125" style="151" customWidth="1"/>
    <col min="16132" max="16132" width="11.5703125" style="151" customWidth="1"/>
    <col min="16133" max="16133" width="16.42578125" style="151" customWidth="1"/>
    <col min="16134" max="16134" width="11.42578125" style="151" customWidth="1"/>
    <col min="16135" max="16135" width="1.42578125" style="151" customWidth="1"/>
    <col min="16136" max="16136" width="10.85546875" style="151" bestFit="1" customWidth="1"/>
    <col min="16137" max="16137" width="1.85546875" style="151" customWidth="1"/>
    <col min="16138" max="16138" width="10.42578125" style="151" bestFit="1" customWidth="1"/>
    <col min="16139" max="16384" width="8.85546875" style="151"/>
  </cols>
  <sheetData>
    <row r="1" spans="1:11">
      <c r="A1" s="154" t="s">
        <v>252</v>
      </c>
      <c r="B1" s="154"/>
      <c r="C1" s="154"/>
      <c r="D1" s="154"/>
      <c r="E1" s="154"/>
      <c r="F1" s="154"/>
      <c r="G1" s="154"/>
      <c r="H1" s="154"/>
      <c r="I1" s="154"/>
      <c r="J1" s="154"/>
      <c r="K1" s="154"/>
    </row>
    <row r="2" spans="1:11">
      <c r="A2" s="155" t="s">
        <v>253</v>
      </c>
      <c r="B2" s="154"/>
      <c r="C2" s="154"/>
      <c r="D2" s="154"/>
      <c r="E2" s="154"/>
      <c r="F2" s="154"/>
      <c r="G2" s="154"/>
      <c r="H2" s="154"/>
      <c r="I2" s="154"/>
      <c r="J2" s="154"/>
      <c r="K2" s="154"/>
    </row>
    <row r="3" spans="1:11">
      <c r="A3" s="156" t="s">
        <v>254</v>
      </c>
      <c r="B3" s="154"/>
      <c r="C3" s="154"/>
      <c r="D3" s="154"/>
      <c r="E3" s="154"/>
      <c r="F3" s="154"/>
      <c r="G3" s="154"/>
      <c r="H3" s="154"/>
      <c r="I3" s="154"/>
      <c r="J3" s="154"/>
      <c r="K3" s="154"/>
    </row>
    <row r="4" spans="1:11">
      <c r="I4" s="157"/>
    </row>
    <row r="5" spans="1:11" ht="25.5">
      <c r="E5" s="158" t="s">
        <v>255</v>
      </c>
      <c r="F5" s="158" t="s">
        <v>256</v>
      </c>
      <c r="H5" s="159" t="s">
        <v>257</v>
      </c>
      <c r="I5" s="157"/>
    </row>
    <row r="6" spans="1:11">
      <c r="D6" s="158" t="s">
        <v>258</v>
      </c>
      <c r="E6" s="158" t="s">
        <v>291</v>
      </c>
      <c r="F6" s="158" t="s">
        <v>259</v>
      </c>
      <c r="G6" s="158"/>
      <c r="H6" s="158" t="s">
        <v>32</v>
      </c>
      <c r="I6" s="157"/>
      <c r="J6" s="158" t="s">
        <v>32</v>
      </c>
    </row>
    <row r="7" spans="1:11">
      <c r="D7" s="158" t="s">
        <v>260</v>
      </c>
      <c r="E7" s="160" t="s">
        <v>292</v>
      </c>
      <c r="F7" s="158" t="s">
        <v>260</v>
      </c>
      <c r="G7" s="158"/>
      <c r="H7" s="158" t="s">
        <v>261</v>
      </c>
      <c r="I7" s="157"/>
      <c r="J7" s="158" t="s">
        <v>262</v>
      </c>
    </row>
    <row r="8" spans="1:11">
      <c r="D8" s="161" t="s">
        <v>3</v>
      </c>
      <c r="E8" s="161" t="s">
        <v>263</v>
      </c>
      <c r="F8" s="161" t="s">
        <v>3</v>
      </c>
      <c r="G8" s="161"/>
      <c r="H8" s="161" t="s">
        <v>3</v>
      </c>
      <c r="I8" s="162"/>
      <c r="J8" s="161" t="s">
        <v>3</v>
      </c>
    </row>
    <row r="9" spans="1:11" ht="26.25" customHeight="1">
      <c r="A9" s="151" t="s">
        <v>264</v>
      </c>
      <c r="F9" s="163"/>
      <c r="G9" s="163"/>
      <c r="H9" s="164">
        <v>0.65190000000000003</v>
      </c>
      <c r="I9" s="165"/>
      <c r="J9" s="166">
        <f>100%-H9</f>
        <v>0.34809999999999997</v>
      </c>
    </row>
    <row r="10" spans="1:11">
      <c r="I10" s="157"/>
    </row>
    <row r="11" spans="1:11">
      <c r="A11" s="151" t="s">
        <v>265</v>
      </c>
      <c r="D11" s="167">
        <f>'WGJ-2'!E96</f>
        <v>-76445.49499030369</v>
      </c>
      <c r="E11" s="167"/>
      <c r="F11" s="167">
        <f>SUM(D11:E11)</f>
        <v>-76445.49499030369</v>
      </c>
      <c r="G11" s="167"/>
      <c r="H11" s="167">
        <f>H$9*F11</f>
        <v>-49834.818184178977</v>
      </c>
      <c r="I11" s="168"/>
      <c r="J11" s="167">
        <f>J$9*F11</f>
        <v>-26610.676806124713</v>
      </c>
      <c r="K11" s="167"/>
    </row>
    <row r="12" spans="1:11">
      <c r="A12" s="151" t="s">
        <v>266</v>
      </c>
      <c r="D12" s="169">
        <f>'WGJ-2'!E105</f>
        <v>-2</v>
      </c>
      <c r="E12" s="169"/>
      <c r="F12" s="184">
        <f>SUM(D12:E12)</f>
        <v>-2</v>
      </c>
      <c r="G12" s="169"/>
      <c r="H12" s="169">
        <f>H$9*F12</f>
        <v>-1.3038000000000001</v>
      </c>
      <c r="I12" s="170"/>
      <c r="J12" s="169">
        <f>J$9*F12</f>
        <v>-0.69619999999999993</v>
      </c>
      <c r="K12" s="167"/>
    </row>
    <row r="13" spans="1:11">
      <c r="A13" s="151" t="s">
        <v>267</v>
      </c>
      <c r="D13" s="169">
        <v>0</v>
      </c>
      <c r="E13" s="169"/>
      <c r="F13" s="184">
        <f>SUM(D13:E13)</f>
        <v>0</v>
      </c>
      <c r="G13" s="169"/>
      <c r="H13" s="169">
        <f>H$9*F13</f>
        <v>0</v>
      </c>
      <c r="I13" s="170"/>
      <c r="J13" s="169">
        <f>J$9*F13</f>
        <v>0</v>
      </c>
      <c r="K13" s="167"/>
    </row>
    <row r="14" spans="1:11">
      <c r="A14" s="151" t="s">
        <v>268</v>
      </c>
      <c r="D14" s="169">
        <f>'WGJ-2'!E102-'PF 2016'!D15</f>
        <v>-95510</v>
      </c>
      <c r="E14" s="169"/>
      <c r="F14" s="184">
        <f>SUM(D14:E14)</f>
        <v>-95510</v>
      </c>
      <c r="G14" s="169"/>
      <c r="H14" s="169">
        <f>H$9*F14</f>
        <v>-62262.969000000005</v>
      </c>
      <c r="I14" s="170"/>
      <c r="J14" s="169">
        <f>J$9*F14</f>
        <v>-33247.030999999995</v>
      </c>
      <c r="K14" s="167"/>
    </row>
    <row r="15" spans="1:11">
      <c r="A15" s="151" t="s">
        <v>269</v>
      </c>
      <c r="D15" s="171">
        <f>'WGJ-2'!E100</f>
        <v>-163</v>
      </c>
      <c r="E15" s="171">
        <f>-D15</f>
        <v>163</v>
      </c>
      <c r="F15" s="185">
        <f>SUM(D15:E15)</f>
        <v>0</v>
      </c>
      <c r="G15" s="170"/>
      <c r="H15" s="172">
        <f>-E15</f>
        <v>-163</v>
      </c>
      <c r="I15" s="170"/>
      <c r="J15" s="171">
        <f>J$9*F15</f>
        <v>0</v>
      </c>
      <c r="K15" s="167"/>
    </row>
    <row r="16" spans="1:11">
      <c r="A16" s="151" t="s">
        <v>270</v>
      </c>
      <c r="D16" s="169">
        <f>SUM(D11:D15)</f>
        <v>-172120.4949903037</v>
      </c>
      <c r="E16" s="169">
        <f>SUM(E11:E15)</f>
        <v>163</v>
      </c>
      <c r="F16" s="169">
        <f>SUM(F11:F15)</f>
        <v>-171957.4949903037</v>
      </c>
      <c r="G16" s="170"/>
      <c r="H16" s="169">
        <f>SUM(H11:H15)</f>
        <v>-112262.09098417898</v>
      </c>
      <c r="I16" s="170"/>
      <c r="J16" s="169">
        <f>SUM(J11:J15)</f>
        <v>-59858.404006124707</v>
      </c>
      <c r="K16" s="167"/>
    </row>
    <row r="17" spans="1:11">
      <c r="D17" s="169"/>
      <c r="E17" s="169"/>
      <c r="F17" s="169"/>
      <c r="G17" s="170"/>
      <c r="H17" s="169"/>
      <c r="I17" s="170"/>
      <c r="J17" s="169"/>
      <c r="K17" s="167"/>
    </row>
    <row r="18" spans="1:11">
      <c r="D18" s="169"/>
      <c r="E18" s="169"/>
      <c r="F18" s="169"/>
      <c r="G18" s="170"/>
      <c r="H18" s="169"/>
      <c r="I18" s="170"/>
      <c r="J18" s="169"/>
      <c r="K18" s="167"/>
    </row>
    <row r="19" spans="1:11">
      <c r="A19" s="151" t="s">
        <v>271</v>
      </c>
      <c r="D19" s="169">
        <f>'WGJ-2'!E44</f>
        <v>3895.3079667069069</v>
      </c>
      <c r="E19" s="169"/>
      <c r="F19" s="167">
        <f>SUM(D19:E19)</f>
        <v>3895.3079667069069</v>
      </c>
      <c r="G19" s="170"/>
      <c r="H19" s="169">
        <f t="shared" ref="H19:H26" si="0">H$9*F19</f>
        <v>2539.3512634962326</v>
      </c>
      <c r="I19" s="170"/>
      <c r="J19" s="169">
        <f t="shared" ref="J19:J29" si="1">J$9*F19</f>
        <v>1355.956703210674</v>
      </c>
      <c r="K19" s="167"/>
    </row>
    <row r="20" spans="1:11">
      <c r="A20" s="151" t="s">
        <v>272</v>
      </c>
      <c r="D20" s="169">
        <v>0</v>
      </c>
      <c r="E20" s="169"/>
      <c r="F20" s="167">
        <f>SUM(D20:E20)</f>
        <v>0</v>
      </c>
      <c r="G20" s="170"/>
      <c r="H20" s="169">
        <f t="shared" si="0"/>
        <v>0</v>
      </c>
      <c r="I20" s="170"/>
      <c r="J20" s="169">
        <f t="shared" si="1"/>
        <v>0</v>
      </c>
      <c r="K20" s="167"/>
    </row>
    <row r="21" spans="1:11">
      <c r="A21" s="151" t="s">
        <v>273</v>
      </c>
      <c r="D21" s="169">
        <f>'WGJ-2'!E59</f>
        <v>-7038.9255725438707</v>
      </c>
      <c r="E21" s="169"/>
      <c r="F21" s="167">
        <f>SUM(D21:E21)</f>
        <v>-7038.9255725438707</v>
      </c>
      <c r="G21" s="170"/>
      <c r="H21" s="169">
        <f t="shared" si="0"/>
        <v>-4588.6755807413492</v>
      </c>
      <c r="I21" s="170"/>
      <c r="J21" s="169">
        <f t="shared" si="1"/>
        <v>-2450.249991802521</v>
      </c>
      <c r="K21" s="167"/>
    </row>
    <row r="22" spans="1:11">
      <c r="A22" s="151" t="s">
        <v>274</v>
      </c>
      <c r="D22" s="169">
        <f>'WGJ-2'!E77</f>
        <v>4</v>
      </c>
      <c r="E22" s="169"/>
      <c r="F22" s="167">
        <f>SUM(D22:E22)</f>
        <v>4</v>
      </c>
      <c r="G22" s="170"/>
      <c r="H22" s="169">
        <f t="shared" si="0"/>
        <v>2.6076000000000001</v>
      </c>
      <c r="I22" s="170"/>
      <c r="J22" s="169">
        <f t="shared" si="1"/>
        <v>1.3923999999999999</v>
      </c>
      <c r="K22" s="167"/>
    </row>
    <row r="23" spans="1:11">
      <c r="A23" s="151" t="s">
        <v>275</v>
      </c>
      <c r="D23" s="169">
        <f>'WGJ-2'!E29</f>
        <v>-76490.00253719266</v>
      </c>
      <c r="E23" s="173"/>
      <c r="F23" s="167">
        <f>D23-E23</f>
        <v>-76490.00253719266</v>
      </c>
      <c r="G23" s="170"/>
      <c r="H23" s="169">
        <f t="shared" si="0"/>
        <v>-49863.832653995894</v>
      </c>
      <c r="I23" s="170"/>
      <c r="J23" s="169">
        <f t="shared" si="1"/>
        <v>-26626.169883196762</v>
      </c>
      <c r="K23" s="167"/>
    </row>
    <row r="24" spans="1:11">
      <c r="A24" s="151" t="s">
        <v>276</v>
      </c>
      <c r="D24" s="169">
        <v>0</v>
      </c>
      <c r="E24" s="169"/>
      <c r="F24" s="167">
        <f t="shared" ref="F24:F30" si="2">SUM(D24:E24)</f>
        <v>0</v>
      </c>
      <c r="G24" s="170"/>
      <c r="H24" s="169">
        <f t="shared" si="0"/>
        <v>0</v>
      </c>
      <c r="I24" s="170"/>
      <c r="J24" s="169">
        <f t="shared" si="1"/>
        <v>0</v>
      </c>
      <c r="K24" s="167"/>
    </row>
    <row r="25" spans="1:11">
      <c r="A25" s="151" t="s">
        <v>277</v>
      </c>
      <c r="D25" s="169">
        <v>0</v>
      </c>
      <c r="E25" s="169"/>
      <c r="F25" s="167">
        <f t="shared" si="2"/>
        <v>0</v>
      </c>
      <c r="G25" s="170"/>
      <c r="H25" s="169">
        <f t="shared" si="0"/>
        <v>0</v>
      </c>
      <c r="I25" s="170"/>
      <c r="J25" s="169">
        <f t="shared" si="1"/>
        <v>0</v>
      </c>
      <c r="K25" s="167"/>
    </row>
    <row r="26" spans="1:11">
      <c r="A26" s="151" t="s">
        <v>278</v>
      </c>
      <c r="D26" s="169">
        <v>0</v>
      </c>
      <c r="E26" s="169"/>
      <c r="F26" s="167">
        <f t="shared" si="2"/>
        <v>0</v>
      </c>
      <c r="G26" s="170"/>
      <c r="H26" s="169">
        <f t="shared" si="0"/>
        <v>0</v>
      </c>
      <c r="I26" s="170"/>
      <c r="J26" s="169">
        <f t="shared" si="1"/>
        <v>0</v>
      </c>
      <c r="K26" s="167"/>
    </row>
    <row r="27" spans="1:11">
      <c r="A27" s="174" t="s">
        <v>279</v>
      </c>
      <c r="B27" s="174"/>
      <c r="C27" s="174"/>
      <c r="D27" s="173">
        <f>'WGJ-2'!E37-'PF 2016'!D28</f>
        <v>-86039</v>
      </c>
      <c r="E27" s="173"/>
      <c r="F27" s="175">
        <f t="shared" si="2"/>
        <v>-86039</v>
      </c>
      <c r="G27" s="176"/>
      <c r="H27" s="173">
        <f>H$9*F27</f>
        <v>-56088.824100000005</v>
      </c>
      <c r="I27" s="176"/>
      <c r="J27" s="173">
        <f t="shared" si="1"/>
        <v>-29950.175899999998</v>
      </c>
      <c r="K27" s="175"/>
    </row>
    <row r="28" spans="1:11">
      <c r="A28" s="177" t="s">
        <v>280</v>
      </c>
      <c r="B28" s="174"/>
      <c r="C28" s="174"/>
      <c r="D28" s="173">
        <f>'WGJ-2'!E33+'WGJ-2'!E34</f>
        <v>-2297</v>
      </c>
      <c r="E28" s="173">
        <f>-D28</f>
        <v>2297</v>
      </c>
      <c r="F28" s="175">
        <f t="shared" si="2"/>
        <v>0</v>
      </c>
      <c r="G28" s="176"/>
      <c r="H28" s="173">
        <f>-E28</f>
        <v>-2297</v>
      </c>
      <c r="I28" s="176"/>
      <c r="J28" s="173">
        <f t="shared" si="1"/>
        <v>0</v>
      </c>
      <c r="K28" s="175"/>
    </row>
    <row r="29" spans="1:11">
      <c r="A29" s="151" t="s">
        <v>281</v>
      </c>
      <c r="D29" s="169">
        <f>'WGJ-2'!E74</f>
        <v>-2682</v>
      </c>
      <c r="E29" s="169"/>
      <c r="F29" s="175">
        <f t="shared" si="2"/>
        <v>-2682</v>
      </c>
      <c r="G29" s="170"/>
      <c r="H29" s="169">
        <f>H$9*F29</f>
        <v>-1748.3958</v>
      </c>
      <c r="I29" s="170"/>
      <c r="J29" s="169">
        <f t="shared" si="1"/>
        <v>-933.60419999999988</v>
      </c>
      <c r="K29" s="167"/>
    </row>
    <row r="30" spans="1:11" ht="13.7" customHeight="1">
      <c r="A30" s="151" t="s">
        <v>248</v>
      </c>
      <c r="D30" s="169">
        <f>'WGJ-2'!E82</f>
        <v>5450.1169999999984</v>
      </c>
      <c r="E30" s="169"/>
      <c r="F30" s="175">
        <f t="shared" si="2"/>
        <v>5450.1169999999984</v>
      </c>
      <c r="G30" s="170"/>
      <c r="H30" s="169">
        <f>H$9*F30</f>
        <v>3552.9312722999989</v>
      </c>
      <c r="I30" s="170"/>
      <c r="J30" s="169">
        <f t="shared" ref="J30" si="3">J$9*F30</f>
        <v>1897.1857276999992</v>
      </c>
      <c r="K30" s="167"/>
    </row>
    <row r="31" spans="1:11">
      <c r="A31" s="151" t="s">
        <v>282</v>
      </c>
      <c r="D31" s="178">
        <f>SUM(D19:D30)</f>
        <v>-165197.50314302961</v>
      </c>
      <c r="E31" s="178">
        <f>SUM(E19:E30)</f>
        <v>2297</v>
      </c>
      <c r="F31" s="178">
        <f>SUM(F19:F30)</f>
        <v>-162900.50314302961</v>
      </c>
      <c r="G31" s="170"/>
      <c r="H31" s="178">
        <f>SUM(H19:H30)</f>
        <v>-108491.837998941</v>
      </c>
      <c r="I31" s="170"/>
      <c r="J31" s="178">
        <f>SUM(J19:J30)</f>
        <v>-56705.665144088613</v>
      </c>
      <c r="K31" s="167"/>
    </row>
    <row r="32" spans="1:11">
      <c r="I32" s="157"/>
      <c r="K32" s="167"/>
    </row>
    <row r="33" spans="1:11">
      <c r="A33" s="151" t="s">
        <v>283</v>
      </c>
      <c r="D33" s="169">
        <f>D16-D31</f>
        <v>-6922.9918472740974</v>
      </c>
      <c r="E33" s="169">
        <f>E16-E31</f>
        <v>-2134</v>
      </c>
      <c r="F33" s="169">
        <f>F16-F31</f>
        <v>-9056.9918472740974</v>
      </c>
      <c r="G33" s="169"/>
      <c r="H33" s="169">
        <f>H16-H31</f>
        <v>-3770.2529852379812</v>
      </c>
      <c r="I33" s="170"/>
      <c r="J33" s="169">
        <f>J16-J31</f>
        <v>-3152.7388620360944</v>
      </c>
      <c r="K33" s="167"/>
    </row>
    <row r="34" spans="1:11">
      <c r="F34" s="169"/>
      <c r="G34" s="169"/>
      <c r="H34" s="169"/>
      <c r="I34" s="169"/>
      <c r="J34" s="169"/>
    </row>
    <row r="35" spans="1:11">
      <c r="A35" s="151" t="s">
        <v>284</v>
      </c>
      <c r="C35" s="179">
        <v>1.142E-2</v>
      </c>
      <c r="F35" s="170"/>
      <c r="G35" s="170"/>
      <c r="H35" s="171"/>
      <c r="I35" s="170"/>
      <c r="J35" s="171">
        <f>C35*J33</f>
        <v>-36.004277804452194</v>
      </c>
    </row>
    <row r="36" spans="1:11">
      <c r="F36" s="170"/>
      <c r="G36" s="170"/>
      <c r="H36" s="169"/>
      <c r="I36" s="169"/>
      <c r="J36" s="169"/>
    </row>
    <row r="37" spans="1:11">
      <c r="A37" s="151" t="s">
        <v>285</v>
      </c>
      <c r="F37" s="168"/>
      <c r="G37" s="168"/>
      <c r="H37" s="169">
        <f>H33-H35</f>
        <v>-3770.2529852379812</v>
      </c>
      <c r="I37" s="167"/>
      <c r="J37" s="169">
        <f>J33-J35</f>
        <v>-3116.7345842316422</v>
      </c>
    </row>
    <row r="38" spans="1:11">
      <c r="F38" s="168"/>
      <c r="G38" s="168"/>
      <c r="H38" s="167"/>
      <c r="I38" s="167"/>
      <c r="J38" s="167"/>
    </row>
    <row r="39" spans="1:11">
      <c r="A39" s="151" t="s">
        <v>286</v>
      </c>
      <c r="C39" s="180">
        <v>0.35</v>
      </c>
      <c r="F39" s="168"/>
      <c r="G39" s="168"/>
      <c r="H39" s="171">
        <f>C39*H37</f>
        <v>-1319.5885448332933</v>
      </c>
      <c r="I39" s="167"/>
      <c r="J39" s="171">
        <f>C39*J37</f>
        <v>-1090.8571044810747</v>
      </c>
    </row>
    <row r="40" spans="1:11">
      <c r="F40" s="168"/>
      <c r="G40" s="168"/>
      <c r="H40" s="167"/>
      <c r="I40" s="167"/>
      <c r="J40" s="167"/>
    </row>
    <row r="41" spans="1:11">
      <c r="A41" s="151" t="s">
        <v>287</v>
      </c>
      <c r="F41" s="169"/>
      <c r="G41" s="169"/>
      <c r="H41" s="167">
        <f>H37-H39</f>
        <v>-2450.6644404046879</v>
      </c>
      <c r="I41" s="169"/>
      <c r="J41" s="167">
        <f>J37-J39</f>
        <v>-2025.8774797505675</v>
      </c>
    </row>
    <row r="42" spans="1:11">
      <c r="F42" s="169"/>
      <c r="G42" s="169"/>
      <c r="H42" s="169"/>
      <c r="I42" s="169"/>
      <c r="J42" s="169"/>
    </row>
    <row r="43" spans="1:11">
      <c r="A43" s="181"/>
    </row>
    <row r="45" spans="1:11" ht="18.75" customHeight="1">
      <c r="A45" s="182" t="s">
        <v>288</v>
      </c>
      <c r="B45" s="183"/>
      <c r="C45" s="183"/>
    </row>
    <row r="46" spans="1:11" ht="26.25" customHeight="1">
      <c r="A46" s="186" t="s">
        <v>289</v>
      </c>
      <c r="B46" s="186"/>
      <c r="C46" s="186"/>
      <c r="D46" s="186"/>
      <c r="E46" s="186"/>
      <c r="F46" s="186"/>
      <c r="G46" s="186"/>
      <c r="H46" s="186"/>
      <c r="I46" s="186"/>
      <c r="J46" s="186"/>
    </row>
    <row r="47" spans="1:11" ht="39.6" customHeight="1">
      <c r="A47" s="187" t="s">
        <v>290</v>
      </c>
      <c r="B47" s="187"/>
      <c r="C47" s="187"/>
      <c r="D47" s="187"/>
      <c r="E47" s="187"/>
      <c r="F47" s="187"/>
      <c r="G47" s="187"/>
      <c r="H47" s="187"/>
      <c r="I47" s="187"/>
      <c r="J47" s="187"/>
    </row>
  </sheetData>
  <mergeCells count="2">
    <mergeCell ref="A46:J46"/>
    <mergeCell ref="A47:J47"/>
  </mergeCells>
  <pageMargins left="0.7" right="0.7" top="0.75" bottom="0.75" header="0.3" footer="0.3"/>
  <pageSetup scale="81" orientation="portrait" r:id="rId1"/>
</worksheet>
</file>

<file path=xl/worksheets/sheet2.xml><?xml version="1.0" encoding="utf-8"?>
<worksheet xmlns="http://schemas.openxmlformats.org/spreadsheetml/2006/main" xmlns:r="http://schemas.openxmlformats.org/officeDocument/2006/relationships">
  <sheetPr codeName="Sheet2"/>
  <dimension ref="A1:V689"/>
  <sheetViews>
    <sheetView topLeftCell="A2" zoomScaleNormal="100" workbookViewId="0">
      <selection activeCell="F33" sqref="F33"/>
    </sheetView>
  </sheetViews>
  <sheetFormatPr defaultColWidth="11.42578125" defaultRowHeight="12.75"/>
  <cols>
    <col min="1" max="1" width="6.140625" style="4" customWidth="1"/>
    <col min="2" max="2" width="39.140625" customWidth="1"/>
    <col min="3" max="3" width="9" customWidth="1"/>
    <col min="4" max="4" width="15.140625" customWidth="1"/>
    <col min="5" max="5" width="13" customWidth="1"/>
    <col min="6" max="6" width="14.140625" style="3" customWidth="1"/>
    <col min="7" max="7" width="13.140625" style="3" customWidth="1"/>
    <col min="8" max="8" width="14.85546875" style="3" hidden="1" customWidth="1"/>
    <col min="9" max="9" width="18.85546875" style="20" customWidth="1"/>
    <col min="10" max="10" width="15.85546875" customWidth="1"/>
    <col min="11" max="11" width="12" customWidth="1"/>
    <col min="12" max="13" width="11.5703125" bestFit="1" customWidth="1"/>
    <col min="14" max="14" width="11.85546875" bestFit="1" customWidth="1"/>
    <col min="15" max="15" width="12.140625" bestFit="1" customWidth="1"/>
    <col min="16" max="16" width="11.85546875" bestFit="1" customWidth="1"/>
  </cols>
  <sheetData>
    <row r="1" spans="1:22">
      <c r="A1" s="8"/>
      <c r="B1" s="8"/>
      <c r="C1" s="14" t="s">
        <v>31</v>
      </c>
      <c r="F1"/>
      <c r="G1"/>
      <c r="H1"/>
      <c r="I1"/>
    </row>
    <row r="2" spans="1:22">
      <c r="A2" s="8"/>
      <c r="B2" s="8"/>
      <c r="C2" s="14" t="s">
        <v>175</v>
      </c>
      <c r="F2"/>
      <c r="G2"/>
      <c r="H2"/>
      <c r="I2"/>
    </row>
    <row r="3" spans="1:22">
      <c r="A3" s="10"/>
      <c r="B3" s="8"/>
      <c r="C3" s="14" t="s">
        <v>228</v>
      </c>
      <c r="F3"/>
      <c r="G3"/>
      <c r="H3"/>
      <c r="I3" s="72"/>
    </row>
    <row r="4" spans="1:22">
      <c r="A4" s="10"/>
      <c r="B4" s="8"/>
      <c r="C4" s="127" t="s">
        <v>241</v>
      </c>
      <c r="F4"/>
      <c r="G4"/>
      <c r="H4"/>
      <c r="I4" s="72"/>
    </row>
    <row r="5" spans="1:22" ht="12.75" customHeight="1">
      <c r="A5" s="5"/>
      <c r="C5" s="127"/>
      <c r="D5" s="11"/>
      <c r="E5" s="11"/>
      <c r="F5" s="11"/>
      <c r="G5" s="11"/>
      <c r="H5" s="11" t="s">
        <v>127</v>
      </c>
      <c r="I5" s="83"/>
      <c r="K5">
        <v>744</v>
      </c>
      <c r="L5">
        <v>696</v>
      </c>
      <c r="M5">
        <v>744</v>
      </c>
      <c r="N5">
        <v>719</v>
      </c>
      <c r="O5">
        <v>744</v>
      </c>
      <c r="P5">
        <v>720</v>
      </c>
      <c r="Q5">
        <v>744</v>
      </c>
      <c r="R5">
        <v>744</v>
      </c>
      <c r="S5">
        <v>720</v>
      </c>
      <c r="T5">
        <v>745</v>
      </c>
      <c r="U5">
        <v>720</v>
      </c>
      <c r="V5">
        <v>744</v>
      </c>
    </row>
    <row r="6" spans="1:22">
      <c r="A6" s="5" t="s">
        <v>0</v>
      </c>
      <c r="D6" s="11" t="s">
        <v>229</v>
      </c>
      <c r="E6" s="11"/>
      <c r="F6" s="11">
        <v>2016</v>
      </c>
      <c r="G6" s="53"/>
      <c r="H6" s="53" t="s">
        <v>126</v>
      </c>
      <c r="I6" s="84"/>
    </row>
    <row r="7" spans="1:22">
      <c r="A7" s="45" t="s">
        <v>1</v>
      </c>
      <c r="D7" s="15" t="s">
        <v>2</v>
      </c>
      <c r="E7" s="1" t="s">
        <v>3</v>
      </c>
      <c r="F7" s="15" t="s">
        <v>213</v>
      </c>
      <c r="G7" s="15"/>
      <c r="H7" s="15" t="s">
        <v>154</v>
      </c>
      <c r="I7" s="87" t="s">
        <v>116</v>
      </c>
      <c r="J7" s="80" t="s">
        <v>32</v>
      </c>
      <c r="K7" s="47">
        <v>40908</v>
      </c>
      <c r="L7" s="47">
        <v>40939</v>
      </c>
      <c r="M7" s="47">
        <v>40968</v>
      </c>
      <c r="N7" s="47">
        <v>40999</v>
      </c>
      <c r="O7" s="47">
        <v>41029</v>
      </c>
      <c r="P7" s="47">
        <v>41060</v>
      </c>
      <c r="Q7" s="47">
        <v>41090</v>
      </c>
      <c r="R7" s="47">
        <v>41121</v>
      </c>
      <c r="S7" s="47">
        <v>41152</v>
      </c>
      <c r="T7" s="47">
        <v>41182</v>
      </c>
      <c r="U7" s="47">
        <v>41213</v>
      </c>
      <c r="V7" s="47">
        <v>41243</v>
      </c>
    </row>
    <row r="8" spans="1:22">
      <c r="A8" s="5"/>
      <c r="B8" s="7" t="s">
        <v>4</v>
      </c>
      <c r="D8" s="9"/>
      <c r="E8" s="12"/>
      <c r="F8" s="9"/>
      <c r="G8" s="9"/>
      <c r="H8" s="9"/>
      <c r="I8" s="19"/>
    </row>
    <row r="9" spans="1:22">
      <c r="A9" s="5">
        <f t="shared" ref="A9:A16" si="0">A8+1</f>
        <v>1</v>
      </c>
      <c r="B9" t="s">
        <v>223</v>
      </c>
      <c r="D9" s="18">
        <v>0</v>
      </c>
      <c r="E9" s="18">
        <f t="shared" ref="E9:E15" si="1">F9-D9</f>
        <v>16056.186442827895</v>
      </c>
      <c r="F9" s="18">
        <f>'WGJ-4'!C13/1000</f>
        <v>16056.186442827895</v>
      </c>
      <c r="G9" s="18"/>
      <c r="H9" s="18">
        <v>20917.018981429192</v>
      </c>
      <c r="I9" s="95" t="s">
        <v>122</v>
      </c>
      <c r="J9" s="3">
        <f t="shared" ref="J9:J14" si="2">SUM(K9:V9)/1000</f>
        <v>16056.186442827895</v>
      </c>
      <c r="K9" s="56">
        <f>'WGJ-4'!D13</f>
        <v>1049598.8318562498</v>
      </c>
      <c r="L9" s="56">
        <f>'WGJ-4'!E13</f>
        <v>1374789.1283035302</v>
      </c>
      <c r="M9" s="56">
        <f>'WGJ-4'!F13</f>
        <v>998847.82282113994</v>
      </c>
      <c r="N9" s="56">
        <f>'WGJ-4'!G13</f>
        <v>286914.88011479401</v>
      </c>
      <c r="O9" s="56">
        <f>'WGJ-4'!H13</f>
        <v>207565.109892935</v>
      </c>
      <c r="P9" s="56">
        <f>'WGJ-4'!I13</f>
        <v>606520.902109146</v>
      </c>
      <c r="Q9" s="56">
        <f>'WGJ-4'!J13</f>
        <v>1695496.65365219</v>
      </c>
      <c r="R9" s="56">
        <f>'WGJ-4'!K13</f>
        <v>3596409.7536087004</v>
      </c>
      <c r="S9" s="56">
        <f>'WGJ-4'!L13</f>
        <v>1818242.1330720198</v>
      </c>
      <c r="T9" s="56">
        <f>'WGJ-4'!M13</f>
        <v>1634815.9187793699</v>
      </c>
      <c r="U9" s="56">
        <f>'WGJ-4'!N13</f>
        <v>1215881.80707293</v>
      </c>
      <c r="V9" s="56">
        <f>'WGJ-4'!O13</f>
        <v>1571103.50154489</v>
      </c>
    </row>
    <row r="10" spans="1:22">
      <c r="A10" s="5">
        <f t="shared" si="0"/>
        <v>2</v>
      </c>
      <c r="B10" t="s">
        <v>224</v>
      </c>
      <c r="D10" s="89">
        <v>97599</v>
      </c>
      <c r="E10" s="19">
        <f t="shared" si="1"/>
        <v>-97599</v>
      </c>
      <c r="F10" s="129">
        <v>0</v>
      </c>
      <c r="G10" s="18"/>
      <c r="H10" s="18"/>
      <c r="I10" s="95"/>
      <c r="J10" s="3">
        <f t="shared" si="2"/>
        <v>0</v>
      </c>
      <c r="K10" s="56"/>
      <c r="L10" s="56"/>
      <c r="M10" s="56"/>
      <c r="N10" s="56"/>
      <c r="O10" s="56"/>
      <c r="P10" s="56"/>
      <c r="Q10" s="56"/>
      <c r="R10" s="56"/>
      <c r="S10" s="56"/>
      <c r="T10" s="56"/>
      <c r="U10" s="56"/>
      <c r="V10" s="56"/>
    </row>
    <row r="11" spans="1:22">
      <c r="A11" s="5">
        <f t="shared" si="0"/>
        <v>3</v>
      </c>
      <c r="B11" t="s">
        <v>225</v>
      </c>
      <c r="D11" s="89">
        <v>0</v>
      </c>
      <c r="E11" s="19">
        <f t="shared" si="1"/>
        <v>-961</v>
      </c>
      <c r="F11" s="129">
        <v>-961</v>
      </c>
      <c r="G11" s="18"/>
      <c r="H11" s="18"/>
      <c r="I11" s="95"/>
      <c r="J11" s="3">
        <f t="shared" si="2"/>
        <v>-960.75429693023011</v>
      </c>
      <c r="K11" s="56">
        <v>313418.49375227455</v>
      </c>
      <c r="L11" s="56">
        <v>169352.00833231217</v>
      </c>
      <c r="M11" s="56">
        <v>-58898.735666274988</v>
      </c>
      <c r="N11" s="56">
        <v>-511912.17203214811</v>
      </c>
      <c r="O11" s="56">
        <v>-1104877.540010215</v>
      </c>
      <c r="P11" s="56">
        <v>-986646.93340212107</v>
      </c>
      <c r="Q11" s="56">
        <v>-139774.84172359115</v>
      </c>
      <c r="R11" s="56">
        <v>136272.76973873383</v>
      </c>
      <c r="S11" s="56">
        <v>251144.79466080671</v>
      </c>
      <c r="T11" s="56">
        <v>338299.61832202971</v>
      </c>
      <c r="U11" s="56">
        <v>260290.06318729371</v>
      </c>
      <c r="V11" s="56">
        <v>372578.17791066982</v>
      </c>
    </row>
    <row r="12" spans="1:22">
      <c r="A12" s="5">
        <f t="shared" si="0"/>
        <v>4</v>
      </c>
      <c r="B12" t="s">
        <v>190</v>
      </c>
      <c r="D12" s="89">
        <v>12197</v>
      </c>
      <c r="E12" s="19">
        <f t="shared" si="1"/>
        <v>5750.4157927391243</v>
      </c>
      <c r="F12" s="89">
        <f>Index!C64/1000</f>
        <v>17947.415792739124</v>
      </c>
      <c r="G12" s="22"/>
      <c r="H12" s="22"/>
      <c r="I12" s="19"/>
      <c r="J12" s="3">
        <f t="shared" si="2"/>
        <v>17947.415792739124</v>
      </c>
      <c r="K12" s="55">
        <f>Index!D64</f>
        <v>1806808.9266955981</v>
      </c>
      <c r="L12" s="55">
        <f>Index!E64</f>
        <v>1463008.9590187296</v>
      </c>
      <c r="M12" s="55">
        <f>Index!F64</f>
        <v>1382183.7213008422</v>
      </c>
      <c r="N12" s="55">
        <f>Index!G64</f>
        <v>1401298.9215044396</v>
      </c>
      <c r="O12" s="55">
        <f>Index!H64</f>
        <v>1463393.8449730419</v>
      </c>
      <c r="P12" s="55">
        <f>Index!I64</f>
        <v>1428632.1612549489</v>
      </c>
      <c r="Q12" s="55">
        <f>Index!J64</f>
        <v>1761946.1556821102</v>
      </c>
      <c r="R12" s="55">
        <f>Index!K64</f>
        <v>1699110.7758834453</v>
      </c>
      <c r="S12" s="55">
        <f>Index!L64</f>
        <v>1187334.1826309825</v>
      </c>
      <c r="T12" s="55">
        <f>Index!M64</f>
        <v>1210198.8432621369</v>
      </c>
      <c r="U12" s="55">
        <f>Index!N64</f>
        <v>1457361.7208199664</v>
      </c>
      <c r="V12" s="55">
        <f>Index!O64</f>
        <v>1686137.5797128805</v>
      </c>
    </row>
    <row r="13" spans="1:22">
      <c r="A13" s="5">
        <f t="shared" si="0"/>
        <v>5</v>
      </c>
      <c r="B13" t="s">
        <v>178</v>
      </c>
      <c r="D13" s="89">
        <v>1615</v>
      </c>
      <c r="E13" s="19">
        <f t="shared" si="1"/>
        <v>231</v>
      </c>
      <c r="F13" s="89">
        <v>1846</v>
      </c>
      <c r="G13" s="22"/>
      <c r="H13" s="22">
        <v>1177</v>
      </c>
      <c r="I13" s="19"/>
      <c r="J13" s="3">
        <f t="shared" si="2"/>
        <v>1845.951</v>
      </c>
      <c r="K13" s="55">
        <f>1845951/12</f>
        <v>153829.25</v>
      </c>
      <c r="L13" s="55">
        <f t="shared" ref="L13:V13" si="3">1845951/12</f>
        <v>153829.25</v>
      </c>
      <c r="M13" s="55">
        <f t="shared" si="3"/>
        <v>153829.25</v>
      </c>
      <c r="N13" s="55">
        <f t="shared" si="3"/>
        <v>153829.25</v>
      </c>
      <c r="O13" s="55">
        <f t="shared" si="3"/>
        <v>153829.25</v>
      </c>
      <c r="P13" s="55">
        <f t="shared" si="3"/>
        <v>153829.25</v>
      </c>
      <c r="Q13" s="55">
        <f t="shared" si="3"/>
        <v>153829.25</v>
      </c>
      <c r="R13" s="55">
        <f t="shared" si="3"/>
        <v>153829.25</v>
      </c>
      <c r="S13" s="55">
        <f t="shared" si="3"/>
        <v>153829.25</v>
      </c>
      <c r="T13" s="55">
        <f t="shared" si="3"/>
        <v>153829.25</v>
      </c>
      <c r="U13" s="55">
        <f t="shared" si="3"/>
        <v>153829.25</v>
      </c>
      <c r="V13" s="55">
        <f t="shared" si="3"/>
        <v>153829.25</v>
      </c>
    </row>
    <row r="14" spans="1:22">
      <c r="A14" s="5">
        <f t="shared" si="0"/>
        <v>6</v>
      </c>
      <c r="B14" t="s">
        <v>179</v>
      </c>
      <c r="D14" s="89">
        <v>4740</v>
      </c>
      <c r="E14" s="19">
        <f t="shared" si="1"/>
        <v>-4740</v>
      </c>
      <c r="F14" s="91">
        <f>Index!C69/1000</f>
        <v>0</v>
      </c>
      <c r="G14" s="22"/>
      <c r="H14" s="22"/>
      <c r="I14" s="19"/>
      <c r="J14" s="3">
        <f t="shared" si="2"/>
        <v>0</v>
      </c>
      <c r="K14" s="55">
        <f>Index!D69</f>
        <v>0</v>
      </c>
      <c r="L14" s="55">
        <f>Index!E69</f>
        <v>0</v>
      </c>
      <c r="M14" s="55">
        <f>Index!F69</f>
        <v>0</v>
      </c>
      <c r="N14" s="55">
        <f>Index!G69</f>
        <v>0</v>
      </c>
      <c r="O14" s="55">
        <f>Index!H69</f>
        <v>0</v>
      </c>
      <c r="P14" s="55">
        <f>Index!I69</f>
        <v>0</v>
      </c>
      <c r="Q14" s="55">
        <f>Index!J69</f>
        <v>0</v>
      </c>
      <c r="R14" s="55">
        <f>Index!K69</f>
        <v>0</v>
      </c>
      <c r="S14" s="55">
        <f>Index!L69</f>
        <v>0</v>
      </c>
      <c r="T14" s="55">
        <f>Index!M69</f>
        <v>0</v>
      </c>
      <c r="U14" s="55">
        <f>Index!N69</f>
        <v>0</v>
      </c>
      <c r="V14" s="55">
        <f>Index!O69</f>
        <v>0</v>
      </c>
    </row>
    <row r="15" spans="1:22">
      <c r="A15" s="5">
        <f t="shared" si="0"/>
        <v>7</v>
      </c>
      <c r="B15" t="s">
        <v>149</v>
      </c>
      <c r="D15" s="89">
        <v>6834</v>
      </c>
      <c r="E15" s="19">
        <f t="shared" si="1"/>
        <v>1016.7338056384715</v>
      </c>
      <c r="F15" s="89">
        <f>Index!C53/1000</f>
        <v>7850.7338056384715</v>
      </c>
      <c r="G15" s="94" t="s">
        <v>121</v>
      </c>
      <c r="H15" s="19">
        <v>0</v>
      </c>
      <c r="I15" s="94" t="s">
        <v>134</v>
      </c>
      <c r="J15" s="3">
        <f t="shared" ref="J15:J29" si="4">SUM(K15:V15)/1000</f>
        <v>7850.7338056384715</v>
      </c>
      <c r="K15" s="55">
        <f>Index!D53</f>
        <v>760390.98168233922</v>
      </c>
      <c r="L15" s="55">
        <f>Index!E53</f>
        <v>633286.23045254627</v>
      </c>
      <c r="M15" s="55">
        <f>Index!F53</f>
        <v>622596.06021307025</v>
      </c>
      <c r="N15" s="55">
        <f>Index!G53</f>
        <v>654749.11384892743</v>
      </c>
      <c r="O15" s="55">
        <f>Index!H53</f>
        <v>753639.56411645864</v>
      </c>
      <c r="P15" s="55">
        <f>Index!I53</f>
        <v>731088.11313213897</v>
      </c>
      <c r="Q15" s="55">
        <f>Index!J53</f>
        <v>747384.78322823613</v>
      </c>
      <c r="R15" s="55">
        <f>Index!K53</f>
        <v>649505.73372967879</v>
      </c>
      <c r="S15" s="55">
        <f>Index!L53</f>
        <v>476225.06924000662</v>
      </c>
      <c r="T15" s="55">
        <f>Index!M53</f>
        <v>479983.48522051884</v>
      </c>
      <c r="U15" s="55">
        <f>Index!N53</f>
        <v>622122.84665188869</v>
      </c>
      <c r="V15" s="55">
        <f>Index!O53</f>
        <v>719761.82412266219</v>
      </c>
    </row>
    <row r="16" spans="1:22">
      <c r="A16" s="5">
        <f t="shared" si="0"/>
        <v>8</v>
      </c>
      <c r="B16" t="s">
        <v>119</v>
      </c>
      <c r="D16" s="89">
        <v>970</v>
      </c>
      <c r="E16" s="89">
        <f t="shared" ref="E16:E24" si="5">F16-D16</f>
        <v>-11</v>
      </c>
      <c r="F16" s="89">
        <v>959</v>
      </c>
      <c r="G16" s="91"/>
      <c r="H16" s="91">
        <v>5512</v>
      </c>
      <c r="I16" s="19"/>
      <c r="J16" s="3">
        <f t="shared" si="4"/>
        <v>958.58386429687584</v>
      </c>
      <c r="K16" s="55">
        <v>39330.817382812529</v>
      </c>
      <c r="L16" s="55">
        <v>30962.255654296881</v>
      </c>
      <c r="M16" s="55">
        <v>67951.008691406169</v>
      </c>
      <c r="N16" s="55">
        <v>117924.48000000029</v>
      </c>
      <c r="O16" s="55">
        <v>148456.27476562528</v>
      </c>
      <c r="P16" s="55">
        <v>162443.52000000028</v>
      </c>
      <c r="Q16" s="55">
        <v>131688.00345703118</v>
      </c>
      <c r="R16" s="55">
        <v>98853.791308593834</v>
      </c>
      <c r="S16" s="55">
        <v>41630.400000000023</v>
      </c>
      <c r="T16" s="55">
        <v>46617.553037109392</v>
      </c>
      <c r="U16" s="55">
        <v>35853.120000000003</v>
      </c>
      <c r="V16" s="55">
        <v>36872.639999999999</v>
      </c>
    </row>
    <row r="17" spans="1:22">
      <c r="A17" s="5">
        <f t="shared" ref="A17:A29" si="6">A16+1</f>
        <v>9</v>
      </c>
      <c r="B17" t="s">
        <v>173</v>
      </c>
      <c r="D17" s="89">
        <v>22186</v>
      </c>
      <c r="E17" s="89">
        <f t="shared" si="5"/>
        <v>831</v>
      </c>
      <c r="F17" s="91">
        <v>23017</v>
      </c>
      <c r="G17" s="91"/>
      <c r="H17" s="91"/>
      <c r="I17" s="19"/>
      <c r="J17" s="3">
        <f t="shared" si="4"/>
        <v>23017.246473000003</v>
      </c>
      <c r="K17" s="55">
        <v>1918103.8727500003</v>
      </c>
      <c r="L17" s="55">
        <v>1918103.8727500003</v>
      </c>
      <c r="M17" s="55">
        <v>1918103.8727500003</v>
      </c>
      <c r="N17" s="55">
        <v>1918103.8727500003</v>
      </c>
      <c r="O17" s="55">
        <v>1918103.8727500003</v>
      </c>
      <c r="P17" s="55">
        <v>1918103.8727500003</v>
      </c>
      <c r="Q17" s="55">
        <v>1918103.8727500003</v>
      </c>
      <c r="R17" s="55">
        <v>1918103.8727500003</v>
      </c>
      <c r="S17" s="55">
        <v>1918103.8727500003</v>
      </c>
      <c r="T17" s="55">
        <v>1918103.8727500003</v>
      </c>
      <c r="U17" s="55">
        <v>1918103.8727500003</v>
      </c>
      <c r="V17" s="55">
        <v>1918103.8727500003</v>
      </c>
    </row>
    <row r="18" spans="1:22">
      <c r="A18" s="5">
        <f t="shared" si="6"/>
        <v>10</v>
      </c>
      <c r="B18" t="s">
        <v>172</v>
      </c>
      <c r="D18" s="89">
        <v>2756</v>
      </c>
      <c r="E18" s="89">
        <f t="shared" si="5"/>
        <v>265.66142160184518</v>
      </c>
      <c r="F18" s="91">
        <f>J18</f>
        <v>3021.6614216018452</v>
      </c>
      <c r="G18" s="91"/>
      <c r="H18" s="91"/>
      <c r="I18" s="19"/>
      <c r="J18" s="3">
        <f t="shared" si="4"/>
        <v>3021.6614216018452</v>
      </c>
      <c r="K18" s="55">
        <f>'WGJ-4'!D33*2.078</f>
        <v>335623.48209592339</v>
      </c>
      <c r="L18" s="55">
        <f>'WGJ-4'!E33*2.078</f>
        <v>298090.79289018642</v>
      </c>
      <c r="M18" s="55">
        <f>'WGJ-4'!F33*2.078</f>
        <v>290418.35710224585</v>
      </c>
      <c r="N18" s="55">
        <f>'WGJ-4'!G33*2.078</f>
        <v>218405.56056394108</v>
      </c>
      <c r="O18" s="55">
        <f>'WGJ-4'!H33*2.078</f>
        <v>83799.480123293964</v>
      </c>
      <c r="P18" s="55">
        <f>'WGJ-4'!I33*2.078</f>
        <v>77276.876597384675</v>
      </c>
      <c r="Q18" s="55">
        <f>'WGJ-4'!J33*2.078</f>
        <v>195475.41919954825</v>
      </c>
      <c r="R18" s="55">
        <f>'WGJ-4'!K33*2.078</f>
        <v>261266.63276445208</v>
      </c>
      <c r="S18" s="55">
        <f>'WGJ-4'!L33*2.078</f>
        <v>285777.36090725049</v>
      </c>
      <c r="T18" s="55">
        <f>'WGJ-4'!M33*2.078</f>
        <v>321792.32954394585</v>
      </c>
      <c r="U18" s="55">
        <f>'WGJ-4'!N33*2.078</f>
        <v>316283.81210566452</v>
      </c>
      <c r="V18" s="55">
        <f>'WGJ-4'!O33*2.078</f>
        <v>337451.31770800834</v>
      </c>
    </row>
    <row r="19" spans="1:22">
      <c r="A19" s="5">
        <f t="shared" si="6"/>
        <v>11</v>
      </c>
      <c r="B19" t="s">
        <v>5</v>
      </c>
      <c r="D19" s="89">
        <v>16139</v>
      </c>
      <c r="E19" s="19">
        <f t="shared" si="5"/>
        <v>1436</v>
      </c>
      <c r="F19" s="89">
        <v>17575</v>
      </c>
      <c r="G19" s="19" t="s">
        <v>159</v>
      </c>
      <c r="H19" s="19">
        <v>-2690</v>
      </c>
      <c r="I19" s="96" t="s">
        <v>160</v>
      </c>
      <c r="J19" s="3">
        <f t="shared" si="4"/>
        <v>17574.789548232002</v>
      </c>
      <c r="K19" s="56">
        <v>3591297.5183999999</v>
      </c>
      <c r="L19" s="56">
        <v>3215335.2083999999</v>
      </c>
      <c r="M19" s="56">
        <v>1803431.8386000001</v>
      </c>
      <c r="N19" s="56">
        <v>1733384.1240000001</v>
      </c>
      <c r="O19" s="56"/>
      <c r="P19" s="56"/>
      <c r="Q19" s="56"/>
      <c r="R19" s="56"/>
      <c r="S19" s="56"/>
      <c r="T19" s="56"/>
      <c r="U19" s="56">
        <v>3576470.0925600003</v>
      </c>
      <c r="V19" s="56">
        <v>3654870.766272</v>
      </c>
    </row>
    <row r="20" spans="1:22">
      <c r="A20" s="5">
        <f t="shared" si="6"/>
        <v>12</v>
      </c>
      <c r="B20" t="s">
        <v>6</v>
      </c>
      <c r="D20" s="89">
        <v>4</v>
      </c>
      <c r="E20" s="19">
        <f t="shared" si="5"/>
        <v>3</v>
      </c>
      <c r="F20" s="19">
        <v>7</v>
      </c>
      <c r="G20" s="19"/>
      <c r="H20" s="19">
        <v>6679.5</v>
      </c>
      <c r="I20" s="19"/>
      <c r="J20" s="3">
        <f t="shared" si="4"/>
        <v>6.9999999999999991</v>
      </c>
      <c r="K20" s="55">
        <f t="shared" ref="K20:V20" si="7">$F20/12*1000</f>
        <v>583.33333333333337</v>
      </c>
      <c r="L20" s="55">
        <f t="shared" si="7"/>
        <v>583.33333333333337</v>
      </c>
      <c r="M20" s="55">
        <f t="shared" si="7"/>
        <v>583.33333333333337</v>
      </c>
      <c r="N20" s="55">
        <f t="shared" si="7"/>
        <v>583.33333333333337</v>
      </c>
      <c r="O20" s="55">
        <f t="shared" si="7"/>
        <v>583.33333333333337</v>
      </c>
      <c r="P20" s="55">
        <f t="shared" si="7"/>
        <v>583.33333333333337</v>
      </c>
      <c r="Q20" s="55">
        <f t="shared" si="7"/>
        <v>583.33333333333337</v>
      </c>
      <c r="R20" s="55">
        <f t="shared" si="7"/>
        <v>583.33333333333337</v>
      </c>
      <c r="S20" s="55">
        <f t="shared" si="7"/>
        <v>583.33333333333337</v>
      </c>
      <c r="T20" s="55">
        <f t="shared" si="7"/>
        <v>583.33333333333337</v>
      </c>
      <c r="U20" s="55">
        <f t="shared" si="7"/>
        <v>583.33333333333337</v>
      </c>
      <c r="V20" s="55">
        <f t="shared" si="7"/>
        <v>583.33333333333337</v>
      </c>
    </row>
    <row r="21" spans="1:22">
      <c r="A21" s="5">
        <f t="shared" si="6"/>
        <v>13</v>
      </c>
      <c r="B21" t="s">
        <v>128</v>
      </c>
      <c r="D21" s="89">
        <v>1473</v>
      </c>
      <c r="E21" s="19">
        <f t="shared" si="5"/>
        <v>-72</v>
      </c>
      <c r="F21" s="91">
        <v>1401</v>
      </c>
      <c r="G21" s="19" t="s">
        <v>159</v>
      </c>
      <c r="H21" s="91">
        <v>6132</v>
      </c>
      <c r="I21" s="19"/>
      <c r="J21" s="3">
        <f t="shared" si="4"/>
        <v>1401.2673615626818</v>
      </c>
      <c r="K21" s="55">
        <v>94754.408403540918</v>
      </c>
      <c r="L21" s="55">
        <v>107238.3005919039</v>
      </c>
      <c r="M21" s="55">
        <v>155279.71774890425</v>
      </c>
      <c r="N21" s="55">
        <v>179062.58226786638</v>
      </c>
      <c r="O21" s="55">
        <v>178752.37568195848</v>
      </c>
      <c r="P21" s="55">
        <v>168756.11326790083</v>
      </c>
      <c r="Q21" s="55">
        <v>149663.77393219713</v>
      </c>
      <c r="R21" s="55">
        <v>89277.962954740535</v>
      </c>
      <c r="S21" s="55">
        <v>61094.508785524391</v>
      </c>
      <c r="T21" s="55">
        <v>63196.435548110006</v>
      </c>
      <c r="U21" s="55">
        <v>74491.556968439836</v>
      </c>
      <c r="V21" s="55">
        <v>79699.625411595131</v>
      </c>
    </row>
    <row r="22" spans="1:22">
      <c r="A22" s="5">
        <f t="shared" si="6"/>
        <v>14</v>
      </c>
      <c r="B22" t="s">
        <v>146</v>
      </c>
      <c r="D22" s="89">
        <v>1696</v>
      </c>
      <c r="E22" s="19">
        <f t="shared" si="5"/>
        <v>432</v>
      </c>
      <c r="F22" s="129">
        <v>2128</v>
      </c>
      <c r="G22" s="19" t="s">
        <v>159</v>
      </c>
      <c r="H22" s="89">
        <v>6132</v>
      </c>
      <c r="I22" s="96" t="s">
        <v>124</v>
      </c>
      <c r="J22" s="3">
        <f t="shared" si="4"/>
        <v>2127.8944206958031</v>
      </c>
      <c r="K22" s="55">
        <v>200653.23071777378</v>
      </c>
      <c r="L22" s="55">
        <v>178140.23263183629</v>
      </c>
      <c r="M22" s="55">
        <v>136357.3390283203</v>
      </c>
      <c r="N22" s="55">
        <v>110332.14951416041</v>
      </c>
      <c r="O22" s="55">
        <v>128781.94097167968</v>
      </c>
      <c r="P22" s="55">
        <v>141855.6190283203</v>
      </c>
      <c r="Q22" s="55">
        <v>209419.6288037113</v>
      </c>
      <c r="R22" s="55">
        <v>214289.86239257819</v>
      </c>
      <c r="S22" s="55">
        <v>180041.17760742191</v>
      </c>
      <c r="T22" s="55">
        <v>210880.70047851565</v>
      </c>
      <c r="U22" s="55">
        <v>211619.0911962894</v>
      </c>
      <c r="V22" s="55">
        <v>205523.44832519567</v>
      </c>
    </row>
    <row r="23" spans="1:22">
      <c r="A23" s="5">
        <f t="shared" si="6"/>
        <v>15</v>
      </c>
      <c r="B23" t="s">
        <v>7</v>
      </c>
      <c r="D23" s="89">
        <v>2227</v>
      </c>
      <c r="E23" s="19">
        <f t="shared" si="5"/>
        <v>536</v>
      </c>
      <c r="F23" s="89">
        <v>2763</v>
      </c>
      <c r="G23" s="19" t="s">
        <v>159</v>
      </c>
      <c r="H23" s="19">
        <v>6953.25</v>
      </c>
      <c r="I23" s="19"/>
      <c r="J23" s="3">
        <f t="shared" si="4"/>
        <v>2762.9974773168942</v>
      </c>
      <c r="K23" s="55">
        <v>323524.42364705389</v>
      </c>
      <c r="L23" s="55">
        <v>334453.37772827165</v>
      </c>
      <c r="M23" s="55">
        <v>434623.04414876306</v>
      </c>
      <c r="N23" s="55">
        <v>347122.54025024414</v>
      </c>
      <c r="O23" s="55">
        <v>327051.67920166027</v>
      </c>
      <c r="P23" s="55">
        <v>275523.66676595027</v>
      </c>
      <c r="Q23" s="55">
        <v>100423.96647135416</v>
      </c>
      <c r="R23" s="55">
        <v>-29724.833923339571</v>
      </c>
      <c r="S23" s="55">
        <v>13349.954425048691</v>
      </c>
      <c r="T23" s="55">
        <v>110770.1678466797</v>
      </c>
      <c r="U23" s="55">
        <v>203586.75614420575</v>
      </c>
      <c r="V23" s="55">
        <v>322292.73461100261</v>
      </c>
    </row>
    <row r="24" spans="1:22">
      <c r="A24" s="5">
        <f t="shared" si="6"/>
        <v>16</v>
      </c>
      <c r="B24" t="s">
        <v>209</v>
      </c>
      <c r="D24" s="89">
        <v>6370</v>
      </c>
      <c r="E24" s="19">
        <f t="shared" si="5"/>
        <v>80</v>
      </c>
      <c r="F24" s="89">
        <v>6450</v>
      </c>
      <c r="G24" s="19"/>
      <c r="H24" s="19"/>
      <c r="I24" s="19"/>
      <c r="J24" s="3">
        <f t="shared" si="4"/>
        <v>6449.9833976643067</v>
      </c>
      <c r="K24" s="55">
        <v>550861.97526635905</v>
      </c>
      <c r="L24" s="55">
        <v>547034.67034277471</v>
      </c>
      <c r="M24" s="55">
        <v>481194.00449340872</v>
      </c>
      <c r="N24" s="55">
        <v>446534.40780102392</v>
      </c>
      <c r="O24" s="55">
        <v>500969.02948095795</v>
      </c>
      <c r="P24" s="55">
        <v>446534.34967529197</v>
      </c>
      <c r="Q24" s="55">
        <v>533912.38595068175</v>
      </c>
      <c r="R24" s="55">
        <v>550861.9758789062</v>
      </c>
      <c r="S24" s="55">
        <v>598703.60748046869</v>
      </c>
      <c r="T24" s="55">
        <v>652559.58650390629</v>
      </c>
      <c r="U24" s="55">
        <v>606904.99923828128</v>
      </c>
      <c r="V24" s="55">
        <v>533912.40555224428</v>
      </c>
    </row>
    <row r="25" spans="1:22">
      <c r="A25" s="5">
        <f t="shared" si="6"/>
        <v>17</v>
      </c>
      <c r="B25" t="s">
        <v>49</v>
      </c>
      <c r="D25" s="89">
        <v>-114</v>
      </c>
      <c r="E25" s="19">
        <f t="shared" ref="E25:E29" si="8">F25-D25</f>
        <v>114</v>
      </c>
      <c r="F25" s="19">
        <v>0</v>
      </c>
      <c r="G25" s="19"/>
      <c r="H25" s="19">
        <v>921</v>
      </c>
      <c r="I25" s="94" t="s">
        <v>115</v>
      </c>
      <c r="J25" s="3">
        <f t="shared" si="4"/>
        <v>0</v>
      </c>
      <c r="K25" s="55"/>
      <c r="L25" s="55"/>
      <c r="M25" s="55"/>
      <c r="N25" s="55"/>
      <c r="O25" s="55"/>
      <c r="P25" s="55"/>
      <c r="Q25" s="55"/>
      <c r="R25" s="55"/>
      <c r="S25" s="55"/>
      <c r="T25" s="55"/>
      <c r="U25" s="55"/>
      <c r="V25" s="55"/>
    </row>
    <row r="26" spans="1:22">
      <c r="A26" s="5">
        <f t="shared" si="6"/>
        <v>18</v>
      </c>
      <c r="B26" t="s">
        <v>142</v>
      </c>
      <c r="D26" s="89">
        <v>675</v>
      </c>
      <c r="E26" s="19">
        <f t="shared" si="8"/>
        <v>-675</v>
      </c>
      <c r="F26" s="19">
        <v>0</v>
      </c>
      <c r="G26" s="19"/>
      <c r="H26" s="19"/>
      <c r="I26" s="19"/>
      <c r="J26" s="3">
        <f t="shared" si="4"/>
        <v>0</v>
      </c>
      <c r="K26" s="55"/>
      <c r="L26" s="55"/>
      <c r="M26" s="55"/>
      <c r="N26" s="55"/>
      <c r="O26" s="55"/>
      <c r="P26" s="55"/>
      <c r="Q26" s="55"/>
      <c r="R26" s="55"/>
      <c r="S26" s="55"/>
      <c r="T26" s="55"/>
      <c r="U26" s="55"/>
      <c r="V26" s="55"/>
    </row>
    <row r="27" spans="1:22">
      <c r="A27" s="5">
        <f t="shared" si="6"/>
        <v>19</v>
      </c>
      <c r="B27" t="s">
        <v>208</v>
      </c>
      <c r="D27" s="89">
        <v>18060</v>
      </c>
      <c r="E27" s="19">
        <f t="shared" si="8"/>
        <v>2337</v>
      </c>
      <c r="F27" s="89">
        <v>20397</v>
      </c>
      <c r="G27" s="19"/>
      <c r="H27" s="19"/>
      <c r="I27" s="19"/>
      <c r="J27" s="3">
        <f t="shared" si="4"/>
        <v>20397.099179296878</v>
      </c>
      <c r="K27" s="55">
        <v>2277795.410625</v>
      </c>
      <c r="L27" s="55">
        <v>1841919.6476953127</v>
      </c>
      <c r="M27" s="55">
        <v>2086373.1648046875</v>
      </c>
      <c r="N27" s="55">
        <v>1783491.6319335939</v>
      </c>
      <c r="O27" s="55">
        <v>1569450.9132421874</v>
      </c>
      <c r="P27" s="55">
        <v>1258657.465078125</v>
      </c>
      <c r="Q27" s="55">
        <v>1078068.245625</v>
      </c>
      <c r="R27" s="55">
        <v>1133609.4615234376</v>
      </c>
      <c r="S27" s="55">
        <v>1307941.6567382813</v>
      </c>
      <c r="T27" s="55">
        <v>1607522.7237890628</v>
      </c>
      <c r="U27" s="55">
        <v>2073720.7353515625</v>
      </c>
      <c r="V27" s="55">
        <v>2378548.1228906251</v>
      </c>
    </row>
    <row r="28" spans="1:22">
      <c r="A28" s="5">
        <f t="shared" si="6"/>
        <v>20</v>
      </c>
      <c r="B28" s="17" t="s">
        <v>164</v>
      </c>
      <c r="C28" s="17"/>
      <c r="D28" s="90">
        <v>1521</v>
      </c>
      <c r="E28" s="39">
        <f t="shared" si="8"/>
        <v>-1521</v>
      </c>
      <c r="F28" s="144">
        <v>0</v>
      </c>
      <c r="G28" s="89" t="s">
        <v>157</v>
      </c>
      <c r="H28" s="89">
        <v>0</v>
      </c>
      <c r="I28" s="19" t="s">
        <v>120</v>
      </c>
      <c r="J28" s="85">
        <f t="shared" si="4"/>
        <v>0</v>
      </c>
      <c r="K28" s="77"/>
      <c r="L28" s="77"/>
      <c r="M28" s="77"/>
      <c r="N28" s="77"/>
      <c r="O28" s="77"/>
      <c r="P28" s="77"/>
      <c r="Q28" s="77"/>
      <c r="R28" s="77"/>
      <c r="S28" s="77"/>
      <c r="T28" s="77"/>
      <c r="U28" s="77"/>
      <c r="V28" s="77"/>
    </row>
    <row r="29" spans="1:22">
      <c r="A29" s="5">
        <f t="shared" si="6"/>
        <v>21</v>
      </c>
      <c r="B29" t="s">
        <v>8</v>
      </c>
      <c r="D29" s="89">
        <f>SUM(D9:D28)</f>
        <v>196948</v>
      </c>
      <c r="E29" s="19">
        <f t="shared" si="8"/>
        <v>-76490.00253719266</v>
      </c>
      <c r="F29" s="19">
        <f>SUM(F9:F28)</f>
        <v>120457.99746280734</v>
      </c>
      <c r="G29" s="19"/>
      <c r="H29" s="19">
        <v>0</v>
      </c>
      <c r="I29" s="19"/>
      <c r="J29" s="3">
        <f t="shared" si="4"/>
        <v>120458.05588794254</v>
      </c>
      <c r="K29" s="25">
        <f>SUM(K9:K28)</f>
        <v>13416574.95660826</v>
      </c>
      <c r="L29" s="25">
        <f t="shared" ref="L29:V29" si="9">SUM(L9:L28)</f>
        <v>12266127.268125037</v>
      </c>
      <c r="M29" s="25">
        <f t="shared" si="9"/>
        <v>10472873.799369847</v>
      </c>
      <c r="N29" s="25">
        <f t="shared" si="9"/>
        <v>8839824.6758501772</v>
      </c>
      <c r="O29" s="25">
        <f t="shared" si="9"/>
        <v>6329499.1285229186</v>
      </c>
      <c r="P29" s="25">
        <f t="shared" si="9"/>
        <v>6383158.3095904198</v>
      </c>
      <c r="Q29" s="25">
        <f t="shared" si="9"/>
        <v>8536220.6303618029</v>
      </c>
      <c r="R29" s="25">
        <f t="shared" si="9"/>
        <v>10472250.34194326</v>
      </c>
      <c r="S29" s="25">
        <f t="shared" si="9"/>
        <v>8294001.3016311433</v>
      </c>
      <c r="T29" s="25">
        <f t="shared" si="9"/>
        <v>8749153.8184147179</v>
      </c>
      <c r="U29" s="25">
        <f t="shared" si="9"/>
        <v>12727103.057379855</v>
      </c>
      <c r="V29" s="25">
        <f t="shared" si="9"/>
        <v>13971268.600145107</v>
      </c>
    </row>
    <row r="30" spans="1:22">
      <c r="A30" s="5"/>
      <c r="D30" s="89">
        <v>196946</v>
      </c>
      <c r="E30" s="19"/>
      <c r="F30" s="19"/>
      <c r="G30" s="19"/>
      <c r="H30" s="39">
        <v>3186</v>
      </c>
      <c r="I30" s="19"/>
      <c r="J30" s="3"/>
    </row>
    <row r="31" spans="1:22">
      <c r="A31" s="5"/>
      <c r="B31" s="7" t="s">
        <v>26</v>
      </c>
      <c r="D31" s="19"/>
      <c r="E31" s="19"/>
      <c r="F31" s="19"/>
      <c r="G31" s="19"/>
      <c r="H31" s="19">
        <v>0</v>
      </c>
      <c r="I31" s="19"/>
      <c r="J31" s="3"/>
    </row>
    <row r="32" spans="1:22">
      <c r="A32" s="5">
        <f>A29+1</f>
        <v>22</v>
      </c>
      <c r="B32" t="s">
        <v>12</v>
      </c>
      <c r="D32" s="89">
        <v>690</v>
      </c>
      <c r="E32" s="89">
        <f>F32-D32</f>
        <v>0</v>
      </c>
      <c r="F32" s="129">
        <v>690</v>
      </c>
      <c r="G32" s="94"/>
      <c r="H32" s="90">
        <v>150</v>
      </c>
      <c r="I32" s="94"/>
      <c r="J32" s="3">
        <f>SUM(K32:V32)/1000</f>
        <v>690</v>
      </c>
      <c r="K32" s="55">
        <f>690000/12</f>
        <v>57500</v>
      </c>
      <c r="L32" s="55">
        <f t="shared" ref="L32:V32" si="10">690000/12</f>
        <v>57500</v>
      </c>
      <c r="M32" s="55">
        <f t="shared" si="10"/>
        <v>57500</v>
      </c>
      <c r="N32" s="55">
        <f t="shared" si="10"/>
        <v>57500</v>
      </c>
      <c r="O32" s="55">
        <f t="shared" si="10"/>
        <v>57500</v>
      </c>
      <c r="P32" s="55">
        <f t="shared" si="10"/>
        <v>57500</v>
      </c>
      <c r="Q32" s="55">
        <f t="shared" si="10"/>
        <v>57500</v>
      </c>
      <c r="R32" s="55">
        <f t="shared" si="10"/>
        <v>57500</v>
      </c>
      <c r="S32" s="55">
        <f t="shared" si="10"/>
        <v>57500</v>
      </c>
      <c r="T32" s="55">
        <f t="shared" si="10"/>
        <v>57500</v>
      </c>
      <c r="U32" s="55">
        <f t="shared" si="10"/>
        <v>57500</v>
      </c>
      <c r="V32" s="55">
        <f t="shared" si="10"/>
        <v>57500</v>
      </c>
    </row>
    <row r="33" spans="1:22">
      <c r="A33" s="5">
        <f>A32+1</f>
        <v>23</v>
      </c>
      <c r="B33" t="s">
        <v>239</v>
      </c>
      <c r="D33" s="89">
        <v>722</v>
      </c>
      <c r="E33" s="89">
        <f t="shared" ref="E33:E35" si="11">F33-D33</f>
        <v>-722</v>
      </c>
      <c r="F33" s="89">
        <v>0</v>
      </c>
      <c r="G33" s="89"/>
      <c r="H33" s="89"/>
      <c r="I33" s="19"/>
      <c r="J33" s="3"/>
      <c r="K33" s="55"/>
      <c r="L33" s="55"/>
      <c r="M33" s="55"/>
      <c r="N33" s="55"/>
      <c r="O33" s="55"/>
      <c r="P33" s="55"/>
      <c r="Q33" s="55"/>
      <c r="R33" s="55"/>
      <c r="S33" s="55"/>
      <c r="T33" s="55"/>
      <c r="U33" s="55"/>
      <c r="V33" s="55"/>
    </row>
    <row r="34" spans="1:22">
      <c r="A34" s="5">
        <f>A33+1</f>
        <v>24</v>
      </c>
      <c r="B34" t="s">
        <v>240</v>
      </c>
      <c r="D34" s="89">
        <v>1575</v>
      </c>
      <c r="E34" s="89">
        <f t="shared" si="11"/>
        <v>-1575</v>
      </c>
      <c r="F34" s="89">
        <v>0</v>
      </c>
      <c r="G34" s="89"/>
      <c r="H34" s="89"/>
      <c r="I34" s="19"/>
      <c r="J34" s="3"/>
      <c r="K34" s="55"/>
      <c r="L34" s="55"/>
      <c r="M34" s="55"/>
      <c r="N34" s="55"/>
      <c r="O34" s="55"/>
      <c r="P34" s="55"/>
      <c r="Q34" s="55"/>
      <c r="R34" s="55"/>
      <c r="S34" s="55"/>
      <c r="T34" s="55"/>
      <c r="U34" s="55"/>
      <c r="V34" s="55"/>
    </row>
    <row r="35" spans="1:22">
      <c r="A35" s="5">
        <f>A34+1</f>
        <v>25</v>
      </c>
      <c r="B35" t="s">
        <v>212</v>
      </c>
      <c r="D35" s="89">
        <v>-61</v>
      </c>
      <c r="E35" s="89">
        <f t="shared" si="11"/>
        <v>61</v>
      </c>
      <c r="F35" s="89">
        <v>0</v>
      </c>
      <c r="G35" s="89"/>
      <c r="H35" s="89"/>
      <c r="I35" s="19"/>
      <c r="J35" s="3"/>
      <c r="K35" s="55"/>
      <c r="L35" s="55"/>
      <c r="M35" s="55"/>
      <c r="N35" s="55"/>
      <c r="O35" s="55"/>
      <c r="P35" s="55"/>
      <c r="Q35" s="55"/>
      <c r="R35" s="55"/>
      <c r="S35" s="55"/>
      <c r="T35" s="55"/>
      <c r="U35" s="55"/>
      <c r="V35" s="55"/>
    </row>
    <row r="36" spans="1:22">
      <c r="A36" s="5">
        <f t="shared" ref="A36" si="12">A35+1</f>
        <v>26</v>
      </c>
      <c r="B36" s="17" t="s">
        <v>155</v>
      </c>
      <c r="C36" s="17"/>
      <c r="D36" s="89">
        <v>86100</v>
      </c>
      <c r="E36" s="39">
        <f>F36-D36</f>
        <v>-86100</v>
      </c>
      <c r="F36" s="19">
        <v>0</v>
      </c>
      <c r="G36" s="19"/>
      <c r="H36" s="19">
        <v>152</v>
      </c>
      <c r="I36" s="94" t="s">
        <v>123</v>
      </c>
      <c r="J36" s="3">
        <f>SUM(K36:V36)/1000</f>
        <v>0</v>
      </c>
    </row>
    <row r="37" spans="1:22">
      <c r="A37" s="5">
        <f>A36+1</f>
        <v>27</v>
      </c>
      <c r="B37" t="s">
        <v>13</v>
      </c>
      <c r="D37" s="105">
        <f>SUM(D32:D36)</f>
        <v>89026</v>
      </c>
      <c r="E37" s="19">
        <f>F37-D37</f>
        <v>-88336</v>
      </c>
      <c r="F37" s="21">
        <f>SUM(F32:F36)</f>
        <v>690</v>
      </c>
      <c r="G37" s="19"/>
      <c r="H37" s="19"/>
      <c r="I37" s="19"/>
      <c r="J37" s="3"/>
    </row>
    <row r="38" spans="1:22">
      <c r="A38" s="5"/>
      <c r="D38" s="19"/>
      <c r="E38" s="19"/>
      <c r="F38" s="19"/>
      <c r="G38" s="19"/>
      <c r="H38" s="19"/>
      <c r="I38" s="19"/>
      <c r="J38" s="3"/>
    </row>
    <row r="39" spans="1:22">
      <c r="A39" s="5"/>
      <c r="B39" s="7" t="s">
        <v>47</v>
      </c>
      <c r="D39" s="19"/>
      <c r="E39" s="19"/>
      <c r="F39" s="19"/>
      <c r="G39" s="19"/>
      <c r="H39" s="19">
        <v>78</v>
      </c>
      <c r="I39" s="19"/>
      <c r="J39" s="3"/>
    </row>
    <row r="40" spans="1:22">
      <c r="A40" s="5">
        <f>A37+1</f>
        <v>28</v>
      </c>
      <c r="B40" t="s">
        <v>45</v>
      </c>
      <c r="C40" s="13"/>
      <c r="D40" s="89">
        <v>6307</v>
      </c>
      <c r="E40" s="19">
        <f>F40-D40</f>
        <v>-140.22643804773543</v>
      </c>
      <c r="F40" s="89">
        <f>'WGJ-4'!C27/1000</f>
        <v>6166.7735619522646</v>
      </c>
      <c r="G40" s="89"/>
      <c r="H40" s="90">
        <v>0</v>
      </c>
      <c r="I40" s="94" t="s">
        <v>122</v>
      </c>
      <c r="J40" s="3">
        <f>SUM(K40:V40)/1000</f>
        <v>6166.7735619522646</v>
      </c>
      <c r="K40" s="25">
        <f>'WGJ-4'!D27</f>
        <v>681947.67980575608</v>
      </c>
      <c r="L40" s="25">
        <f>'WGJ-4'!E27</f>
        <v>617474.13187027001</v>
      </c>
      <c r="M40" s="25">
        <f>'WGJ-4'!F27</f>
        <v>548141.14122986805</v>
      </c>
      <c r="N40" s="25">
        <f>'WGJ-4'!G27</f>
        <v>422470.71492672001</v>
      </c>
      <c r="O40" s="25">
        <f>'WGJ-4'!H27</f>
        <v>177404.77962344899</v>
      </c>
      <c r="P40" s="25">
        <f>'WGJ-4'!I27</f>
        <v>32547.220318764405</v>
      </c>
      <c r="Q40" s="25">
        <f>'WGJ-4'!J27</f>
        <v>346220.79498767905</v>
      </c>
      <c r="R40" s="25">
        <f>'WGJ-4'!K27</f>
        <v>568222.87445068406</v>
      </c>
      <c r="S40" s="25">
        <f>'WGJ-4'!L27</f>
        <v>639144.80285644508</v>
      </c>
      <c r="T40" s="25">
        <f>'WGJ-4'!M27</f>
        <v>728591.72630310105</v>
      </c>
      <c r="U40" s="25">
        <f>'WGJ-4'!N27</f>
        <v>677928.33976745605</v>
      </c>
      <c r="V40" s="25">
        <f>'WGJ-4'!O27</f>
        <v>726679.35581207299</v>
      </c>
    </row>
    <row r="41" spans="1:22">
      <c r="A41" s="5">
        <f>A40+1</f>
        <v>29</v>
      </c>
      <c r="B41" t="s">
        <v>174</v>
      </c>
      <c r="C41" s="13"/>
      <c r="D41" s="91">
        <v>19</v>
      </c>
      <c r="E41" s="19">
        <f>F41-D41</f>
        <v>0</v>
      </c>
      <c r="F41" s="19">
        <v>19</v>
      </c>
      <c r="G41" s="19"/>
      <c r="H41" s="19">
        <v>78</v>
      </c>
      <c r="I41" s="19"/>
      <c r="J41" s="3">
        <f>SUM(K41:V41)/1000</f>
        <v>19</v>
      </c>
      <c r="K41" s="18">
        <f>$F41/12*1000</f>
        <v>1583.3333333333333</v>
      </c>
      <c r="L41" s="18">
        <f t="shared" ref="L41:V41" si="13">$F41/12*1000</f>
        <v>1583.3333333333333</v>
      </c>
      <c r="M41" s="18">
        <f t="shared" si="13"/>
        <v>1583.3333333333333</v>
      </c>
      <c r="N41" s="18">
        <f t="shared" si="13"/>
        <v>1583.3333333333333</v>
      </c>
      <c r="O41" s="18">
        <f t="shared" si="13"/>
        <v>1583.3333333333333</v>
      </c>
      <c r="P41" s="18">
        <f t="shared" si="13"/>
        <v>1583.3333333333333</v>
      </c>
      <c r="Q41" s="18">
        <f t="shared" si="13"/>
        <v>1583.3333333333333</v>
      </c>
      <c r="R41" s="18">
        <f t="shared" si="13"/>
        <v>1583.3333333333333</v>
      </c>
      <c r="S41" s="18">
        <f t="shared" si="13"/>
        <v>1583.3333333333333</v>
      </c>
      <c r="T41" s="18">
        <f t="shared" si="13"/>
        <v>1583.3333333333333</v>
      </c>
      <c r="U41" s="18">
        <f t="shared" si="13"/>
        <v>1583.3333333333333</v>
      </c>
      <c r="V41" s="18">
        <f t="shared" si="13"/>
        <v>1583.3333333333333</v>
      </c>
    </row>
    <row r="42" spans="1:22">
      <c r="A42" s="5">
        <f>A41+1</f>
        <v>30</v>
      </c>
      <c r="B42" s="12" t="s">
        <v>46</v>
      </c>
      <c r="C42" s="11"/>
      <c r="D42" s="89">
        <v>19151</v>
      </c>
      <c r="E42" s="19">
        <f>F42-D42</f>
        <v>4035.5344047546423</v>
      </c>
      <c r="F42" s="89">
        <f>'WGJ-4'!C23/1000</f>
        <v>23186.534404754642</v>
      </c>
      <c r="G42" s="89"/>
      <c r="H42" s="89"/>
      <c r="I42" s="94" t="s">
        <v>122</v>
      </c>
      <c r="J42" s="3">
        <f>SUM(K42:V42)/1000</f>
        <v>23186.534404754642</v>
      </c>
      <c r="K42" s="81">
        <f>'WGJ-4'!D23</f>
        <v>2068813.9742533367</v>
      </c>
      <c r="L42" s="81">
        <f>'WGJ-4'!E23</f>
        <v>1972420.9696451826</v>
      </c>
      <c r="M42" s="81">
        <f>'WGJ-4'!F23</f>
        <v>2034574.1980234785</v>
      </c>
      <c r="N42" s="81">
        <f>'WGJ-4'!G23</f>
        <v>1765432.1158091226</v>
      </c>
      <c r="O42" s="81">
        <f>'WGJ-4'!H23</f>
        <v>1551480.8619181318</v>
      </c>
      <c r="P42" s="81">
        <f>'WGJ-4'!I23</f>
        <v>1518045.0453440347</v>
      </c>
      <c r="Q42" s="81">
        <f>'WGJ-4'!J23</f>
        <v>1969779.8224131265</v>
      </c>
      <c r="R42" s="81">
        <f>'WGJ-4'!K23</f>
        <v>2055576.4574686687</v>
      </c>
      <c r="S42" s="81">
        <f>'WGJ-4'!L23</f>
        <v>2037773.9687601724</v>
      </c>
      <c r="T42" s="81">
        <f>'WGJ-4'!M23</f>
        <v>2087322.9036966963</v>
      </c>
      <c r="U42" s="81">
        <f>'WGJ-4'!N23</f>
        <v>2040184.2104593907</v>
      </c>
      <c r="V42" s="81">
        <f>'WGJ-4'!O23</f>
        <v>2085129.8769632976</v>
      </c>
    </row>
    <row r="43" spans="1:22">
      <c r="A43" s="5">
        <f>A42+1</f>
        <v>31</v>
      </c>
      <c r="B43" s="17" t="s">
        <v>194</v>
      </c>
      <c r="C43" s="40"/>
      <c r="D43" s="145">
        <v>324</v>
      </c>
      <c r="E43" s="39">
        <f>F43-D43</f>
        <v>0</v>
      </c>
      <c r="F43" s="90">
        <v>324</v>
      </c>
      <c r="G43" s="19"/>
      <c r="H43" s="19"/>
      <c r="I43" s="19"/>
      <c r="J43" s="3">
        <f>SUM(K43:V43)/1000</f>
        <v>324</v>
      </c>
      <c r="K43" s="106">
        <f>$F43/12*1000</f>
        <v>27000</v>
      </c>
      <c r="L43" s="106">
        <f t="shared" ref="L43:V43" si="14">$F43/12*1000</f>
        <v>27000</v>
      </c>
      <c r="M43" s="106">
        <f t="shared" si="14"/>
        <v>27000</v>
      </c>
      <c r="N43" s="106">
        <f t="shared" si="14"/>
        <v>27000</v>
      </c>
      <c r="O43" s="106">
        <f t="shared" si="14"/>
        <v>27000</v>
      </c>
      <c r="P43" s="106">
        <f t="shared" si="14"/>
        <v>27000</v>
      </c>
      <c r="Q43" s="106">
        <f t="shared" si="14"/>
        <v>27000</v>
      </c>
      <c r="R43" s="106">
        <f t="shared" si="14"/>
        <v>27000</v>
      </c>
      <c r="S43" s="106">
        <f t="shared" si="14"/>
        <v>27000</v>
      </c>
      <c r="T43" s="106">
        <f t="shared" si="14"/>
        <v>27000</v>
      </c>
      <c r="U43" s="106">
        <f t="shared" si="14"/>
        <v>27000</v>
      </c>
      <c r="V43" s="106">
        <f t="shared" si="14"/>
        <v>27000</v>
      </c>
    </row>
    <row r="44" spans="1:22">
      <c r="A44" s="11">
        <f>A43+1</f>
        <v>32</v>
      </c>
      <c r="B44" t="s">
        <v>22</v>
      </c>
      <c r="D44" s="89">
        <f>SUM(D40:D43)</f>
        <v>25801</v>
      </c>
      <c r="E44" s="19">
        <f>F44-D44</f>
        <v>3895.3079667069069</v>
      </c>
      <c r="F44" s="19">
        <f>SUM(F40:F43)</f>
        <v>29696.307966706907</v>
      </c>
      <c r="G44" s="19"/>
      <c r="H44" s="19">
        <v>8095.4688974966612</v>
      </c>
      <c r="I44" s="19"/>
      <c r="J44" s="3">
        <f>SUM(K44:V44)/1000</f>
        <v>29696.307966706907</v>
      </c>
      <c r="K44" s="25">
        <f>SUM(K40:K43)</f>
        <v>2779344.987392426</v>
      </c>
      <c r="L44" s="25">
        <f t="shared" ref="L44:V44" si="15">SUM(L40:L43)</f>
        <v>2618478.4348487859</v>
      </c>
      <c r="M44" s="25">
        <f t="shared" si="15"/>
        <v>2611298.6725866799</v>
      </c>
      <c r="N44" s="25">
        <f t="shared" si="15"/>
        <v>2216486.1640691757</v>
      </c>
      <c r="O44" s="25">
        <f t="shared" si="15"/>
        <v>1757468.9748749142</v>
      </c>
      <c r="P44" s="25">
        <f t="shared" si="15"/>
        <v>1579175.5989961324</v>
      </c>
      <c r="Q44" s="25">
        <f t="shared" si="15"/>
        <v>2344583.950734139</v>
      </c>
      <c r="R44" s="25">
        <f t="shared" si="15"/>
        <v>2652382.665252686</v>
      </c>
      <c r="S44" s="25">
        <f t="shared" si="15"/>
        <v>2705502.1049499507</v>
      </c>
      <c r="T44" s="25">
        <f t="shared" si="15"/>
        <v>2844497.9633331308</v>
      </c>
      <c r="U44" s="25">
        <f t="shared" si="15"/>
        <v>2746695.8835601802</v>
      </c>
      <c r="V44" s="25">
        <f t="shared" si="15"/>
        <v>2840392.5661087041</v>
      </c>
    </row>
    <row r="45" spans="1:22">
      <c r="A45" s="5"/>
      <c r="D45" s="19"/>
      <c r="E45" s="19"/>
      <c r="F45" s="19"/>
      <c r="G45" s="19"/>
      <c r="H45" s="19">
        <v>0</v>
      </c>
      <c r="I45" s="19"/>
      <c r="J45" s="3"/>
    </row>
    <row r="46" spans="1:22">
      <c r="A46" s="5"/>
      <c r="B46" s="7" t="s">
        <v>48</v>
      </c>
      <c r="D46" s="19"/>
      <c r="E46" s="19"/>
      <c r="F46" s="19"/>
      <c r="G46" s="19"/>
      <c r="H46" s="19">
        <v>10682.990036010742</v>
      </c>
      <c r="I46" s="19"/>
      <c r="J46" s="3"/>
    </row>
    <row r="47" spans="1:22">
      <c r="A47" s="5">
        <f>A44+1</f>
        <v>33</v>
      </c>
      <c r="B47" s="16" t="s">
        <v>57</v>
      </c>
      <c r="D47" s="89">
        <v>45359</v>
      </c>
      <c r="E47" s="19">
        <f t="shared" ref="E47:E58" si="16">F47-D47</f>
        <v>-2674.2607067911449</v>
      </c>
      <c r="F47" s="89">
        <f>'WGJ-4'!C31/1000</f>
        <v>42684.739293208855</v>
      </c>
      <c r="G47" s="89"/>
      <c r="H47" s="90">
        <v>188</v>
      </c>
      <c r="I47" s="94" t="s">
        <v>122</v>
      </c>
      <c r="J47" s="3">
        <f t="shared" ref="J47:J58" si="17">SUM(K47:V47)/1000</f>
        <v>42684.739293208855</v>
      </c>
      <c r="K47" s="25">
        <f>'WGJ-4'!D31</f>
        <v>4902933.4284915673</v>
      </c>
      <c r="L47" s="25">
        <f>'WGJ-4'!E31</f>
        <v>4456756.216843633</v>
      </c>
      <c r="M47" s="25">
        <f>'WGJ-4'!F31</f>
        <v>4232885.3231817875</v>
      </c>
      <c r="N47" s="25">
        <f>'WGJ-4'!G31</f>
        <v>2805919.1800588635</v>
      </c>
      <c r="O47" s="25">
        <f>'WGJ-4'!H31</f>
        <v>1064758.4943342749</v>
      </c>
      <c r="P47" s="25">
        <f>'WGJ-4'!I31</f>
        <v>947661.4074260582</v>
      </c>
      <c r="Q47" s="25">
        <f>'WGJ-4'!J31</f>
        <v>2789071.7636907934</v>
      </c>
      <c r="R47" s="25">
        <f>'WGJ-4'!K31</f>
        <v>3726214.8459604001</v>
      </c>
      <c r="S47" s="25">
        <f>'WGJ-4'!L31</f>
        <v>3950628.031797003</v>
      </c>
      <c r="T47" s="25">
        <f>'WGJ-4'!M31</f>
        <v>4263140.3761335146</v>
      </c>
      <c r="U47" s="25">
        <f>'WGJ-4'!N31</f>
        <v>4526768.4629008127</v>
      </c>
      <c r="V47" s="25">
        <f>'WGJ-4'!O31</f>
        <v>5018001.7623901404</v>
      </c>
    </row>
    <row r="48" spans="1:22">
      <c r="A48" s="5">
        <f>A47+1</f>
        <v>34</v>
      </c>
      <c r="B48" s="16" t="s">
        <v>181</v>
      </c>
      <c r="D48" s="89">
        <v>6583</v>
      </c>
      <c r="E48" s="19">
        <f t="shared" si="16"/>
        <v>553</v>
      </c>
      <c r="F48" s="89">
        <v>7136</v>
      </c>
      <c r="G48" s="19"/>
      <c r="H48" s="19">
        <v>18966.458933507405</v>
      </c>
      <c r="I48" s="19"/>
      <c r="J48" s="3">
        <f t="shared" si="17"/>
        <v>7136.0000000000009</v>
      </c>
      <c r="K48" s="82">
        <f>$F48/12*1000</f>
        <v>594666.66666666663</v>
      </c>
      <c r="L48" s="82">
        <f t="shared" ref="L48:V48" si="18">$F48/12*1000</f>
        <v>594666.66666666663</v>
      </c>
      <c r="M48" s="82">
        <f t="shared" si="18"/>
        <v>594666.66666666663</v>
      </c>
      <c r="N48" s="82">
        <f t="shared" si="18"/>
        <v>594666.66666666663</v>
      </c>
      <c r="O48" s="82">
        <f t="shared" si="18"/>
        <v>594666.66666666663</v>
      </c>
      <c r="P48" s="82">
        <f t="shared" si="18"/>
        <v>594666.66666666663</v>
      </c>
      <c r="Q48" s="82">
        <f t="shared" si="18"/>
        <v>594666.66666666663</v>
      </c>
      <c r="R48" s="82">
        <f t="shared" si="18"/>
        <v>594666.66666666663</v>
      </c>
      <c r="S48" s="82">
        <f t="shared" si="18"/>
        <v>594666.66666666663</v>
      </c>
      <c r="T48" s="82">
        <f t="shared" si="18"/>
        <v>594666.66666666663</v>
      </c>
      <c r="U48" s="82">
        <f t="shared" si="18"/>
        <v>594666.66666666663</v>
      </c>
      <c r="V48" s="82">
        <f t="shared" si="18"/>
        <v>594666.66666666663</v>
      </c>
    </row>
    <row r="49" spans="1:22">
      <c r="A49" s="5">
        <f t="shared" ref="A49:A59" si="19">A48+1</f>
        <v>35</v>
      </c>
      <c r="B49" s="16" t="s">
        <v>167</v>
      </c>
      <c r="D49" s="89">
        <v>39279</v>
      </c>
      <c r="E49" s="19">
        <f t="shared" si="16"/>
        <v>1907.855756759629</v>
      </c>
      <c r="F49" s="89">
        <f>'WGJ-4'!C35/1000</f>
        <v>41186.855756759629</v>
      </c>
      <c r="G49" s="19"/>
      <c r="H49" s="19"/>
      <c r="I49" s="19"/>
      <c r="J49" s="3">
        <f t="shared" si="17"/>
        <v>41186.855756759629</v>
      </c>
      <c r="K49" s="82">
        <f>'WGJ-4'!D35</f>
        <v>4764742.2605514498</v>
      </c>
      <c r="L49" s="82">
        <f>'WGJ-4'!E35</f>
        <v>4222066.5079116793</v>
      </c>
      <c r="M49" s="82">
        <f>'WGJ-4'!F35</f>
        <v>4056415.6494140602</v>
      </c>
      <c r="N49" s="82">
        <f>'WGJ-4'!G35</f>
        <v>2779443.91307831</v>
      </c>
      <c r="O49" s="82">
        <f>'WGJ-4'!H35</f>
        <v>1068950.05421638</v>
      </c>
      <c r="P49" s="82">
        <f>'WGJ-4'!I35</f>
        <v>996635.98361015297</v>
      </c>
      <c r="Q49" s="82">
        <f>'WGJ-4'!J35</f>
        <v>2581654.3111801101</v>
      </c>
      <c r="R49" s="82">
        <f>'WGJ-4'!K35</f>
        <v>3472235.0524902297</v>
      </c>
      <c r="S49" s="82">
        <f>'WGJ-4'!L35</f>
        <v>3766049.7882842999</v>
      </c>
      <c r="T49" s="82">
        <f>'WGJ-4'!M35</f>
        <v>4253923.4725952102</v>
      </c>
      <c r="U49" s="82">
        <f>'WGJ-4'!N35</f>
        <v>4353375.9368896503</v>
      </c>
      <c r="V49" s="82">
        <f>'WGJ-4'!O35</f>
        <v>4871362.8265380906</v>
      </c>
    </row>
    <row r="50" spans="1:22">
      <c r="A50" s="5">
        <f t="shared" si="19"/>
        <v>36</v>
      </c>
      <c r="B50" s="16" t="s">
        <v>180</v>
      </c>
      <c r="D50" s="89">
        <v>5675</v>
      </c>
      <c r="E50" s="19">
        <f t="shared" si="16"/>
        <v>120</v>
      </c>
      <c r="F50" s="89">
        <v>5795</v>
      </c>
      <c r="G50" s="19"/>
      <c r="H50" s="19"/>
      <c r="I50" s="19"/>
      <c r="J50" s="3">
        <f t="shared" si="17"/>
        <v>5795.0000000000009</v>
      </c>
      <c r="K50" s="82">
        <f>$F50/12*1000</f>
        <v>482916.66666666669</v>
      </c>
      <c r="L50" s="82">
        <f t="shared" ref="L50:V50" si="20">$F50/12*1000</f>
        <v>482916.66666666669</v>
      </c>
      <c r="M50" s="82">
        <f t="shared" si="20"/>
        <v>482916.66666666669</v>
      </c>
      <c r="N50" s="82">
        <f t="shared" si="20"/>
        <v>482916.66666666669</v>
      </c>
      <c r="O50" s="82">
        <f t="shared" si="20"/>
        <v>482916.66666666669</v>
      </c>
      <c r="P50" s="82">
        <f t="shared" si="20"/>
        <v>482916.66666666669</v>
      </c>
      <c r="Q50" s="82">
        <f t="shared" si="20"/>
        <v>482916.66666666669</v>
      </c>
      <c r="R50" s="82">
        <f t="shared" si="20"/>
        <v>482916.66666666669</v>
      </c>
      <c r="S50" s="82">
        <f t="shared" si="20"/>
        <v>482916.66666666669</v>
      </c>
      <c r="T50" s="82">
        <f t="shared" si="20"/>
        <v>482916.66666666669</v>
      </c>
      <c r="U50" s="82">
        <f t="shared" si="20"/>
        <v>482916.66666666669</v>
      </c>
      <c r="V50" s="82">
        <f t="shared" si="20"/>
        <v>482916.66666666669</v>
      </c>
    </row>
    <row r="51" spans="1:22">
      <c r="A51" s="5">
        <f t="shared" si="19"/>
        <v>37</v>
      </c>
      <c r="B51" t="s">
        <v>187</v>
      </c>
      <c r="D51" s="89">
        <v>0</v>
      </c>
      <c r="E51" s="19">
        <f t="shared" si="16"/>
        <v>2151</v>
      </c>
      <c r="F51" s="129">
        <v>2151</v>
      </c>
      <c r="G51" s="19"/>
      <c r="H51" s="19"/>
      <c r="I51" s="19"/>
      <c r="J51" s="3">
        <f t="shared" si="17"/>
        <v>2151</v>
      </c>
      <c r="K51" s="82">
        <f>2151000/12</f>
        <v>179250</v>
      </c>
      <c r="L51" s="82">
        <f t="shared" ref="L51:V51" si="21">2151000/12</f>
        <v>179250</v>
      </c>
      <c r="M51" s="82">
        <f t="shared" si="21"/>
        <v>179250</v>
      </c>
      <c r="N51" s="82">
        <f t="shared" si="21"/>
        <v>179250</v>
      </c>
      <c r="O51" s="82">
        <f t="shared" si="21"/>
        <v>179250</v>
      </c>
      <c r="P51" s="82">
        <f t="shared" si="21"/>
        <v>179250</v>
      </c>
      <c r="Q51" s="82">
        <f t="shared" si="21"/>
        <v>179250</v>
      </c>
      <c r="R51" s="82">
        <f t="shared" si="21"/>
        <v>179250</v>
      </c>
      <c r="S51" s="82">
        <f t="shared" si="21"/>
        <v>179250</v>
      </c>
      <c r="T51" s="82">
        <f t="shared" si="21"/>
        <v>179250</v>
      </c>
      <c r="U51" s="82">
        <f t="shared" si="21"/>
        <v>179250</v>
      </c>
      <c r="V51" s="82">
        <f t="shared" si="21"/>
        <v>179250</v>
      </c>
    </row>
    <row r="52" spans="1:22">
      <c r="A52" s="5">
        <f t="shared" si="19"/>
        <v>38</v>
      </c>
      <c r="B52" t="s">
        <v>242</v>
      </c>
      <c r="D52" s="89">
        <v>0</v>
      </c>
      <c r="E52" s="19">
        <f t="shared" si="16"/>
        <v>-8936</v>
      </c>
      <c r="F52" s="89">
        <v>-8936</v>
      </c>
      <c r="G52" s="19"/>
      <c r="H52" s="19"/>
      <c r="I52" s="19"/>
      <c r="J52" s="3">
        <f t="shared" si="17"/>
        <v>-8936.0000000000018</v>
      </c>
      <c r="K52" s="82">
        <f>-8936000/12</f>
        <v>-744666.66666666663</v>
      </c>
      <c r="L52" s="82">
        <f t="shared" ref="L52:V52" si="22">-8936000/12</f>
        <v>-744666.66666666663</v>
      </c>
      <c r="M52" s="82">
        <f t="shared" si="22"/>
        <v>-744666.66666666663</v>
      </c>
      <c r="N52" s="82">
        <f t="shared" si="22"/>
        <v>-744666.66666666663</v>
      </c>
      <c r="O52" s="82">
        <f t="shared" si="22"/>
        <v>-744666.66666666663</v>
      </c>
      <c r="P52" s="82">
        <f t="shared" si="22"/>
        <v>-744666.66666666663</v>
      </c>
      <c r="Q52" s="82">
        <f t="shared" si="22"/>
        <v>-744666.66666666663</v>
      </c>
      <c r="R52" s="82">
        <f t="shared" si="22"/>
        <v>-744666.66666666663</v>
      </c>
      <c r="S52" s="82">
        <f t="shared" si="22"/>
        <v>-744666.66666666663</v>
      </c>
      <c r="T52" s="82">
        <f t="shared" si="22"/>
        <v>-744666.66666666663</v>
      </c>
      <c r="U52" s="82">
        <f t="shared" si="22"/>
        <v>-744666.66666666663</v>
      </c>
      <c r="V52" s="82">
        <f t="shared" si="22"/>
        <v>-744666.66666666663</v>
      </c>
    </row>
    <row r="53" spans="1:22">
      <c r="A53" s="5">
        <f t="shared" si="19"/>
        <v>39</v>
      </c>
      <c r="B53" t="s">
        <v>192</v>
      </c>
      <c r="D53" s="89">
        <v>57</v>
      </c>
      <c r="E53" s="19">
        <f t="shared" si="16"/>
        <v>0</v>
      </c>
      <c r="F53" s="129">
        <v>57</v>
      </c>
      <c r="G53" s="19"/>
      <c r="H53" s="19"/>
      <c r="I53" s="19"/>
      <c r="J53" s="3">
        <f t="shared" si="17"/>
        <v>57</v>
      </c>
      <c r="K53" s="131">
        <f>57000/12</f>
        <v>4750</v>
      </c>
      <c r="L53" s="131">
        <f t="shared" ref="L53:V53" si="23">57000/12</f>
        <v>4750</v>
      </c>
      <c r="M53" s="131">
        <f t="shared" si="23"/>
        <v>4750</v>
      </c>
      <c r="N53" s="131">
        <f t="shared" si="23"/>
        <v>4750</v>
      </c>
      <c r="O53" s="131">
        <f t="shared" si="23"/>
        <v>4750</v>
      </c>
      <c r="P53" s="131">
        <f t="shared" si="23"/>
        <v>4750</v>
      </c>
      <c r="Q53" s="131">
        <f t="shared" si="23"/>
        <v>4750</v>
      </c>
      <c r="R53" s="131">
        <f t="shared" si="23"/>
        <v>4750</v>
      </c>
      <c r="S53" s="131">
        <f t="shared" si="23"/>
        <v>4750</v>
      </c>
      <c r="T53" s="131">
        <f t="shared" si="23"/>
        <v>4750</v>
      </c>
      <c r="U53" s="131">
        <f t="shared" si="23"/>
        <v>4750</v>
      </c>
      <c r="V53" s="131">
        <f t="shared" si="23"/>
        <v>4750</v>
      </c>
    </row>
    <row r="54" spans="1:22">
      <c r="A54" s="5">
        <f t="shared" si="19"/>
        <v>40</v>
      </c>
      <c r="B54" t="s">
        <v>210</v>
      </c>
      <c r="D54" s="89">
        <v>15</v>
      </c>
      <c r="E54" s="19">
        <f t="shared" si="16"/>
        <v>-15</v>
      </c>
      <c r="F54" s="129">
        <v>0</v>
      </c>
      <c r="G54" s="19"/>
      <c r="H54" s="19"/>
      <c r="I54" s="19"/>
      <c r="J54" s="3">
        <f t="shared" si="17"/>
        <v>0</v>
      </c>
      <c r="K54" s="131"/>
      <c r="L54" s="131"/>
      <c r="M54" s="131"/>
      <c r="N54" s="131"/>
      <c r="O54" s="131"/>
      <c r="P54" s="131"/>
      <c r="Q54" s="131"/>
      <c r="R54" s="131"/>
      <c r="S54" s="131"/>
      <c r="T54" s="131"/>
      <c r="U54" s="131"/>
      <c r="V54" s="131"/>
    </row>
    <row r="55" spans="1:22">
      <c r="A55" s="5">
        <f t="shared" si="19"/>
        <v>41</v>
      </c>
      <c r="B55" s="12" t="s">
        <v>61</v>
      </c>
      <c r="C55" s="12"/>
      <c r="D55" s="89">
        <v>943</v>
      </c>
      <c r="E55" s="19">
        <f t="shared" si="16"/>
        <v>-6.097692877461327</v>
      </c>
      <c r="F55" s="89">
        <f>'WGJ-4'!C47/1000</f>
        <v>936.90230712253867</v>
      </c>
      <c r="G55" s="89"/>
      <c r="H55" s="89"/>
      <c r="I55" s="94" t="s">
        <v>122</v>
      </c>
      <c r="J55" s="3">
        <f t="shared" si="17"/>
        <v>936.90230712253867</v>
      </c>
      <c r="K55" s="25">
        <f>'WGJ-4'!D47</f>
        <v>139193.6039569854</v>
      </c>
      <c r="L55" s="25">
        <f>'WGJ-4'!E47</f>
        <v>77847.054951608152</v>
      </c>
      <c r="M55" s="25">
        <f>'WGJ-4'!F47</f>
        <v>7993.1770732879613</v>
      </c>
      <c r="N55" s="25">
        <f>'WGJ-4'!G47</f>
        <v>770.58353309631298</v>
      </c>
      <c r="O55" s="25">
        <f>'WGJ-4'!H47</f>
        <v>0</v>
      </c>
      <c r="P55" s="25">
        <f>'WGJ-4'!I47</f>
        <v>43994.627507781996</v>
      </c>
      <c r="Q55" s="25">
        <f>'WGJ-4'!J47</f>
        <v>93444.570085655927</v>
      </c>
      <c r="R55" s="25">
        <f>'WGJ-4'!K47</f>
        <v>219860.75242996129</v>
      </c>
      <c r="S55" s="25">
        <f>'WGJ-4'!L47</f>
        <v>152374.85823874469</v>
      </c>
      <c r="T55" s="25">
        <f>'WGJ-4'!M47</f>
        <v>108319.90964627263</v>
      </c>
      <c r="U55" s="25">
        <f>'WGJ-4'!N47</f>
        <v>41923.598547410933</v>
      </c>
      <c r="V55" s="25">
        <f>'WGJ-4'!O47</f>
        <v>51179.571151733398</v>
      </c>
    </row>
    <row r="56" spans="1:22">
      <c r="A56" s="5">
        <f t="shared" si="19"/>
        <v>42</v>
      </c>
      <c r="B56" t="s">
        <v>60</v>
      </c>
      <c r="D56" s="89">
        <v>104</v>
      </c>
      <c r="E56" s="19">
        <f t="shared" si="16"/>
        <v>-84.91161031201483</v>
      </c>
      <c r="F56" s="89">
        <f>'WGJ-4'!C51/1000</f>
        <v>19.088389687985174</v>
      </c>
      <c r="G56" s="89"/>
      <c r="H56" s="89"/>
      <c r="I56" s="94" t="s">
        <v>122</v>
      </c>
      <c r="J56" s="3">
        <f t="shared" si="17"/>
        <v>19.088389687985174</v>
      </c>
      <c r="K56" s="25">
        <f>'WGJ-4'!D51</f>
        <v>2576.1888265609796</v>
      </c>
      <c r="L56" s="25">
        <f>'WGJ-4'!E51</f>
        <v>982.62835741043</v>
      </c>
      <c r="M56" s="25">
        <f>'WGJ-4'!F51</f>
        <v>0</v>
      </c>
      <c r="N56" s="25">
        <f>'WGJ-4'!G51</f>
        <v>0</v>
      </c>
      <c r="O56" s="25">
        <f>'WGJ-4'!H51</f>
        <v>0</v>
      </c>
      <c r="P56" s="25">
        <f>'WGJ-4'!I51</f>
        <v>2718.5837745666495</v>
      </c>
      <c r="Q56" s="25">
        <f>'WGJ-4'!J51</f>
        <v>1536.5676388144491</v>
      </c>
      <c r="R56" s="25">
        <f>'WGJ-4'!K51</f>
        <v>2296.0800088942001</v>
      </c>
      <c r="S56" s="25">
        <f>'WGJ-4'!L51</f>
        <v>3311.2945474684202</v>
      </c>
      <c r="T56" s="25">
        <f>'WGJ-4'!M51</f>
        <v>4112.4435298144799</v>
      </c>
      <c r="U56" s="25">
        <f>'WGJ-4'!N51</f>
        <v>624.39864277839592</v>
      </c>
      <c r="V56" s="25">
        <f>'WGJ-4'!O51</f>
        <v>930.20436167717003</v>
      </c>
    </row>
    <row r="57" spans="1:22">
      <c r="A57" s="5">
        <f t="shared" si="19"/>
        <v>43</v>
      </c>
      <c r="B57" t="s">
        <v>58</v>
      </c>
      <c r="D57" s="89">
        <v>897</v>
      </c>
      <c r="E57" s="19">
        <f t="shared" si="16"/>
        <v>-18.903388125450078</v>
      </c>
      <c r="F57" s="89">
        <f>'WGJ-4'!C39/1000</f>
        <v>878.09661187454992</v>
      </c>
      <c r="G57" s="89"/>
      <c r="H57" s="89">
        <v>59394.366704579188</v>
      </c>
      <c r="I57" s="94" t="s">
        <v>122</v>
      </c>
      <c r="J57" s="3">
        <f t="shared" si="17"/>
        <v>878.09661187454992</v>
      </c>
      <c r="K57" s="25">
        <f>'WGJ-4'!D39</f>
        <v>98255.769756436392</v>
      </c>
      <c r="L57" s="25">
        <f>'WGJ-4'!E39</f>
        <v>74184.522929787607</v>
      </c>
      <c r="M57" s="25">
        <f>'WGJ-4'!F39</f>
        <v>49640.1952981949</v>
      </c>
      <c r="N57" s="25">
        <f>'WGJ-4'!G39</f>
        <v>17913.918071985201</v>
      </c>
      <c r="O57" s="25">
        <f>'WGJ-4'!H39</f>
        <v>3504.0270544588598</v>
      </c>
      <c r="P57" s="25">
        <f>'WGJ-4'!I39</f>
        <v>26636.662770807699</v>
      </c>
      <c r="Q57" s="25">
        <f>'WGJ-4'!J39</f>
        <v>95468.583917617812</v>
      </c>
      <c r="R57" s="25">
        <f>'WGJ-4'!K39</f>
        <v>132270.74086666098</v>
      </c>
      <c r="S57" s="25">
        <f>'WGJ-4'!L39</f>
        <v>112380.81160187699</v>
      </c>
      <c r="T57" s="25">
        <f>'WGJ-4'!M39</f>
        <v>102070.37965655301</v>
      </c>
      <c r="U57" s="25">
        <f>'WGJ-4'!N39</f>
        <v>74233.653554320292</v>
      </c>
      <c r="V57" s="25">
        <f>'WGJ-4'!O39</f>
        <v>91537.346395850196</v>
      </c>
    </row>
    <row r="58" spans="1:22">
      <c r="A58" s="5">
        <f t="shared" si="19"/>
        <v>44</v>
      </c>
      <c r="B58" s="104" t="s">
        <v>59</v>
      </c>
      <c r="C58" s="17"/>
      <c r="D58" s="90">
        <v>302</v>
      </c>
      <c r="E58" s="39">
        <f t="shared" si="16"/>
        <v>-35.607931197434652</v>
      </c>
      <c r="F58" s="90">
        <f>'WGJ-4'!C43/1000</f>
        <v>266.39206880256535</v>
      </c>
      <c r="G58" s="89"/>
      <c r="H58" s="89">
        <v>6240</v>
      </c>
      <c r="I58" s="94" t="s">
        <v>122</v>
      </c>
      <c r="J58" s="85">
        <f t="shared" si="17"/>
        <v>266.39206880256535</v>
      </c>
      <c r="K58" s="121">
        <f>'WGJ-4'!D43</f>
        <v>22133.226647600502</v>
      </c>
      <c r="L58" s="121">
        <f>'WGJ-4'!E43</f>
        <v>16086.759128049</v>
      </c>
      <c r="M58" s="121">
        <f>'WGJ-4'!F43</f>
        <v>4608.8509097695305</v>
      </c>
      <c r="N58" s="121">
        <f>'WGJ-4'!G43</f>
        <v>1750.23439750075</v>
      </c>
      <c r="O58" s="121">
        <f>'WGJ-4'!H43</f>
        <v>615.66817462444305</v>
      </c>
      <c r="P58" s="121">
        <f>'WGJ-4'!I43</f>
        <v>11216.550846397899</v>
      </c>
      <c r="Q58" s="121">
        <f>'WGJ-4'!J43</f>
        <v>34677.631203457699</v>
      </c>
      <c r="R58" s="121">
        <f>'WGJ-4'!K43</f>
        <v>54734.570944309198</v>
      </c>
      <c r="S58" s="121">
        <f>'WGJ-4'!L43</f>
        <v>43784.880217909798</v>
      </c>
      <c r="T58" s="121">
        <f>'WGJ-4'!M43</f>
        <v>35662.223519384905</v>
      </c>
      <c r="U58" s="121">
        <f>'WGJ-4'!N43</f>
        <v>18320.993992686301</v>
      </c>
      <c r="V58" s="121">
        <f>'WGJ-4'!O43</f>
        <v>22800.478820875298</v>
      </c>
    </row>
    <row r="59" spans="1:22">
      <c r="A59" s="5">
        <f t="shared" si="19"/>
        <v>45</v>
      </c>
      <c r="B59" t="s">
        <v>44</v>
      </c>
      <c r="D59" s="89">
        <f>SUM(D47:D58)</f>
        <v>99214</v>
      </c>
      <c r="E59" s="19">
        <f>F59-D59</f>
        <v>-7038.9255725438707</v>
      </c>
      <c r="F59" s="19">
        <f>SUM(F47:F58)</f>
        <v>92175.074427456129</v>
      </c>
      <c r="G59" s="19"/>
      <c r="H59" s="19">
        <v>0.11360950271288535</v>
      </c>
      <c r="I59" s="19"/>
      <c r="J59" s="3">
        <f t="shared" ref="J59:V59" si="24">SUM(J47:J58)</f>
        <v>92175.074427456129</v>
      </c>
      <c r="K59" s="25">
        <f t="shared" si="24"/>
        <v>10446751.144897267</v>
      </c>
      <c r="L59" s="25">
        <f t="shared" si="24"/>
        <v>9364840.3567888346</v>
      </c>
      <c r="M59" s="25">
        <f t="shared" si="24"/>
        <v>8868459.8625437673</v>
      </c>
      <c r="N59" s="25">
        <f t="shared" si="24"/>
        <v>6122714.4958064221</v>
      </c>
      <c r="O59" s="25">
        <f t="shared" si="24"/>
        <v>2654744.9104464045</v>
      </c>
      <c r="P59" s="25">
        <f t="shared" si="24"/>
        <v>2545780.4826024319</v>
      </c>
      <c r="Q59" s="25">
        <f t="shared" si="24"/>
        <v>6112770.0943831159</v>
      </c>
      <c r="R59" s="25">
        <f t="shared" si="24"/>
        <v>8124528.7093671225</v>
      </c>
      <c r="S59" s="25">
        <f t="shared" si="24"/>
        <v>8545446.3313539699</v>
      </c>
      <c r="T59" s="25">
        <f t="shared" si="24"/>
        <v>9284145.471747417</v>
      </c>
      <c r="U59" s="25">
        <f t="shared" si="24"/>
        <v>9532163.7111943252</v>
      </c>
      <c r="V59" s="25">
        <f t="shared" si="24"/>
        <v>10572728.856325034</v>
      </c>
    </row>
    <row r="60" spans="1:22">
      <c r="A60" s="5"/>
      <c r="D60" s="19"/>
      <c r="E60" s="19"/>
      <c r="F60" s="19"/>
      <c r="G60" s="19"/>
      <c r="H60" s="19">
        <v>3237.8010523088278</v>
      </c>
      <c r="I60" s="19"/>
      <c r="J60" s="3"/>
      <c r="K60" s="25"/>
      <c r="L60" s="25"/>
      <c r="M60" s="25"/>
      <c r="N60" s="25"/>
      <c r="O60" s="25"/>
      <c r="P60" s="25"/>
      <c r="Q60" s="25"/>
      <c r="R60" s="25"/>
      <c r="S60" s="25"/>
      <c r="T60" s="25"/>
      <c r="U60" s="25"/>
      <c r="V60" s="25"/>
    </row>
    <row r="61" spans="1:22">
      <c r="A61" s="5"/>
      <c r="D61" s="19">
        <f>D59+D41+D36-D48-D50-D53</f>
        <v>173018</v>
      </c>
      <c r="E61" s="19"/>
      <c r="F61" s="19"/>
      <c r="G61" s="19"/>
      <c r="H61" s="19"/>
      <c r="I61" s="19"/>
      <c r="J61" s="3"/>
      <c r="K61" s="25"/>
      <c r="L61" s="25"/>
      <c r="M61" s="25"/>
      <c r="N61" s="25"/>
      <c r="O61" s="25"/>
      <c r="P61" s="25"/>
      <c r="Q61" s="25"/>
      <c r="R61" s="25"/>
      <c r="S61" s="25"/>
      <c r="T61" s="25"/>
      <c r="U61" s="25"/>
      <c r="V61" s="25"/>
    </row>
    <row r="62" spans="1:22">
      <c r="A62" s="5"/>
      <c r="D62" s="19">
        <v>173018</v>
      </c>
      <c r="E62" s="19"/>
      <c r="F62" s="19"/>
      <c r="G62" s="19"/>
      <c r="H62" s="19"/>
      <c r="I62" s="19"/>
      <c r="J62" s="3"/>
      <c r="K62" s="25"/>
      <c r="L62" s="25"/>
      <c r="M62" s="25"/>
      <c r="N62" s="25"/>
      <c r="O62" s="25"/>
      <c r="P62" s="25"/>
      <c r="Q62" s="25"/>
      <c r="R62" s="25"/>
      <c r="S62" s="25"/>
      <c r="T62" s="25"/>
      <c r="U62" s="25"/>
      <c r="V62" s="25"/>
    </row>
    <row r="63" spans="1:22">
      <c r="A63" s="5"/>
      <c r="D63" s="19"/>
      <c r="E63" s="19"/>
      <c r="F63" s="19"/>
      <c r="G63" s="19"/>
      <c r="H63" s="19">
        <v>592.63582339628294</v>
      </c>
      <c r="I63" s="19"/>
      <c r="J63" s="3"/>
    </row>
    <row r="64" spans="1:22">
      <c r="A64" s="5"/>
      <c r="B64" s="7" t="s">
        <v>10</v>
      </c>
      <c r="D64" s="19"/>
      <c r="E64" s="19" t="s">
        <v>9</v>
      </c>
      <c r="F64" s="19"/>
      <c r="G64" s="19"/>
      <c r="H64" s="39">
        <v>480</v>
      </c>
      <c r="I64" s="19"/>
      <c r="J64" s="3"/>
    </row>
    <row r="65" spans="1:22">
      <c r="A65" s="5">
        <f>A59+1</f>
        <v>46</v>
      </c>
      <c r="B65" t="s">
        <v>5</v>
      </c>
      <c r="C65" s="12"/>
      <c r="D65" s="89">
        <v>912</v>
      </c>
      <c r="E65" s="19">
        <f t="shared" ref="E65:E73" si="25">F65-D65</f>
        <v>0</v>
      </c>
      <c r="F65" s="89">
        <v>912</v>
      </c>
      <c r="G65" s="19"/>
      <c r="H65" s="19">
        <v>70026.232758276092</v>
      </c>
      <c r="I65" s="19"/>
      <c r="J65" s="3">
        <f t="shared" ref="J65:J74" si="26">SUM(K65:V65)/1000</f>
        <v>912</v>
      </c>
      <c r="K65" s="56">
        <f>$F65*1000/12</f>
        <v>76000</v>
      </c>
      <c r="L65" s="56">
        <f t="shared" ref="L65:V65" si="27">$F65*1000/12</f>
        <v>76000</v>
      </c>
      <c r="M65" s="56">
        <f t="shared" si="27"/>
        <v>76000</v>
      </c>
      <c r="N65" s="56">
        <f t="shared" si="27"/>
        <v>76000</v>
      </c>
      <c r="O65" s="56">
        <f t="shared" si="27"/>
        <v>76000</v>
      </c>
      <c r="P65" s="56">
        <f t="shared" si="27"/>
        <v>76000</v>
      </c>
      <c r="Q65" s="56">
        <f t="shared" si="27"/>
        <v>76000</v>
      </c>
      <c r="R65" s="56">
        <f t="shared" si="27"/>
        <v>76000</v>
      </c>
      <c r="S65" s="56">
        <f t="shared" si="27"/>
        <v>76000</v>
      </c>
      <c r="T65" s="56">
        <f t="shared" si="27"/>
        <v>76000</v>
      </c>
      <c r="U65" s="56">
        <f t="shared" si="27"/>
        <v>76000</v>
      </c>
      <c r="V65" s="56">
        <f t="shared" si="27"/>
        <v>76000</v>
      </c>
    </row>
    <row r="66" spans="1:22">
      <c r="A66" s="5">
        <f>A65+1</f>
        <v>47</v>
      </c>
      <c r="B66" t="s">
        <v>231</v>
      </c>
      <c r="D66" s="89">
        <v>61</v>
      </c>
      <c r="E66" s="19">
        <f t="shared" si="25"/>
        <v>0</v>
      </c>
      <c r="F66" s="89">
        <v>61</v>
      </c>
      <c r="G66" s="19"/>
      <c r="H66" s="19"/>
      <c r="I66" s="19"/>
      <c r="J66" s="3">
        <f t="shared" si="26"/>
        <v>61.000000000000007</v>
      </c>
      <c r="K66" s="56">
        <f>61000/12</f>
        <v>5083.333333333333</v>
      </c>
      <c r="L66" s="56">
        <f t="shared" ref="L66:V66" si="28">61000/12</f>
        <v>5083.333333333333</v>
      </c>
      <c r="M66" s="56">
        <f t="shared" si="28"/>
        <v>5083.333333333333</v>
      </c>
      <c r="N66" s="56">
        <f t="shared" si="28"/>
        <v>5083.333333333333</v>
      </c>
      <c r="O66" s="56">
        <f t="shared" si="28"/>
        <v>5083.333333333333</v>
      </c>
      <c r="P66" s="56">
        <f t="shared" si="28"/>
        <v>5083.333333333333</v>
      </c>
      <c r="Q66" s="56">
        <f t="shared" si="28"/>
        <v>5083.333333333333</v>
      </c>
      <c r="R66" s="56">
        <f t="shared" si="28"/>
        <v>5083.333333333333</v>
      </c>
      <c r="S66" s="56">
        <f t="shared" si="28"/>
        <v>5083.333333333333</v>
      </c>
      <c r="T66" s="56">
        <f t="shared" si="28"/>
        <v>5083.333333333333</v>
      </c>
      <c r="U66" s="56">
        <f t="shared" si="28"/>
        <v>5083.333333333333</v>
      </c>
      <c r="V66" s="56">
        <f t="shared" si="28"/>
        <v>5083.333333333333</v>
      </c>
    </row>
    <row r="67" spans="1:22">
      <c r="A67" s="5">
        <f t="shared" ref="A67:A74" si="29">A66+1</f>
        <v>48</v>
      </c>
      <c r="B67" t="s">
        <v>206</v>
      </c>
      <c r="D67" s="89">
        <v>14585</v>
      </c>
      <c r="E67" s="19">
        <f t="shared" si="25"/>
        <v>-2752</v>
      </c>
      <c r="F67" s="89">
        <v>11833</v>
      </c>
      <c r="G67" s="89"/>
      <c r="H67" s="89">
        <v>772</v>
      </c>
      <c r="I67" s="92"/>
      <c r="J67" s="3">
        <f t="shared" si="26"/>
        <v>11832.575999999999</v>
      </c>
      <c r="K67" s="56">
        <v>986048</v>
      </c>
      <c r="L67" s="56">
        <v>986048</v>
      </c>
      <c r="M67" s="56">
        <v>986048</v>
      </c>
      <c r="N67" s="56">
        <v>986048</v>
      </c>
      <c r="O67" s="56">
        <v>986048</v>
      </c>
      <c r="P67" s="56">
        <v>986048</v>
      </c>
      <c r="Q67" s="56">
        <v>986048</v>
      </c>
      <c r="R67" s="56">
        <v>986048</v>
      </c>
      <c r="S67" s="56">
        <v>986048</v>
      </c>
      <c r="T67" s="56">
        <v>986048</v>
      </c>
      <c r="U67" s="56">
        <v>986048</v>
      </c>
      <c r="V67" s="56">
        <v>986048</v>
      </c>
    </row>
    <row r="68" spans="1:22">
      <c r="A68" s="5">
        <f t="shared" si="29"/>
        <v>49</v>
      </c>
      <c r="B68" t="s">
        <v>24</v>
      </c>
      <c r="D68" s="89">
        <v>1501</v>
      </c>
      <c r="E68" s="19">
        <f t="shared" si="25"/>
        <v>7</v>
      </c>
      <c r="F68" s="89">
        <v>1508</v>
      </c>
      <c r="G68" s="19" t="s">
        <v>158</v>
      </c>
      <c r="H68" s="19">
        <v>49</v>
      </c>
      <c r="I68" s="19"/>
      <c r="J68" s="3">
        <f t="shared" si="26"/>
        <v>1507.7159999999999</v>
      </c>
      <c r="K68" s="56">
        <v>125643</v>
      </c>
      <c r="L68" s="56">
        <v>125643</v>
      </c>
      <c r="M68" s="56">
        <v>125643</v>
      </c>
      <c r="N68" s="56">
        <v>125643</v>
      </c>
      <c r="O68" s="56">
        <v>125643</v>
      </c>
      <c r="P68" s="56">
        <v>125643</v>
      </c>
      <c r="Q68" s="56">
        <v>125643</v>
      </c>
      <c r="R68" s="56">
        <v>125643</v>
      </c>
      <c r="S68" s="56">
        <v>125643</v>
      </c>
      <c r="T68" s="56">
        <v>125643</v>
      </c>
      <c r="U68" s="56">
        <v>125643</v>
      </c>
      <c r="V68" s="56">
        <v>125643</v>
      </c>
    </row>
    <row r="69" spans="1:22">
      <c r="A69" s="5">
        <f t="shared" si="29"/>
        <v>50</v>
      </c>
      <c r="B69" t="s">
        <v>94</v>
      </c>
      <c r="D69" s="89">
        <v>1361</v>
      </c>
      <c r="E69" s="19">
        <f t="shared" si="25"/>
        <v>0</v>
      </c>
      <c r="F69" s="89">
        <v>1361</v>
      </c>
      <c r="G69" s="94"/>
      <c r="H69" s="19">
        <v>348</v>
      </c>
      <c r="I69" s="19"/>
      <c r="J69" s="3">
        <f t="shared" si="26"/>
        <v>1361.2614900000001</v>
      </c>
      <c r="K69" s="56">
        <v>178966</v>
      </c>
      <c r="L69" s="56">
        <v>94963</v>
      </c>
      <c r="M69" s="56">
        <v>232263</v>
      </c>
      <c r="N69" s="56">
        <v>26173.520000000011</v>
      </c>
      <c r="O69" s="56">
        <v>88492.65</v>
      </c>
      <c r="P69" s="56">
        <v>79313.350000000006</v>
      </c>
      <c r="Q69" s="56">
        <v>88741.64</v>
      </c>
      <c r="R69" s="56">
        <v>120782.98999999999</v>
      </c>
      <c r="S69" s="56">
        <v>118024.34000000001</v>
      </c>
      <c r="T69" s="56">
        <v>77994</v>
      </c>
      <c r="U69" s="56">
        <v>140817</v>
      </c>
      <c r="V69" s="56">
        <v>114730</v>
      </c>
    </row>
    <row r="70" spans="1:22">
      <c r="A70" s="5">
        <f t="shared" si="29"/>
        <v>51</v>
      </c>
      <c r="B70" t="s">
        <v>93</v>
      </c>
      <c r="D70" s="89">
        <v>45</v>
      </c>
      <c r="E70" s="19">
        <f t="shared" si="25"/>
        <v>0</v>
      </c>
      <c r="F70" s="89">
        <v>45</v>
      </c>
      <c r="G70" s="19"/>
      <c r="H70" s="19">
        <v>8315</v>
      </c>
      <c r="I70" s="19"/>
      <c r="J70" s="3">
        <f t="shared" si="26"/>
        <v>45.222000000000001</v>
      </c>
      <c r="K70" s="56">
        <v>3768.5</v>
      </c>
      <c r="L70" s="56">
        <v>3768.5</v>
      </c>
      <c r="M70" s="56">
        <v>3768.5</v>
      </c>
      <c r="N70" s="56">
        <v>3768.5</v>
      </c>
      <c r="O70" s="56">
        <v>3768.5</v>
      </c>
      <c r="P70" s="56">
        <v>3768.5</v>
      </c>
      <c r="Q70" s="56">
        <v>3768.5</v>
      </c>
      <c r="R70" s="56">
        <v>3768.5</v>
      </c>
      <c r="S70" s="56">
        <v>3768.5</v>
      </c>
      <c r="T70" s="56">
        <v>3768.5</v>
      </c>
      <c r="U70" s="56">
        <v>3768.5</v>
      </c>
      <c r="V70" s="56">
        <v>3768.5</v>
      </c>
    </row>
    <row r="71" spans="1:22">
      <c r="A71" s="5">
        <f t="shared" si="29"/>
        <v>52</v>
      </c>
      <c r="B71" t="s">
        <v>125</v>
      </c>
      <c r="D71" s="89">
        <v>140</v>
      </c>
      <c r="E71" s="19">
        <f t="shared" si="25"/>
        <v>0</v>
      </c>
      <c r="F71" s="89">
        <v>140</v>
      </c>
      <c r="G71" s="19"/>
      <c r="H71" s="19">
        <v>1245</v>
      </c>
      <c r="I71" s="19"/>
      <c r="J71" s="3">
        <f t="shared" si="26"/>
        <v>140.00000000000003</v>
      </c>
      <c r="K71" s="56">
        <f>$F71*1000/12</f>
        <v>11666.666666666666</v>
      </c>
      <c r="L71" s="56">
        <f t="shared" ref="L71:V71" si="30">$F71*1000/12</f>
        <v>11666.666666666666</v>
      </c>
      <c r="M71" s="56">
        <f t="shared" si="30"/>
        <v>11666.666666666666</v>
      </c>
      <c r="N71" s="56">
        <f t="shared" si="30"/>
        <v>11666.666666666666</v>
      </c>
      <c r="O71" s="56">
        <f t="shared" si="30"/>
        <v>11666.666666666666</v>
      </c>
      <c r="P71" s="56">
        <f t="shared" si="30"/>
        <v>11666.666666666666</v>
      </c>
      <c r="Q71" s="56">
        <f t="shared" si="30"/>
        <v>11666.666666666666</v>
      </c>
      <c r="R71" s="56">
        <f t="shared" si="30"/>
        <v>11666.666666666666</v>
      </c>
      <c r="S71" s="56">
        <f t="shared" si="30"/>
        <v>11666.666666666666</v>
      </c>
      <c r="T71" s="56">
        <f t="shared" si="30"/>
        <v>11666.666666666666</v>
      </c>
      <c r="U71" s="56">
        <f t="shared" si="30"/>
        <v>11666.666666666666</v>
      </c>
      <c r="V71" s="56">
        <f t="shared" si="30"/>
        <v>11666.666666666666</v>
      </c>
    </row>
    <row r="72" spans="1:22">
      <c r="A72" s="5">
        <f t="shared" si="29"/>
        <v>53</v>
      </c>
      <c r="B72" t="s">
        <v>207</v>
      </c>
      <c r="C72" s="12"/>
      <c r="D72" s="89">
        <v>243</v>
      </c>
      <c r="E72" s="19">
        <f t="shared" si="25"/>
        <v>63</v>
      </c>
      <c r="F72" s="89">
        <v>306</v>
      </c>
      <c r="G72" s="94" t="s">
        <v>234</v>
      </c>
      <c r="H72" s="19">
        <v>1689</v>
      </c>
      <c r="I72" s="19"/>
      <c r="J72" s="3">
        <f t="shared" si="26"/>
        <v>306</v>
      </c>
      <c r="K72" s="56">
        <f>306000/12</f>
        <v>25500</v>
      </c>
      <c r="L72" s="56">
        <f t="shared" ref="L72:V72" si="31">306000/12</f>
        <v>25500</v>
      </c>
      <c r="M72" s="56">
        <f t="shared" si="31"/>
        <v>25500</v>
      </c>
      <c r="N72" s="56">
        <f t="shared" si="31"/>
        <v>25500</v>
      </c>
      <c r="O72" s="56">
        <f t="shared" si="31"/>
        <v>25500</v>
      </c>
      <c r="P72" s="56">
        <f t="shared" si="31"/>
        <v>25500</v>
      </c>
      <c r="Q72" s="56">
        <f t="shared" si="31"/>
        <v>25500</v>
      </c>
      <c r="R72" s="56">
        <f t="shared" si="31"/>
        <v>25500</v>
      </c>
      <c r="S72" s="56">
        <f t="shared" si="31"/>
        <v>25500</v>
      </c>
      <c r="T72" s="56">
        <f t="shared" si="31"/>
        <v>25500</v>
      </c>
      <c r="U72" s="56">
        <f t="shared" si="31"/>
        <v>25500</v>
      </c>
      <c r="V72" s="56">
        <f t="shared" si="31"/>
        <v>25500</v>
      </c>
    </row>
    <row r="73" spans="1:22">
      <c r="A73" s="5">
        <f t="shared" si="29"/>
        <v>54</v>
      </c>
      <c r="B73" s="17" t="s">
        <v>28</v>
      </c>
      <c r="C73" s="17"/>
      <c r="D73" s="90">
        <v>643</v>
      </c>
      <c r="E73" s="39">
        <f t="shared" si="25"/>
        <v>0</v>
      </c>
      <c r="F73" s="90">
        <v>643</v>
      </c>
      <c r="G73" s="19"/>
      <c r="H73" s="19">
        <v>32.112000000000002</v>
      </c>
      <c r="I73" s="19"/>
      <c r="J73" s="85">
        <f t="shared" si="26"/>
        <v>642.58799999999997</v>
      </c>
      <c r="K73" s="103">
        <v>53549</v>
      </c>
      <c r="L73" s="103">
        <v>53549</v>
      </c>
      <c r="M73" s="103">
        <v>53549</v>
      </c>
      <c r="N73" s="103">
        <v>53549</v>
      </c>
      <c r="O73" s="103">
        <v>53549</v>
      </c>
      <c r="P73" s="103">
        <v>53549</v>
      </c>
      <c r="Q73" s="103">
        <v>53549</v>
      </c>
      <c r="R73" s="103">
        <v>53549</v>
      </c>
      <c r="S73" s="103">
        <v>53549</v>
      </c>
      <c r="T73" s="103">
        <v>53549</v>
      </c>
      <c r="U73" s="103">
        <v>53549</v>
      </c>
      <c r="V73" s="103">
        <v>53549</v>
      </c>
    </row>
    <row r="74" spans="1:22">
      <c r="A74" s="5">
        <f t="shared" si="29"/>
        <v>55</v>
      </c>
      <c r="B74" t="s">
        <v>11</v>
      </c>
      <c r="D74" s="89">
        <f>SUM(D65:D73)</f>
        <v>19491</v>
      </c>
      <c r="E74" s="19">
        <f>F74-D74</f>
        <v>-2682</v>
      </c>
      <c r="F74" s="19">
        <f>SUM(F65:F73)</f>
        <v>16809</v>
      </c>
      <c r="G74" s="19"/>
      <c r="H74" s="19">
        <v>214</v>
      </c>
      <c r="I74" s="19"/>
      <c r="J74" s="3">
        <f t="shared" si="26"/>
        <v>16808.363490000003</v>
      </c>
      <c r="K74" s="25">
        <f t="shared" ref="K74:V74" si="32">SUM(K65:K73)</f>
        <v>1466224.5</v>
      </c>
      <c r="L74" s="25">
        <f t="shared" si="32"/>
        <v>1382221.5</v>
      </c>
      <c r="M74" s="25">
        <f t="shared" si="32"/>
        <v>1519521.5</v>
      </c>
      <c r="N74" s="25">
        <f t="shared" si="32"/>
        <v>1313432.02</v>
      </c>
      <c r="O74" s="25">
        <f t="shared" si="32"/>
        <v>1375751.15</v>
      </c>
      <c r="P74" s="25">
        <f t="shared" si="32"/>
        <v>1366571.85</v>
      </c>
      <c r="Q74" s="25">
        <f t="shared" si="32"/>
        <v>1376000.14</v>
      </c>
      <c r="R74" s="25">
        <f t="shared" si="32"/>
        <v>1408041.49</v>
      </c>
      <c r="S74" s="25">
        <f t="shared" si="32"/>
        <v>1405282.84</v>
      </c>
      <c r="T74" s="25">
        <f t="shared" si="32"/>
        <v>1365252.5</v>
      </c>
      <c r="U74" s="25">
        <f t="shared" si="32"/>
        <v>1428075.5</v>
      </c>
      <c r="V74" s="25">
        <f t="shared" si="32"/>
        <v>1401988.5</v>
      </c>
    </row>
    <row r="75" spans="1:22" ht="12.95" customHeight="1">
      <c r="A75" s="5"/>
      <c r="D75" s="19">
        <v>19492</v>
      </c>
      <c r="E75" s="19"/>
      <c r="F75" s="19"/>
      <c r="G75" s="19"/>
      <c r="H75" s="39">
        <v>643</v>
      </c>
      <c r="I75" s="19"/>
      <c r="J75" s="3"/>
    </row>
    <row r="76" spans="1:22" ht="12" customHeight="1">
      <c r="A76" s="5"/>
      <c r="B76" s="7" t="s">
        <v>14</v>
      </c>
      <c r="D76" s="19"/>
      <c r="E76" s="19"/>
      <c r="F76" s="19"/>
      <c r="G76" s="19"/>
      <c r="H76" s="19">
        <v>13307.111999999999</v>
      </c>
      <c r="I76" s="19"/>
      <c r="J76" s="3"/>
    </row>
    <row r="77" spans="1:22" ht="12" customHeight="1">
      <c r="A77" s="5">
        <f>A74+1</f>
        <v>56</v>
      </c>
      <c r="B77" t="s">
        <v>103</v>
      </c>
      <c r="D77" s="89">
        <v>997</v>
      </c>
      <c r="E77" s="89">
        <f>F77-D77</f>
        <v>4</v>
      </c>
      <c r="F77" s="89">
        <v>1001</v>
      </c>
      <c r="G77" s="89"/>
      <c r="H77" s="89"/>
      <c r="I77" s="19"/>
      <c r="J77" s="3"/>
    </row>
    <row r="78" spans="1:22" ht="12" customHeight="1">
      <c r="A78" s="5"/>
      <c r="D78" s="89"/>
      <c r="E78" s="89"/>
      <c r="F78" s="89"/>
      <c r="G78" s="89"/>
      <c r="H78" s="89"/>
      <c r="I78" s="19"/>
      <c r="J78" s="3"/>
    </row>
    <row r="79" spans="1:22" ht="12" customHeight="1">
      <c r="A79" s="5"/>
      <c r="B79" s="7" t="s">
        <v>248</v>
      </c>
      <c r="D79" s="89"/>
      <c r="E79" s="89"/>
      <c r="F79" s="89"/>
      <c r="G79" s="89"/>
      <c r="H79" s="89"/>
      <c r="I79" s="19"/>
      <c r="J79" s="3"/>
    </row>
    <row r="80" spans="1:22" ht="12" customHeight="1">
      <c r="A80" s="5">
        <f>A77+1</f>
        <v>57</v>
      </c>
      <c r="B80" s="151" t="s">
        <v>249</v>
      </c>
      <c r="D80" s="89">
        <v>5893</v>
      </c>
      <c r="E80" s="89">
        <f>F80-D80</f>
        <v>3441.8600000000006</v>
      </c>
      <c r="F80" s="89">
        <f>J80</f>
        <v>9334.86</v>
      </c>
      <c r="G80" s="89"/>
      <c r="H80" s="89"/>
      <c r="I80" s="19"/>
      <c r="J80" s="3">
        <f t="shared" ref="J80:J81" si="33">SUM(K80:V80)/1000</f>
        <v>9334.86</v>
      </c>
      <c r="K80" s="147">
        <v>594570</v>
      </c>
      <c r="L80" s="147">
        <v>594570</v>
      </c>
      <c r="M80" s="147">
        <v>933480</v>
      </c>
      <c r="N80" s="147">
        <v>534530</v>
      </c>
      <c r="O80" s="147">
        <v>534530</v>
      </c>
      <c r="P80" s="147">
        <v>754530</v>
      </c>
      <c r="Q80" s="147">
        <v>1534640</v>
      </c>
      <c r="R80" s="147">
        <v>662350</v>
      </c>
      <c r="S80" s="147">
        <v>933480</v>
      </c>
      <c r="T80" s="147">
        <v>662350</v>
      </c>
      <c r="U80" s="147">
        <v>662350</v>
      </c>
      <c r="V80" s="147">
        <v>933480</v>
      </c>
    </row>
    <row r="81" spans="1:22" ht="12" customHeight="1">
      <c r="A81" s="5">
        <f t="shared" ref="A81:A82" si="34">A80+1</f>
        <v>58</v>
      </c>
      <c r="B81" s="151" t="s">
        <v>250</v>
      </c>
      <c r="D81" s="89">
        <v>12997</v>
      </c>
      <c r="E81" s="89">
        <f>F81-D81</f>
        <v>2008.2569999999996</v>
      </c>
      <c r="F81" s="89">
        <f>J81</f>
        <v>15005.257</v>
      </c>
      <c r="G81" s="89"/>
      <c r="H81" s="89"/>
      <c r="I81" s="19"/>
      <c r="J81" s="3">
        <f t="shared" si="33"/>
        <v>15005.257</v>
      </c>
      <c r="K81" s="147">
        <v>1064090</v>
      </c>
      <c r="L81" s="147">
        <v>915360</v>
      </c>
      <c r="M81" s="147">
        <v>986340</v>
      </c>
      <c r="N81" s="147">
        <v>1011310</v>
      </c>
      <c r="O81" s="147">
        <v>3106970</v>
      </c>
      <c r="P81" s="147">
        <v>1361340</v>
      </c>
      <c r="Q81" s="147">
        <v>828330</v>
      </c>
      <c r="R81" s="147">
        <v>990640</v>
      </c>
      <c r="S81" s="147">
        <v>912170</v>
      </c>
      <c r="T81" s="147">
        <v>986840</v>
      </c>
      <c r="U81" s="147">
        <v>913330</v>
      </c>
      <c r="V81" s="147">
        <v>1928537</v>
      </c>
    </row>
    <row r="82" spans="1:22" ht="12" customHeight="1">
      <c r="A82" s="5">
        <f t="shared" si="34"/>
        <v>59</v>
      </c>
      <c r="B82" s="152" t="s">
        <v>251</v>
      </c>
      <c r="C82" s="152"/>
      <c r="D82" s="105">
        <f>SUM(D80:D81)</f>
        <v>18890</v>
      </c>
      <c r="E82" s="21">
        <f>F82-D82</f>
        <v>5450.1169999999984</v>
      </c>
      <c r="F82" s="21">
        <f>SUM(F80:F81)</f>
        <v>24340.116999999998</v>
      </c>
      <c r="G82" s="89"/>
      <c r="H82" s="89"/>
      <c r="I82" s="19"/>
      <c r="J82" s="153">
        <f>SUM(J80:J81)</f>
        <v>24340.116999999998</v>
      </c>
      <c r="K82" s="153">
        <f>SUM(K80:K81)</f>
        <v>1658660</v>
      </c>
      <c r="L82" s="153">
        <f t="shared" ref="L82:V82" si="35">SUM(L80:L81)</f>
        <v>1509930</v>
      </c>
      <c r="M82" s="153">
        <f t="shared" si="35"/>
        <v>1919820</v>
      </c>
      <c r="N82" s="153">
        <f t="shared" si="35"/>
        <v>1545840</v>
      </c>
      <c r="O82" s="153">
        <f t="shared" si="35"/>
        <v>3641500</v>
      </c>
      <c r="P82" s="153">
        <f t="shared" si="35"/>
        <v>2115870</v>
      </c>
      <c r="Q82" s="153">
        <f t="shared" si="35"/>
        <v>2362970</v>
      </c>
      <c r="R82" s="153">
        <f t="shared" si="35"/>
        <v>1652990</v>
      </c>
      <c r="S82" s="153">
        <f t="shared" si="35"/>
        <v>1845650</v>
      </c>
      <c r="T82" s="153">
        <f t="shared" si="35"/>
        <v>1649190</v>
      </c>
      <c r="U82" s="153">
        <f t="shared" si="35"/>
        <v>1575680</v>
      </c>
      <c r="V82" s="153">
        <f t="shared" si="35"/>
        <v>2862017</v>
      </c>
    </row>
    <row r="83" spans="1:22" ht="12" customHeight="1">
      <c r="A83" s="5"/>
      <c r="D83" s="19"/>
      <c r="E83" s="19"/>
      <c r="F83" s="19"/>
      <c r="G83" s="19"/>
      <c r="H83" s="19"/>
      <c r="I83" s="19"/>
      <c r="J83" s="3"/>
    </row>
    <row r="84" spans="1:22" ht="12" customHeight="1">
      <c r="A84" s="5">
        <f>A82+1</f>
        <v>60</v>
      </c>
      <c r="B84" s="41" t="s">
        <v>15</v>
      </c>
      <c r="C84" s="35"/>
      <c r="D84" s="42">
        <f>D29+D37+D44+D59+D74+D77+D82</f>
        <v>450367</v>
      </c>
      <c r="E84" s="42">
        <f>F84-D84</f>
        <v>-165197.50314302964</v>
      </c>
      <c r="F84" s="43">
        <f>F29+F37+F44+F59+F74+F77+F82</f>
        <v>285169.49685697036</v>
      </c>
      <c r="G84" s="19"/>
      <c r="H84" s="19">
        <v>133</v>
      </c>
      <c r="I84" s="19"/>
      <c r="J84" s="3"/>
    </row>
    <row r="85" spans="1:22" ht="12" customHeight="1">
      <c r="A85" s="5"/>
      <c r="B85" s="2"/>
      <c r="D85" s="19"/>
      <c r="E85" s="19"/>
      <c r="F85" s="19"/>
      <c r="G85" s="19"/>
      <c r="H85" s="39"/>
      <c r="I85" s="19"/>
      <c r="J85" s="3"/>
    </row>
    <row r="86" spans="1:22" ht="12" customHeight="1">
      <c r="A86" s="5"/>
      <c r="B86" s="7" t="s">
        <v>16</v>
      </c>
      <c r="D86" s="19"/>
      <c r="E86" s="19"/>
      <c r="F86" s="19"/>
      <c r="G86" s="19"/>
      <c r="H86" s="42">
        <v>188457.26014905036</v>
      </c>
      <c r="I86" s="19"/>
      <c r="J86" s="3"/>
      <c r="K86" s="48"/>
      <c r="L86" s="48"/>
      <c r="M86" s="48"/>
      <c r="N86" s="48"/>
      <c r="O86" s="48"/>
      <c r="P86" s="48"/>
      <c r="Q86" s="48"/>
      <c r="R86" s="48"/>
      <c r="S86" s="48"/>
      <c r="T86" s="48"/>
      <c r="U86" s="48"/>
      <c r="V86" s="48"/>
    </row>
    <row r="87" spans="1:22" ht="12.95" customHeight="1">
      <c r="A87" s="5">
        <f>A84+1</f>
        <v>61</v>
      </c>
      <c r="B87" t="s">
        <v>153</v>
      </c>
      <c r="D87" s="89">
        <v>0</v>
      </c>
      <c r="E87" s="19">
        <f t="shared" ref="E87:E95" si="36">F87-D87</f>
        <v>43752.342488583738</v>
      </c>
      <c r="F87" s="19">
        <f>-'WGJ-4'!C9/1000</f>
        <v>43752.342488583738</v>
      </c>
      <c r="G87" s="19"/>
      <c r="H87" s="19"/>
      <c r="I87" s="18"/>
      <c r="J87" s="3">
        <f>SUM(K87:V87)/1000</f>
        <v>43752.342488583738</v>
      </c>
      <c r="K87" s="25">
        <f>-'WGJ-4'!D9</f>
        <v>4083277.5163650499</v>
      </c>
      <c r="L87" s="25">
        <f>-'WGJ-4'!E9</f>
        <v>3054662.2917175302</v>
      </c>
      <c r="M87" s="25">
        <f>-'WGJ-4'!F9</f>
        <v>3499065.7981872601</v>
      </c>
      <c r="N87" s="25">
        <f>-'WGJ-4'!G9</f>
        <v>5856135.3710174598</v>
      </c>
      <c r="O87" s="25">
        <f>-'WGJ-4'!H9</f>
        <v>3538606.3085138798</v>
      </c>
      <c r="P87" s="25">
        <f>-'WGJ-4'!I9</f>
        <v>2860908.0694675399</v>
      </c>
      <c r="Q87" s="25">
        <f>-'WGJ-4'!J9</f>
        <v>3907252.79064178</v>
      </c>
      <c r="R87" s="25">
        <f>-'WGJ-4'!K9</f>
        <v>1613807.74526875</v>
      </c>
      <c r="S87" s="25">
        <f>-'WGJ-4'!L9</f>
        <v>2912738.7029647799</v>
      </c>
      <c r="T87" s="25">
        <f>-'WGJ-4'!M9</f>
        <v>3343837.7159118699</v>
      </c>
      <c r="U87" s="25">
        <f>-'WGJ-4'!N9</f>
        <v>4542745.13244629</v>
      </c>
      <c r="V87" s="25">
        <f>-'WGJ-4'!O9</f>
        <v>4539305.0460815402</v>
      </c>
    </row>
    <row r="88" spans="1:22" ht="12.95" customHeight="1">
      <c r="A88" s="5">
        <f t="shared" ref="A88:A94" si="37">A87+1</f>
        <v>62</v>
      </c>
      <c r="B88" t="s">
        <v>183</v>
      </c>
      <c r="D88" s="89">
        <v>121622</v>
      </c>
      <c r="E88" s="19">
        <f t="shared" si="36"/>
        <v>-121622</v>
      </c>
      <c r="F88" s="129">
        <v>0</v>
      </c>
      <c r="G88" s="19"/>
      <c r="H88" s="19"/>
      <c r="I88" s="18"/>
      <c r="J88" s="3">
        <f>SUM(K88:V88)/1000</f>
        <v>0</v>
      </c>
      <c r="K88" s="25"/>
      <c r="L88" s="25"/>
      <c r="M88" s="25"/>
      <c r="N88" s="25"/>
      <c r="O88" s="25"/>
      <c r="P88" s="25"/>
      <c r="Q88" s="25"/>
      <c r="R88" s="25"/>
      <c r="S88" s="25"/>
      <c r="T88" s="25"/>
      <c r="U88" s="25"/>
      <c r="V88" s="25"/>
    </row>
    <row r="89" spans="1:22" ht="12.95" customHeight="1">
      <c r="A89" s="5">
        <f t="shared" si="37"/>
        <v>63</v>
      </c>
      <c r="B89" t="s">
        <v>182</v>
      </c>
      <c r="D89" s="89">
        <v>0</v>
      </c>
      <c r="E89" s="19">
        <f t="shared" si="36"/>
        <v>-6239</v>
      </c>
      <c r="F89" s="129">
        <v>-6239</v>
      </c>
      <c r="G89" s="19"/>
      <c r="H89" s="19"/>
      <c r="I89" s="18"/>
      <c r="J89" s="3">
        <f>SUM(K89:V89)/1000</f>
        <v>-6239.4200907890245</v>
      </c>
      <c r="K89" s="25">
        <v>95991.183342877921</v>
      </c>
      <c r="L89" s="25">
        <v>-136878.25979031614</v>
      </c>
      <c r="M89" s="25">
        <v>-537286.91985560593</v>
      </c>
      <c r="N89" s="25">
        <v>-1264305.7799153505</v>
      </c>
      <c r="O89" s="25">
        <v>-2234932.6697736993</v>
      </c>
      <c r="P89" s="25">
        <v>-1978084.4066962602</v>
      </c>
      <c r="Q89" s="25">
        <v>-532306.97001628589</v>
      </c>
      <c r="R89" s="25">
        <v>-63429.161976184587</v>
      </c>
      <c r="S89" s="25">
        <v>85572.858418617296</v>
      </c>
      <c r="T89" s="25">
        <v>124855.72187555948</v>
      </c>
      <c r="U89" s="25">
        <v>7065.7861371523795</v>
      </c>
      <c r="V89" s="25">
        <v>194318.52746047068</v>
      </c>
    </row>
    <row r="90" spans="1:22">
      <c r="A90" s="5">
        <f t="shared" si="37"/>
        <v>64</v>
      </c>
      <c r="B90" s="6" t="s">
        <v>114</v>
      </c>
      <c r="D90" s="89">
        <v>1749</v>
      </c>
      <c r="E90" s="19">
        <f t="shared" si="36"/>
        <v>17529</v>
      </c>
      <c r="F90" s="89">
        <v>19278</v>
      </c>
      <c r="G90" s="19"/>
      <c r="H90" s="19"/>
      <c r="I90" s="19"/>
      <c r="J90" s="3">
        <f t="shared" ref="J90:J96" si="38">SUM(K90:V90)/1000</f>
        <v>19278.000000000004</v>
      </c>
      <c r="K90" s="132">
        <v>1606500.0000000002</v>
      </c>
      <c r="L90" s="132">
        <v>1606500.0000000002</v>
      </c>
      <c r="M90" s="132">
        <v>1606500.0000000002</v>
      </c>
      <c r="N90" s="132">
        <v>1606500.0000000002</v>
      </c>
      <c r="O90" s="132">
        <v>1606500.0000000002</v>
      </c>
      <c r="P90" s="132">
        <v>1606500.0000000002</v>
      </c>
      <c r="Q90" s="132">
        <v>1606500.0000000002</v>
      </c>
      <c r="R90" s="132">
        <v>1606500.0000000002</v>
      </c>
      <c r="S90" s="132">
        <v>1606500.0000000002</v>
      </c>
      <c r="T90" s="132">
        <v>1606500.0000000002</v>
      </c>
      <c r="U90" s="132">
        <v>1606500.0000000002</v>
      </c>
      <c r="V90" s="132">
        <v>1606500.0000000002</v>
      </c>
    </row>
    <row r="91" spans="1:22">
      <c r="A91" s="5">
        <f t="shared" si="37"/>
        <v>65</v>
      </c>
      <c r="B91" t="s">
        <v>29</v>
      </c>
      <c r="D91" s="97">
        <v>1724</v>
      </c>
      <c r="E91" s="19">
        <f t="shared" si="36"/>
        <v>64.82343923617168</v>
      </c>
      <c r="F91" s="89">
        <f>Index!C16/1000</f>
        <v>1788.8234392361717</v>
      </c>
      <c r="G91" s="118" t="s">
        <v>121</v>
      </c>
      <c r="H91" s="97">
        <v>1800</v>
      </c>
      <c r="I91" s="93" t="s">
        <v>121</v>
      </c>
      <c r="J91" s="3">
        <f t="shared" si="38"/>
        <v>1788.8234392361717</v>
      </c>
      <c r="K91" s="25">
        <f>Index!D16</f>
        <v>174125.55748884057</v>
      </c>
      <c r="L91" s="25">
        <f>Index!E16</f>
        <v>149275.39179604338</v>
      </c>
      <c r="M91" s="25">
        <f>Index!F16</f>
        <v>151286.52832538582</v>
      </c>
      <c r="N91" s="25">
        <f>Index!G16</f>
        <v>119602.0834234026</v>
      </c>
      <c r="O91" s="25">
        <f>Index!H16</f>
        <v>90824.140791653917</v>
      </c>
      <c r="P91" s="25">
        <f>Index!I16</f>
        <v>94374.405864160115</v>
      </c>
      <c r="Q91" s="25">
        <f>Index!J16</f>
        <v>153083.74817663562</v>
      </c>
      <c r="R91" s="25">
        <f>Index!K16</f>
        <v>169278.86346584631</v>
      </c>
      <c r="S91" s="25">
        <f>Index!L16</f>
        <v>168854.90266154762</v>
      </c>
      <c r="T91" s="25">
        <f>Index!M16</f>
        <v>175011.35067410374</v>
      </c>
      <c r="U91" s="25">
        <f>Index!N16</f>
        <v>165343.5322251732</v>
      </c>
      <c r="V91" s="25">
        <f>Index!O16</f>
        <v>177762.93434337899</v>
      </c>
    </row>
    <row r="92" spans="1:22">
      <c r="A92" s="5">
        <f t="shared" si="37"/>
        <v>66</v>
      </c>
      <c r="B92" t="s">
        <v>118</v>
      </c>
      <c r="D92" s="97">
        <v>79</v>
      </c>
      <c r="E92" s="19">
        <f t="shared" si="36"/>
        <v>77</v>
      </c>
      <c r="F92" s="89">
        <v>156</v>
      </c>
      <c r="G92" s="20"/>
      <c r="H92" s="20">
        <v>-63</v>
      </c>
      <c r="J92" s="3">
        <f t="shared" si="38"/>
        <v>156</v>
      </c>
      <c r="K92" s="25">
        <f t="shared" ref="K92:K93" si="39">$F92/12*1000</f>
        <v>13000</v>
      </c>
      <c r="L92" s="25">
        <f t="shared" ref="L92:V93" si="40">$F92/12*1000</f>
        <v>13000</v>
      </c>
      <c r="M92" s="25">
        <f t="shared" si="40"/>
        <v>13000</v>
      </c>
      <c r="N92" s="25">
        <f t="shared" si="40"/>
        <v>13000</v>
      </c>
      <c r="O92" s="25">
        <f t="shared" si="40"/>
        <v>13000</v>
      </c>
      <c r="P92" s="25">
        <f t="shared" si="40"/>
        <v>13000</v>
      </c>
      <c r="Q92" s="25">
        <f t="shared" si="40"/>
        <v>13000</v>
      </c>
      <c r="R92" s="25">
        <f t="shared" si="40"/>
        <v>13000</v>
      </c>
      <c r="S92" s="25">
        <f t="shared" si="40"/>
        <v>13000</v>
      </c>
      <c r="T92" s="25">
        <f t="shared" si="40"/>
        <v>13000</v>
      </c>
      <c r="U92" s="25">
        <f t="shared" si="40"/>
        <v>13000</v>
      </c>
      <c r="V92" s="25">
        <f t="shared" si="40"/>
        <v>13000</v>
      </c>
    </row>
    <row r="93" spans="1:22">
      <c r="A93" s="5">
        <f t="shared" si="37"/>
        <v>67</v>
      </c>
      <c r="B93" t="s">
        <v>30</v>
      </c>
      <c r="D93" s="97">
        <v>427</v>
      </c>
      <c r="E93" s="19">
        <f t="shared" si="36"/>
        <v>143</v>
      </c>
      <c r="F93" s="89">
        <v>570</v>
      </c>
      <c r="G93" s="78"/>
      <c r="H93" s="78">
        <v>272</v>
      </c>
      <c r="J93" s="3">
        <f t="shared" si="38"/>
        <v>570</v>
      </c>
      <c r="K93" s="25">
        <f t="shared" si="39"/>
        <v>47500</v>
      </c>
      <c r="L93" s="25">
        <f t="shared" si="40"/>
        <v>47500</v>
      </c>
      <c r="M93" s="25">
        <f t="shared" si="40"/>
        <v>47500</v>
      </c>
      <c r="N93" s="25">
        <f t="shared" si="40"/>
        <v>47500</v>
      </c>
      <c r="O93" s="25">
        <f t="shared" si="40"/>
        <v>47500</v>
      </c>
      <c r="P93" s="25">
        <f t="shared" si="40"/>
        <v>47500</v>
      </c>
      <c r="Q93" s="25">
        <f t="shared" si="40"/>
        <v>47500</v>
      </c>
      <c r="R93" s="25">
        <f t="shared" si="40"/>
        <v>47500</v>
      </c>
      <c r="S93" s="25">
        <f t="shared" si="40"/>
        <v>47500</v>
      </c>
      <c r="T93" s="25">
        <f t="shared" si="40"/>
        <v>47500</v>
      </c>
      <c r="U93" s="25">
        <f t="shared" si="40"/>
        <v>47500</v>
      </c>
      <c r="V93" s="25">
        <f t="shared" si="40"/>
        <v>47500</v>
      </c>
    </row>
    <row r="94" spans="1:22">
      <c r="A94" s="5">
        <f t="shared" si="37"/>
        <v>68</v>
      </c>
      <c r="B94" t="s">
        <v>237</v>
      </c>
      <c r="D94" s="97">
        <v>20765</v>
      </c>
      <c r="E94" s="19">
        <f t="shared" si="36"/>
        <v>-9475.6609181236017</v>
      </c>
      <c r="F94" s="89">
        <f>Index!C21/1000+(3*8784*15)/1000</f>
        <v>11289.339081876398</v>
      </c>
      <c r="G94" s="20"/>
      <c r="H94" s="20"/>
      <c r="J94" s="3">
        <f t="shared" si="38"/>
        <v>11289.339081876396</v>
      </c>
      <c r="K94" s="25">
        <f>Index!D21+15*3*K5</f>
        <v>1068817.7246417999</v>
      </c>
      <c r="L94" s="25">
        <f>Index!E21+15*3*L5</f>
        <v>959316.47506141663</v>
      </c>
      <c r="M94" s="25">
        <f>Index!F21+15*3*M5</f>
        <v>954016.40339326847</v>
      </c>
      <c r="N94" s="25">
        <f>Index!G21+15*3*N5</f>
        <v>784380.15425205231</v>
      </c>
      <c r="O94" s="25">
        <f>Index!H21+15*3*O5</f>
        <v>635247.40668582916</v>
      </c>
      <c r="P94" s="25">
        <f>Index!I21+15*3*P5</f>
        <v>654800.62090694916</v>
      </c>
      <c r="Q94" s="25">
        <f>Index!J21+15*3*Q5</f>
        <v>957463.19172477722</v>
      </c>
      <c r="R94" s="25">
        <f>Index!K21+15*3*R5</f>
        <v>1049403.2024917603</v>
      </c>
      <c r="S94" s="25">
        <f>Index!L21+15*3*S5</f>
        <v>1040047.9555606842</v>
      </c>
      <c r="T94" s="25">
        <f>Index!M21+15*3*T5</f>
        <v>1073662.5843658447</v>
      </c>
      <c r="U94" s="25">
        <f>Index!N21+15*3*U5</f>
        <v>1021018.344783783</v>
      </c>
      <c r="V94" s="25">
        <f>Index!O21+15*3*V5</f>
        <v>1091165.0180082321</v>
      </c>
    </row>
    <row r="95" spans="1:22">
      <c r="A95" s="5">
        <f>A94+1</f>
        <v>69</v>
      </c>
      <c r="B95" s="17" t="s">
        <v>230</v>
      </c>
      <c r="C95" s="17"/>
      <c r="D95" s="90">
        <v>675</v>
      </c>
      <c r="E95" s="39">
        <f t="shared" si="36"/>
        <v>-675</v>
      </c>
      <c r="F95" s="39">
        <v>0</v>
      </c>
      <c r="G95" s="20"/>
      <c r="H95" s="20"/>
      <c r="J95" s="3">
        <f t="shared" si="38"/>
        <v>0</v>
      </c>
      <c r="K95" s="25"/>
      <c r="L95" s="25"/>
      <c r="M95" s="25"/>
      <c r="N95" s="25"/>
      <c r="O95" s="25"/>
      <c r="P95" s="25"/>
      <c r="Q95" s="25"/>
      <c r="R95" s="25"/>
      <c r="S95" s="25"/>
      <c r="T95" s="25"/>
      <c r="U95" s="25"/>
      <c r="V95" s="25"/>
    </row>
    <row r="96" spans="1:22">
      <c r="A96" s="5">
        <f>A95+1</f>
        <v>70</v>
      </c>
      <c r="B96" t="s">
        <v>17</v>
      </c>
      <c r="D96" s="19">
        <f>SUM(D87:D95)</f>
        <v>147041</v>
      </c>
      <c r="E96" s="19">
        <f>F96-D96</f>
        <v>-76445.49499030369</v>
      </c>
      <c r="F96" s="19">
        <f>SUM(F87:F95)</f>
        <v>70595.50500969631</v>
      </c>
      <c r="G96" s="19"/>
      <c r="H96" s="39">
        <v>0</v>
      </c>
      <c r="I96" s="19"/>
      <c r="J96" s="3">
        <f t="shared" si="38"/>
        <v>70595.084918907291</v>
      </c>
      <c r="K96" s="25">
        <f t="shared" ref="K96:V96" si="41">SUM(K87:K95)</f>
        <v>7089211.981838569</v>
      </c>
      <c r="L96" s="25">
        <f t="shared" si="41"/>
        <v>5693375.8987846738</v>
      </c>
      <c r="M96" s="25">
        <f t="shared" si="41"/>
        <v>5734081.8100503087</v>
      </c>
      <c r="N96" s="25">
        <f t="shared" si="41"/>
        <v>7162811.8287775638</v>
      </c>
      <c r="O96" s="25">
        <f t="shared" si="41"/>
        <v>3696745.1862176643</v>
      </c>
      <c r="P96" s="25">
        <f t="shared" si="41"/>
        <v>3298998.689542389</v>
      </c>
      <c r="Q96" s="25">
        <f t="shared" si="41"/>
        <v>6152492.7605269067</v>
      </c>
      <c r="R96" s="25">
        <f t="shared" si="41"/>
        <v>4436060.6492501721</v>
      </c>
      <c r="S96" s="25">
        <f t="shared" si="41"/>
        <v>5874214.4196056295</v>
      </c>
      <c r="T96" s="25">
        <f t="shared" si="41"/>
        <v>6384367.3728273781</v>
      </c>
      <c r="U96" s="25">
        <f t="shared" si="41"/>
        <v>7403172.7955923984</v>
      </c>
      <c r="V96" s="25">
        <f t="shared" si="41"/>
        <v>7669551.5258936221</v>
      </c>
    </row>
    <row r="97" spans="1:22">
      <c r="A97" s="5"/>
      <c r="D97" s="19">
        <v>147041</v>
      </c>
      <c r="E97" s="19"/>
      <c r="F97" s="19"/>
      <c r="G97" s="19"/>
      <c r="H97" s="19">
        <v>62060.890920372694</v>
      </c>
      <c r="I97" s="19"/>
      <c r="J97" s="3"/>
      <c r="K97" s="3"/>
      <c r="L97" s="3"/>
      <c r="M97" s="3"/>
      <c r="N97" s="3"/>
      <c r="O97" s="3"/>
      <c r="P97" s="3"/>
      <c r="Q97" s="3"/>
      <c r="R97" s="3"/>
      <c r="S97" s="3"/>
      <c r="T97" s="3"/>
      <c r="U97" s="3"/>
      <c r="V97" s="3"/>
    </row>
    <row r="98" spans="1:22">
      <c r="A98" s="5"/>
      <c r="B98" s="7" t="s">
        <v>18</v>
      </c>
      <c r="D98" s="19"/>
      <c r="E98" s="19" t="s">
        <v>9</v>
      </c>
      <c r="F98" s="19"/>
      <c r="G98" s="19"/>
      <c r="H98" s="19"/>
      <c r="I98" s="19"/>
      <c r="J98" s="3"/>
    </row>
    <row r="99" spans="1:22">
      <c r="A99" s="5">
        <f>A96+1</f>
        <v>71</v>
      </c>
      <c r="B99" t="s">
        <v>211</v>
      </c>
      <c r="D99" s="89">
        <v>3882</v>
      </c>
      <c r="E99" s="89">
        <f>F99-D99</f>
        <v>-3882</v>
      </c>
      <c r="F99" s="89">
        <v>0</v>
      </c>
      <c r="G99" s="89"/>
      <c r="H99" s="89"/>
      <c r="I99" s="19"/>
      <c r="J99" s="3">
        <f t="shared" ref="J99" si="42">SUM(K99:V99)/1000</f>
        <v>850.00000000000011</v>
      </c>
      <c r="K99" s="25">
        <f>850000/12</f>
        <v>70833.333333333328</v>
      </c>
      <c r="L99" s="25">
        <f t="shared" ref="L99:V99" si="43">850000/12</f>
        <v>70833.333333333328</v>
      </c>
      <c r="M99" s="25">
        <f t="shared" si="43"/>
        <v>70833.333333333328</v>
      </c>
      <c r="N99" s="25">
        <f t="shared" si="43"/>
        <v>70833.333333333328</v>
      </c>
      <c r="O99" s="25">
        <f t="shared" si="43"/>
        <v>70833.333333333328</v>
      </c>
      <c r="P99" s="25">
        <f t="shared" si="43"/>
        <v>70833.333333333328</v>
      </c>
      <c r="Q99" s="25">
        <f t="shared" si="43"/>
        <v>70833.333333333328</v>
      </c>
      <c r="R99" s="25">
        <f t="shared" si="43"/>
        <v>70833.333333333328</v>
      </c>
      <c r="S99" s="25">
        <f t="shared" si="43"/>
        <v>70833.333333333328</v>
      </c>
      <c r="T99" s="25">
        <f t="shared" si="43"/>
        <v>70833.333333333328</v>
      </c>
      <c r="U99" s="25">
        <f t="shared" si="43"/>
        <v>70833.333333333328</v>
      </c>
      <c r="V99" s="25">
        <f t="shared" si="43"/>
        <v>70833.333333333328</v>
      </c>
    </row>
    <row r="100" spans="1:22">
      <c r="A100" s="5">
        <f>A99+1</f>
        <v>72</v>
      </c>
      <c r="B100" t="s">
        <v>232</v>
      </c>
      <c r="D100" s="89">
        <v>163</v>
      </c>
      <c r="E100" s="89">
        <f>F100-D100</f>
        <v>-163</v>
      </c>
      <c r="F100" s="89">
        <v>0</v>
      </c>
      <c r="G100" s="89"/>
      <c r="H100" s="89"/>
      <c r="I100" s="19"/>
      <c r="J100" s="3"/>
      <c r="K100" s="25"/>
      <c r="L100" s="25"/>
      <c r="M100" s="25"/>
      <c r="N100" s="25"/>
      <c r="O100" s="25"/>
      <c r="P100" s="25"/>
      <c r="Q100" s="25"/>
      <c r="R100" s="25"/>
      <c r="S100" s="25"/>
      <c r="T100" s="25"/>
      <c r="U100" s="25"/>
      <c r="V100" s="25"/>
    </row>
    <row r="101" spans="1:22">
      <c r="A101" s="5">
        <f t="shared" ref="A101:A102" si="44">A100+1</f>
        <v>73</v>
      </c>
      <c r="B101" s="17" t="s">
        <v>95</v>
      </c>
      <c r="C101" s="17"/>
      <c r="D101" s="89">
        <v>91628</v>
      </c>
      <c r="E101" s="39">
        <f>F101-D101</f>
        <v>-91628</v>
      </c>
      <c r="F101" s="19">
        <v>0</v>
      </c>
      <c r="G101" s="19"/>
      <c r="H101" s="19">
        <v>48</v>
      </c>
      <c r="I101" s="19"/>
      <c r="J101" s="3"/>
    </row>
    <row r="102" spans="1:22">
      <c r="A102" s="5">
        <f t="shared" si="44"/>
        <v>74</v>
      </c>
      <c r="B102" t="s">
        <v>19</v>
      </c>
      <c r="D102" s="105">
        <f>SUM(D99:D101)</f>
        <v>95673</v>
      </c>
      <c r="E102" s="19">
        <f>F102-D102</f>
        <v>-95673</v>
      </c>
      <c r="F102" s="21">
        <f>SUM(F99:F101)</f>
        <v>0</v>
      </c>
      <c r="G102" s="19"/>
      <c r="H102" s="19">
        <v>0</v>
      </c>
      <c r="I102" s="19"/>
      <c r="J102" s="3"/>
    </row>
    <row r="103" spans="1:22" ht="7.5" customHeight="1">
      <c r="A103" s="5" t="s">
        <v>9</v>
      </c>
      <c r="D103" s="19"/>
      <c r="E103" s="19"/>
      <c r="F103" s="19"/>
      <c r="G103" s="19"/>
      <c r="H103" s="39">
        <v>0</v>
      </c>
      <c r="I103" s="19"/>
      <c r="J103" s="3"/>
    </row>
    <row r="104" spans="1:22">
      <c r="A104" s="5"/>
      <c r="B104" s="44" t="s">
        <v>27</v>
      </c>
      <c r="D104" s="19"/>
      <c r="E104" s="19"/>
      <c r="F104" s="19" t="s">
        <v>9</v>
      </c>
      <c r="G104" s="19"/>
      <c r="H104" s="19">
        <v>48</v>
      </c>
      <c r="I104" s="19"/>
      <c r="J104" s="3"/>
    </row>
    <row r="105" spans="1:22">
      <c r="A105" s="5">
        <f>A102+1</f>
        <v>75</v>
      </c>
      <c r="B105" t="s">
        <v>25</v>
      </c>
      <c r="D105" s="89">
        <v>468</v>
      </c>
      <c r="E105" s="89">
        <f>F105-D105</f>
        <v>-2</v>
      </c>
      <c r="F105" s="89">
        <v>466</v>
      </c>
      <c r="G105" s="89"/>
      <c r="H105" s="89"/>
      <c r="I105" s="19"/>
      <c r="J105" s="3"/>
    </row>
    <row r="106" spans="1:22" ht="6.75" customHeight="1">
      <c r="A106" s="5"/>
      <c r="D106" s="89"/>
      <c r="E106" s="19"/>
      <c r="F106" s="89"/>
      <c r="G106" s="19"/>
      <c r="H106" s="19" t="s">
        <v>9</v>
      </c>
      <c r="I106" s="19"/>
      <c r="J106" s="3"/>
    </row>
    <row r="107" spans="1:22" ht="6" customHeight="1">
      <c r="A107" s="5"/>
      <c r="D107" s="19"/>
      <c r="E107" s="19"/>
      <c r="F107" s="19"/>
      <c r="G107" s="19"/>
      <c r="H107" s="19"/>
      <c r="I107" s="19"/>
      <c r="J107" s="3"/>
    </row>
    <row r="108" spans="1:22">
      <c r="A108" s="5">
        <f>A105+1</f>
        <v>76</v>
      </c>
      <c r="B108" s="41" t="s">
        <v>20</v>
      </c>
      <c r="C108" s="35"/>
      <c r="D108" s="42">
        <f>D96+D102+D105</f>
        <v>243182</v>
      </c>
      <c r="E108" s="42">
        <f>F108-D108</f>
        <v>-172120.4949903037</v>
      </c>
      <c r="F108" s="43">
        <f>F96+F102+F105</f>
        <v>71061.50500969631</v>
      </c>
      <c r="G108" s="19"/>
      <c r="H108" s="19">
        <v>24</v>
      </c>
      <c r="I108" s="19"/>
      <c r="J108" s="3"/>
    </row>
    <row r="109" spans="1:22" ht="7.5" customHeight="1">
      <c r="A109" s="5"/>
      <c r="D109" s="19"/>
      <c r="E109" s="19"/>
      <c r="F109" s="19"/>
      <c r="G109" s="19"/>
      <c r="H109" s="19"/>
      <c r="I109" s="19"/>
      <c r="J109" s="3"/>
    </row>
    <row r="110" spans="1:22">
      <c r="A110" s="5">
        <f>A108+1</f>
        <v>77</v>
      </c>
      <c r="B110" s="41" t="s">
        <v>141</v>
      </c>
      <c r="C110" s="35"/>
      <c r="D110" s="42">
        <f>D84-D108</f>
        <v>207185</v>
      </c>
      <c r="E110" s="42">
        <f>F110-D110</f>
        <v>6922.9918472740683</v>
      </c>
      <c r="F110" s="43">
        <f>F84-F108</f>
        <v>214107.99184727407</v>
      </c>
      <c r="G110" s="19"/>
      <c r="H110" s="42">
        <v>62497.890920372694</v>
      </c>
      <c r="I110" s="19"/>
      <c r="J110" s="3"/>
    </row>
    <row r="111" spans="1:22" ht="6" customHeight="1">
      <c r="A111" s="5"/>
      <c r="D111" s="19"/>
      <c r="E111" s="19"/>
      <c r="F111" s="19"/>
      <c r="G111" s="19"/>
      <c r="H111" s="19"/>
      <c r="I111" s="19"/>
      <c r="J111" s="3"/>
    </row>
    <row r="112" spans="1:22" ht="12.75" customHeight="1">
      <c r="A112" s="5"/>
      <c r="B112" s="2"/>
      <c r="D112" s="19"/>
      <c r="E112" s="146">
        <f>F110/D110-1</f>
        <v>3.3414541821435328E-2</v>
      </c>
      <c r="G112" s="19"/>
      <c r="H112" s="19"/>
      <c r="I112" s="19"/>
      <c r="J112" s="3"/>
    </row>
    <row r="113" spans="1:22" ht="9" customHeight="1">
      <c r="A113" s="5"/>
      <c r="B113" s="107"/>
      <c r="D113" s="19"/>
      <c r="F113"/>
      <c r="G113" s="19"/>
      <c r="H113" s="19"/>
      <c r="I113" s="19"/>
      <c r="J113" s="3"/>
    </row>
    <row r="114" spans="1:22" ht="12.75" customHeight="1">
      <c r="A114" s="5"/>
      <c r="B114" s="2"/>
      <c r="D114" s="3"/>
      <c r="J114" s="3"/>
    </row>
    <row r="115" spans="1:22">
      <c r="J115" s="3"/>
    </row>
    <row r="116" spans="1:22">
      <c r="J116" s="3">
        <f>SUM(K116:V116)</f>
        <v>171734353.36319831</v>
      </c>
      <c r="K116" s="25">
        <f t="shared" ref="K116:V116" si="45">K29+K44+K59-K96</f>
        <v>19553459.107059382</v>
      </c>
      <c r="L116" s="25">
        <f t="shared" si="45"/>
        <v>18556070.160977982</v>
      </c>
      <c r="M116" s="25">
        <f t="shared" si="45"/>
        <v>16218550.524449985</v>
      </c>
      <c r="N116" s="25">
        <f t="shared" si="45"/>
        <v>10016213.506948214</v>
      </c>
      <c r="O116" s="25">
        <f t="shared" si="45"/>
        <v>7044967.8276265729</v>
      </c>
      <c r="P116" s="25">
        <f t="shared" si="45"/>
        <v>7209115.7016465962</v>
      </c>
      <c r="Q116" s="25">
        <f t="shared" si="45"/>
        <v>10841081.914952151</v>
      </c>
      <c r="R116" s="25">
        <f t="shared" si="45"/>
        <v>16813101.067312896</v>
      </c>
      <c r="S116" s="25">
        <f t="shared" si="45"/>
        <v>13670735.318329437</v>
      </c>
      <c r="T116" s="25">
        <f t="shared" si="45"/>
        <v>14493429.880667888</v>
      </c>
      <c r="U116" s="25">
        <f t="shared" si="45"/>
        <v>17602789.856541961</v>
      </c>
      <c r="V116" s="25">
        <f t="shared" si="45"/>
        <v>19714838.496685226</v>
      </c>
    </row>
    <row r="117" spans="1:22">
      <c r="J117" s="3"/>
    </row>
    <row r="118" spans="1:22">
      <c r="J118" s="3"/>
    </row>
    <row r="119" spans="1:22">
      <c r="J119" s="3"/>
    </row>
    <row r="120" spans="1:22">
      <c r="J120" s="3"/>
    </row>
    <row r="121" spans="1:22">
      <c r="J121" s="3"/>
    </row>
    <row r="122" spans="1:22">
      <c r="J122" s="3"/>
    </row>
    <row r="123" spans="1:22">
      <c r="J123" s="3"/>
    </row>
    <row r="124" spans="1:22">
      <c r="J124" s="3"/>
    </row>
    <row r="125" spans="1:22">
      <c r="J125" s="3"/>
    </row>
    <row r="126" spans="1:22">
      <c r="J126" s="3"/>
    </row>
    <row r="127" spans="1:22">
      <c r="J127" s="3"/>
    </row>
    <row r="128" spans="1:22">
      <c r="J128" s="3"/>
    </row>
    <row r="129" spans="10:10">
      <c r="J129" s="3"/>
    </row>
    <row r="130" spans="10:10">
      <c r="J130" s="3"/>
    </row>
    <row r="131" spans="10:10">
      <c r="J131" s="3"/>
    </row>
    <row r="132" spans="10:10">
      <c r="J132" s="3"/>
    </row>
    <row r="133" spans="10:10">
      <c r="J133" s="3"/>
    </row>
    <row r="134" spans="10:10">
      <c r="J134" s="3"/>
    </row>
    <row r="135" spans="10:10">
      <c r="J135" s="3"/>
    </row>
    <row r="136" spans="10:10">
      <c r="J136" s="3"/>
    </row>
    <row r="137" spans="10:10">
      <c r="J137" s="3"/>
    </row>
    <row r="138" spans="10:10">
      <c r="J138" s="3"/>
    </row>
    <row r="139" spans="10:10">
      <c r="J139" s="3"/>
    </row>
    <row r="140" spans="10:10">
      <c r="J140" s="3"/>
    </row>
    <row r="141" spans="10:10">
      <c r="J141" s="3"/>
    </row>
    <row r="142" spans="10:10">
      <c r="J142" s="3"/>
    </row>
    <row r="143" spans="10:10">
      <c r="J143" s="3"/>
    </row>
    <row r="144" spans="10:10">
      <c r="J144" s="3"/>
    </row>
    <row r="145" spans="10:10">
      <c r="J145" s="3"/>
    </row>
    <row r="146" spans="10:10">
      <c r="J146" s="3"/>
    </row>
    <row r="147" spans="10:10">
      <c r="J147" s="3"/>
    </row>
    <row r="148" spans="10:10">
      <c r="J148" s="3"/>
    </row>
    <row r="149" spans="10:10">
      <c r="J149" s="3"/>
    </row>
    <row r="150" spans="10:10">
      <c r="J150" s="3"/>
    </row>
    <row r="151" spans="10:10">
      <c r="J151" s="3"/>
    </row>
    <row r="152" spans="10:10">
      <c r="J152" s="3"/>
    </row>
    <row r="153" spans="10:10">
      <c r="J153" s="3"/>
    </row>
    <row r="154" spans="10:10">
      <c r="J154" s="3"/>
    </row>
    <row r="155" spans="10:10">
      <c r="J155" s="3"/>
    </row>
    <row r="156" spans="10:10">
      <c r="J156" s="3"/>
    </row>
    <row r="157" spans="10:10">
      <c r="J157" s="3"/>
    </row>
    <row r="158" spans="10:10">
      <c r="J158" s="3"/>
    </row>
    <row r="159" spans="10:10">
      <c r="J159" s="3"/>
    </row>
    <row r="160" spans="10:10">
      <c r="J160" s="3"/>
    </row>
    <row r="161" spans="10:10">
      <c r="J161" s="3"/>
    </row>
    <row r="162" spans="10:10">
      <c r="J162" s="3"/>
    </row>
    <row r="163" spans="10:10">
      <c r="J163" s="3"/>
    </row>
    <row r="164" spans="10:10">
      <c r="J164" s="3"/>
    </row>
    <row r="165" spans="10:10">
      <c r="J165" s="3"/>
    </row>
    <row r="166" spans="10:10">
      <c r="J166" s="3"/>
    </row>
    <row r="167" spans="10:10">
      <c r="J167" s="3"/>
    </row>
    <row r="168" spans="10:10">
      <c r="J168" s="3"/>
    </row>
    <row r="169" spans="10:10">
      <c r="J169" s="3"/>
    </row>
    <row r="170" spans="10:10">
      <c r="J170" s="3"/>
    </row>
    <row r="171" spans="10:10">
      <c r="J171" s="3"/>
    </row>
    <row r="172" spans="10:10">
      <c r="J172" s="3"/>
    </row>
    <row r="173" spans="10:10">
      <c r="J173" s="3"/>
    </row>
    <row r="174" spans="10:10">
      <c r="J174" s="3"/>
    </row>
    <row r="175" spans="10:10">
      <c r="J175" s="3"/>
    </row>
    <row r="176" spans="10:10">
      <c r="J176" s="3"/>
    </row>
    <row r="177" spans="10:10">
      <c r="J177" s="3"/>
    </row>
    <row r="178" spans="10:10">
      <c r="J178" s="3"/>
    </row>
    <row r="179" spans="10:10">
      <c r="J179" s="3"/>
    </row>
    <row r="180" spans="10:10">
      <c r="J180" s="3"/>
    </row>
    <row r="181" spans="10:10">
      <c r="J181" s="3"/>
    </row>
    <row r="182" spans="10:10">
      <c r="J182" s="3"/>
    </row>
    <row r="183" spans="10:10">
      <c r="J183" s="3"/>
    </row>
    <row r="184" spans="10:10">
      <c r="J184" s="3"/>
    </row>
    <row r="185" spans="10:10">
      <c r="J185" s="3"/>
    </row>
    <row r="186" spans="10:10">
      <c r="J186" s="3"/>
    </row>
    <row r="187" spans="10:10">
      <c r="J187" s="3"/>
    </row>
    <row r="188" spans="10:10">
      <c r="J188" s="3"/>
    </row>
    <row r="189" spans="10:10">
      <c r="J189" s="3"/>
    </row>
    <row r="190" spans="10:10">
      <c r="J190" s="3"/>
    </row>
    <row r="191" spans="10:10">
      <c r="J191" s="3"/>
    </row>
    <row r="192" spans="10:10">
      <c r="J192" s="3"/>
    </row>
    <row r="193" spans="10:10">
      <c r="J193" s="3"/>
    </row>
    <row r="194" spans="10:10">
      <c r="J194" s="3"/>
    </row>
    <row r="195" spans="10:10">
      <c r="J195" s="3"/>
    </row>
    <row r="196" spans="10:10">
      <c r="J196" s="3"/>
    </row>
    <row r="197" spans="10:10">
      <c r="J197" s="3"/>
    </row>
    <row r="198" spans="10:10">
      <c r="J198" s="3"/>
    </row>
    <row r="199" spans="10:10">
      <c r="J199" s="3"/>
    </row>
    <row r="200" spans="10:10">
      <c r="J200" s="3"/>
    </row>
    <row r="201" spans="10:10">
      <c r="J201" s="3"/>
    </row>
    <row r="202" spans="10:10">
      <c r="J202" s="3"/>
    </row>
    <row r="203" spans="10:10">
      <c r="J203" s="3"/>
    </row>
    <row r="204" spans="10:10">
      <c r="J204" s="3"/>
    </row>
    <row r="205" spans="10:10">
      <c r="J205" s="3"/>
    </row>
    <row r="206" spans="10:10">
      <c r="J206" s="3"/>
    </row>
    <row r="207" spans="10:10">
      <c r="J207" s="3"/>
    </row>
    <row r="208" spans="10:10">
      <c r="J208" s="3"/>
    </row>
    <row r="209" spans="10:10">
      <c r="J209" s="3"/>
    </row>
    <row r="210" spans="10:10">
      <c r="J210" s="3"/>
    </row>
    <row r="211" spans="10:10">
      <c r="J211" s="3"/>
    </row>
    <row r="212" spans="10:10">
      <c r="J212" s="3"/>
    </row>
    <row r="213" spans="10:10">
      <c r="J213" s="3"/>
    </row>
    <row r="214" spans="10:10">
      <c r="J214" s="3"/>
    </row>
    <row r="215" spans="10:10">
      <c r="J215" s="3"/>
    </row>
    <row r="216" spans="10:10">
      <c r="J216" s="3"/>
    </row>
    <row r="217" spans="10:10">
      <c r="J217" s="3"/>
    </row>
    <row r="218" spans="10:10">
      <c r="J218" s="3"/>
    </row>
    <row r="219" spans="10:10">
      <c r="J219" s="3"/>
    </row>
    <row r="220" spans="10:10">
      <c r="J220" s="3"/>
    </row>
    <row r="221" spans="10:10">
      <c r="J221" s="3"/>
    </row>
    <row r="222" spans="10:10">
      <c r="J222" s="3"/>
    </row>
    <row r="223" spans="10:10">
      <c r="J223" s="3"/>
    </row>
    <row r="224" spans="10: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row r="234" spans="10:10">
      <c r="J234" s="3"/>
    </row>
    <row r="235" spans="10:10">
      <c r="J235" s="3"/>
    </row>
    <row r="236" spans="10:10">
      <c r="J236" s="3"/>
    </row>
    <row r="237" spans="10:10">
      <c r="J237" s="3"/>
    </row>
    <row r="238" spans="10:10">
      <c r="J238" s="3"/>
    </row>
    <row r="239" spans="10:10">
      <c r="J239" s="3"/>
    </row>
    <row r="240" spans="10:10">
      <c r="J240" s="3"/>
    </row>
    <row r="241" spans="10:10">
      <c r="J241" s="3"/>
    </row>
    <row r="242" spans="10:10">
      <c r="J242" s="3"/>
    </row>
    <row r="243" spans="10:10">
      <c r="J243" s="3"/>
    </row>
    <row r="244" spans="10:10">
      <c r="J244" s="3"/>
    </row>
    <row r="245" spans="10:10">
      <c r="J245" s="3"/>
    </row>
    <row r="246" spans="10:10">
      <c r="J246" s="3"/>
    </row>
    <row r="247" spans="10:10">
      <c r="J247" s="3"/>
    </row>
    <row r="248" spans="10:10">
      <c r="J248" s="3"/>
    </row>
    <row r="249" spans="10:10">
      <c r="J249" s="3"/>
    </row>
    <row r="250" spans="10:10">
      <c r="J250" s="3"/>
    </row>
    <row r="251" spans="10:10">
      <c r="J251" s="3"/>
    </row>
    <row r="252" spans="10:10">
      <c r="J252" s="3"/>
    </row>
    <row r="253" spans="10:10">
      <c r="J253" s="3"/>
    </row>
    <row r="254" spans="10:10">
      <c r="J254" s="3"/>
    </row>
    <row r="255" spans="10:10">
      <c r="J255" s="3"/>
    </row>
    <row r="256" spans="10:10">
      <c r="J256" s="3"/>
    </row>
    <row r="257" spans="10:10">
      <c r="J257" s="3"/>
    </row>
    <row r="258" spans="10:10">
      <c r="J258" s="3"/>
    </row>
    <row r="259" spans="10:10">
      <c r="J259" s="3"/>
    </row>
    <row r="260" spans="10:10">
      <c r="J260" s="3"/>
    </row>
    <row r="261" spans="10:10">
      <c r="J261" s="3"/>
    </row>
    <row r="262" spans="10:10">
      <c r="J262" s="3"/>
    </row>
    <row r="263" spans="10:10">
      <c r="J263" s="3"/>
    </row>
    <row r="264" spans="10:10">
      <c r="J264" s="3"/>
    </row>
    <row r="265" spans="10:10">
      <c r="J265" s="3"/>
    </row>
    <row r="266" spans="10:10">
      <c r="J266" s="3"/>
    </row>
    <row r="267" spans="10:10">
      <c r="J267" s="3"/>
    </row>
    <row r="268" spans="10:10">
      <c r="J268" s="3"/>
    </row>
    <row r="269" spans="10:10">
      <c r="J269" s="3"/>
    </row>
    <row r="270" spans="10:10">
      <c r="J270" s="3"/>
    </row>
    <row r="271" spans="10:10">
      <c r="J271" s="3"/>
    </row>
    <row r="272" spans="10: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row r="288" spans="10: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row r="324" spans="10:10">
      <c r="J324" s="3"/>
    </row>
    <row r="325" spans="10:10">
      <c r="J325" s="3"/>
    </row>
    <row r="326" spans="10:10">
      <c r="J326" s="3"/>
    </row>
    <row r="327" spans="10:10">
      <c r="J327" s="3"/>
    </row>
    <row r="328" spans="10:10">
      <c r="J328" s="3"/>
    </row>
    <row r="329" spans="10:10">
      <c r="J329" s="3"/>
    </row>
    <row r="330" spans="10:10">
      <c r="J330" s="3"/>
    </row>
    <row r="331" spans="10:10">
      <c r="J331" s="3"/>
    </row>
    <row r="332" spans="10:10">
      <c r="J332" s="3"/>
    </row>
    <row r="333" spans="10:10">
      <c r="J333" s="3"/>
    </row>
    <row r="334" spans="10:10">
      <c r="J334" s="3"/>
    </row>
    <row r="335" spans="10:10">
      <c r="J335" s="3"/>
    </row>
    <row r="336" spans="10:10">
      <c r="J336" s="3"/>
    </row>
    <row r="337" spans="10:10">
      <c r="J337" s="3"/>
    </row>
    <row r="338" spans="10:10">
      <c r="J338" s="3"/>
    </row>
    <row r="339" spans="10:10">
      <c r="J339" s="3"/>
    </row>
    <row r="340" spans="10:10">
      <c r="J340" s="3"/>
    </row>
    <row r="341" spans="10:10">
      <c r="J341" s="3"/>
    </row>
    <row r="342" spans="10:10">
      <c r="J342" s="3"/>
    </row>
    <row r="343" spans="10:10">
      <c r="J343" s="3"/>
    </row>
    <row r="344" spans="10:10">
      <c r="J344" s="3"/>
    </row>
    <row r="345" spans="10:10">
      <c r="J345" s="3"/>
    </row>
    <row r="346" spans="10:10">
      <c r="J346" s="3"/>
    </row>
    <row r="347" spans="10:10">
      <c r="J347" s="3"/>
    </row>
    <row r="348" spans="10:10">
      <c r="J348" s="3"/>
    </row>
    <row r="349" spans="10:10">
      <c r="J349" s="3"/>
    </row>
    <row r="350" spans="10:10">
      <c r="J350" s="3"/>
    </row>
    <row r="351" spans="10:10">
      <c r="J351" s="3"/>
    </row>
    <row r="352" spans="10:10">
      <c r="J352" s="3"/>
    </row>
    <row r="353" spans="10:10">
      <c r="J353" s="3"/>
    </row>
    <row r="354" spans="10:10">
      <c r="J354" s="3"/>
    </row>
    <row r="355" spans="10:10">
      <c r="J355" s="3"/>
    </row>
    <row r="356" spans="10:10">
      <c r="J356" s="3"/>
    </row>
    <row r="357" spans="10:10">
      <c r="J357" s="3"/>
    </row>
    <row r="358" spans="10:10">
      <c r="J358" s="3"/>
    </row>
    <row r="359" spans="10:10">
      <c r="J359" s="3"/>
    </row>
    <row r="360" spans="10:10">
      <c r="J360" s="3"/>
    </row>
    <row r="361" spans="10:10">
      <c r="J361" s="3"/>
    </row>
    <row r="362" spans="10:10">
      <c r="J362" s="3"/>
    </row>
    <row r="363" spans="10:10">
      <c r="J363" s="3"/>
    </row>
    <row r="364" spans="10:10">
      <c r="J364" s="3"/>
    </row>
    <row r="365" spans="10:10">
      <c r="J365" s="3"/>
    </row>
    <row r="366" spans="10:10">
      <c r="J366" s="3"/>
    </row>
    <row r="367" spans="10:10">
      <c r="J367" s="3"/>
    </row>
    <row r="368" spans="10:10">
      <c r="J368" s="3"/>
    </row>
    <row r="369" spans="10:10">
      <c r="J369" s="3"/>
    </row>
    <row r="370" spans="10:10">
      <c r="J370" s="3"/>
    </row>
    <row r="371" spans="10:10">
      <c r="J371" s="3"/>
    </row>
    <row r="372" spans="10:10">
      <c r="J372" s="3"/>
    </row>
    <row r="373" spans="10:10">
      <c r="J373" s="3"/>
    </row>
    <row r="374" spans="10:10">
      <c r="J374" s="3"/>
    </row>
    <row r="375" spans="10:10">
      <c r="J375" s="3"/>
    </row>
    <row r="376" spans="10:10">
      <c r="J376" s="3"/>
    </row>
    <row r="377" spans="10:10">
      <c r="J377" s="3"/>
    </row>
    <row r="378" spans="10:10">
      <c r="J378" s="3"/>
    </row>
    <row r="379" spans="10:10">
      <c r="J379" s="3"/>
    </row>
    <row r="380" spans="10:10">
      <c r="J380" s="3"/>
    </row>
    <row r="381" spans="10:10">
      <c r="J381" s="3"/>
    </row>
    <row r="382" spans="10:10">
      <c r="J382" s="3"/>
    </row>
    <row r="383" spans="10:10">
      <c r="J383" s="3"/>
    </row>
    <row r="384" spans="10:10">
      <c r="J384" s="3"/>
    </row>
    <row r="385" spans="10:10">
      <c r="J385" s="3"/>
    </row>
    <row r="386" spans="10:10">
      <c r="J386" s="3"/>
    </row>
    <row r="387" spans="10:10">
      <c r="J387" s="3"/>
    </row>
    <row r="388" spans="10:10">
      <c r="J388" s="3"/>
    </row>
    <row r="389" spans="10:10">
      <c r="J389" s="3"/>
    </row>
    <row r="390" spans="10:10">
      <c r="J390" s="3"/>
    </row>
    <row r="391" spans="10:10">
      <c r="J391" s="3"/>
    </row>
    <row r="392" spans="10:10">
      <c r="J392" s="3"/>
    </row>
    <row r="393" spans="10:10">
      <c r="J393" s="3"/>
    </row>
    <row r="394" spans="10:10">
      <c r="J394" s="3"/>
    </row>
    <row r="395" spans="10:10">
      <c r="J395" s="3"/>
    </row>
    <row r="396" spans="10:10">
      <c r="J396" s="3"/>
    </row>
    <row r="397" spans="10:10">
      <c r="J397" s="3"/>
    </row>
    <row r="398" spans="10:10">
      <c r="J398" s="3"/>
    </row>
    <row r="399" spans="10:10">
      <c r="J399" s="3"/>
    </row>
    <row r="400" spans="10:10">
      <c r="J400" s="3"/>
    </row>
    <row r="401" spans="10:10">
      <c r="J401" s="3"/>
    </row>
    <row r="402" spans="10:10">
      <c r="J402" s="3"/>
    </row>
    <row r="403" spans="10:10">
      <c r="J403" s="3"/>
    </row>
    <row r="404" spans="10:10">
      <c r="J404" s="3"/>
    </row>
    <row r="405" spans="10:10">
      <c r="J405" s="3"/>
    </row>
    <row r="406" spans="10:10">
      <c r="J406" s="3"/>
    </row>
    <row r="407" spans="10:10">
      <c r="J407" s="3"/>
    </row>
    <row r="408" spans="10:10">
      <c r="J408" s="3"/>
    </row>
    <row r="409" spans="10:10">
      <c r="J409" s="3"/>
    </row>
    <row r="410" spans="10:10">
      <c r="J410" s="3"/>
    </row>
    <row r="411" spans="10:10">
      <c r="J411" s="3"/>
    </row>
    <row r="412" spans="10:10">
      <c r="J412" s="3"/>
    </row>
    <row r="413" spans="10:10">
      <c r="J413" s="3"/>
    </row>
    <row r="414" spans="10:10">
      <c r="J414" s="3"/>
    </row>
    <row r="415" spans="10:10">
      <c r="J415" s="3"/>
    </row>
    <row r="416" spans="10:10">
      <c r="J416" s="3"/>
    </row>
    <row r="417" spans="10:10">
      <c r="J417" s="3"/>
    </row>
    <row r="418" spans="10:10">
      <c r="J418" s="3"/>
    </row>
    <row r="419" spans="10:10">
      <c r="J419" s="3"/>
    </row>
    <row r="420" spans="10:10">
      <c r="J420" s="3"/>
    </row>
    <row r="421" spans="10:10">
      <c r="J421" s="3"/>
    </row>
    <row r="422" spans="10:10">
      <c r="J422" s="3"/>
    </row>
    <row r="423" spans="10:10">
      <c r="J423" s="3"/>
    </row>
    <row r="424" spans="10:10">
      <c r="J424" s="3"/>
    </row>
    <row r="425" spans="10:10">
      <c r="J425" s="3"/>
    </row>
    <row r="426" spans="10:10">
      <c r="J426" s="3"/>
    </row>
    <row r="427" spans="10:10">
      <c r="J427" s="3"/>
    </row>
    <row r="428" spans="10:10">
      <c r="J428" s="3"/>
    </row>
    <row r="429" spans="10:10">
      <c r="J429" s="3"/>
    </row>
    <row r="430" spans="10:10">
      <c r="J430" s="3"/>
    </row>
    <row r="431" spans="10:10">
      <c r="J431" s="3"/>
    </row>
    <row r="432" spans="10:10">
      <c r="J432" s="3"/>
    </row>
    <row r="433" spans="10:10">
      <c r="J433" s="3"/>
    </row>
    <row r="434" spans="10:10">
      <c r="J434" s="3"/>
    </row>
    <row r="435" spans="10:10">
      <c r="J435" s="3"/>
    </row>
    <row r="436" spans="10:10">
      <c r="J436" s="3"/>
    </row>
    <row r="437" spans="10:10">
      <c r="J437" s="3"/>
    </row>
    <row r="438" spans="10:10">
      <c r="J438" s="3"/>
    </row>
    <row r="439" spans="10:10">
      <c r="J439" s="3"/>
    </row>
    <row r="440" spans="10:10">
      <c r="J440" s="3"/>
    </row>
    <row r="441" spans="10:10">
      <c r="J441" s="3"/>
    </row>
    <row r="442" spans="10:10">
      <c r="J442" s="3"/>
    </row>
    <row r="443" spans="10:10">
      <c r="J443" s="3"/>
    </row>
    <row r="444" spans="10:10">
      <c r="J444" s="3"/>
    </row>
    <row r="445" spans="10:10">
      <c r="J445" s="3"/>
    </row>
    <row r="446" spans="10:10">
      <c r="J446" s="3"/>
    </row>
    <row r="447" spans="10:10">
      <c r="J447" s="3"/>
    </row>
    <row r="448" spans="10:10">
      <c r="J448" s="3"/>
    </row>
    <row r="449" spans="10:10">
      <c r="J449" s="3"/>
    </row>
    <row r="450" spans="10:10">
      <c r="J450" s="3"/>
    </row>
    <row r="451" spans="10:10">
      <c r="J451" s="3"/>
    </row>
    <row r="452" spans="10:10">
      <c r="J452" s="3"/>
    </row>
    <row r="453" spans="10:10">
      <c r="J453" s="3"/>
    </row>
    <row r="454" spans="10:10">
      <c r="J454" s="3"/>
    </row>
    <row r="455" spans="10:10">
      <c r="J455" s="3"/>
    </row>
    <row r="456" spans="10:10">
      <c r="J456" s="3"/>
    </row>
    <row r="457" spans="10:10">
      <c r="J457" s="3"/>
    </row>
    <row r="458" spans="10:10">
      <c r="J458" s="3"/>
    </row>
    <row r="459" spans="10:10">
      <c r="J459" s="3"/>
    </row>
    <row r="460" spans="10:10">
      <c r="J460" s="3"/>
    </row>
    <row r="461" spans="10:10">
      <c r="J461" s="3"/>
    </row>
    <row r="462" spans="10:10">
      <c r="J462" s="3"/>
    </row>
    <row r="463" spans="10:10">
      <c r="J463" s="3"/>
    </row>
    <row r="464" spans="10:10">
      <c r="J464" s="3"/>
    </row>
    <row r="465" spans="10:10">
      <c r="J465" s="3"/>
    </row>
    <row r="466" spans="10:10">
      <c r="J466" s="3"/>
    </row>
    <row r="467" spans="10:10">
      <c r="J467" s="3"/>
    </row>
    <row r="468" spans="10:10">
      <c r="J468" s="3"/>
    </row>
    <row r="469" spans="10:10">
      <c r="J469" s="3"/>
    </row>
    <row r="470" spans="10:10">
      <c r="J470" s="3"/>
    </row>
    <row r="471" spans="10:10">
      <c r="J471" s="3"/>
    </row>
    <row r="472" spans="10:10">
      <c r="J472" s="3"/>
    </row>
    <row r="473" spans="10:10">
      <c r="J473" s="3"/>
    </row>
    <row r="474" spans="10:10">
      <c r="J474" s="3"/>
    </row>
    <row r="475" spans="10:10">
      <c r="J475" s="3"/>
    </row>
    <row r="476" spans="10:10">
      <c r="J476" s="3"/>
    </row>
    <row r="477" spans="10:10">
      <c r="J477" s="3"/>
    </row>
    <row r="478" spans="10:10">
      <c r="J478" s="3"/>
    </row>
    <row r="479" spans="10:10">
      <c r="J479" s="3"/>
    </row>
    <row r="480" spans="10:10">
      <c r="J480" s="3"/>
    </row>
    <row r="481" spans="10:10">
      <c r="J481" s="3"/>
    </row>
    <row r="482" spans="10:10">
      <c r="J482" s="3"/>
    </row>
    <row r="483" spans="10:10">
      <c r="J483" s="3"/>
    </row>
    <row r="484" spans="10:10">
      <c r="J484" s="3"/>
    </row>
    <row r="485" spans="10:10">
      <c r="J485" s="3"/>
    </row>
    <row r="486" spans="10:10">
      <c r="J486" s="3"/>
    </row>
    <row r="487" spans="10:10">
      <c r="J487" s="3"/>
    </row>
    <row r="488" spans="10:10">
      <c r="J488" s="3"/>
    </row>
    <row r="489" spans="10:10">
      <c r="J489" s="3"/>
    </row>
    <row r="490" spans="10:10">
      <c r="J490" s="3"/>
    </row>
    <row r="491" spans="10:10">
      <c r="J491" s="3"/>
    </row>
    <row r="492" spans="10:10">
      <c r="J492" s="3"/>
    </row>
    <row r="493" spans="10:10">
      <c r="J493" s="3"/>
    </row>
    <row r="494" spans="10:10">
      <c r="J494" s="3"/>
    </row>
    <row r="495" spans="10:10">
      <c r="J495" s="3"/>
    </row>
    <row r="496" spans="10:10">
      <c r="J496" s="3"/>
    </row>
    <row r="497" spans="10:10">
      <c r="J497" s="3"/>
    </row>
    <row r="498" spans="10:10">
      <c r="J498" s="3"/>
    </row>
    <row r="499" spans="10:10">
      <c r="J499" s="3"/>
    </row>
    <row r="500" spans="10:10">
      <c r="J500" s="3"/>
    </row>
    <row r="501" spans="10:10">
      <c r="J501" s="3"/>
    </row>
    <row r="502" spans="10:10">
      <c r="J502" s="3"/>
    </row>
    <row r="503" spans="10:10">
      <c r="J503" s="3"/>
    </row>
    <row r="504" spans="10:10">
      <c r="J504" s="3"/>
    </row>
    <row r="505" spans="10:10">
      <c r="J505" s="3"/>
    </row>
    <row r="506" spans="10:10">
      <c r="J506" s="3"/>
    </row>
    <row r="507" spans="10:10">
      <c r="J507" s="3"/>
    </row>
    <row r="508" spans="10:10">
      <c r="J508" s="3"/>
    </row>
    <row r="509" spans="10:10">
      <c r="J509" s="3"/>
    </row>
    <row r="510" spans="10:10">
      <c r="J510" s="3"/>
    </row>
    <row r="511" spans="10:10">
      <c r="J511" s="3"/>
    </row>
    <row r="512" spans="10:10">
      <c r="J512" s="3"/>
    </row>
    <row r="513" spans="10:10">
      <c r="J513" s="3"/>
    </row>
    <row r="514" spans="10:10">
      <c r="J514" s="3"/>
    </row>
    <row r="515" spans="10:10">
      <c r="J515" s="3"/>
    </row>
    <row r="516" spans="10:10">
      <c r="J516" s="3"/>
    </row>
    <row r="517" spans="10:10">
      <c r="J517" s="3"/>
    </row>
    <row r="518" spans="10:10">
      <c r="J518" s="3"/>
    </row>
    <row r="519" spans="10:10">
      <c r="J519" s="3"/>
    </row>
    <row r="520" spans="10:10">
      <c r="J520" s="3"/>
    </row>
    <row r="521" spans="10:10">
      <c r="J521" s="3"/>
    </row>
    <row r="522" spans="10:10">
      <c r="J522" s="3"/>
    </row>
    <row r="523" spans="10:10">
      <c r="J523" s="3"/>
    </row>
    <row r="524" spans="10:10">
      <c r="J524" s="3"/>
    </row>
    <row r="525" spans="10:10">
      <c r="J525" s="3"/>
    </row>
    <row r="526" spans="10:10">
      <c r="J526" s="3"/>
    </row>
    <row r="527" spans="10:10">
      <c r="J527" s="3"/>
    </row>
    <row r="528" spans="10:10">
      <c r="J528" s="3"/>
    </row>
    <row r="529" spans="10:10">
      <c r="J529" s="3"/>
    </row>
    <row r="530" spans="10:10">
      <c r="J530" s="3"/>
    </row>
    <row r="531" spans="10:10">
      <c r="J531" s="3"/>
    </row>
    <row r="532" spans="10:10">
      <c r="J532" s="3"/>
    </row>
    <row r="533" spans="10:10">
      <c r="J533" s="3"/>
    </row>
    <row r="534" spans="10:10">
      <c r="J534" s="3"/>
    </row>
    <row r="535" spans="10:10">
      <c r="J535" s="3"/>
    </row>
    <row r="536" spans="10:10">
      <c r="J536" s="3"/>
    </row>
    <row r="537" spans="10:10">
      <c r="J537" s="3"/>
    </row>
    <row r="538" spans="10:10">
      <c r="J538" s="3"/>
    </row>
    <row r="539" spans="10:10">
      <c r="J539" s="3"/>
    </row>
    <row r="540" spans="10:10">
      <c r="J540" s="3"/>
    </row>
    <row r="541" spans="10:10">
      <c r="J541" s="3"/>
    </row>
    <row r="542" spans="10:10">
      <c r="J542" s="3"/>
    </row>
    <row r="543" spans="10:10">
      <c r="J543" s="3"/>
    </row>
    <row r="544" spans="10:10">
      <c r="J544" s="3"/>
    </row>
    <row r="545" spans="10:10">
      <c r="J545" s="3"/>
    </row>
    <row r="546" spans="10:10">
      <c r="J546" s="3"/>
    </row>
    <row r="547" spans="10:10">
      <c r="J547" s="3"/>
    </row>
    <row r="548" spans="10:10">
      <c r="J548" s="3"/>
    </row>
    <row r="549" spans="10:10">
      <c r="J549" s="3"/>
    </row>
    <row r="550" spans="10:10">
      <c r="J550" s="3"/>
    </row>
    <row r="551" spans="10:10">
      <c r="J551" s="3"/>
    </row>
    <row r="552" spans="10:10">
      <c r="J552" s="3"/>
    </row>
    <row r="553" spans="10:10">
      <c r="J553" s="3"/>
    </row>
    <row r="554" spans="10:10">
      <c r="J554" s="3"/>
    </row>
    <row r="555" spans="10:10">
      <c r="J555" s="3"/>
    </row>
    <row r="556" spans="10:10">
      <c r="J556" s="3"/>
    </row>
    <row r="557" spans="10:10">
      <c r="J557" s="3"/>
    </row>
    <row r="558" spans="10:10">
      <c r="J558" s="3"/>
    </row>
    <row r="559" spans="10:10">
      <c r="J559" s="3"/>
    </row>
    <row r="560" spans="10:10">
      <c r="J560" s="3"/>
    </row>
    <row r="561" spans="10:10">
      <c r="J561" s="3"/>
    </row>
    <row r="562" spans="10:10">
      <c r="J562" s="3"/>
    </row>
    <row r="563" spans="10:10">
      <c r="J563" s="3"/>
    </row>
    <row r="564" spans="10:10">
      <c r="J564" s="3"/>
    </row>
    <row r="565" spans="10:10">
      <c r="J565" s="3"/>
    </row>
    <row r="566" spans="10:10">
      <c r="J566" s="3"/>
    </row>
    <row r="567" spans="10:10">
      <c r="J567" s="3"/>
    </row>
    <row r="568" spans="10:10">
      <c r="J568" s="3"/>
    </row>
    <row r="569" spans="10:10">
      <c r="J569" s="3"/>
    </row>
    <row r="570" spans="10:10">
      <c r="J570" s="3"/>
    </row>
    <row r="571" spans="10:10">
      <c r="J571" s="3"/>
    </row>
    <row r="572" spans="10:10">
      <c r="J572" s="3"/>
    </row>
    <row r="573" spans="10:10">
      <c r="J573" s="3"/>
    </row>
    <row r="574" spans="10:10">
      <c r="J574" s="3"/>
    </row>
    <row r="575" spans="10:10">
      <c r="J575" s="3"/>
    </row>
    <row r="576" spans="10:10">
      <c r="J576" s="3"/>
    </row>
    <row r="577" spans="10:10">
      <c r="J577" s="3"/>
    </row>
    <row r="578" spans="10:10">
      <c r="J578" s="3"/>
    </row>
    <row r="579" spans="10:10">
      <c r="J579" s="3"/>
    </row>
    <row r="580" spans="10:10">
      <c r="J580" s="3"/>
    </row>
    <row r="581" spans="10:10">
      <c r="J581" s="3"/>
    </row>
    <row r="582" spans="10:10">
      <c r="J582" s="3"/>
    </row>
    <row r="583" spans="10:10">
      <c r="J583" s="3"/>
    </row>
    <row r="584" spans="10:10">
      <c r="J584" s="3"/>
    </row>
    <row r="585" spans="10:10">
      <c r="J585" s="3"/>
    </row>
    <row r="586" spans="10:10">
      <c r="J586" s="3"/>
    </row>
    <row r="587" spans="10:10">
      <c r="J587" s="3"/>
    </row>
    <row r="588" spans="10:10">
      <c r="J588" s="3"/>
    </row>
    <row r="589" spans="10:10">
      <c r="J589" s="3"/>
    </row>
    <row r="590" spans="10:10">
      <c r="J590" s="3"/>
    </row>
    <row r="591" spans="10:10">
      <c r="J591" s="3"/>
    </row>
    <row r="592" spans="10:10">
      <c r="J592" s="3"/>
    </row>
    <row r="593" spans="10:10">
      <c r="J593" s="3"/>
    </row>
    <row r="594" spans="10:10">
      <c r="J594" s="3"/>
    </row>
    <row r="595" spans="10:10">
      <c r="J595" s="3"/>
    </row>
    <row r="596" spans="10:10">
      <c r="J596" s="3"/>
    </row>
    <row r="597" spans="10:10">
      <c r="J597" s="3"/>
    </row>
    <row r="598" spans="10:10">
      <c r="J598" s="3"/>
    </row>
    <row r="599" spans="10:10">
      <c r="J599" s="3"/>
    </row>
    <row r="600" spans="10:10">
      <c r="J600" s="3"/>
    </row>
    <row r="601" spans="10:10">
      <c r="J601" s="3"/>
    </row>
    <row r="602" spans="10:10">
      <c r="J602" s="3"/>
    </row>
    <row r="603" spans="10:10">
      <c r="J603" s="3"/>
    </row>
    <row r="604" spans="10:10">
      <c r="J604" s="3"/>
    </row>
    <row r="605" spans="10:10">
      <c r="J605" s="3"/>
    </row>
    <row r="606" spans="10:10">
      <c r="J606" s="3"/>
    </row>
    <row r="607" spans="10:10">
      <c r="J607" s="3"/>
    </row>
    <row r="608" spans="10:10">
      <c r="J608" s="3"/>
    </row>
    <row r="609" spans="10:10">
      <c r="J609" s="3"/>
    </row>
    <row r="610" spans="10:10">
      <c r="J610" s="3"/>
    </row>
    <row r="611" spans="10:10">
      <c r="J611" s="3"/>
    </row>
    <row r="612" spans="10:10">
      <c r="J612" s="3"/>
    </row>
    <row r="613" spans="10:10">
      <c r="J613" s="3"/>
    </row>
    <row r="614" spans="10:10">
      <c r="J614" s="3"/>
    </row>
    <row r="615" spans="10:10">
      <c r="J615" s="3"/>
    </row>
    <row r="616" spans="10:10">
      <c r="J616" s="3"/>
    </row>
    <row r="617" spans="10:10">
      <c r="J617" s="3"/>
    </row>
    <row r="618" spans="10:10">
      <c r="J618" s="3"/>
    </row>
    <row r="619" spans="10:10">
      <c r="J619" s="3"/>
    </row>
    <row r="620" spans="10:10">
      <c r="J620" s="3"/>
    </row>
    <row r="621" spans="10:10">
      <c r="J621" s="3"/>
    </row>
    <row r="622" spans="10:10">
      <c r="J622" s="3"/>
    </row>
    <row r="623" spans="10:10">
      <c r="J623" s="3"/>
    </row>
    <row r="624" spans="10:10">
      <c r="J624" s="3"/>
    </row>
    <row r="625" spans="10:10">
      <c r="J625" s="3"/>
    </row>
    <row r="626" spans="10:10">
      <c r="J626" s="3"/>
    </row>
    <row r="627" spans="10:10">
      <c r="J627" s="3"/>
    </row>
    <row r="628" spans="10:10">
      <c r="J628" s="3"/>
    </row>
    <row r="629" spans="10:10">
      <c r="J629" s="3"/>
    </row>
    <row r="630" spans="10:10">
      <c r="J630" s="3"/>
    </row>
    <row r="631" spans="10:10">
      <c r="J631" s="3"/>
    </row>
    <row r="632" spans="10:10">
      <c r="J632" s="3"/>
    </row>
    <row r="633" spans="10:10">
      <c r="J633" s="3"/>
    </row>
    <row r="634" spans="10:10">
      <c r="J634" s="3"/>
    </row>
    <row r="635" spans="10:10">
      <c r="J635" s="3"/>
    </row>
    <row r="636" spans="10:10">
      <c r="J636" s="3"/>
    </row>
    <row r="637" spans="10:10">
      <c r="J637" s="3"/>
    </row>
    <row r="638" spans="10:10">
      <c r="J638" s="3"/>
    </row>
    <row r="639" spans="10:10">
      <c r="J639" s="3"/>
    </row>
    <row r="640" spans="10:10">
      <c r="J640" s="3"/>
    </row>
    <row r="641" spans="10:10">
      <c r="J641" s="3"/>
    </row>
    <row r="642" spans="10:10">
      <c r="J642" s="3"/>
    </row>
    <row r="643" spans="10:10">
      <c r="J643" s="3"/>
    </row>
    <row r="644" spans="10:10">
      <c r="J644" s="3"/>
    </row>
    <row r="645" spans="10:10">
      <c r="J645" s="3"/>
    </row>
    <row r="646" spans="10:10">
      <c r="J646" s="3"/>
    </row>
    <row r="647" spans="10:10">
      <c r="J647" s="3"/>
    </row>
    <row r="648" spans="10:10">
      <c r="J648" s="3"/>
    </row>
    <row r="649" spans="10:10">
      <c r="J649" s="3"/>
    </row>
    <row r="650" spans="10:10">
      <c r="J650" s="3"/>
    </row>
    <row r="651" spans="10:10">
      <c r="J651" s="3"/>
    </row>
    <row r="652" spans="10:10">
      <c r="J652" s="3"/>
    </row>
    <row r="653" spans="10:10">
      <c r="J653" s="3"/>
    </row>
    <row r="654" spans="10:10">
      <c r="J654" s="3"/>
    </row>
    <row r="655" spans="10:10">
      <c r="J655" s="3"/>
    </row>
    <row r="656" spans="10:10">
      <c r="J656" s="3"/>
    </row>
    <row r="657" spans="10:10">
      <c r="J657" s="3"/>
    </row>
    <row r="658" spans="10:10">
      <c r="J658" s="3"/>
    </row>
    <row r="659" spans="10:10">
      <c r="J659" s="3"/>
    </row>
    <row r="660" spans="10:10">
      <c r="J660" s="3"/>
    </row>
    <row r="661" spans="10:10">
      <c r="J661" s="3"/>
    </row>
    <row r="662" spans="10:10">
      <c r="J662" s="3"/>
    </row>
    <row r="663" spans="10:10">
      <c r="J663" s="3"/>
    </row>
    <row r="664" spans="10:10">
      <c r="J664" s="3"/>
    </row>
    <row r="665" spans="10:10">
      <c r="J665" s="3"/>
    </row>
    <row r="666" spans="10:10">
      <c r="J666" s="3"/>
    </row>
    <row r="667" spans="10:10">
      <c r="J667" s="3"/>
    </row>
    <row r="668" spans="10:10">
      <c r="J668" s="3"/>
    </row>
    <row r="669" spans="10:10">
      <c r="J669" s="3"/>
    </row>
    <row r="670" spans="10:10">
      <c r="J670" s="3"/>
    </row>
    <row r="671" spans="10:10">
      <c r="J671" s="3"/>
    </row>
    <row r="672" spans="10:10">
      <c r="J672" s="3"/>
    </row>
    <row r="673" spans="10:10">
      <c r="J673" s="3"/>
    </row>
    <row r="674" spans="10:10">
      <c r="J674" s="3"/>
    </row>
    <row r="675" spans="10:10">
      <c r="J675" s="3"/>
    </row>
    <row r="676" spans="10:10">
      <c r="J676" s="3"/>
    </row>
    <row r="677" spans="10:10">
      <c r="J677" s="3"/>
    </row>
    <row r="678" spans="10:10">
      <c r="J678" s="3"/>
    </row>
    <row r="679" spans="10:10">
      <c r="J679" s="3"/>
    </row>
    <row r="680" spans="10:10">
      <c r="J680" s="3"/>
    </row>
    <row r="681" spans="10:10">
      <c r="J681" s="3"/>
    </row>
    <row r="682" spans="10:10">
      <c r="J682" s="3"/>
    </row>
    <row r="683" spans="10:10">
      <c r="J683" s="3"/>
    </row>
    <row r="684" spans="10:10">
      <c r="J684" s="3"/>
    </row>
    <row r="685" spans="10:10">
      <c r="J685" s="3"/>
    </row>
    <row r="686" spans="10:10">
      <c r="J686" s="3"/>
    </row>
    <row r="687" spans="10:10">
      <c r="J687" s="3"/>
    </row>
    <row r="688" spans="10:10">
      <c r="J688" s="3"/>
    </row>
    <row r="689" spans="10:10">
      <c r="J689" s="3"/>
    </row>
  </sheetData>
  <phoneticPr fontId="6" type="noConversion"/>
  <pageMargins left="0.75" right="0.75" top="1" bottom="1" header="0.5" footer="0.5"/>
  <pageSetup scale="80" orientation="portrait" verticalDpi="4294967292" r:id="rId1"/>
  <headerFooter alignWithMargins="0"/>
  <rowBreaks count="1" manualBreakCount="1">
    <brk id="63" max="5"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Q56"/>
  <sheetViews>
    <sheetView topLeftCell="A5" zoomScaleNormal="100" workbookViewId="0">
      <selection activeCell="A20" sqref="A20"/>
    </sheetView>
  </sheetViews>
  <sheetFormatPr defaultColWidth="11.42578125" defaultRowHeight="12.75"/>
  <cols>
    <col min="1" max="1" width="46.140625" customWidth="1"/>
    <col min="2" max="2" width="2" hidden="1" customWidth="1"/>
    <col min="3" max="15" width="13.85546875" customWidth="1"/>
  </cols>
  <sheetData>
    <row r="1" spans="1:16" ht="18">
      <c r="A1" s="88" t="s">
        <v>31</v>
      </c>
    </row>
    <row r="2" spans="1:16" ht="18">
      <c r="A2" s="88" t="s">
        <v>117</v>
      </c>
    </row>
    <row r="3" spans="1:16" ht="18">
      <c r="A3" s="88" t="s">
        <v>294</v>
      </c>
      <c r="I3" s="14"/>
    </row>
    <row r="4" spans="1:16" ht="18">
      <c r="A4" s="88"/>
      <c r="B4" s="54"/>
      <c r="I4" s="14"/>
    </row>
    <row r="6" spans="1:16">
      <c r="C6" s="37"/>
      <c r="D6" s="37">
        <v>744</v>
      </c>
      <c r="E6" s="37">
        <v>696</v>
      </c>
      <c r="F6" s="37">
        <v>743</v>
      </c>
      <c r="G6" s="37">
        <v>720</v>
      </c>
      <c r="H6" s="37">
        <v>744</v>
      </c>
      <c r="I6" s="37">
        <v>720</v>
      </c>
      <c r="J6" s="37">
        <v>744</v>
      </c>
      <c r="K6" s="37">
        <v>744</v>
      </c>
      <c r="L6" s="37">
        <v>720</v>
      </c>
      <c r="M6" s="37">
        <v>744</v>
      </c>
      <c r="N6" s="37">
        <v>721</v>
      </c>
      <c r="O6" s="37">
        <v>744</v>
      </c>
    </row>
    <row r="7" spans="1:16">
      <c r="C7" s="23" t="s">
        <v>32</v>
      </c>
      <c r="D7" s="130">
        <v>40908</v>
      </c>
      <c r="E7" s="130">
        <v>40939</v>
      </c>
      <c r="F7" s="130">
        <v>40968</v>
      </c>
      <c r="G7" s="130">
        <v>40999</v>
      </c>
      <c r="H7" s="130">
        <v>41029</v>
      </c>
      <c r="I7" s="130">
        <v>41060</v>
      </c>
      <c r="J7" s="130">
        <v>41090</v>
      </c>
      <c r="K7" s="130">
        <v>41121</v>
      </c>
      <c r="L7" s="130">
        <v>41152</v>
      </c>
      <c r="M7" s="130">
        <v>41182</v>
      </c>
      <c r="N7" s="130">
        <v>41213</v>
      </c>
      <c r="O7" s="130">
        <v>41243</v>
      </c>
    </row>
    <row r="8" spans="1:16">
      <c r="C8" s="50"/>
    </row>
    <row r="9" spans="1:16">
      <c r="A9" t="s">
        <v>106</v>
      </c>
      <c r="B9" s="5" t="s">
        <v>50</v>
      </c>
      <c r="C9" s="38">
        <f>SUM(D9:O9)</f>
        <v>-43752342.488583736</v>
      </c>
      <c r="D9" s="25">
        <f>Aurora!B33*1000</f>
        <v>-4083277.5163650499</v>
      </c>
      <c r="E9" s="25">
        <f>Aurora!C33*1000</f>
        <v>-3054662.2917175302</v>
      </c>
      <c r="F9" s="25">
        <f>Aurora!D33*1000</f>
        <v>-3499065.7981872601</v>
      </c>
      <c r="G9" s="25">
        <f>Aurora!E33*1000</f>
        <v>-5856135.3710174598</v>
      </c>
      <c r="H9" s="25">
        <f>Aurora!F33*1000</f>
        <v>-3538606.3085138798</v>
      </c>
      <c r="I9" s="25">
        <f>Aurora!G33*1000</f>
        <v>-2860908.0694675399</v>
      </c>
      <c r="J9" s="25">
        <f>Aurora!H33*1000</f>
        <v>-3907252.79064178</v>
      </c>
      <c r="K9" s="25">
        <f>Aurora!I33*1000</f>
        <v>-1613807.74526875</v>
      </c>
      <c r="L9" s="25">
        <f>Aurora!J33*1000</f>
        <v>-2912738.7029647799</v>
      </c>
      <c r="M9" s="25">
        <f>Aurora!K33*1000</f>
        <v>-3343837.7159118699</v>
      </c>
      <c r="N9" s="25">
        <f>Aurora!L33*1000</f>
        <v>-4542745.13244629</v>
      </c>
      <c r="O9" s="25">
        <f>Aurora!M33*1000</f>
        <v>-4539305.0460815402</v>
      </c>
      <c r="P9" s="25"/>
    </row>
    <row r="10" spans="1:16">
      <c r="A10" t="s">
        <v>107</v>
      </c>
      <c r="C10" s="26">
        <f>SUM(D10:O10)</f>
        <v>-1517528.4246783082</v>
      </c>
      <c r="D10" s="3">
        <f>Aurora!B29*1000</f>
        <v>-111976.68689575201</v>
      </c>
      <c r="E10" s="3">
        <f>Aurora!C29*1000</f>
        <v>-87847.400488281201</v>
      </c>
      <c r="F10" s="3">
        <f>Aurora!D29*1000</f>
        <v>-108563.490844727</v>
      </c>
      <c r="G10" s="3">
        <f>Aurora!E29*1000</f>
        <v>-215596.79414062499</v>
      </c>
      <c r="H10" s="3">
        <f>Aurora!F29*1000</f>
        <v>-201875.44150390601</v>
      </c>
      <c r="I10" s="3">
        <f>Aurora!G29*1000</f>
        <v>-182404.88525390599</v>
      </c>
      <c r="J10" s="3">
        <f>Aurora!H29*1000</f>
        <v>-133782.17234497101</v>
      </c>
      <c r="K10" s="3">
        <f>Aurora!I29*1000</f>
        <v>-47444.669185143699</v>
      </c>
      <c r="L10" s="3">
        <f>Aurora!J29*1000</f>
        <v>-81715.343566894502</v>
      </c>
      <c r="M10" s="3">
        <f>Aurora!K29*1000</f>
        <v>-94374.5007568359</v>
      </c>
      <c r="N10" s="3">
        <f>Aurora!L29*1000</f>
        <v>-129529.66127929698</v>
      </c>
      <c r="O10" s="3">
        <f>Aurora!M29*1000</f>
        <v>-122417.37841796901</v>
      </c>
    </row>
    <row r="11" spans="1:16" hidden="1">
      <c r="A11" t="s">
        <v>51</v>
      </c>
      <c r="C11" s="28">
        <f>C9/C10</f>
        <v>28.831316617913455</v>
      </c>
      <c r="D11" s="29">
        <f>D9/D10</f>
        <v>36.465425344888956</v>
      </c>
      <c r="E11" s="29">
        <f t="shared" ref="E11:O11" si="0">E9/E10</f>
        <v>34.77236975412859</v>
      </c>
      <c r="F11" s="29">
        <f t="shared" si="0"/>
        <v>32.230594014260291</v>
      </c>
      <c r="G11" s="29">
        <f t="shared" si="0"/>
        <v>27.162441790288131</v>
      </c>
      <c r="H11" s="29">
        <f t="shared" si="0"/>
        <v>17.528661644786609</v>
      </c>
      <c r="I11" s="29">
        <f t="shared" si="0"/>
        <v>15.684382934619219</v>
      </c>
      <c r="J11" s="29">
        <f t="shared" si="0"/>
        <v>29.206079720147834</v>
      </c>
      <c r="K11" s="29">
        <f t="shared" si="0"/>
        <v>34.014522031361956</v>
      </c>
      <c r="L11" s="29">
        <f t="shared" si="0"/>
        <v>35.644942257145736</v>
      </c>
      <c r="M11" s="29">
        <f t="shared" si="0"/>
        <v>35.43158044912532</v>
      </c>
      <c r="N11" s="29">
        <f t="shared" si="0"/>
        <v>35.071080149364732</v>
      </c>
      <c r="O11" s="29">
        <f t="shared" si="0"/>
        <v>37.080560821871345</v>
      </c>
    </row>
    <row r="12" spans="1:16">
      <c r="A12" t="s">
        <v>105</v>
      </c>
      <c r="C12" s="51">
        <f>C9/C10</f>
        <v>28.831316617913455</v>
      </c>
      <c r="D12" s="49">
        <f>D9/D10</f>
        <v>36.465425344888956</v>
      </c>
      <c r="E12" s="49">
        <f t="shared" ref="E12:O12" si="1">E9/E10</f>
        <v>34.77236975412859</v>
      </c>
      <c r="F12" s="49">
        <f t="shared" si="1"/>
        <v>32.230594014260291</v>
      </c>
      <c r="G12" s="49">
        <f t="shared" si="1"/>
        <v>27.162441790288131</v>
      </c>
      <c r="H12" s="49">
        <f t="shared" si="1"/>
        <v>17.528661644786609</v>
      </c>
      <c r="I12" s="49">
        <f t="shared" si="1"/>
        <v>15.684382934619219</v>
      </c>
      <c r="J12" s="49">
        <f t="shared" si="1"/>
        <v>29.206079720147834</v>
      </c>
      <c r="K12" s="49">
        <f t="shared" si="1"/>
        <v>34.014522031361956</v>
      </c>
      <c r="L12" s="49">
        <f t="shared" si="1"/>
        <v>35.644942257145736</v>
      </c>
      <c r="M12" s="49">
        <f t="shared" si="1"/>
        <v>35.43158044912532</v>
      </c>
      <c r="N12" s="49">
        <f t="shared" si="1"/>
        <v>35.071080149364732</v>
      </c>
      <c r="O12" s="49">
        <f t="shared" si="1"/>
        <v>37.080560821871345</v>
      </c>
    </row>
    <row r="13" spans="1:16">
      <c r="A13" t="s">
        <v>108</v>
      </c>
      <c r="B13" s="5" t="s">
        <v>50</v>
      </c>
      <c r="C13" s="38">
        <f>SUM(D13:O13)</f>
        <v>16056186.442827895</v>
      </c>
      <c r="D13" s="25">
        <f>Aurora!B32*1000</f>
        <v>1049598.8318562498</v>
      </c>
      <c r="E13" s="25">
        <f>Aurora!C32*1000</f>
        <v>1374789.1283035302</v>
      </c>
      <c r="F13" s="25">
        <f>Aurora!D32*1000</f>
        <v>998847.82282113994</v>
      </c>
      <c r="G13" s="25">
        <f>Aurora!E32*1000</f>
        <v>286914.88011479401</v>
      </c>
      <c r="H13" s="25">
        <f>Aurora!F32*1000</f>
        <v>207565.109892935</v>
      </c>
      <c r="I13" s="25">
        <f>Aurora!G32*1000</f>
        <v>606520.902109146</v>
      </c>
      <c r="J13" s="25">
        <f>Aurora!H32*1000</f>
        <v>1695496.65365219</v>
      </c>
      <c r="K13" s="25">
        <f>Aurora!I32*1000</f>
        <v>3596409.7536087004</v>
      </c>
      <c r="L13" s="25">
        <f>Aurora!J32*1000</f>
        <v>1818242.1330720198</v>
      </c>
      <c r="M13" s="25">
        <f>Aurora!K32*1000</f>
        <v>1634815.9187793699</v>
      </c>
      <c r="N13" s="25">
        <f>Aurora!L32*1000</f>
        <v>1215881.80707293</v>
      </c>
      <c r="O13" s="25">
        <f>Aurora!M32*1000</f>
        <v>1571103.50154489</v>
      </c>
    </row>
    <row r="14" spans="1:16" s="3" customFormat="1">
      <c r="A14" s="3" t="s">
        <v>112</v>
      </c>
      <c r="C14" s="27">
        <f>SUM(D14:O14)</f>
        <v>431911.73795174138</v>
      </c>
      <c r="D14" s="3">
        <f>Aurora!B28*1000</f>
        <v>31549.344919586201</v>
      </c>
      <c r="E14" s="3">
        <f>Aurora!C28*1000</f>
        <v>41778.092700195302</v>
      </c>
      <c r="F14" s="3">
        <f>Aurora!D28*1000</f>
        <v>32250.200372314503</v>
      </c>
      <c r="G14" s="3">
        <f>Aurora!E28*1000</f>
        <v>10257.602638739299</v>
      </c>
      <c r="H14" s="3">
        <f>Aurora!F28*1000</f>
        <v>9201.7858460664793</v>
      </c>
      <c r="I14" s="3">
        <f>Aurora!G28*1000</f>
        <v>18890.637793731701</v>
      </c>
      <c r="J14" s="3">
        <f>Aurora!H28*1000</f>
        <v>39595.0360229492</v>
      </c>
      <c r="K14" s="3">
        <f>Aurora!I28*1000</f>
        <v>93598.255438232402</v>
      </c>
      <c r="L14" s="3">
        <f>Aurora!J28*1000</f>
        <v>46113.135030078898</v>
      </c>
      <c r="M14" s="3">
        <f>Aurora!K28*1000</f>
        <v>40171.454329109198</v>
      </c>
      <c r="N14" s="3">
        <f>Aurora!L28*1000</f>
        <v>29229.324345914301</v>
      </c>
      <c r="O14" s="3">
        <f>Aurora!M28*1000</f>
        <v>39276.868514823902</v>
      </c>
    </row>
    <row r="15" spans="1:16" hidden="1">
      <c r="A15" s="3" t="s">
        <v>52</v>
      </c>
      <c r="C15" s="28">
        <f>C13/C14</f>
        <v>37.174693419936403</v>
      </c>
      <c r="D15" s="29">
        <f>D13/D14</f>
        <v>33.268482579638182</v>
      </c>
      <c r="E15" s="29">
        <f t="shared" ref="E15:O15" si="2">E13/E14</f>
        <v>32.906938528026757</v>
      </c>
      <c r="F15" s="29">
        <f t="shared" si="2"/>
        <v>30.971833082891806</v>
      </c>
      <c r="G15" s="29">
        <f t="shared" si="2"/>
        <v>27.970948984826048</v>
      </c>
      <c r="H15" s="29">
        <f t="shared" si="2"/>
        <v>22.557046356568232</v>
      </c>
      <c r="I15" s="29">
        <f t="shared" si="2"/>
        <v>32.106957358020068</v>
      </c>
      <c r="J15" s="29">
        <f t="shared" si="2"/>
        <v>42.820939793298422</v>
      </c>
      <c r="K15" s="29">
        <f t="shared" si="2"/>
        <v>38.423897291355523</v>
      </c>
      <c r="L15" s="29">
        <f t="shared" si="2"/>
        <v>39.430026431428011</v>
      </c>
      <c r="M15" s="29">
        <f t="shared" si="2"/>
        <v>40.695960504341095</v>
      </c>
      <c r="N15" s="29">
        <f t="shared" si="2"/>
        <v>41.598012758816537</v>
      </c>
      <c r="O15" s="29">
        <f t="shared" si="2"/>
        <v>40.00073226183811</v>
      </c>
    </row>
    <row r="16" spans="1:16">
      <c r="A16" s="3" t="s">
        <v>110</v>
      </c>
      <c r="C16" s="51">
        <f>C13/C14</f>
        <v>37.174693419936403</v>
      </c>
      <c r="D16" s="49">
        <f>D13/D14</f>
        <v>33.268482579638182</v>
      </c>
      <c r="E16" s="49">
        <f t="shared" ref="E16:O16" si="3">E13/E14</f>
        <v>32.906938528026757</v>
      </c>
      <c r="F16" s="49">
        <f t="shared" si="3"/>
        <v>30.971833082891806</v>
      </c>
      <c r="G16" s="49">
        <f t="shared" si="3"/>
        <v>27.970948984826048</v>
      </c>
      <c r="H16" s="49">
        <f t="shared" si="3"/>
        <v>22.557046356568232</v>
      </c>
      <c r="I16" s="49"/>
      <c r="J16" s="49">
        <f t="shared" si="3"/>
        <v>42.820939793298422</v>
      </c>
      <c r="K16" s="49">
        <f t="shared" si="3"/>
        <v>38.423897291355523</v>
      </c>
      <c r="L16" s="49">
        <f t="shared" si="3"/>
        <v>39.430026431428011</v>
      </c>
      <c r="M16" s="49">
        <f t="shared" si="3"/>
        <v>40.695960504341095</v>
      </c>
      <c r="N16" s="49">
        <f t="shared" si="3"/>
        <v>41.598012758816537</v>
      </c>
      <c r="O16" s="49">
        <f t="shared" si="3"/>
        <v>40.00073226183811</v>
      </c>
    </row>
    <row r="17" spans="1:17">
      <c r="A17" t="s">
        <v>109</v>
      </c>
      <c r="C17" s="27">
        <f>C14+C10</f>
        <v>-1085616.6867265669</v>
      </c>
      <c r="D17" s="19">
        <f>D14+D10</f>
        <v>-80427.341976165801</v>
      </c>
      <c r="E17" s="19">
        <f>E14+E10</f>
        <v>-46069.307788085898</v>
      </c>
      <c r="F17" s="19">
        <f t="shared" ref="F17:O17" si="4">F14+F10</f>
        <v>-76313.290472412496</v>
      </c>
      <c r="G17" s="19">
        <f t="shared" si="4"/>
        <v>-205339.19150188568</v>
      </c>
      <c r="H17" s="19">
        <f t="shared" si="4"/>
        <v>-192673.65565783952</v>
      </c>
      <c r="I17" s="19">
        <f t="shared" si="4"/>
        <v>-163514.24746017429</v>
      </c>
      <c r="J17" s="19">
        <f t="shared" si="4"/>
        <v>-94187.136322021805</v>
      </c>
      <c r="K17" s="19">
        <f t="shared" si="4"/>
        <v>46153.586253088703</v>
      </c>
      <c r="L17" s="19">
        <f t="shared" si="4"/>
        <v>-35602.208536815604</v>
      </c>
      <c r="M17" s="19">
        <f t="shared" si="4"/>
        <v>-54203.046427726702</v>
      </c>
      <c r="N17" s="19">
        <f t="shared" si="4"/>
        <v>-100300.33693338268</v>
      </c>
      <c r="O17" s="19">
        <f t="shared" si="4"/>
        <v>-83140.50990314511</v>
      </c>
    </row>
    <row r="18" spans="1:17">
      <c r="A18" t="s">
        <v>111</v>
      </c>
      <c r="C18" s="115">
        <f>C17/8760</f>
        <v>-123.92884551673137</v>
      </c>
      <c r="D18" s="3">
        <f>D17/D6</f>
        <v>-108.10126609699704</v>
      </c>
      <c r="E18" s="3">
        <f t="shared" ref="E18:O18" si="5">E17/E6</f>
        <v>-66.191534178284343</v>
      </c>
      <c r="F18" s="3">
        <f t="shared" si="5"/>
        <v>-102.70967762101279</v>
      </c>
      <c r="G18" s="3">
        <f t="shared" si="5"/>
        <v>-285.19332153039676</v>
      </c>
      <c r="H18" s="3">
        <f t="shared" si="5"/>
        <v>-258.96996728204238</v>
      </c>
      <c r="I18" s="3">
        <f t="shared" si="5"/>
        <v>-227.1031214724643</v>
      </c>
      <c r="J18" s="3">
        <f t="shared" si="5"/>
        <v>-126.59561333605082</v>
      </c>
      <c r="K18" s="3">
        <f t="shared" si="5"/>
        <v>62.034390125119224</v>
      </c>
      <c r="L18" s="3">
        <f t="shared" si="5"/>
        <v>-49.447511856688337</v>
      </c>
      <c r="M18" s="3">
        <f t="shared" si="5"/>
        <v>-72.85355702651438</v>
      </c>
      <c r="N18" s="3">
        <f t="shared" si="5"/>
        <v>-139.1128112806972</v>
      </c>
      <c r="O18" s="3">
        <f t="shared" si="5"/>
        <v>-111.74799718164665</v>
      </c>
    </row>
    <row r="19" spans="1:17">
      <c r="A19" t="s">
        <v>113</v>
      </c>
      <c r="C19" s="79">
        <f>(-C9+C13)/(-C10+C14)</f>
        <v>30.679848542117913</v>
      </c>
      <c r="D19" s="29">
        <f>(-D9+D13)/(-D10+D14)</f>
        <v>35.762685579054413</v>
      </c>
      <c r="E19" s="29">
        <f>(-E9+E13)/(-E10+E14)</f>
        <v>34.171144202171732</v>
      </c>
      <c r="F19" s="29">
        <f t="shared" ref="F19:O19" si="6">(-F9+F13)/(-F10+F14)</f>
        <v>31.94230321024391</v>
      </c>
      <c r="G19" s="29">
        <f t="shared" si="6"/>
        <v>27.199161666679263</v>
      </c>
      <c r="H19" s="29">
        <f t="shared" si="6"/>
        <v>17.747871077515853</v>
      </c>
      <c r="I19" s="29">
        <f t="shared" si="6"/>
        <v>17.225564280215512</v>
      </c>
      <c r="J19" s="29">
        <f t="shared" si="6"/>
        <v>32.315374650654718</v>
      </c>
      <c r="K19" s="29">
        <f t="shared" si="6"/>
        <v>36.940651314414971</v>
      </c>
      <c r="L19" s="29">
        <f t="shared" si="6"/>
        <v>37.010382099226632</v>
      </c>
      <c r="M19" s="29">
        <f t="shared" si="6"/>
        <v>37.003369083158113</v>
      </c>
      <c r="N19" s="29">
        <f t="shared" si="6"/>
        <v>36.272762242975283</v>
      </c>
      <c r="O19" s="29">
        <f t="shared" si="6"/>
        <v>37.789894591402373</v>
      </c>
    </row>
    <row r="20" spans="1:17">
      <c r="C20" s="28"/>
      <c r="D20" s="56"/>
      <c r="E20" s="56"/>
      <c r="F20" s="56"/>
      <c r="G20" s="56"/>
      <c r="H20" s="56"/>
      <c r="I20" s="56"/>
      <c r="J20" s="56"/>
      <c r="K20" s="56"/>
      <c r="L20" s="56"/>
      <c r="M20" s="56"/>
      <c r="N20" s="56"/>
      <c r="O20" s="56"/>
    </row>
    <row r="21" spans="1:17" s="3" customFormat="1">
      <c r="A21" s="3" t="s">
        <v>33</v>
      </c>
      <c r="C21" s="27">
        <f>SUM(D21:O21)</f>
        <v>1561649.006201172</v>
      </c>
      <c r="D21" s="3">
        <f>Aurora!B6*1000</f>
        <v>143775.50332031259</v>
      </c>
      <c r="E21" s="3">
        <f>Aurora!C6*1000</f>
        <v>134443.1118652343</v>
      </c>
      <c r="F21" s="3">
        <f>Aurora!D6*1000</f>
        <v>140229.1067871094</v>
      </c>
      <c r="G21" s="3">
        <f>Aurora!E6*1000</f>
        <v>113904.0285644531</v>
      </c>
      <c r="H21" s="3">
        <f>Aurora!F6*1000</f>
        <v>91821.340283203201</v>
      </c>
      <c r="I21" s="3">
        <f>Aurora!G6*1000</f>
        <v>88592.547558593695</v>
      </c>
      <c r="J21" s="3">
        <f>Aurora!H6*1000</f>
        <v>133214.27583007811</v>
      </c>
      <c r="K21" s="3">
        <f>Aurora!I6*1000</f>
        <v>142259.5036132813</v>
      </c>
      <c r="L21" s="3">
        <f>Aurora!J6*1000</f>
        <v>140944.54487304692</v>
      </c>
      <c r="M21" s="3">
        <f>Aurora!K6*1000</f>
        <v>145774.6311523437</v>
      </c>
      <c r="N21" s="3">
        <f>Aurora!L6*1000</f>
        <v>141207.4368652344</v>
      </c>
      <c r="O21" s="3">
        <f>Aurora!M6*1000</f>
        <v>145482.9754882812</v>
      </c>
      <c r="P21" s="3">
        <f>C21/8784</f>
        <v>177.78335680796584</v>
      </c>
      <c r="Q21" s="114">
        <f>P21/230</f>
        <v>0.77297111655637318</v>
      </c>
    </row>
    <row r="22" spans="1:17">
      <c r="A22" s="3" t="s">
        <v>101</v>
      </c>
      <c r="C22" s="73">
        <f>C23/C21</f>
        <v>14.847468485352941</v>
      </c>
      <c r="D22" s="76">
        <f>D23/D21</f>
        <v>14.389196535409067</v>
      </c>
      <c r="E22" s="76">
        <f t="shared" ref="E22:O22" si="7">E23/E21</f>
        <v>14.671045189896647</v>
      </c>
      <c r="F22" s="76">
        <f t="shared" si="7"/>
        <v>14.50892931317243</v>
      </c>
      <c r="G22" s="76">
        <f t="shared" si="7"/>
        <v>15.499294784030795</v>
      </c>
      <c r="H22" s="76">
        <f t="shared" si="7"/>
        <v>16.896735085034944</v>
      </c>
      <c r="I22" s="76">
        <f t="shared" si="7"/>
        <v>17.135132549834669</v>
      </c>
      <c r="J22" s="76">
        <f t="shared" si="7"/>
        <v>14.786552042858268</v>
      </c>
      <c r="K22" s="76">
        <f t="shared" si="7"/>
        <v>14.449484254187716</v>
      </c>
      <c r="L22" s="76">
        <f t="shared" si="7"/>
        <v>14.457983958128056</v>
      </c>
      <c r="M22" s="76">
        <f t="shared" si="7"/>
        <v>14.31883508945608</v>
      </c>
      <c r="N22" s="76">
        <f t="shared" si="7"/>
        <v>14.448135705533005</v>
      </c>
      <c r="O22" s="76">
        <f t="shared" si="7"/>
        <v>14.332466530637166</v>
      </c>
    </row>
    <row r="23" spans="1:17">
      <c r="A23" t="s">
        <v>34</v>
      </c>
      <c r="C23" s="30">
        <f>SUM(D23:O23)</f>
        <v>23186534.404754642</v>
      </c>
      <c r="D23" s="31">
        <f>Aurora!B18*1000</f>
        <v>2068813.9742533367</v>
      </c>
      <c r="E23" s="31">
        <f>Aurora!C18*1000</f>
        <v>1972420.9696451826</v>
      </c>
      <c r="F23" s="31">
        <f>Aurora!D18*1000</f>
        <v>2034574.1980234785</v>
      </c>
      <c r="G23" s="31">
        <f>Aurora!E18*1000</f>
        <v>1765432.1158091226</v>
      </c>
      <c r="H23" s="31">
        <f>Aurora!F18*1000</f>
        <v>1551480.8619181318</v>
      </c>
      <c r="I23" s="31">
        <f>Aurora!G18*1000</f>
        <v>1518045.0453440347</v>
      </c>
      <c r="J23" s="31">
        <f>Aurora!H18*1000</f>
        <v>1969779.8224131265</v>
      </c>
      <c r="K23" s="31">
        <f>Aurora!I18*1000</f>
        <v>2055576.4574686687</v>
      </c>
      <c r="L23" s="31">
        <f>Aurora!J18*1000</f>
        <v>2037773.9687601724</v>
      </c>
      <c r="M23" s="31">
        <f>Aurora!K18*1000</f>
        <v>2087322.9036966963</v>
      </c>
      <c r="N23" s="31">
        <f>Aurora!L18*1000</f>
        <v>2040184.2104593907</v>
      </c>
      <c r="O23" s="31">
        <f>Aurora!M18*1000</f>
        <v>2085129.8769632976</v>
      </c>
    </row>
    <row r="24" spans="1:17">
      <c r="C24" s="28"/>
    </row>
    <row r="25" spans="1:17" s="3" customFormat="1">
      <c r="A25" s="3" t="s">
        <v>35</v>
      </c>
      <c r="C25" s="27">
        <f>SUM(D25:O25)</f>
        <v>268791.01927886019</v>
      </c>
      <c r="D25" s="3">
        <f>Aurora!B8*1000</f>
        <v>29824.415338134801</v>
      </c>
      <c r="E25" s="3">
        <f>Aurora!C8*1000</f>
        <v>26949.430511474598</v>
      </c>
      <c r="F25" s="3">
        <f>Aurora!D8*1000</f>
        <v>23778.177681541401</v>
      </c>
      <c r="G25" s="3">
        <f>Aurora!E8*1000</f>
        <v>18140.327430725101</v>
      </c>
      <c r="H25" s="3">
        <f>Aurora!F8*1000</f>
        <v>7563.3960639953602</v>
      </c>
      <c r="I25" s="3">
        <f>Aurora!G8*1000</f>
        <v>1410.34129137993</v>
      </c>
      <c r="J25" s="3">
        <f>Aurora!H8*1000</f>
        <v>15018.8538925171</v>
      </c>
      <c r="K25" s="3">
        <f>Aurora!I8*1000</f>
        <v>24729.860449218799</v>
      </c>
      <c r="L25" s="3">
        <f>Aurora!J8*1000</f>
        <v>27909.805511474595</v>
      </c>
      <c r="M25" s="3">
        <f>Aurora!K8*1000</f>
        <v>31935.614843749998</v>
      </c>
      <c r="N25" s="3">
        <f>Aurora!L8*1000</f>
        <v>29682.609558105501</v>
      </c>
      <c r="O25" s="3">
        <f>Aurora!M8*1000</f>
        <v>31848.186706543001</v>
      </c>
      <c r="P25" s="3">
        <f>C25/8760</f>
        <v>30.683906310372166</v>
      </c>
    </row>
    <row r="26" spans="1:17">
      <c r="A26" s="3" t="s">
        <v>100</v>
      </c>
      <c r="C26" s="73">
        <f t="shared" ref="C26:O26" si="8">C27/C25</f>
        <v>22.942632452888905</v>
      </c>
      <c r="D26" s="76">
        <f>D27/D25</f>
        <v>22.865416541251957</v>
      </c>
      <c r="E26" s="76">
        <f t="shared" si="8"/>
        <v>22.912325795061246</v>
      </c>
      <c r="F26" s="76">
        <f t="shared" si="8"/>
        <v>23.052277116062633</v>
      </c>
      <c r="G26" s="76">
        <f t="shared" si="8"/>
        <v>23.289034695766411</v>
      </c>
      <c r="H26" s="76">
        <f t="shared" si="8"/>
        <v>23.455704041199585</v>
      </c>
      <c r="I26" s="76"/>
      <c r="J26" s="76">
        <f t="shared" si="8"/>
        <v>23.052411153701811</v>
      </c>
      <c r="K26" s="76">
        <f t="shared" si="8"/>
        <v>22.977196964677326</v>
      </c>
      <c r="L26" s="76">
        <f t="shared" si="8"/>
        <v>22.900367492481188</v>
      </c>
      <c r="M26" s="76">
        <f t="shared" si="8"/>
        <v>22.814394833725615</v>
      </c>
      <c r="N26" s="76">
        <f t="shared" si="8"/>
        <v>22.839243242423493</v>
      </c>
      <c r="O26" s="76">
        <f t="shared" si="8"/>
        <v>22.816977384234608</v>
      </c>
    </row>
    <row r="27" spans="1:17">
      <c r="A27" t="s">
        <v>36</v>
      </c>
      <c r="C27" s="30">
        <f>SUM(D27:O27)</f>
        <v>6166773.561952265</v>
      </c>
      <c r="D27" s="32">
        <f>Aurora!B20*1000</f>
        <v>681947.67980575608</v>
      </c>
      <c r="E27" s="32">
        <f>Aurora!C20*1000</f>
        <v>617474.13187027001</v>
      </c>
      <c r="F27" s="32">
        <f>Aurora!D20*1000</f>
        <v>548141.14122986805</v>
      </c>
      <c r="G27" s="32">
        <f>Aurora!E20*1000</f>
        <v>422470.71492672001</v>
      </c>
      <c r="H27" s="32">
        <f>Aurora!F20*1000</f>
        <v>177404.77962344899</v>
      </c>
      <c r="I27" s="32">
        <f>Aurora!G20*1000</f>
        <v>32547.220318764405</v>
      </c>
      <c r="J27" s="32">
        <f>Aurora!H20*1000</f>
        <v>346220.79498767905</v>
      </c>
      <c r="K27" s="32">
        <f>Aurora!I20*1000</f>
        <v>568222.87445068406</v>
      </c>
      <c r="L27" s="32">
        <f>Aurora!J20*1000</f>
        <v>639144.80285644508</v>
      </c>
      <c r="M27" s="32">
        <f>Aurora!K20*1000</f>
        <v>728591.72630310105</v>
      </c>
      <c r="N27" s="32">
        <f>Aurora!L20*1000</f>
        <v>677928.33976745605</v>
      </c>
      <c r="O27" s="32">
        <f>Aurora!M20*1000</f>
        <v>726679.35581207299</v>
      </c>
    </row>
    <row r="28" spans="1:17">
      <c r="C28" s="79"/>
      <c r="D28" s="33"/>
      <c r="E28" s="33"/>
      <c r="F28" s="33"/>
      <c r="G28" s="33"/>
      <c r="H28" s="33"/>
      <c r="I28" s="33"/>
      <c r="J28" s="33"/>
      <c r="K28" s="33"/>
      <c r="L28" s="33"/>
      <c r="M28" s="33"/>
      <c r="N28" s="33"/>
      <c r="O28" s="33"/>
    </row>
    <row r="29" spans="1:17">
      <c r="A29" t="s">
        <v>89</v>
      </c>
      <c r="C29" s="27">
        <f>SUM(D29:O29)</f>
        <v>1517064.1541229249</v>
      </c>
      <c r="D29" s="3">
        <f>Aurora!B7*1000</f>
        <v>168002.093432617</v>
      </c>
      <c r="E29" s="3">
        <f>Aurora!C7*1000</f>
        <v>153325.54462890601</v>
      </c>
      <c r="F29" s="3">
        <f>Aurora!D7*1000</f>
        <v>147760.956884766</v>
      </c>
      <c r="G29" s="3">
        <f>Aurora!E7*1000</f>
        <v>107162.46166992201</v>
      </c>
      <c r="H29" s="3">
        <f>Aurora!F7*1000</f>
        <v>40075.196356201202</v>
      </c>
      <c r="I29" s="3">
        <f>Aurora!G7*1000</f>
        <v>35412.993704223598</v>
      </c>
      <c r="J29" s="3">
        <f>Aurora!H7*1000</f>
        <v>101759.44366455098</v>
      </c>
      <c r="K29" s="3">
        <f>Aurora!I7*1000</f>
        <v>135354.177294922</v>
      </c>
      <c r="L29" s="3">
        <f>Aurora!J7*1000</f>
        <v>144348.58468017599</v>
      </c>
      <c r="M29" s="3">
        <f>Aurora!K7*1000</f>
        <v>155399.20009765599</v>
      </c>
      <c r="N29" s="3">
        <f>Aurora!L7*1000</f>
        <v>158760.39150390599</v>
      </c>
      <c r="O29" s="3">
        <f>Aurora!M7*1000</f>
        <v>169703.110205078</v>
      </c>
      <c r="P29" s="3">
        <f>C29/8784</f>
        <v>172.70766781909435</v>
      </c>
    </row>
    <row r="30" spans="1:17">
      <c r="A30" t="s">
        <v>98</v>
      </c>
      <c r="C30" s="73">
        <f>C31/C29</f>
        <v>28.136410169078577</v>
      </c>
      <c r="D30" s="76">
        <f>D31/D29</f>
        <v>29.183763894335382</v>
      </c>
      <c r="E30" s="76">
        <f t="shared" ref="E30:O30" si="9">E31/E29</f>
        <v>29.067277912694362</v>
      </c>
      <c r="F30" s="76">
        <f t="shared" si="9"/>
        <v>28.646845637869536</v>
      </c>
      <c r="G30" s="76">
        <f t="shared" si="9"/>
        <v>26.183788019927686</v>
      </c>
      <c r="H30" s="76">
        <f t="shared" si="9"/>
        <v>26.569015030403339</v>
      </c>
      <c r="I30" s="76">
        <f t="shared" si="9"/>
        <v>26.760273795011958</v>
      </c>
      <c r="J30" s="76">
        <f t="shared" si="9"/>
        <v>27.408480856921166</v>
      </c>
      <c r="K30" s="76">
        <f t="shared" si="9"/>
        <v>27.529367178978038</v>
      </c>
      <c r="L30" s="76">
        <f t="shared" si="9"/>
        <v>27.368664823075051</v>
      </c>
      <c r="M30" s="76">
        <f t="shared" si="9"/>
        <v>27.433476964195897</v>
      </c>
      <c r="N30" s="76">
        <f t="shared" si="9"/>
        <v>28.513210505590372</v>
      </c>
      <c r="O30" s="76">
        <f t="shared" si="9"/>
        <v>29.569297559285317</v>
      </c>
    </row>
    <row r="31" spans="1:17">
      <c r="A31" t="s">
        <v>87</v>
      </c>
      <c r="C31" s="30">
        <f>SUM(D31:O31)</f>
        <v>42684739.293208852</v>
      </c>
      <c r="D31" s="25">
        <f>Aurora!B19*1000</f>
        <v>4902933.4284915673</v>
      </c>
      <c r="E31" s="25">
        <f>Aurora!C19*1000</f>
        <v>4456756.216843633</v>
      </c>
      <c r="F31" s="25">
        <f>Aurora!D19*1000</f>
        <v>4232885.3231817875</v>
      </c>
      <c r="G31" s="25">
        <f>Aurora!E19*1000</f>
        <v>2805919.1800588635</v>
      </c>
      <c r="H31" s="25">
        <f>Aurora!F19*1000</f>
        <v>1064758.4943342749</v>
      </c>
      <c r="I31" s="25">
        <f>Aurora!G19*1000</f>
        <v>947661.4074260582</v>
      </c>
      <c r="J31" s="25">
        <f>Aurora!H19*1000</f>
        <v>2789071.7636907934</v>
      </c>
      <c r="K31" s="25">
        <f>Aurora!I19*1000</f>
        <v>3726214.8459604001</v>
      </c>
      <c r="L31" s="25">
        <f>Aurora!J19*1000</f>
        <v>3950628.031797003</v>
      </c>
      <c r="M31" s="25">
        <f>Aurora!K19*1000</f>
        <v>4263140.3761335146</v>
      </c>
      <c r="N31" s="25">
        <f>Aurora!L19*1000</f>
        <v>4526768.4629008127</v>
      </c>
      <c r="O31" s="25">
        <f>Aurora!M19*1000</f>
        <v>5018001.7623901404</v>
      </c>
    </row>
    <row r="32" spans="1:17">
      <c r="C32" s="24"/>
      <c r="D32" s="25"/>
      <c r="E32" s="25"/>
      <c r="F32" s="25"/>
      <c r="G32" s="25"/>
      <c r="H32" s="25"/>
      <c r="I32" s="25"/>
      <c r="J32" s="25"/>
      <c r="K32" s="25"/>
      <c r="L32" s="25"/>
      <c r="M32" s="25"/>
      <c r="N32" s="25"/>
      <c r="O32" s="25"/>
    </row>
    <row r="33" spans="1:17">
      <c r="A33" t="s">
        <v>169</v>
      </c>
      <c r="C33" s="27">
        <f>SUM(D33:O33)</f>
        <v>1454120.0296447761</v>
      </c>
      <c r="D33" s="3">
        <f>Aurora!B10*1000</f>
        <v>161512.744030762</v>
      </c>
      <c r="E33" s="3">
        <f>Aurora!C10*1000</f>
        <v>143450.81467285199</v>
      </c>
      <c r="F33" s="3">
        <f>Aurora!D10*1000</f>
        <v>139758.59340820301</v>
      </c>
      <c r="G33" s="3">
        <f>Aurora!E10*1000</f>
        <v>105103.73463134798</v>
      </c>
      <c r="H33" s="3">
        <f>Aurora!F10*1000</f>
        <v>40326.987547302197</v>
      </c>
      <c r="I33" s="3">
        <f>Aurora!G10*1000</f>
        <v>37188.102308654801</v>
      </c>
      <c r="J33" s="3">
        <f>Aurora!H10*1000</f>
        <v>94069.017901611296</v>
      </c>
      <c r="K33" s="3">
        <f>Aurora!I10*1000</f>
        <v>125729.852148437</v>
      </c>
      <c r="L33" s="3">
        <f>Aurora!J10*1000</f>
        <v>137525.197741699</v>
      </c>
      <c r="M33" s="3">
        <f>Aurora!K10*1000</f>
        <v>154856.75146484401</v>
      </c>
      <c r="N33" s="3">
        <f>Aurora!L10*1000</f>
        <v>152205.87685546899</v>
      </c>
      <c r="O33" s="3">
        <f>Aurora!M10*1000</f>
        <v>162392.35693359401</v>
      </c>
      <c r="P33" s="3">
        <f>C33/8784</f>
        <v>165.54189772823042</v>
      </c>
    </row>
    <row r="34" spans="1:17">
      <c r="A34" t="s">
        <v>170</v>
      </c>
      <c r="C34" s="73">
        <f>C35/C33</f>
        <v>28.324247597924277</v>
      </c>
      <c r="D34" s="76">
        <f>D35/D33</f>
        <v>29.500720139111429</v>
      </c>
      <c r="E34" s="76">
        <f t="shared" ref="E34:O34" si="10">E35/E33</f>
        <v>29.432154272113056</v>
      </c>
      <c r="F34" s="76">
        <f t="shared" si="10"/>
        <v>29.024445298803158</v>
      </c>
      <c r="G34" s="76">
        <f t="shared" si="10"/>
        <v>26.444768331279828</v>
      </c>
      <c r="H34" s="76">
        <f t="shared" si="10"/>
        <v>26.507064356407422</v>
      </c>
      <c r="I34" s="76">
        <f t="shared" si="10"/>
        <v>26.799861292685684</v>
      </c>
      <c r="J34" s="76">
        <f t="shared" si="10"/>
        <v>27.444257086645838</v>
      </c>
      <c r="K34" s="76">
        <f t="shared" si="10"/>
        <v>27.616631954604543</v>
      </c>
      <c r="L34" s="76">
        <f t="shared" si="10"/>
        <v>27.384434635445693</v>
      </c>
      <c r="M34" s="76">
        <f t="shared" si="10"/>
        <v>27.470054953083185</v>
      </c>
      <c r="N34" s="76">
        <f t="shared" si="10"/>
        <v>28.601891246443202</v>
      </c>
      <c r="O34" s="76">
        <f t="shared" si="10"/>
        <v>29.997488296386408</v>
      </c>
    </row>
    <row r="35" spans="1:17">
      <c r="A35" t="s">
        <v>171</v>
      </c>
      <c r="C35" s="30">
        <f>SUM(D35:O35)</f>
        <v>41186855.756759629</v>
      </c>
      <c r="D35" s="25">
        <f>Aurora!B22*1000</f>
        <v>4764742.2605514498</v>
      </c>
      <c r="E35" s="25">
        <f>Aurora!C22*1000</f>
        <v>4222066.5079116793</v>
      </c>
      <c r="F35" s="25">
        <f>Aurora!D22*1000</f>
        <v>4056415.6494140602</v>
      </c>
      <c r="G35" s="25">
        <f>Aurora!E22*1000</f>
        <v>2779443.91307831</v>
      </c>
      <c r="H35" s="25">
        <f>Aurora!F22*1000</f>
        <v>1068950.05421638</v>
      </c>
      <c r="I35" s="25">
        <f>Aurora!G22*1000</f>
        <v>996635.98361015297</v>
      </c>
      <c r="J35" s="25">
        <f>Aurora!H22*1000</f>
        <v>2581654.3111801101</v>
      </c>
      <c r="K35" s="25">
        <f>Aurora!I22*1000</f>
        <v>3472235.0524902297</v>
      </c>
      <c r="L35" s="25">
        <f>Aurora!J22*1000</f>
        <v>3766049.7882842999</v>
      </c>
      <c r="M35" s="25">
        <f>Aurora!K22*1000</f>
        <v>4253923.4725952102</v>
      </c>
      <c r="N35" s="25">
        <f>Aurora!L22*1000</f>
        <v>4353375.9368896503</v>
      </c>
      <c r="O35" s="25">
        <f>Aurora!M22*1000</f>
        <v>4871362.8265380906</v>
      </c>
    </row>
    <row r="36" spans="1:17">
      <c r="C36" s="24"/>
      <c r="D36" s="25"/>
      <c r="E36" s="25"/>
      <c r="F36" s="25"/>
      <c r="G36" s="25"/>
      <c r="H36" s="25"/>
      <c r="I36" s="25"/>
      <c r="J36" s="25"/>
      <c r="K36" s="25"/>
      <c r="L36" s="25"/>
      <c r="M36" s="25"/>
      <c r="N36" s="25"/>
      <c r="O36" s="25"/>
    </row>
    <row r="37" spans="1:17">
      <c r="A37" t="s">
        <v>54</v>
      </c>
      <c r="C37" s="27">
        <f>SUM(D37:O37)</f>
        <v>23774.86045384407</v>
      </c>
      <c r="D37" s="3">
        <f>Aurora!B5*1000</f>
        <v>2529.7142940998101</v>
      </c>
      <c r="E37" s="3">
        <f>Aurora!C5*1000</f>
        <v>1921.6078137874599</v>
      </c>
      <c r="F37" s="3">
        <f>Aurora!D5*1000</f>
        <v>1299.73340740204</v>
      </c>
      <c r="G37" s="3">
        <f>Aurora!E5*1000</f>
        <v>517.88099513053896</v>
      </c>
      <c r="H37" s="3">
        <f>Aurora!F5*1000</f>
        <v>101.20126214027398</v>
      </c>
      <c r="I37" s="3">
        <f>Aurora!G5*1000</f>
        <v>767.13732666969304</v>
      </c>
      <c r="J37" s="3">
        <f>Aurora!H5*1000</f>
        <v>2680.6672851562498</v>
      </c>
      <c r="K37" s="3">
        <f>Aurora!I5*1000</f>
        <v>3689.2705028533901</v>
      </c>
      <c r="L37" s="3">
        <f>Aurora!J5*1000</f>
        <v>3152.0369699478201</v>
      </c>
      <c r="M37" s="3">
        <f>Aurora!K5*1000</f>
        <v>2822.0627323150602</v>
      </c>
      <c r="N37" s="3">
        <f>Aurora!L5*1000</f>
        <v>1975.4024560928301</v>
      </c>
      <c r="O37" s="3">
        <f>Aurora!M5*1000</f>
        <v>2318.1454082488999</v>
      </c>
      <c r="P37" s="3">
        <f>C37/8760</f>
        <v>2.7140251659639349</v>
      </c>
      <c r="Q37" s="86">
        <f>SUM(P37:P49)</f>
        <v>5.8176407291845651</v>
      </c>
    </row>
    <row r="38" spans="1:17">
      <c r="A38" t="s">
        <v>99</v>
      </c>
      <c r="C38" s="73">
        <f>C39/C37</f>
        <v>36.933828216542636</v>
      </c>
      <c r="D38" s="76">
        <f>IF(D37&gt;0,D39/D37,"")</f>
        <v>38.840658799139355</v>
      </c>
      <c r="E38" s="76">
        <f t="shared" ref="E38:O38" si="11">IF(E37&gt;0,E39/E37,"")</f>
        <v>38.605444044053421</v>
      </c>
      <c r="F38" s="76">
        <f t="shared" si="11"/>
        <v>38.192597816976743</v>
      </c>
      <c r="G38" s="76">
        <f t="shared" si="11"/>
        <v>34.590800281191541</v>
      </c>
      <c r="H38" s="76">
        <f t="shared" si="11"/>
        <v>34.624341439556012</v>
      </c>
      <c r="I38" s="76">
        <f t="shared" si="11"/>
        <v>34.722157095970211</v>
      </c>
      <c r="J38" s="76">
        <f t="shared" si="11"/>
        <v>35.613738581531265</v>
      </c>
      <c r="K38" s="76">
        <f t="shared" si="11"/>
        <v>35.852817180079072</v>
      </c>
      <c r="L38" s="76">
        <f t="shared" si="11"/>
        <v>35.653392607174077</v>
      </c>
      <c r="M38" s="76">
        <f t="shared" si="11"/>
        <v>36.168713929622768</v>
      </c>
      <c r="N38" s="76">
        <f t="shared" si="11"/>
        <v>37.579002357397002</v>
      </c>
      <c r="O38" s="76">
        <f t="shared" si="11"/>
        <v>39.487318642792317</v>
      </c>
    </row>
    <row r="39" spans="1:17">
      <c r="A39" t="s">
        <v>53</v>
      </c>
      <c r="C39" s="30">
        <f>SUM(D39:O39)</f>
        <v>878096.61187454988</v>
      </c>
      <c r="D39" s="25">
        <f>Aurora!B17*1000</f>
        <v>98255.769756436392</v>
      </c>
      <c r="E39" s="25">
        <f>Aurora!C17*1000</f>
        <v>74184.522929787607</v>
      </c>
      <c r="F39" s="25">
        <f>Aurora!D17*1000</f>
        <v>49640.1952981949</v>
      </c>
      <c r="G39" s="25">
        <f>Aurora!E17*1000</f>
        <v>17913.918071985201</v>
      </c>
      <c r="H39" s="25">
        <f>Aurora!F17*1000</f>
        <v>3504.0270544588598</v>
      </c>
      <c r="I39" s="25">
        <f>Aurora!G17*1000</f>
        <v>26636.662770807699</v>
      </c>
      <c r="J39" s="25">
        <f>Aurora!H17*1000</f>
        <v>95468.583917617812</v>
      </c>
      <c r="K39" s="25">
        <f>Aurora!I17*1000</f>
        <v>132270.74086666098</v>
      </c>
      <c r="L39" s="25">
        <f>Aurora!J17*1000</f>
        <v>112380.81160187699</v>
      </c>
      <c r="M39" s="25">
        <f>Aurora!K17*1000</f>
        <v>102070.37965655301</v>
      </c>
      <c r="N39" s="25">
        <f>Aurora!L17*1000</f>
        <v>74233.653554320292</v>
      </c>
      <c r="O39" s="25">
        <f>Aurora!M17*1000</f>
        <v>91537.346395850196</v>
      </c>
    </row>
    <row r="40" spans="1:17">
      <c r="C40" s="24"/>
      <c r="D40" s="25"/>
      <c r="E40" s="25"/>
      <c r="F40" s="25"/>
      <c r="G40" s="25"/>
      <c r="H40" s="25"/>
      <c r="I40" s="25"/>
      <c r="J40" s="25"/>
      <c r="K40" s="25"/>
      <c r="L40" s="25"/>
      <c r="M40" s="25"/>
      <c r="N40" s="25"/>
      <c r="O40" s="25"/>
    </row>
    <row r="41" spans="1:17">
      <c r="A41" t="s">
        <v>56</v>
      </c>
      <c r="C41" s="27">
        <f>SUM(D41:O41)</f>
        <v>7512.0988102436113</v>
      </c>
      <c r="D41" s="3">
        <f>Aurora!B9*1000</f>
        <v>588.88492373228098</v>
      </c>
      <c r="E41" s="3">
        <f>Aurora!C9*1000</f>
        <v>430.89277261495602</v>
      </c>
      <c r="F41" s="3">
        <f>Aurora!D9*1000</f>
        <v>123.81885287761699</v>
      </c>
      <c r="G41" s="3">
        <f>Aurora!E9*1000</f>
        <v>52.188322019577001</v>
      </c>
      <c r="H41" s="3">
        <f>Aurora!F9*1000</f>
        <v>18.237452030181899</v>
      </c>
      <c r="I41" s="3">
        <f>Aurora!G9*1000</f>
        <v>333.39935563802698</v>
      </c>
      <c r="J41" s="3">
        <f>Aurora!H9*1000</f>
        <v>1005.2737718820601</v>
      </c>
      <c r="K41" s="3">
        <f>Aurora!I9*1000</f>
        <v>1574.6650730133099</v>
      </c>
      <c r="L41" s="3">
        <f>Aurora!J9*1000</f>
        <v>1268.3464022636399</v>
      </c>
      <c r="M41" s="3">
        <f>Aurora!K9*1000</f>
        <v>1018.2195638656599</v>
      </c>
      <c r="N41" s="3">
        <f>Aurora!L9*1000</f>
        <v>503.09986591339094</v>
      </c>
      <c r="O41" s="3">
        <f>Aurora!M9*1000</f>
        <v>595.07245439291</v>
      </c>
      <c r="P41" s="3">
        <f>C41/8760</f>
        <v>0.85754552628351732</v>
      </c>
    </row>
    <row r="42" spans="1:17">
      <c r="A42" t="s">
        <v>102</v>
      </c>
      <c r="C42" s="73">
        <f>C43/C41</f>
        <v>35.461736530849286</v>
      </c>
      <c r="D42" s="76">
        <f t="shared" ref="D42:O42" si="12">IF(D41&gt;0,D43/D41,"")</f>
        <v>37.584977566283762</v>
      </c>
      <c r="E42" s="76">
        <f t="shared" si="12"/>
        <v>37.333555237938654</v>
      </c>
      <c r="F42" s="76">
        <f t="shared" si="12"/>
        <v>37.22252954745862</v>
      </c>
      <c r="G42" s="76">
        <f t="shared" si="12"/>
        <v>33.536897332016117</v>
      </c>
      <c r="H42" s="76">
        <f t="shared" si="12"/>
        <v>33.758453407063051</v>
      </c>
      <c r="I42" s="76">
        <f t="shared" si="12"/>
        <v>33.642988976186722</v>
      </c>
      <c r="J42" s="76">
        <f t="shared" si="12"/>
        <v>34.495708704838385</v>
      </c>
      <c r="K42" s="76">
        <f t="shared" si="12"/>
        <v>34.75950021522231</v>
      </c>
      <c r="L42" s="76">
        <f t="shared" si="12"/>
        <v>34.521231849411294</v>
      </c>
      <c r="M42" s="76">
        <f t="shared" si="12"/>
        <v>35.024099698098169</v>
      </c>
      <c r="N42" s="76">
        <f t="shared" si="12"/>
        <v>36.4162172045585</v>
      </c>
      <c r="O42" s="76">
        <f t="shared" si="12"/>
        <v>38.315466717639005</v>
      </c>
    </row>
    <row r="43" spans="1:17">
      <c r="A43" t="s">
        <v>55</v>
      </c>
      <c r="C43" s="30">
        <f>SUM(D43:O43)</f>
        <v>266392.06880256534</v>
      </c>
      <c r="D43" s="25">
        <f>Aurora!B21*1000</f>
        <v>22133.226647600502</v>
      </c>
      <c r="E43" s="25">
        <f>Aurora!C21*1000</f>
        <v>16086.759128049</v>
      </c>
      <c r="F43" s="25">
        <f>Aurora!D21*1000</f>
        <v>4608.8509097695305</v>
      </c>
      <c r="G43" s="25">
        <f>Aurora!E21*1000</f>
        <v>1750.23439750075</v>
      </c>
      <c r="H43" s="25">
        <f>Aurora!F21*1000</f>
        <v>615.66817462444305</v>
      </c>
      <c r="I43" s="25">
        <f>Aurora!G21*1000</f>
        <v>11216.550846397899</v>
      </c>
      <c r="J43" s="25">
        <f>Aurora!H21*1000</f>
        <v>34677.631203457699</v>
      </c>
      <c r="K43" s="25">
        <f>Aurora!I21*1000</f>
        <v>54734.570944309198</v>
      </c>
      <c r="L43" s="25">
        <f>Aurora!J21*1000</f>
        <v>43784.880217909798</v>
      </c>
      <c r="M43" s="25">
        <f>Aurora!K21*1000</f>
        <v>35662.223519384905</v>
      </c>
      <c r="N43" s="25">
        <f>Aurora!L21*1000</f>
        <v>18320.993992686301</v>
      </c>
      <c r="O43" s="25">
        <f>Aurora!M21*1000</f>
        <v>22800.478820875298</v>
      </c>
    </row>
    <row r="44" spans="1:17">
      <c r="C44" s="24"/>
      <c r="D44" s="25"/>
      <c r="E44" s="25"/>
      <c r="F44" s="25"/>
      <c r="G44" s="25"/>
      <c r="H44" s="25"/>
      <c r="I44" s="25"/>
      <c r="J44" s="25"/>
      <c r="K44" s="25"/>
      <c r="L44" s="25"/>
      <c r="M44" s="25"/>
      <c r="N44" s="25"/>
      <c r="O44" s="25"/>
    </row>
    <row r="45" spans="1:17">
      <c r="A45" t="s">
        <v>37</v>
      </c>
      <c r="C45" s="27">
        <f>SUM(D45:O45)</f>
        <v>19310.590845683219</v>
      </c>
      <c r="D45" s="3">
        <f>Aurora!B12*1000</f>
        <v>2818.8047874450699</v>
      </c>
      <c r="E45" s="3">
        <f>Aurora!C12*1000</f>
        <v>1577.5120945453641</v>
      </c>
      <c r="F45" s="3">
        <f>Aurora!D12*1000</f>
        <v>156.554259109497</v>
      </c>
      <c r="G45" s="3">
        <f>Aurora!E12*1000</f>
        <v>16.566479873657219</v>
      </c>
      <c r="H45" s="3">
        <f>Aurora!F12*1000</f>
        <v>0</v>
      </c>
      <c r="I45" s="3">
        <f>Aurora!G12*1000</f>
        <v>971.35591506958008</v>
      </c>
      <c r="J45" s="3">
        <f>Aurora!H12*1000</f>
        <v>1959.1353346377618</v>
      </c>
      <c r="K45" s="3">
        <f>Aurora!I12*1000</f>
        <v>4594.2384579658501</v>
      </c>
      <c r="L45" s="3">
        <f>Aurora!J12*1000</f>
        <v>3170.0877544403102</v>
      </c>
      <c r="M45" s="3">
        <f>Aurora!K12*1000</f>
        <v>2185.3780960083</v>
      </c>
      <c r="N45" s="3">
        <f>Aurora!L12*1000</f>
        <v>815.59692153930598</v>
      </c>
      <c r="O45" s="3">
        <f>Aurora!M12*1000</f>
        <v>1045.3607450485229</v>
      </c>
      <c r="P45" s="3">
        <f>C45/8760</f>
        <v>2.2044053476807326</v>
      </c>
    </row>
    <row r="46" spans="1:17">
      <c r="A46" t="s">
        <v>96</v>
      </c>
      <c r="C46" s="73">
        <f>C47/C45</f>
        <v>48.517537066038471</v>
      </c>
      <c r="D46" s="76">
        <f t="shared" ref="D46:O46" si="13">IF(D45&gt;0,D47/D45,"")</f>
        <v>49.380363115939211</v>
      </c>
      <c r="E46" s="76">
        <f t="shared" si="13"/>
        <v>49.347992462804868</v>
      </c>
      <c r="F46" s="76">
        <f t="shared" si="13"/>
        <v>51.056912272807494</v>
      </c>
      <c r="G46" s="76">
        <f t="shared" si="13"/>
        <v>46.51462102831136</v>
      </c>
      <c r="H46" s="76" t="str">
        <f t="shared" si="13"/>
        <v/>
      </c>
      <c r="I46" s="76">
        <f t="shared" si="13"/>
        <v>45.291974677099255</v>
      </c>
      <c r="J46" s="76">
        <f t="shared" si="13"/>
        <v>47.696842802814103</v>
      </c>
      <c r="K46" s="76">
        <f t="shared" si="13"/>
        <v>47.855755516727591</v>
      </c>
      <c r="L46" s="76">
        <f t="shared" si="13"/>
        <v>48.066448010883846</v>
      </c>
      <c r="M46" s="76">
        <f t="shared" si="13"/>
        <v>49.565752417910772</v>
      </c>
      <c r="N46" s="76">
        <f t="shared" si="13"/>
        <v>51.402350156357862</v>
      </c>
      <c r="O46" s="76">
        <f t="shared" si="13"/>
        <v>48.95876509056955</v>
      </c>
    </row>
    <row r="47" spans="1:17">
      <c r="A47" t="s">
        <v>38</v>
      </c>
      <c r="C47" s="30">
        <f>SUM(D47:O47)</f>
        <v>936902.30712253868</v>
      </c>
      <c r="D47" s="25">
        <f>Aurora!B24*1000</f>
        <v>139193.6039569854</v>
      </c>
      <c r="E47" s="25">
        <f>Aurora!C24*1000</f>
        <v>77847.054951608152</v>
      </c>
      <c r="F47" s="25">
        <f>Aurora!D24*1000</f>
        <v>7993.1770732879613</v>
      </c>
      <c r="G47" s="25">
        <f>Aurora!E24*1000</f>
        <v>770.58353309631298</v>
      </c>
      <c r="H47" s="25">
        <f>Aurora!F24*1000</f>
        <v>0</v>
      </c>
      <c r="I47" s="25">
        <f>Aurora!G24*1000</f>
        <v>43994.627507781996</v>
      </c>
      <c r="J47" s="25">
        <f>Aurora!H24*1000</f>
        <v>93444.570085655927</v>
      </c>
      <c r="K47" s="25">
        <f>Aurora!I24*1000</f>
        <v>219860.75242996129</v>
      </c>
      <c r="L47" s="25">
        <f>Aurora!J24*1000</f>
        <v>152374.85823874469</v>
      </c>
      <c r="M47" s="25">
        <f>Aurora!K24*1000</f>
        <v>108319.90964627263</v>
      </c>
      <c r="N47" s="25">
        <f>Aurora!L24*1000</f>
        <v>41923.598547410933</v>
      </c>
      <c r="O47" s="25">
        <f>Aurora!M24*1000</f>
        <v>51179.571151733398</v>
      </c>
    </row>
    <row r="48" spans="1:17">
      <c r="C48" s="38"/>
      <c r="D48" s="25"/>
      <c r="E48" s="25"/>
      <c r="F48" s="25"/>
      <c r="G48" s="25"/>
      <c r="H48" s="25"/>
      <c r="I48" s="25"/>
      <c r="J48" s="25"/>
      <c r="K48" s="25"/>
      <c r="L48" s="25"/>
      <c r="M48" s="25"/>
      <c r="N48" s="25"/>
      <c r="O48" s="25"/>
    </row>
    <row r="49" spans="1:16">
      <c r="A49" t="s">
        <v>42</v>
      </c>
      <c r="C49" s="27">
        <f>SUM(D49:O49)</f>
        <v>364.98267788589027</v>
      </c>
      <c r="D49" s="3">
        <f>Aurora!B11*1000</f>
        <v>46.591730308532803</v>
      </c>
      <c r="E49" s="3">
        <f>Aurora!C11*1000</f>
        <v>17.390130424499521</v>
      </c>
      <c r="F49" s="3">
        <f>Aurora!D11*1000</f>
        <v>0</v>
      </c>
      <c r="G49" s="3">
        <f>Aurora!E11*1000</f>
        <v>0</v>
      </c>
      <c r="H49" s="3">
        <f>Aurora!F11*1000</f>
        <v>0</v>
      </c>
      <c r="I49" s="3">
        <f>Aurora!G11*1000</f>
        <v>54.6625690460206</v>
      </c>
      <c r="J49" s="3">
        <f>Aurora!H11*1000</f>
        <v>30.2199087619782</v>
      </c>
      <c r="K49" s="3">
        <f>Aurora!I11*1000</f>
        <v>44.673055192828201</v>
      </c>
      <c r="L49" s="3">
        <f>Aurora!J11*1000</f>
        <v>64.859887933731102</v>
      </c>
      <c r="M49" s="3">
        <f>Aurora!K11*1000</f>
        <v>78.817181324958796</v>
      </c>
      <c r="N49" s="3">
        <f>Aurora!L11*1000</f>
        <v>11.492340087890621</v>
      </c>
      <c r="O49" s="3">
        <f>Aurora!M11*1000</f>
        <v>16.275874805450439</v>
      </c>
      <c r="P49" s="3">
        <f>C49/8760</f>
        <v>4.1664689256380165E-2</v>
      </c>
    </row>
    <row r="50" spans="1:16">
      <c r="A50" t="s">
        <v>97</v>
      </c>
      <c r="C50" s="73">
        <f>C51/C49</f>
        <v>52.299440068092899</v>
      </c>
      <c r="D50" s="76">
        <f t="shared" ref="D50:O50" si="14">IF(D49&gt;0,D51/D49,"")</f>
        <v>55.292834361405475</v>
      </c>
      <c r="E50" s="76">
        <f t="shared" si="14"/>
        <v>56.504944668274938</v>
      </c>
      <c r="F50" s="76" t="str">
        <f t="shared" si="14"/>
        <v/>
      </c>
      <c r="G50" s="76" t="str">
        <f t="shared" si="14"/>
        <v/>
      </c>
      <c r="H50" s="76" t="str">
        <f t="shared" si="14"/>
        <v/>
      </c>
      <c r="I50" s="76">
        <f t="shared" si="14"/>
        <v>49.733918877428991</v>
      </c>
      <c r="J50" s="76">
        <f t="shared" si="14"/>
        <v>50.846203769738487</v>
      </c>
      <c r="K50" s="76">
        <f t="shared" si="14"/>
        <v>51.397425114161706</v>
      </c>
      <c r="L50" s="76">
        <f t="shared" si="14"/>
        <v>51.053041455323651</v>
      </c>
      <c r="M50" s="76">
        <f t="shared" si="14"/>
        <v>52.1769931464449</v>
      </c>
      <c r="N50" s="76">
        <f t="shared" si="14"/>
        <v>54.331723391680633</v>
      </c>
      <c r="O50" s="76">
        <f t="shared" si="14"/>
        <v>57.152341904575522</v>
      </c>
    </row>
    <row r="51" spans="1:16">
      <c r="A51" t="s">
        <v>43</v>
      </c>
      <c r="C51" s="30">
        <f>SUM(D51:O51)</f>
        <v>19088.389687985175</v>
      </c>
      <c r="D51" s="25">
        <f>Aurora!B23*1000</f>
        <v>2576.1888265609796</v>
      </c>
      <c r="E51" s="25">
        <f>Aurora!C23*1000</f>
        <v>982.62835741043</v>
      </c>
      <c r="F51" s="25">
        <f>Aurora!D23*1000</f>
        <v>0</v>
      </c>
      <c r="G51" s="25">
        <f>Aurora!E23*1000</f>
        <v>0</v>
      </c>
      <c r="H51" s="25">
        <f>Aurora!F23*1000</f>
        <v>0</v>
      </c>
      <c r="I51" s="25">
        <f>Aurora!G23*1000</f>
        <v>2718.5837745666495</v>
      </c>
      <c r="J51" s="25">
        <f>Aurora!H23*1000</f>
        <v>1536.5676388144491</v>
      </c>
      <c r="K51" s="25">
        <f>Aurora!I23*1000</f>
        <v>2296.0800088942001</v>
      </c>
      <c r="L51" s="25">
        <f>Aurora!J23*1000</f>
        <v>3311.2945474684202</v>
      </c>
      <c r="M51" s="25">
        <f>Aurora!K23*1000</f>
        <v>4112.4435298144799</v>
      </c>
      <c r="N51" s="25">
        <f>Aurora!L23*1000</f>
        <v>624.39864277839592</v>
      </c>
      <c r="O51" s="25">
        <f>Aurora!M23*1000</f>
        <v>930.20436167717003</v>
      </c>
    </row>
    <row r="52" spans="1:16">
      <c r="C52" s="24"/>
      <c r="D52" s="25"/>
      <c r="E52" s="25"/>
      <c r="F52" s="25"/>
      <c r="G52" s="25"/>
      <c r="H52" s="25"/>
      <c r="I52" s="25"/>
      <c r="J52" s="25"/>
      <c r="K52" s="25"/>
      <c r="L52" s="25"/>
      <c r="M52" s="25"/>
      <c r="N52" s="25"/>
      <c r="O52" s="25"/>
    </row>
    <row r="53" spans="1:16">
      <c r="A53" t="s">
        <v>39</v>
      </c>
      <c r="C53" s="52">
        <f>SUM(D53:O53)</f>
        <v>115325382.39416301</v>
      </c>
      <c r="D53" s="32">
        <f t="shared" ref="D53:J53" si="15">D23+D27+D31+D35+D39+D43+D47+D51</f>
        <v>12680596.132289693</v>
      </c>
      <c r="E53" s="32">
        <f t="shared" si="15"/>
        <v>11437818.79163762</v>
      </c>
      <c r="F53" s="32">
        <f t="shared" si="15"/>
        <v>10934258.535130447</v>
      </c>
      <c r="G53" s="32">
        <f t="shared" si="15"/>
        <v>7793700.6598755987</v>
      </c>
      <c r="H53" s="32">
        <f t="shared" si="15"/>
        <v>3866713.8853213191</v>
      </c>
      <c r="I53" s="32">
        <f t="shared" si="15"/>
        <v>3579456.0815985645</v>
      </c>
      <c r="J53" s="32">
        <f t="shared" si="15"/>
        <v>7911854.0451172544</v>
      </c>
      <c r="K53" s="32">
        <f>K23+K27+K31+K35+K39+K43+K47+K51</f>
        <v>10231411.374619808</v>
      </c>
      <c r="L53" s="32">
        <f>L23+L27+L31+L35+L39+L43+L47+L51</f>
        <v>10705448.436303921</v>
      </c>
      <c r="M53" s="32">
        <f>M23+M27+M31+M35+M39+M43+M47+M51</f>
        <v>11583143.435080547</v>
      </c>
      <c r="N53" s="32">
        <f>N23+N27+N31+N35+N39+N43+N47+N51</f>
        <v>11733359.594754506</v>
      </c>
      <c r="O53" s="32">
        <f>O23+O27+O31+O35+O39+O43+O47+O51</f>
        <v>12867621.422433738</v>
      </c>
    </row>
    <row r="54" spans="1:16">
      <c r="C54" s="25"/>
      <c r="D54" s="25"/>
      <c r="E54" s="25"/>
      <c r="F54" s="25"/>
      <c r="G54" s="25"/>
      <c r="H54" s="25"/>
      <c r="I54" s="25"/>
    </row>
    <row r="55" spans="1:16" s="12" customFormat="1">
      <c r="A55" s="34" t="s">
        <v>88</v>
      </c>
      <c r="B55" s="35"/>
      <c r="C55" s="71">
        <f>C53+C13+C9</f>
        <v>87629226.348407179</v>
      </c>
    </row>
    <row r="56" spans="1:16" s="12" customFormat="1">
      <c r="A56" s="9"/>
      <c r="C56" s="36"/>
      <c r="D56" s="36"/>
      <c r="E56" s="36"/>
      <c r="F56" s="36"/>
      <c r="G56" s="36"/>
      <c r="H56" s="36"/>
      <c r="I56" s="36"/>
    </row>
  </sheetData>
  <phoneticPr fontId="6" type="noConversion"/>
  <pageMargins left="0.75" right="0.75" top="1" bottom="1" header="0.5" footer="0.5"/>
  <pageSetup scale="53"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N42"/>
  <sheetViews>
    <sheetView tabSelected="1" zoomScaleNormal="100" workbookViewId="0">
      <selection activeCell="E39" sqref="E39"/>
    </sheetView>
  </sheetViews>
  <sheetFormatPr defaultColWidth="9.140625" defaultRowHeight="12.75"/>
  <cols>
    <col min="1" max="1" width="32.5703125" style="116" customWidth="1"/>
    <col min="2" max="2" width="13.140625" style="116" customWidth="1"/>
    <col min="3" max="14" width="11.85546875" style="116" customWidth="1"/>
    <col min="15" max="16384" width="9.140625" style="116"/>
  </cols>
  <sheetData>
    <row r="1" spans="1:14" ht="15.75">
      <c r="A1" s="135" t="s">
        <v>156</v>
      </c>
    </row>
    <row r="2" spans="1:14" ht="15.75">
      <c r="A2" s="135" t="s">
        <v>246</v>
      </c>
    </row>
    <row r="3" spans="1:14" ht="15.75">
      <c r="A3" s="135" t="s">
        <v>176</v>
      </c>
    </row>
    <row r="4" spans="1:14" s="136" customFormat="1" ht="15.75">
      <c r="A4" s="135" t="s">
        <v>247</v>
      </c>
    </row>
    <row r="5" spans="1:14" ht="15.75">
      <c r="A5" s="135"/>
    </row>
    <row r="6" spans="1:14">
      <c r="A6" s="117" t="s">
        <v>189</v>
      </c>
    </row>
    <row r="7" spans="1:14">
      <c r="A7" s="117"/>
    </row>
    <row r="8" spans="1:14">
      <c r="B8" s="137" t="s">
        <v>32</v>
      </c>
      <c r="C8" s="138" t="s">
        <v>195</v>
      </c>
      <c r="D8" s="138" t="s">
        <v>196</v>
      </c>
      <c r="E8" s="138" t="s">
        <v>197</v>
      </c>
      <c r="F8" s="138" t="s">
        <v>198</v>
      </c>
      <c r="G8" s="138" t="s">
        <v>79</v>
      </c>
      <c r="H8" s="138" t="s">
        <v>199</v>
      </c>
      <c r="I8" s="138" t="s">
        <v>200</v>
      </c>
      <c r="J8" s="138" t="s">
        <v>201</v>
      </c>
      <c r="K8" s="138" t="s">
        <v>202</v>
      </c>
      <c r="L8" s="138" t="s">
        <v>203</v>
      </c>
      <c r="M8" s="138" t="s">
        <v>204</v>
      </c>
      <c r="N8" s="138" t="s">
        <v>205</v>
      </c>
    </row>
    <row r="10" spans="1:14">
      <c r="A10" s="116" t="s">
        <v>145</v>
      </c>
      <c r="B10" s="139">
        <f>SUM(C10:N10)</f>
        <v>120458055.88794254</v>
      </c>
      <c r="C10" s="139">
        <f>'WGJ-2'!K29</f>
        <v>13416574.95660826</v>
      </c>
      <c r="D10" s="139">
        <f>'WGJ-2'!L29</f>
        <v>12266127.268125037</v>
      </c>
      <c r="E10" s="139">
        <f>'WGJ-2'!M29</f>
        <v>10472873.799369847</v>
      </c>
      <c r="F10" s="139">
        <f>'WGJ-2'!N29</f>
        <v>8839824.6758501772</v>
      </c>
      <c r="G10" s="139">
        <f>'WGJ-2'!O29</f>
        <v>6329499.1285229186</v>
      </c>
      <c r="H10" s="139">
        <f>'WGJ-2'!P29</f>
        <v>6383158.3095904198</v>
      </c>
      <c r="I10" s="139">
        <f>'WGJ-2'!Q29</f>
        <v>8536220.6303618029</v>
      </c>
      <c r="J10" s="139">
        <f>'WGJ-2'!R29</f>
        <v>10472250.34194326</v>
      </c>
      <c r="K10" s="139">
        <f>'WGJ-2'!S29</f>
        <v>8294001.3016311433</v>
      </c>
      <c r="L10" s="139">
        <f>'WGJ-2'!T29</f>
        <v>8749153.8184147179</v>
      </c>
      <c r="M10" s="139">
        <f>'WGJ-2'!U29</f>
        <v>12727103.057379855</v>
      </c>
      <c r="N10" s="139">
        <f>'WGJ-2'!V29</f>
        <v>13971268.600145107</v>
      </c>
    </row>
    <row r="11" spans="1:14">
      <c r="B11" s="139"/>
      <c r="C11" s="139"/>
      <c r="D11" s="139"/>
      <c r="E11" s="139"/>
      <c r="F11" s="139"/>
      <c r="G11" s="139"/>
      <c r="H11" s="139"/>
      <c r="I11" s="139"/>
      <c r="J11" s="139"/>
      <c r="K11" s="139"/>
      <c r="L11" s="139"/>
      <c r="M11" s="139"/>
      <c r="N11" s="139"/>
    </row>
    <row r="12" spans="1:14">
      <c r="A12" s="116" t="s">
        <v>144</v>
      </c>
      <c r="B12" s="139">
        <f>SUM(C12:N12)</f>
        <v>29696307.966706906</v>
      </c>
      <c r="C12" s="139">
        <f>'WGJ-2'!K44</f>
        <v>2779344.987392426</v>
      </c>
      <c r="D12" s="139">
        <f>'WGJ-2'!L44</f>
        <v>2618478.4348487859</v>
      </c>
      <c r="E12" s="139">
        <f>'WGJ-2'!M44</f>
        <v>2611298.6725866799</v>
      </c>
      <c r="F12" s="139">
        <f>'WGJ-2'!N44</f>
        <v>2216486.1640691757</v>
      </c>
      <c r="G12" s="139">
        <f>'WGJ-2'!O44</f>
        <v>1757468.9748749142</v>
      </c>
      <c r="H12" s="139">
        <f>'WGJ-2'!P44</f>
        <v>1579175.5989961324</v>
      </c>
      <c r="I12" s="139">
        <f>'WGJ-2'!Q44</f>
        <v>2344583.950734139</v>
      </c>
      <c r="J12" s="139">
        <f>'WGJ-2'!R44</f>
        <v>2652382.665252686</v>
      </c>
      <c r="K12" s="139">
        <f>'WGJ-2'!S44</f>
        <v>2705502.1049499507</v>
      </c>
      <c r="L12" s="139">
        <f>'WGJ-2'!T44</f>
        <v>2844497.9633331308</v>
      </c>
      <c r="M12" s="139">
        <f>'WGJ-2'!U44</f>
        <v>2746695.8835601802</v>
      </c>
      <c r="N12" s="139">
        <f>'WGJ-2'!V44</f>
        <v>2840392.5661087041</v>
      </c>
    </row>
    <row r="13" spans="1:14">
      <c r="B13" s="139"/>
      <c r="C13" s="139"/>
      <c r="D13" s="139"/>
      <c r="E13" s="139"/>
      <c r="F13" s="139"/>
      <c r="G13" s="139"/>
      <c r="H13" s="139"/>
      <c r="I13" s="139"/>
      <c r="J13" s="139"/>
      <c r="K13" s="139"/>
      <c r="L13" s="139"/>
      <c r="M13" s="139"/>
      <c r="N13" s="139"/>
    </row>
    <row r="14" spans="1:14">
      <c r="A14" s="116" t="s">
        <v>188</v>
      </c>
      <c r="B14" s="139">
        <f>SUM(C14:N14)</f>
        <v>92175074.427456111</v>
      </c>
      <c r="C14" s="139">
        <f>'WGJ-2'!K59</f>
        <v>10446751.144897267</v>
      </c>
      <c r="D14" s="139">
        <f>'WGJ-2'!L59</f>
        <v>9364840.3567888346</v>
      </c>
      <c r="E14" s="139">
        <f>'WGJ-2'!M59</f>
        <v>8868459.8625437673</v>
      </c>
      <c r="F14" s="139">
        <f>'WGJ-2'!N59</f>
        <v>6122714.4958064221</v>
      </c>
      <c r="G14" s="139">
        <f>'WGJ-2'!O59</f>
        <v>2654744.9104464045</v>
      </c>
      <c r="H14" s="139">
        <f>'WGJ-2'!P59</f>
        <v>2545780.4826024319</v>
      </c>
      <c r="I14" s="139">
        <f>'WGJ-2'!Q59</f>
        <v>6112770.0943831159</v>
      </c>
      <c r="J14" s="139">
        <f>'WGJ-2'!R59</f>
        <v>8124528.7093671225</v>
      </c>
      <c r="K14" s="139">
        <f>'WGJ-2'!S59</f>
        <v>8545446.3313539699</v>
      </c>
      <c r="L14" s="139">
        <f>'WGJ-2'!T59</f>
        <v>9284145.471747417</v>
      </c>
      <c r="M14" s="139">
        <f>'WGJ-2'!U59</f>
        <v>9532163.7111943252</v>
      </c>
      <c r="N14" s="139">
        <f>'WGJ-2'!V59</f>
        <v>10572728.856325034</v>
      </c>
    </row>
    <row r="15" spans="1:14">
      <c r="B15" s="139"/>
      <c r="C15" s="139"/>
      <c r="D15" s="139"/>
      <c r="E15" s="139"/>
      <c r="F15" s="139"/>
      <c r="G15" s="139"/>
      <c r="H15" s="139"/>
      <c r="I15" s="139"/>
      <c r="J15" s="139"/>
      <c r="K15" s="139"/>
      <c r="L15" s="139"/>
      <c r="M15" s="139"/>
      <c r="N15" s="139"/>
    </row>
    <row r="16" spans="1:14">
      <c r="A16" s="140" t="s">
        <v>143</v>
      </c>
      <c r="B16" s="141">
        <f>SUM(C16:N16)</f>
        <v>70595084.918907285</v>
      </c>
      <c r="C16" s="141">
        <f>'WGJ-2'!K96</f>
        <v>7089211.981838569</v>
      </c>
      <c r="D16" s="141">
        <f>'WGJ-2'!L96</f>
        <v>5693375.8987846738</v>
      </c>
      <c r="E16" s="141">
        <f>'WGJ-2'!M96</f>
        <v>5734081.8100503087</v>
      </c>
      <c r="F16" s="141">
        <f>'WGJ-2'!N96</f>
        <v>7162811.8287775638</v>
      </c>
      <c r="G16" s="141">
        <f>'WGJ-2'!O96</f>
        <v>3696745.1862176643</v>
      </c>
      <c r="H16" s="141">
        <f>'WGJ-2'!P96</f>
        <v>3298998.689542389</v>
      </c>
      <c r="I16" s="141">
        <f>'WGJ-2'!Q96</f>
        <v>6152492.7605269067</v>
      </c>
      <c r="J16" s="141">
        <f>'WGJ-2'!R96</f>
        <v>4436060.6492501721</v>
      </c>
      <c r="K16" s="141">
        <f>'WGJ-2'!S96</f>
        <v>5874214.4196056295</v>
      </c>
      <c r="L16" s="141">
        <f>'WGJ-2'!T96</f>
        <v>6384367.3728273781</v>
      </c>
      <c r="M16" s="141">
        <f>'WGJ-2'!U96</f>
        <v>7403172.7955923984</v>
      </c>
      <c r="N16" s="141">
        <f>'WGJ-2'!V96</f>
        <v>7669551.5258936221</v>
      </c>
    </row>
    <row r="17" spans="1:14" ht="12.75" customHeight="1">
      <c r="B17" s="139"/>
      <c r="C17" s="139"/>
      <c r="D17" s="139"/>
      <c r="E17" s="139"/>
      <c r="F17" s="139"/>
      <c r="G17" s="139"/>
      <c r="H17" s="139"/>
      <c r="I17" s="139"/>
      <c r="J17" s="139"/>
      <c r="K17" s="139"/>
      <c r="L17" s="139"/>
      <c r="M17" s="139"/>
      <c r="N17" s="139"/>
    </row>
    <row r="18" spans="1:14">
      <c r="A18" s="134" t="s">
        <v>140</v>
      </c>
      <c r="B18" s="139">
        <f>SUM(C18:N18)</f>
        <v>171734353.36319831</v>
      </c>
      <c r="C18" s="139">
        <f>SUM(C10:C14)-C16</f>
        <v>19553459.107059382</v>
      </c>
      <c r="D18" s="139">
        <f t="shared" ref="D18:N18" si="0">SUM(D10:D14)-D16</f>
        <v>18556070.160977982</v>
      </c>
      <c r="E18" s="139">
        <f t="shared" si="0"/>
        <v>16218550.524449985</v>
      </c>
      <c r="F18" s="139">
        <f t="shared" si="0"/>
        <v>10016213.506948214</v>
      </c>
      <c r="G18" s="139">
        <f t="shared" si="0"/>
        <v>7044967.8276265729</v>
      </c>
      <c r="H18" s="139">
        <f t="shared" si="0"/>
        <v>7209115.7016465962</v>
      </c>
      <c r="I18" s="139">
        <f t="shared" si="0"/>
        <v>10841081.914952151</v>
      </c>
      <c r="J18" s="139">
        <f t="shared" si="0"/>
        <v>16813101.067312896</v>
      </c>
      <c r="K18" s="139">
        <f t="shared" si="0"/>
        <v>13670735.318329437</v>
      </c>
      <c r="L18" s="139">
        <f t="shared" si="0"/>
        <v>14493429.880667888</v>
      </c>
      <c r="M18" s="139">
        <f t="shared" si="0"/>
        <v>17602789.856541961</v>
      </c>
      <c r="N18" s="139">
        <f t="shared" si="0"/>
        <v>19714838.496685226</v>
      </c>
    </row>
    <row r="19" spans="1:14" ht="12.75" customHeight="1">
      <c r="B19" s="139"/>
      <c r="C19" s="139"/>
      <c r="D19" s="139"/>
      <c r="E19" s="139"/>
      <c r="F19" s="139"/>
      <c r="G19" s="139"/>
      <c r="H19" s="139"/>
      <c r="I19" s="139"/>
      <c r="J19" s="139"/>
      <c r="K19" s="139"/>
      <c r="L19" s="139"/>
      <c r="M19" s="139"/>
      <c r="N19" s="139"/>
    </row>
    <row r="20" spans="1:14" ht="12.75" customHeight="1">
      <c r="A20" s="134" t="s">
        <v>177</v>
      </c>
      <c r="B20" s="139">
        <f>SUM(C20:N20)</f>
        <v>16808363.490000002</v>
      </c>
      <c r="C20" s="139">
        <f>'WGJ-2'!K74</f>
        <v>1466224.5</v>
      </c>
      <c r="D20" s="139">
        <f>'WGJ-2'!L74</f>
        <v>1382221.5</v>
      </c>
      <c r="E20" s="139">
        <f>'WGJ-2'!M74</f>
        <v>1519521.5</v>
      </c>
      <c r="F20" s="139">
        <f>'WGJ-2'!N74</f>
        <v>1313432.02</v>
      </c>
      <c r="G20" s="139">
        <f>'WGJ-2'!O74</f>
        <v>1375751.15</v>
      </c>
      <c r="H20" s="139">
        <f>'WGJ-2'!P74</f>
        <v>1366571.85</v>
      </c>
      <c r="I20" s="139">
        <f>'WGJ-2'!Q74</f>
        <v>1376000.14</v>
      </c>
      <c r="J20" s="139">
        <f>'WGJ-2'!R74</f>
        <v>1408041.49</v>
      </c>
      <c r="K20" s="139">
        <f>'WGJ-2'!S74</f>
        <v>1405282.84</v>
      </c>
      <c r="L20" s="139">
        <f>'WGJ-2'!T74</f>
        <v>1365252.5</v>
      </c>
      <c r="M20" s="139">
        <f>'WGJ-2'!U74</f>
        <v>1428075.5</v>
      </c>
      <c r="N20" s="139">
        <f>'WGJ-2'!V74</f>
        <v>1401988.5</v>
      </c>
    </row>
    <row r="21" spans="1:14" ht="12.75" customHeight="1">
      <c r="A21" s="134"/>
    </row>
    <row r="22" spans="1:14" ht="12.75" customHeight="1">
      <c r="A22" s="134" t="s">
        <v>226</v>
      </c>
      <c r="B22" s="120">
        <f>SUM(C22:N22)</f>
        <v>15802274.711500002</v>
      </c>
      <c r="C22" s="120">
        <v>1306341.604166667</v>
      </c>
      <c r="D22" s="120">
        <v>1061936.3766666669</v>
      </c>
      <c r="E22" s="120">
        <v>1137644.2349999999</v>
      </c>
      <c r="F22" s="120">
        <v>1166933.4166666665</v>
      </c>
      <c r="G22" s="120">
        <v>1506921.35</v>
      </c>
      <c r="H22" s="120">
        <v>1586833.1841666666</v>
      </c>
      <c r="I22" s="120">
        <v>1599619.8250000002</v>
      </c>
      <c r="J22" s="120">
        <v>1447882.6248333333</v>
      </c>
      <c r="K22" s="120">
        <v>1304803.9416666669</v>
      </c>
      <c r="L22" s="120">
        <v>1285929.4116666666</v>
      </c>
      <c r="M22" s="120">
        <v>1197857.8358333334</v>
      </c>
      <c r="N22" s="120">
        <v>1199570.9058333333</v>
      </c>
    </row>
    <row r="23" spans="1:14" ht="12.75" customHeight="1">
      <c r="A23" s="134"/>
      <c r="B23" s="120"/>
    </row>
    <row r="24" spans="1:14" ht="12.75" customHeight="1">
      <c r="A24" s="134" t="s">
        <v>184</v>
      </c>
      <c r="B24" s="120">
        <f>SUM(C24:N24)</f>
        <v>690000</v>
      </c>
      <c r="C24" s="139">
        <f>'WGJ-2'!K32</f>
        <v>57500</v>
      </c>
      <c r="D24" s="139">
        <f>'WGJ-2'!L32</f>
        <v>57500</v>
      </c>
      <c r="E24" s="139">
        <f>'WGJ-2'!M32</f>
        <v>57500</v>
      </c>
      <c r="F24" s="139">
        <f>'WGJ-2'!N32</f>
        <v>57500</v>
      </c>
      <c r="G24" s="139">
        <f>'WGJ-2'!O32</f>
        <v>57500</v>
      </c>
      <c r="H24" s="139">
        <f>'WGJ-2'!P32</f>
        <v>57500</v>
      </c>
      <c r="I24" s="139">
        <f>'WGJ-2'!Q32</f>
        <v>57500</v>
      </c>
      <c r="J24" s="139">
        <f>'WGJ-2'!R32</f>
        <v>57500</v>
      </c>
      <c r="K24" s="139">
        <f>'WGJ-2'!S32</f>
        <v>57500</v>
      </c>
      <c r="L24" s="139">
        <f>'WGJ-2'!T32</f>
        <v>57500</v>
      </c>
      <c r="M24" s="139">
        <f>'WGJ-2'!U32</f>
        <v>57500</v>
      </c>
      <c r="N24" s="139">
        <f>'WGJ-2'!V32</f>
        <v>57500</v>
      </c>
    </row>
    <row r="25" spans="1:14" ht="12.75" customHeight="1">
      <c r="A25" s="134"/>
      <c r="B25" s="120"/>
      <c r="C25" s="139"/>
      <c r="D25" s="139"/>
      <c r="E25" s="139"/>
      <c r="F25" s="139"/>
      <c r="G25" s="139"/>
      <c r="H25" s="139"/>
      <c r="I25" s="139"/>
      <c r="J25" s="139"/>
      <c r="K25" s="139"/>
      <c r="L25" s="139"/>
      <c r="M25" s="139"/>
      <c r="N25" s="139"/>
    </row>
    <row r="26" spans="1:14" ht="12.75" customHeight="1">
      <c r="A26" s="134" t="s">
        <v>248</v>
      </c>
      <c r="B26" s="120">
        <f>SUM(C26:N26)</f>
        <v>24340117</v>
      </c>
      <c r="C26" s="139">
        <f>'WGJ-2'!K82</f>
        <v>1658660</v>
      </c>
      <c r="D26" s="139">
        <f>'WGJ-2'!L82</f>
        <v>1509930</v>
      </c>
      <c r="E26" s="139">
        <f>'WGJ-2'!M82</f>
        <v>1919820</v>
      </c>
      <c r="F26" s="139">
        <f>'WGJ-2'!N82</f>
        <v>1545840</v>
      </c>
      <c r="G26" s="139">
        <f>'WGJ-2'!O82</f>
        <v>3641500</v>
      </c>
      <c r="H26" s="139">
        <f>'WGJ-2'!P82</f>
        <v>2115870</v>
      </c>
      <c r="I26" s="139">
        <f>'WGJ-2'!Q82</f>
        <v>2362970</v>
      </c>
      <c r="J26" s="139">
        <f>'WGJ-2'!R82</f>
        <v>1652990</v>
      </c>
      <c r="K26" s="139">
        <f>'WGJ-2'!S82</f>
        <v>1845650</v>
      </c>
      <c r="L26" s="139">
        <f>'WGJ-2'!T82</f>
        <v>1649190</v>
      </c>
      <c r="M26" s="139">
        <f>'WGJ-2'!U82</f>
        <v>1575680</v>
      </c>
      <c r="N26" s="139">
        <f>'WGJ-2'!V82</f>
        <v>2862017</v>
      </c>
    </row>
    <row r="27" spans="1:14" ht="12.75" customHeight="1">
      <c r="A27" s="134"/>
      <c r="B27" s="149"/>
      <c r="C27" s="149"/>
      <c r="D27" s="149"/>
      <c r="E27" s="149"/>
      <c r="F27" s="149"/>
      <c r="G27" s="149"/>
      <c r="H27" s="149"/>
      <c r="I27" s="149"/>
      <c r="J27" s="149"/>
      <c r="K27" s="149"/>
      <c r="L27" s="149"/>
      <c r="M27" s="149"/>
      <c r="N27" s="149"/>
    </row>
    <row r="28" spans="1:14" ht="12.75" customHeight="1">
      <c r="A28" s="134" t="s">
        <v>243</v>
      </c>
      <c r="B28" s="139">
        <f>B18+B20-B22+B24+B26</f>
        <v>197770559.14169833</v>
      </c>
      <c r="C28" s="139">
        <f t="shared" ref="C28:M28" si="1">C18+C20-C22+C24+C26</f>
        <v>21429502.002892714</v>
      </c>
      <c r="D28" s="139">
        <f t="shared" si="1"/>
        <v>20443785.284311317</v>
      </c>
      <c r="E28" s="139">
        <f t="shared" si="1"/>
        <v>18577747.789449986</v>
      </c>
      <c r="F28" s="139">
        <f t="shared" si="1"/>
        <v>11766052.110281548</v>
      </c>
      <c r="G28" s="139">
        <f t="shared" si="1"/>
        <v>10612797.627626574</v>
      </c>
      <c r="H28" s="139">
        <f t="shared" si="1"/>
        <v>9162224.3674799297</v>
      </c>
      <c r="I28" s="139">
        <f t="shared" si="1"/>
        <v>13037932.229952153</v>
      </c>
      <c r="J28" s="139">
        <f t="shared" si="1"/>
        <v>18483749.93247956</v>
      </c>
      <c r="K28" s="139">
        <f t="shared" si="1"/>
        <v>15674364.21666277</v>
      </c>
      <c r="L28" s="139">
        <f t="shared" si="1"/>
        <v>16279442.969001221</v>
      </c>
      <c r="M28" s="139">
        <f t="shared" si="1"/>
        <v>19466187.520708628</v>
      </c>
      <c r="N28" s="139">
        <f>N18+N20-N22+N24+N26</f>
        <v>22836773.090851892</v>
      </c>
    </row>
    <row r="30" spans="1:14">
      <c r="A30" s="117" t="s">
        <v>222</v>
      </c>
    </row>
    <row r="32" spans="1:14">
      <c r="B32" s="137" t="s">
        <v>32</v>
      </c>
      <c r="C32" s="138" t="str">
        <f>C8</f>
        <v>January</v>
      </c>
      <c r="D32" s="138" t="str">
        <f t="shared" ref="D32:N32" si="2">D8</f>
        <v>February</v>
      </c>
      <c r="E32" s="138" t="str">
        <f t="shared" si="2"/>
        <v>March</v>
      </c>
      <c r="F32" s="138" t="str">
        <f t="shared" si="2"/>
        <v>April</v>
      </c>
      <c r="G32" s="138" t="str">
        <f t="shared" si="2"/>
        <v>May</v>
      </c>
      <c r="H32" s="138" t="str">
        <f t="shared" si="2"/>
        <v>June</v>
      </c>
      <c r="I32" s="138" t="str">
        <f t="shared" si="2"/>
        <v>July</v>
      </c>
      <c r="J32" s="138" t="str">
        <f t="shared" si="2"/>
        <v>August</v>
      </c>
      <c r="K32" s="138" t="str">
        <f t="shared" si="2"/>
        <v>September</v>
      </c>
      <c r="L32" s="138" t="str">
        <f t="shared" si="2"/>
        <v>October</v>
      </c>
      <c r="M32" s="138" t="str">
        <f t="shared" si="2"/>
        <v>November</v>
      </c>
      <c r="N32" s="138" t="str">
        <f t="shared" si="2"/>
        <v>December</v>
      </c>
    </row>
    <row r="34" spans="1:14">
      <c r="A34" s="134" t="s">
        <v>227</v>
      </c>
      <c r="B34" s="133">
        <f>SUM(C34:N34)</f>
        <v>5653834.4829999991</v>
      </c>
      <c r="C34" s="133">
        <v>555936.90399999998</v>
      </c>
      <c r="D34" s="133">
        <v>498646.815</v>
      </c>
      <c r="E34" s="133">
        <v>492113.29499999998</v>
      </c>
      <c r="F34" s="133">
        <v>431144.89</v>
      </c>
      <c r="G34" s="133">
        <v>438507.087</v>
      </c>
      <c r="H34" s="133">
        <v>423629.66100000002</v>
      </c>
      <c r="I34" s="133">
        <v>451024.27</v>
      </c>
      <c r="J34" s="133">
        <v>469267.17099999997</v>
      </c>
      <c r="K34" s="133">
        <v>421946.321</v>
      </c>
      <c r="L34" s="133">
        <v>451213.60499999998</v>
      </c>
      <c r="M34" s="133">
        <v>471440.29399999999</v>
      </c>
      <c r="N34" s="133">
        <v>548964.17000000004</v>
      </c>
    </row>
    <row r="36" spans="1:14">
      <c r="A36" s="134" t="s">
        <v>185</v>
      </c>
      <c r="B36" s="142">
        <f>B28*0.6519/B34</f>
        <v>22.803396153907741</v>
      </c>
      <c r="C36" s="143" t="s">
        <v>186</v>
      </c>
      <c r="D36" s="116" t="s">
        <v>245</v>
      </c>
    </row>
    <row r="37" spans="1:14">
      <c r="B37" s="150">
        <f>'WGJ-4'!C19</f>
        <v>30.679848542117913</v>
      </c>
      <c r="C37" s="143" t="s">
        <v>186</v>
      </c>
      <c r="D37" s="116" t="s">
        <v>295</v>
      </c>
    </row>
    <row r="41" spans="1:14">
      <c r="A41" s="116" t="s">
        <v>244</v>
      </c>
    </row>
    <row r="42" spans="1:14">
      <c r="A42" s="116" t="s">
        <v>293</v>
      </c>
    </row>
  </sheetData>
  <phoneticPr fontId="6" type="noConversion"/>
  <pageMargins left="0.75" right="0.75" top="1" bottom="1" header="0.5" footer="0.5"/>
  <pageSetup scale="65"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P36"/>
  <sheetViews>
    <sheetView workbookViewId="0">
      <pane xSplit="4485" ySplit="825" topLeftCell="A14" activePane="bottomRight"/>
      <selection activeCell="B2" sqref="B2"/>
      <selection pane="topRight" activeCell="K1" sqref="K1"/>
      <selection pane="bottomLeft" activeCell="A26" sqref="A26:XFD26"/>
      <selection pane="bottomRight" activeCell="B28" sqref="B28:M29"/>
    </sheetView>
  </sheetViews>
  <sheetFormatPr defaultColWidth="9.140625" defaultRowHeight="12.75"/>
  <cols>
    <col min="1" max="1" width="20.140625" style="60" customWidth="1"/>
    <col min="2" max="13" width="9.140625" style="60"/>
    <col min="14" max="14" width="10.140625" style="62" customWidth="1"/>
    <col min="15" max="15" width="9.140625" style="60" customWidth="1"/>
    <col min="16" max="16384" width="9.140625" style="60"/>
  </cols>
  <sheetData>
    <row r="1" spans="1:16" ht="16.5" thickBot="1">
      <c r="A1" s="57" t="s">
        <v>62</v>
      </c>
      <c r="B1" s="58"/>
      <c r="C1" s="58"/>
      <c r="D1" s="58"/>
      <c r="E1" s="58"/>
      <c r="F1" s="58"/>
      <c r="G1" s="58"/>
      <c r="H1" s="58"/>
      <c r="I1" s="58"/>
      <c r="J1" s="58"/>
      <c r="K1" s="58"/>
      <c r="L1" s="58"/>
      <c r="M1" s="58"/>
      <c r="N1" s="59"/>
      <c r="O1" s="58"/>
    </row>
    <row r="2" spans="1:16">
      <c r="A2" s="61"/>
      <c r="B2" s="70" t="s">
        <v>75</v>
      </c>
      <c r="C2" s="70" t="s">
        <v>76</v>
      </c>
      <c r="D2" s="70" t="s">
        <v>77</v>
      </c>
      <c r="E2" s="70" t="s">
        <v>78</v>
      </c>
      <c r="F2" s="70" t="s">
        <v>79</v>
      </c>
      <c r="G2" s="70" t="s">
        <v>80</v>
      </c>
      <c r="H2" s="70" t="s">
        <v>81</v>
      </c>
      <c r="I2" s="70" t="s">
        <v>82</v>
      </c>
      <c r="J2" s="70" t="s">
        <v>83</v>
      </c>
      <c r="K2" s="70" t="s">
        <v>84</v>
      </c>
      <c r="L2" s="70" t="s">
        <v>85</v>
      </c>
      <c r="M2" s="70" t="s">
        <v>86</v>
      </c>
    </row>
    <row r="3" spans="1:16">
      <c r="B3" s="63">
        <v>1</v>
      </c>
      <c r="C3" s="63">
        <v>2</v>
      </c>
      <c r="D3" s="63">
        <v>3</v>
      </c>
      <c r="E3" s="63">
        <v>4</v>
      </c>
      <c r="F3" s="63">
        <v>5</v>
      </c>
      <c r="G3" s="63">
        <v>6</v>
      </c>
      <c r="H3" s="63">
        <v>7</v>
      </c>
      <c r="I3" s="63">
        <v>8</v>
      </c>
      <c r="J3" s="63">
        <v>9</v>
      </c>
      <c r="K3" s="63">
        <v>10</v>
      </c>
      <c r="L3" s="63">
        <v>11</v>
      </c>
      <c r="M3" s="63">
        <v>12</v>
      </c>
      <c r="N3" s="64" t="s">
        <v>63</v>
      </c>
    </row>
    <row r="4" spans="1:16">
      <c r="A4" s="74" t="s">
        <v>64</v>
      </c>
      <c r="N4" s="75" t="s">
        <v>90</v>
      </c>
    </row>
    <row r="5" spans="1:16">
      <c r="A5" s="65" t="s">
        <v>65</v>
      </c>
      <c r="B5" s="66">
        <v>2.5297142940998101</v>
      </c>
      <c r="C5" s="66">
        <v>1.9216078137874599</v>
      </c>
      <c r="D5" s="66">
        <v>1.2997334074020401</v>
      </c>
      <c r="E5" s="66">
        <v>0.51788099513053898</v>
      </c>
      <c r="F5" s="66">
        <v>0.10120126214027399</v>
      </c>
      <c r="G5" s="66">
        <v>0.76713732666969303</v>
      </c>
      <c r="H5" s="66">
        <v>2.6806672851562499</v>
      </c>
      <c r="I5" s="66">
        <v>3.6892705028533901</v>
      </c>
      <c r="J5" s="66">
        <v>3.1520369699478201</v>
      </c>
      <c r="K5" s="66">
        <v>2.82206273231506</v>
      </c>
      <c r="L5" s="66">
        <v>1.9754024560928301</v>
      </c>
      <c r="M5" s="66">
        <v>2.3181454082488999</v>
      </c>
      <c r="N5" s="62">
        <f>SUM(B5:M5)</f>
        <v>23.774860453844063</v>
      </c>
      <c r="O5" s="60">
        <f>N5/8760*1000</f>
        <v>2.7140251659639341</v>
      </c>
    </row>
    <row r="6" spans="1:16">
      <c r="A6" s="65" t="s">
        <v>23</v>
      </c>
      <c r="B6" s="66">
        <v>143.77550332031259</v>
      </c>
      <c r="C6" s="66">
        <v>134.4431118652343</v>
      </c>
      <c r="D6" s="66">
        <v>140.2291067871094</v>
      </c>
      <c r="E6" s="66">
        <v>113.9040285644531</v>
      </c>
      <c r="F6" s="66">
        <v>91.821340283203199</v>
      </c>
      <c r="G6" s="66">
        <v>88.592547558593694</v>
      </c>
      <c r="H6" s="66">
        <v>133.21427583007812</v>
      </c>
      <c r="I6" s="66">
        <v>142.25950361328131</v>
      </c>
      <c r="J6" s="66">
        <v>140.94454487304691</v>
      </c>
      <c r="K6" s="66">
        <v>145.77463115234372</v>
      </c>
      <c r="L6" s="66">
        <v>141.2074368652344</v>
      </c>
      <c r="M6" s="66">
        <v>145.4829754882812</v>
      </c>
      <c r="N6" s="62">
        <f t="shared" ref="N6:N12" si="0">SUM(B6:M6)</f>
        <v>1561.6490062011721</v>
      </c>
      <c r="O6" s="60">
        <f t="shared" ref="O6:O13" si="1">N6/8760*1000</f>
        <v>178.27043449785072</v>
      </c>
    </row>
    <row r="7" spans="1:16">
      <c r="A7" s="65" t="s">
        <v>66</v>
      </c>
      <c r="B7" s="66">
        <v>168.00209343261699</v>
      </c>
      <c r="C7" s="66">
        <v>153.32554462890602</v>
      </c>
      <c r="D7" s="66">
        <v>147.76095688476599</v>
      </c>
      <c r="E7" s="66">
        <v>107.16246166992201</v>
      </c>
      <c r="F7" s="66">
        <v>40.075196356201204</v>
      </c>
      <c r="G7" s="66">
        <v>35.412993704223595</v>
      </c>
      <c r="H7" s="66">
        <v>101.75944366455099</v>
      </c>
      <c r="I7" s="66">
        <v>135.35417729492201</v>
      </c>
      <c r="J7" s="66">
        <v>144.348584680176</v>
      </c>
      <c r="K7" s="66">
        <v>155.39920009765601</v>
      </c>
      <c r="L7" s="66">
        <v>158.76039150390599</v>
      </c>
      <c r="M7" s="66">
        <v>169.70311020507799</v>
      </c>
      <c r="N7" s="62">
        <f t="shared" si="0"/>
        <v>1517.0641541229247</v>
      </c>
      <c r="O7" s="60">
        <f t="shared" si="1"/>
        <v>173.18083951174938</v>
      </c>
      <c r="P7" s="60">
        <f>SUM(B7:M7)</f>
        <v>1517.0641541229247</v>
      </c>
    </row>
    <row r="8" spans="1:16">
      <c r="A8" s="65" t="s">
        <v>21</v>
      </c>
      <c r="B8" s="66">
        <v>29.824415338134802</v>
      </c>
      <c r="C8" s="66">
        <v>26.949430511474599</v>
      </c>
      <c r="D8" s="66">
        <v>23.778177681541401</v>
      </c>
      <c r="E8" s="66">
        <v>18.140327430725101</v>
      </c>
      <c r="F8" s="66">
        <v>7.5633960639953601</v>
      </c>
      <c r="G8" s="66">
        <v>1.41034129137993</v>
      </c>
      <c r="H8" s="66">
        <v>15.0188538925171</v>
      </c>
      <c r="I8" s="66">
        <v>24.729860449218798</v>
      </c>
      <c r="J8" s="66">
        <v>27.909805511474595</v>
      </c>
      <c r="K8" s="66">
        <v>31.935614843749999</v>
      </c>
      <c r="L8" s="66">
        <v>29.682609558105501</v>
      </c>
      <c r="M8" s="66">
        <v>31.848186706543</v>
      </c>
      <c r="N8" s="62">
        <f t="shared" si="0"/>
        <v>268.79101927886018</v>
      </c>
      <c r="O8" s="60">
        <f t="shared" si="1"/>
        <v>30.683906310372166</v>
      </c>
    </row>
    <row r="9" spans="1:16">
      <c r="A9" s="65" t="s">
        <v>67</v>
      </c>
      <c r="B9" s="66">
        <v>0.58888492373228096</v>
      </c>
      <c r="C9" s="66">
        <v>0.43089277261495601</v>
      </c>
      <c r="D9" s="66">
        <v>0.12381885287761699</v>
      </c>
      <c r="E9" s="66">
        <v>5.2188322019577002E-2</v>
      </c>
      <c r="F9" s="66">
        <v>1.82374520301819E-2</v>
      </c>
      <c r="G9" s="66">
        <v>0.33339935563802697</v>
      </c>
      <c r="H9" s="66">
        <v>1.0052737718820601</v>
      </c>
      <c r="I9" s="66">
        <v>1.5746650730133098</v>
      </c>
      <c r="J9" s="66">
        <v>1.2683464022636399</v>
      </c>
      <c r="K9" s="66">
        <v>1.0182195638656599</v>
      </c>
      <c r="L9" s="66">
        <v>0.50309986591339095</v>
      </c>
      <c r="M9" s="66">
        <v>0.59507245439291001</v>
      </c>
      <c r="N9" s="62">
        <f t="shared" si="0"/>
        <v>7.5120988102436117</v>
      </c>
      <c r="O9" s="60">
        <f t="shared" si="1"/>
        <v>0.85754552628351732</v>
      </c>
    </row>
    <row r="10" spans="1:16">
      <c r="A10" s="65" t="s">
        <v>168</v>
      </c>
      <c r="B10" s="66">
        <v>161.51274403076201</v>
      </c>
      <c r="C10" s="66">
        <v>143.450814672852</v>
      </c>
      <c r="D10" s="66">
        <v>139.75859340820301</v>
      </c>
      <c r="E10" s="66">
        <v>105.10373463134798</v>
      </c>
      <c r="F10" s="66">
        <v>40.326987547302195</v>
      </c>
      <c r="G10" s="66">
        <v>37.188102308654798</v>
      </c>
      <c r="H10" s="66">
        <v>94.069017901611289</v>
      </c>
      <c r="I10" s="66">
        <v>125.729852148437</v>
      </c>
      <c r="J10" s="66">
        <v>137.525197741699</v>
      </c>
      <c r="K10" s="66">
        <v>154.85675146484402</v>
      </c>
      <c r="L10" s="66">
        <v>152.205876855469</v>
      </c>
      <c r="M10" s="66">
        <v>162.39235693359402</v>
      </c>
    </row>
    <row r="11" spans="1:16">
      <c r="A11" s="65" t="s">
        <v>68</v>
      </c>
      <c r="B11" s="66">
        <v>4.6591730308532801E-2</v>
      </c>
      <c r="C11" s="66">
        <v>1.7390130424499523E-2</v>
      </c>
      <c r="D11" s="66">
        <v>0</v>
      </c>
      <c r="E11" s="66">
        <v>0</v>
      </c>
      <c r="F11" s="66">
        <v>0</v>
      </c>
      <c r="G11" s="66">
        <v>5.4662569046020598E-2</v>
      </c>
      <c r="H11" s="66">
        <v>3.0219908761978199E-2</v>
      </c>
      <c r="I11" s="66">
        <v>4.4673055192828201E-2</v>
      </c>
      <c r="J11" s="66">
        <v>6.4859887933731097E-2</v>
      </c>
      <c r="K11" s="66">
        <v>7.8817181324958796E-2</v>
      </c>
      <c r="L11" s="66">
        <v>1.1492340087890622E-2</v>
      </c>
      <c r="M11" s="66">
        <v>1.6275874805450438E-2</v>
      </c>
      <c r="N11" s="62">
        <f t="shared" si="0"/>
        <v>0.36498267788589028</v>
      </c>
      <c r="O11" s="60">
        <f t="shared" si="1"/>
        <v>4.1664689256380165E-2</v>
      </c>
    </row>
    <row r="12" spans="1:16">
      <c r="A12" s="65" t="s">
        <v>69</v>
      </c>
      <c r="B12" s="66">
        <v>2.8188047874450701</v>
      </c>
      <c r="C12" s="66">
        <v>1.577512094545364</v>
      </c>
      <c r="D12" s="66">
        <v>0.156554259109497</v>
      </c>
      <c r="E12" s="66">
        <v>1.6566479873657218E-2</v>
      </c>
      <c r="F12" s="66">
        <v>0</v>
      </c>
      <c r="G12" s="66">
        <v>0.97135591506958008</v>
      </c>
      <c r="H12" s="66">
        <v>1.9591353346377618</v>
      </c>
      <c r="I12" s="66">
        <v>4.59423845796585</v>
      </c>
      <c r="J12" s="66">
        <v>3.1700877544403103</v>
      </c>
      <c r="K12" s="66">
        <v>2.1853780960083</v>
      </c>
      <c r="L12" s="66">
        <v>0.81559692153930596</v>
      </c>
      <c r="M12" s="66">
        <v>1.0453607450485229</v>
      </c>
      <c r="N12" s="62">
        <f t="shared" si="0"/>
        <v>19.310590845683219</v>
      </c>
      <c r="O12" s="60">
        <f t="shared" si="1"/>
        <v>2.2044053476807326</v>
      </c>
    </row>
    <row r="13" spans="1:16">
      <c r="A13" s="65" t="s">
        <v>233</v>
      </c>
      <c r="B13" s="67">
        <v>-1.93125E-2</v>
      </c>
      <c r="C13" s="67">
        <v>-1.9225000000000003E-2</v>
      </c>
      <c r="D13" s="67">
        <v>-2.1821874999999998E-2</v>
      </c>
      <c r="E13" s="67">
        <v>-2.1499999999999998E-2</v>
      </c>
      <c r="F13" s="67">
        <v>-1.909375E-2</v>
      </c>
      <c r="G13" s="67">
        <v>-1.5068749999999999E-2</v>
      </c>
      <c r="H13" s="67">
        <v>-1.7818750000000001E-2</v>
      </c>
      <c r="I13" s="67">
        <v>-2.07625E-2</v>
      </c>
      <c r="J13" s="67">
        <v>-2.1531249999999998E-2</v>
      </c>
      <c r="K13" s="67">
        <v>-2.1718749999999998E-2</v>
      </c>
      <c r="L13" s="67">
        <v>-2.129375E-2</v>
      </c>
      <c r="M13" s="67">
        <v>-2.1890625E-2</v>
      </c>
      <c r="N13" s="68">
        <f>SUM(N5:N12)</f>
        <v>3398.4667123906138</v>
      </c>
      <c r="O13" s="60">
        <f t="shared" si="1"/>
        <v>387.95282104915685</v>
      </c>
    </row>
    <row r="14" spans="1:16">
      <c r="A14" s="65"/>
      <c r="B14" s="67"/>
      <c r="C14" s="67"/>
      <c r="D14" s="67"/>
      <c r="E14" s="67"/>
      <c r="F14" s="67"/>
      <c r="G14" s="67"/>
      <c r="H14" s="67"/>
      <c r="I14" s="67"/>
      <c r="J14" s="67"/>
      <c r="K14" s="67"/>
      <c r="L14" s="67"/>
      <c r="M14" s="67"/>
      <c r="N14" s="68"/>
    </row>
    <row r="15" spans="1:16">
      <c r="A15" s="65"/>
      <c r="B15" s="67"/>
      <c r="C15" s="67"/>
      <c r="D15" s="67"/>
      <c r="E15" s="67"/>
      <c r="F15" s="67"/>
      <c r="G15" s="67"/>
      <c r="H15" s="67"/>
      <c r="I15" s="67"/>
      <c r="J15" s="67"/>
      <c r="K15" s="67"/>
      <c r="L15" s="67"/>
      <c r="M15" s="67"/>
      <c r="N15" s="68" t="e">
        <f>SUM(#REF!)</f>
        <v>#REF!</v>
      </c>
    </row>
    <row r="16" spans="1:16">
      <c r="A16" s="74" t="s">
        <v>70</v>
      </c>
      <c r="B16" s="66"/>
      <c r="C16" s="66"/>
      <c r="D16" s="66"/>
      <c r="E16" s="66"/>
      <c r="F16" s="66"/>
      <c r="G16" s="66"/>
      <c r="H16" s="66"/>
      <c r="I16" s="66"/>
      <c r="J16" s="66"/>
      <c r="K16" s="66"/>
      <c r="L16" s="66"/>
      <c r="M16" s="66"/>
      <c r="N16" s="67"/>
    </row>
    <row r="17" spans="1:15">
      <c r="A17" s="65" t="s">
        <v>65</v>
      </c>
      <c r="B17" s="66">
        <v>98.255769756436393</v>
      </c>
      <c r="C17" s="66">
        <v>74.184522929787605</v>
      </c>
      <c r="D17" s="66">
        <v>49.640195298194897</v>
      </c>
      <c r="E17" s="66">
        <v>17.913918071985201</v>
      </c>
      <c r="F17" s="66">
        <v>3.5040270544588599</v>
      </c>
      <c r="G17" s="66">
        <v>26.6366627708077</v>
      </c>
      <c r="H17" s="66">
        <v>95.468583917617806</v>
      </c>
      <c r="I17" s="66">
        <v>132.27074086666099</v>
      </c>
      <c r="J17" s="66">
        <v>112.380811601877</v>
      </c>
      <c r="K17" s="66">
        <v>102.070379656553</v>
      </c>
      <c r="L17" s="66">
        <v>74.233653554320298</v>
      </c>
      <c r="M17" s="66">
        <v>91.537346395850193</v>
      </c>
      <c r="N17" s="67">
        <f>SUM(B17:M17)</f>
        <v>878.09661187454981</v>
      </c>
    </row>
    <row r="18" spans="1:15">
      <c r="A18" s="65" t="s">
        <v>23</v>
      </c>
      <c r="B18" s="66">
        <v>2068.8139742533367</v>
      </c>
      <c r="C18" s="66">
        <v>1972.4209696451826</v>
      </c>
      <c r="D18" s="66">
        <v>2034.5741980234784</v>
      </c>
      <c r="E18" s="66">
        <v>1765.4321158091225</v>
      </c>
      <c r="F18" s="66">
        <v>1551.4808619181317</v>
      </c>
      <c r="G18" s="66">
        <v>1518.0450453440346</v>
      </c>
      <c r="H18" s="66">
        <v>1969.7798224131266</v>
      </c>
      <c r="I18" s="66">
        <v>2055.5764574686687</v>
      </c>
      <c r="J18" s="66">
        <v>2037.7739687601725</v>
      </c>
      <c r="K18" s="66">
        <v>2087.3229036966964</v>
      </c>
      <c r="L18" s="66">
        <v>2040.1842104593907</v>
      </c>
      <c r="M18" s="66">
        <v>2085.1298769632976</v>
      </c>
      <c r="N18" s="67">
        <f t="shared" ref="N18:N24" si="2">SUM(B18:M18)</f>
        <v>23186.534404754639</v>
      </c>
    </row>
    <row r="19" spans="1:15">
      <c r="A19" s="65" t="s">
        <v>66</v>
      </c>
      <c r="B19" s="66">
        <v>4902.9334284915676</v>
      </c>
      <c r="C19" s="66">
        <v>4456.7562168436334</v>
      </c>
      <c r="D19" s="66">
        <v>4232.8853231817875</v>
      </c>
      <c r="E19" s="66">
        <v>2805.9191800588633</v>
      </c>
      <c r="F19" s="66">
        <v>1064.7584943342749</v>
      </c>
      <c r="G19" s="66">
        <v>947.66140742605819</v>
      </c>
      <c r="H19" s="66">
        <v>2789.0717636907934</v>
      </c>
      <c r="I19" s="66">
        <v>3726.2148459604</v>
      </c>
      <c r="J19" s="66">
        <v>3950.6280317970031</v>
      </c>
      <c r="K19" s="66">
        <v>4263.1403761335141</v>
      </c>
      <c r="L19" s="66">
        <v>4526.7684629008127</v>
      </c>
      <c r="M19" s="66">
        <v>5018.0017623901404</v>
      </c>
      <c r="N19" s="67">
        <f t="shared" si="2"/>
        <v>42684.739293208855</v>
      </c>
      <c r="O19" s="60">
        <f>N19/8760*1000</f>
        <v>4872.6871339279514</v>
      </c>
    </row>
    <row r="20" spans="1:15">
      <c r="A20" s="65" t="s">
        <v>21</v>
      </c>
      <c r="B20" s="66">
        <v>681.94767980575602</v>
      </c>
      <c r="C20" s="66">
        <v>617.47413187026996</v>
      </c>
      <c r="D20" s="66">
        <v>548.14114122986803</v>
      </c>
      <c r="E20" s="66">
        <v>422.47071492672001</v>
      </c>
      <c r="F20" s="66">
        <v>177.404779623449</v>
      </c>
      <c r="G20" s="66">
        <v>32.547220318764403</v>
      </c>
      <c r="H20" s="66">
        <v>346.22079498767903</v>
      </c>
      <c r="I20" s="66">
        <v>568.222874450684</v>
      </c>
      <c r="J20" s="66">
        <v>639.14480285644504</v>
      </c>
      <c r="K20" s="66">
        <v>728.59172630310104</v>
      </c>
      <c r="L20" s="66">
        <v>677.92833976745601</v>
      </c>
      <c r="M20" s="66">
        <v>726.67935581207303</v>
      </c>
      <c r="N20" s="67">
        <f t="shared" si="2"/>
        <v>6166.7735619522664</v>
      </c>
      <c r="O20" s="60">
        <f>N20/8760*1000</f>
        <v>703.96958469774734</v>
      </c>
    </row>
    <row r="21" spans="1:15">
      <c r="A21" s="65" t="s">
        <v>67</v>
      </c>
      <c r="B21" s="66">
        <v>22.133226647600502</v>
      </c>
      <c r="C21" s="66">
        <v>16.086759128049</v>
      </c>
      <c r="D21" s="66">
        <v>4.6088509097695303</v>
      </c>
      <c r="E21" s="66">
        <v>1.7502343975007499</v>
      </c>
      <c r="F21" s="66">
        <v>0.61566817462444301</v>
      </c>
      <c r="G21" s="66">
        <v>11.216550846397899</v>
      </c>
      <c r="H21" s="66">
        <v>34.6776312034577</v>
      </c>
      <c r="I21" s="66">
        <v>54.734570944309198</v>
      </c>
      <c r="J21" s="66">
        <v>43.784880217909802</v>
      </c>
      <c r="K21" s="66">
        <v>35.662223519384902</v>
      </c>
      <c r="L21" s="66">
        <v>18.320993992686301</v>
      </c>
      <c r="M21" s="66">
        <v>22.800478820875298</v>
      </c>
      <c r="N21" s="67">
        <f t="shared" si="2"/>
        <v>266.39206880256529</v>
      </c>
      <c r="O21" s="60">
        <f>N21/8760*1000</f>
        <v>30.410053516274576</v>
      </c>
    </row>
    <row r="22" spans="1:15">
      <c r="A22" s="65" t="s">
        <v>168</v>
      </c>
      <c r="B22" s="66">
        <v>4764.7422605514503</v>
      </c>
      <c r="C22" s="66">
        <v>4222.0665079116798</v>
      </c>
      <c r="D22" s="66">
        <v>4056.4156494140602</v>
      </c>
      <c r="E22" s="66">
        <v>2779.4439130783098</v>
      </c>
      <c r="F22" s="66">
        <v>1068.9500542163801</v>
      </c>
      <c r="G22" s="66">
        <v>996.63598361015295</v>
      </c>
      <c r="H22" s="66">
        <v>2581.6543111801102</v>
      </c>
      <c r="I22" s="66">
        <v>3472.2350524902299</v>
      </c>
      <c r="J22" s="66">
        <v>3766.0497882843001</v>
      </c>
      <c r="K22" s="66">
        <v>4253.9234725952101</v>
      </c>
      <c r="L22" s="66">
        <v>4353.3759368896499</v>
      </c>
      <c r="M22" s="66">
        <v>4871.3628265380903</v>
      </c>
      <c r="N22" s="67"/>
    </row>
    <row r="23" spans="1:15">
      <c r="A23" s="65" t="s">
        <v>68</v>
      </c>
      <c r="B23" s="66">
        <v>2.5761888265609798</v>
      </c>
      <c r="C23" s="66">
        <v>0.98262835741042998</v>
      </c>
      <c r="D23" s="66">
        <v>0</v>
      </c>
      <c r="E23" s="66">
        <v>0</v>
      </c>
      <c r="F23" s="66">
        <v>0</v>
      </c>
      <c r="G23" s="66">
        <v>2.7185837745666497</v>
      </c>
      <c r="H23" s="66">
        <v>1.5365676388144491</v>
      </c>
      <c r="I23" s="66">
        <v>2.2960800088941999</v>
      </c>
      <c r="J23" s="66">
        <v>3.3112945474684201</v>
      </c>
      <c r="K23" s="66">
        <v>4.1124435298144801</v>
      </c>
      <c r="L23" s="66">
        <v>0.62439864277839596</v>
      </c>
      <c r="M23" s="66">
        <v>0.93020436167717002</v>
      </c>
      <c r="N23" s="67">
        <f t="shared" si="2"/>
        <v>19.088389687985174</v>
      </c>
    </row>
    <row r="24" spans="1:15">
      <c r="A24" s="65" t="s">
        <v>69</v>
      </c>
      <c r="B24" s="66">
        <v>139.19360395698541</v>
      </c>
      <c r="C24" s="66">
        <v>77.847054951608158</v>
      </c>
      <c r="D24" s="66">
        <v>7.9931770732879617</v>
      </c>
      <c r="E24" s="66">
        <v>0.770583533096313</v>
      </c>
      <c r="F24" s="66">
        <v>0</v>
      </c>
      <c r="G24" s="66">
        <v>43.994627507781992</v>
      </c>
      <c r="H24" s="66">
        <v>93.444570085655926</v>
      </c>
      <c r="I24" s="66">
        <v>219.86075242996128</v>
      </c>
      <c r="J24" s="66">
        <v>152.37485823874471</v>
      </c>
      <c r="K24" s="66">
        <v>108.31990964627263</v>
      </c>
      <c r="L24" s="66">
        <v>41.923598547410933</v>
      </c>
      <c r="M24" s="66">
        <v>51.179571151733398</v>
      </c>
      <c r="N24" s="67">
        <f t="shared" si="2"/>
        <v>936.9023071225389</v>
      </c>
    </row>
    <row r="25" spans="1:15">
      <c r="A25" s="65" t="s">
        <v>233</v>
      </c>
      <c r="B25" s="67">
        <v>0</v>
      </c>
      <c r="C25" s="67">
        <v>0</v>
      </c>
      <c r="D25" s="67">
        <v>0</v>
      </c>
      <c r="E25" s="67">
        <v>0</v>
      </c>
      <c r="F25" s="67">
        <v>0</v>
      </c>
      <c r="G25" s="67">
        <v>0</v>
      </c>
      <c r="H25" s="67">
        <v>0</v>
      </c>
      <c r="I25" s="67">
        <v>0</v>
      </c>
      <c r="J25" s="67">
        <v>0</v>
      </c>
      <c r="K25" s="67">
        <v>0</v>
      </c>
      <c r="L25" s="67">
        <v>0</v>
      </c>
      <c r="M25" s="67">
        <v>0</v>
      </c>
      <c r="N25" s="68">
        <f>SUM(N17:N24)</f>
        <v>74138.526637403396</v>
      </c>
    </row>
    <row r="26" spans="1:15">
      <c r="A26" s="65"/>
      <c r="B26" s="67"/>
      <c r="C26" s="67"/>
      <c r="D26" s="67"/>
      <c r="E26" s="67"/>
      <c r="F26" s="67"/>
      <c r="G26" s="67"/>
      <c r="H26" s="67"/>
      <c r="I26" s="67"/>
      <c r="J26" s="67"/>
      <c r="K26" s="67"/>
      <c r="L26" s="67"/>
      <c r="M26" s="67"/>
      <c r="N26" s="68"/>
    </row>
    <row r="27" spans="1:15">
      <c r="A27" s="74" t="s">
        <v>71</v>
      </c>
      <c r="B27" s="66"/>
      <c r="C27" s="66"/>
      <c r="D27" s="66"/>
      <c r="E27" s="66"/>
      <c r="F27" s="66"/>
      <c r="G27" s="66"/>
      <c r="H27" s="66"/>
      <c r="I27" s="66"/>
      <c r="J27" s="66"/>
      <c r="K27" s="66"/>
      <c r="L27" s="66"/>
      <c r="M27" s="66"/>
      <c r="N27" s="67"/>
    </row>
    <row r="28" spans="1:15">
      <c r="A28" s="65" t="s">
        <v>72</v>
      </c>
      <c r="B28" s="67">
        <v>31.549344919586201</v>
      </c>
      <c r="C28" s="60">
        <v>41.778092700195302</v>
      </c>
      <c r="D28" s="60">
        <v>32.250200372314502</v>
      </c>
      <c r="E28" s="60">
        <v>10.2576026387393</v>
      </c>
      <c r="F28" s="66">
        <v>9.2017858460664801</v>
      </c>
      <c r="G28" s="66">
        <v>18.890637793731702</v>
      </c>
      <c r="H28" s="66">
        <v>39.595036022949202</v>
      </c>
      <c r="I28" s="66">
        <v>93.5982554382324</v>
      </c>
      <c r="J28" s="66">
        <v>46.113135030078901</v>
      </c>
      <c r="K28" s="66">
        <v>40.171454329109196</v>
      </c>
      <c r="L28" s="66">
        <v>29.2293243459143</v>
      </c>
      <c r="M28" s="66">
        <v>39.276868514823903</v>
      </c>
      <c r="N28" s="67">
        <f>SUM(B28:M28)</f>
        <v>431.91173795174137</v>
      </c>
    </row>
    <row r="29" spans="1:15">
      <c r="A29" s="65" t="s">
        <v>73</v>
      </c>
      <c r="B29" s="67">
        <v>-111.97668689575201</v>
      </c>
      <c r="C29" s="66">
        <v>-87.847400488281195</v>
      </c>
      <c r="D29" s="60">
        <v>-108.563490844727</v>
      </c>
      <c r="E29" s="60">
        <v>-215.59679414062498</v>
      </c>
      <c r="F29" s="66">
        <v>-201.87544150390602</v>
      </c>
      <c r="G29" s="66">
        <v>-182.404885253906</v>
      </c>
      <c r="H29" s="66">
        <v>-133.782172344971</v>
      </c>
      <c r="I29" s="66">
        <v>-47.444669185143702</v>
      </c>
      <c r="J29" s="66">
        <v>-81.715343566894504</v>
      </c>
      <c r="K29" s="66">
        <v>-94.3745007568359</v>
      </c>
      <c r="L29" s="66">
        <v>-129.52966127929699</v>
      </c>
      <c r="M29" s="66">
        <v>-122.41737841796902</v>
      </c>
      <c r="N29" s="67">
        <f>SUM(B29:M29)</f>
        <v>-1517.5284246783085</v>
      </c>
    </row>
    <row r="30" spans="1:15">
      <c r="B30" s="66"/>
      <c r="C30" s="66"/>
      <c r="D30" s="66"/>
      <c r="E30" s="66"/>
      <c r="F30" s="66"/>
      <c r="G30" s="66"/>
      <c r="H30" s="66"/>
      <c r="I30" s="66"/>
      <c r="J30" s="66"/>
      <c r="K30" s="66"/>
      <c r="L30" s="66"/>
      <c r="M30" s="66"/>
      <c r="N30" s="68">
        <f>SUM(B28:B29)</f>
        <v>-80.427341976165806</v>
      </c>
      <c r="O30" s="60">
        <f>N30/8.76</f>
        <v>-9.1812034219367362</v>
      </c>
    </row>
    <row r="31" spans="1:15">
      <c r="A31" s="74" t="s">
        <v>74</v>
      </c>
      <c r="B31" s="66"/>
      <c r="C31" s="66"/>
      <c r="D31" s="66"/>
      <c r="E31" s="66"/>
      <c r="F31" s="66"/>
      <c r="G31" s="66"/>
      <c r="H31" s="66"/>
      <c r="I31" s="66"/>
      <c r="J31" s="66"/>
      <c r="K31" s="66"/>
      <c r="L31" s="66"/>
      <c r="M31" s="66"/>
      <c r="N31" s="67"/>
    </row>
    <row r="32" spans="1:15">
      <c r="A32" s="65" t="s">
        <v>72</v>
      </c>
      <c r="B32" s="62">
        <v>1049.5988318562499</v>
      </c>
      <c r="C32" s="60">
        <v>1374.7891283035301</v>
      </c>
      <c r="D32" s="60">
        <v>998.84782282113997</v>
      </c>
      <c r="E32" s="60">
        <v>286.91488011479402</v>
      </c>
      <c r="F32" s="66">
        <v>207.565109892935</v>
      </c>
      <c r="G32" s="66">
        <v>606.52090210914605</v>
      </c>
      <c r="H32" s="66">
        <v>1695.4966536521899</v>
      </c>
      <c r="I32" s="66">
        <v>3596.4097536087002</v>
      </c>
      <c r="J32" s="66">
        <v>1818.2421330720199</v>
      </c>
      <c r="K32" s="66">
        <v>1634.8159187793699</v>
      </c>
      <c r="L32" s="66">
        <v>1215.8818070729301</v>
      </c>
      <c r="M32" s="66">
        <v>1571.1035015448899</v>
      </c>
      <c r="N32" s="67">
        <f>SUM(B32:M32)</f>
        <v>16056.186442827897</v>
      </c>
    </row>
    <row r="33" spans="1:14">
      <c r="A33" s="65" t="s">
        <v>73</v>
      </c>
      <c r="B33" s="62">
        <v>-4083.2775163650499</v>
      </c>
      <c r="C33" s="60">
        <v>-3054.66229171753</v>
      </c>
      <c r="D33" s="60">
        <v>-3499.06579818726</v>
      </c>
      <c r="E33" s="60">
        <v>-5856.1353710174599</v>
      </c>
      <c r="F33" s="66">
        <v>-3538.6063085138799</v>
      </c>
      <c r="G33" s="66">
        <v>-2860.9080694675399</v>
      </c>
      <c r="H33" s="66">
        <v>-3907.2527906417799</v>
      </c>
      <c r="I33" s="66">
        <v>-1613.8077452687501</v>
      </c>
      <c r="J33" s="66">
        <v>-2912.7387029647798</v>
      </c>
      <c r="K33" s="66">
        <v>-3343.83771591187</v>
      </c>
      <c r="L33" s="66">
        <v>-4542.74513244629</v>
      </c>
      <c r="M33" s="66">
        <v>-4539.3050460815402</v>
      </c>
      <c r="N33" s="67">
        <f>SUM(B33:M33)</f>
        <v>-43752.34248858373</v>
      </c>
    </row>
    <row r="34" spans="1:14">
      <c r="N34" s="68">
        <f>SUM(N32:N33)</f>
        <v>-27696.156045755833</v>
      </c>
    </row>
    <row r="36" spans="1:14">
      <c r="M36" s="69" t="s">
        <v>91</v>
      </c>
      <c r="N36" s="68">
        <f>N25+N34</f>
        <v>46442.370591647559</v>
      </c>
    </row>
  </sheetData>
  <phoneticPr fontId="6" type="noConversion"/>
  <pageMargins left="0.75" right="0.75" top="1" bottom="1" header="0.5" footer="0.5"/>
  <pageSetup scale="76" orientation="landscape" r:id="rId1"/>
  <headerFooter alignWithMargins="0">
    <oddFooter>&amp;L&amp;"Geneva,Bold Italic"&amp;9&amp;F &amp;A&amp;R&amp;"Geneva,Bold Italic"&amp;9&amp;D WGJ</oddFooter>
  </headerFooter>
</worksheet>
</file>

<file path=xl/worksheets/sheet6.xml><?xml version="1.0" encoding="utf-8"?>
<worksheet xmlns="http://schemas.openxmlformats.org/spreadsheetml/2006/main" xmlns:r="http://schemas.openxmlformats.org/officeDocument/2006/relationships">
  <sheetPr codeName="Sheet1">
    <pageSetUpPr fitToPage="1"/>
  </sheetPr>
  <dimension ref="A3:O69"/>
  <sheetViews>
    <sheetView workbookViewId="0">
      <selection activeCell="C11" sqref="C11"/>
    </sheetView>
  </sheetViews>
  <sheetFormatPr defaultRowHeight="12.75"/>
  <cols>
    <col min="1" max="1" width="6.85546875" customWidth="1"/>
    <col min="2" max="2" width="36.85546875" customWidth="1"/>
    <col min="3" max="3" width="13.85546875" customWidth="1"/>
    <col min="4" max="10" width="10.85546875" customWidth="1"/>
    <col min="11" max="11" width="11.85546875" customWidth="1"/>
    <col min="12" max="15" width="10.85546875" customWidth="1"/>
  </cols>
  <sheetData>
    <row r="3" spans="1:15">
      <c r="D3" s="2" t="s">
        <v>214</v>
      </c>
    </row>
    <row r="6" spans="1:15">
      <c r="C6" s="37">
        <f>SUM(D6:O6)</f>
        <v>8760</v>
      </c>
      <c r="D6" s="46">
        <f>'WGJ-4'!D6</f>
        <v>744</v>
      </c>
      <c r="E6" s="46">
        <v>672</v>
      </c>
      <c r="F6" s="46">
        <v>743</v>
      </c>
      <c r="G6" s="46">
        <v>720</v>
      </c>
      <c r="H6" s="46">
        <f>'WGJ-4'!H6</f>
        <v>744</v>
      </c>
      <c r="I6" s="46">
        <f>'WGJ-4'!I6</f>
        <v>720</v>
      </c>
      <c r="J6" s="46">
        <f>'WGJ-4'!J6</f>
        <v>744</v>
      </c>
      <c r="K6" s="46">
        <f>'WGJ-4'!K6</f>
        <v>744</v>
      </c>
      <c r="L6" s="46">
        <f>'WGJ-4'!L6</f>
        <v>720</v>
      </c>
      <c r="M6" s="46">
        <v>744</v>
      </c>
      <c r="N6" s="46">
        <v>721</v>
      </c>
      <c r="O6" s="46">
        <f>'WGJ-4'!O6</f>
        <v>744</v>
      </c>
    </row>
    <row r="7" spans="1:15">
      <c r="C7" s="87" t="s">
        <v>32</v>
      </c>
      <c r="D7" s="47">
        <v>40543</v>
      </c>
      <c r="E7" s="47">
        <v>40574</v>
      </c>
      <c r="F7" s="47">
        <v>40602</v>
      </c>
      <c r="G7" s="47">
        <v>40633</v>
      </c>
      <c r="H7" s="47">
        <v>40663</v>
      </c>
      <c r="I7" s="47">
        <v>40694</v>
      </c>
      <c r="J7" s="47">
        <v>40724</v>
      </c>
      <c r="K7" s="47">
        <v>40755</v>
      </c>
      <c r="L7" s="47">
        <v>40786</v>
      </c>
      <c r="M7" s="47">
        <v>40816</v>
      </c>
      <c r="N7" s="47">
        <v>40847</v>
      </c>
      <c r="O7" s="47">
        <v>40877</v>
      </c>
    </row>
    <row r="8" spans="1:15">
      <c r="C8" s="12"/>
      <c r="D8" s="48"/>
      <c r="E8" s="48"/>
      <c r="F8" s="48"/>
      <c r="G8" s="48"/>
      <c r="H8" s="48"/>
      <c r="I8" s="48"/>
      <c r="J8" s="48"/>
      <c r="K8" s="48"/>
      <c r="L8" s="48"/>
      <c r="M8" s="48"/>
      <c r="N8" s="48"/>
      <c r="O8" s="48"/>
    </row>
    <row r="9" spans="1:15">
      <c r="A9" s="2" t="s">
        <v>215</v>
      </c>
      <c r="C9" s="124">
        <f>AVERAGE(D9:O9)</f>
        <v>36.443176604310672</v>
      </c>
      <c r="D9" s="98">
        <v>39.724461245536801</v>
      </c>
      <c r="E9" s="98">
        <v>37.446524500846863</v>
      </c>
      <c r="F9" s="98">
        <v>35.191195356845853</v>
      </c>
      <c r="G9" s="98">
        <v>30.793497323989868</v>
      </c>
      <c r="H9" s="98">
        <v>25.626305013895035</v>
      </c>
      <c r="I9" s="98">
        <v>28.203787702322007</v>
      </c>
      <c r="J9" s="98">
        <v>38.953936457633972</v>
      </c>
      <c r="K9" s="98">
        <v>41.784685420989987</v>
      </c>
      <c r="L9" s="98">
        <v>41.449566173553464</v>
      </c>
      <c r="M9" s="98">
        <v>39.586310863494873</v>
      </c>
      <c r="N9" s="98">
        <v>38.542490530014035</v>
      </c>
      <c r="O9" s="98">
        <v>40.015358662605287</v>
      </c>
    </row>
    <row r="10" spans="1:15">
      <c r="A10" s="2" t="s">
        <v>216</v>
      </c>
      <c r="C10" s="124">
        <f>AVERAGE(D10:O10)</f>
        <v>27.067893648799508</v>
      </c>
      <c r="D10" s="98">
        <v>32.99909152984619</v>
      </c>
      <c r="E10" s="98">
        <v>31.917483782768251</v>
      </c>
      <c r="F10" s="98">
        <v>28.418088415265082</v>
      </c>
      <c r="G10" s="98">
        <v>21.435322584211825</v>
      </c>
      <c r="H10" s="98">
        <v>13.112230667471888</v>
      </c>
      <c r="I10" s="98">
        <v>12.796379161253572</v>
      </c>
      <c r="J10" s="98">
        <v>24.276470464468002</v>
      </c>
      <c r="K10" s="98">
        <v>28.023695766925812</v>
      </c>
      <c r="L10" s="98">
        <v>30.878033518791199</v>
      </c>
      <c r="M10" s="98">
        <v>33.592413091659544</v>
      </c>
      <c r="N10" s="98">
        <v>33.067639613151549</v>
      </c>
      <c r="O10" s="98">
        <v>34.297875189781188</v>
      </c>
    </row>
    <row r="11" spans="1:15">
      <c r="A11" s="2" t="s">
        <v>235</v>
      </c>
      <c r="C11" s="124">
        <f>AVERAGE(D11:O11)</f>
        <v>32.427596138293545</v>
      </c>
      <c r="D11" s="98">
        <v>36.759513235092165</v>
      </c>
      <c r="E11" s="98">
        <v>35.095093393325804</v>
      </c>
      <c r="F11" s="98">
        <v>32.350860345363614</v>
      </c>
      <c r="G11" s="98">
        <v>26.842268025875093</v>
      </c>
      <c r="H11" s="98">
        <v>20.109347414970397</v>
      </c>
      <c r="I11" s="98">
        <v>21.698437337577346</v>
      </c>
      <c r="J11" s="98">
        <v>32.483225488662718</v>
      </c>
      <c r="K11" s="98">
        <v>36.013947868347167</v>
      </c>
      <c r="L11" s="98">
        <v>36.986029982566833</v>
      </c>
      <c r="M11" s="98">
        <v>36.943839645385744</v>
      </c>
      <c r="N11" s="98">
        <v>36.230886697769165</v>
      </c>
      <c r="O11" s="98">
        <v>37.61770422458649</v>
      </c>
    </row>
    <row r="12" spans="1:15">
      <c r="C12" s="12"/>
      <c r="D12" s="48"/>
      <c r="E12" s="48"/>
      <c r="F12" s="48"/>
      <c r="G12" s="48"/>
      <c r="H12" s="48"/>
      <c r="I12" s="48"/>
      <c r="J12" s="48"/>
      <c r="K12" s="48"/>
      <c r="L12" s="48"/>
      <c r="M12" s="48"/>
      <c r="N12" s="48"/>
      <c r="O12" s="48"/>
    </row>
    <row r="13" spans="1:15">
      <c r="A13" s="2" t="s">
        <v>41</v>
      </c>
      <c r="C13" s="12"/>
      <c r="D13">
        <v>-5.766</v>
      </c>
      <c r="E13">
        <v>-5.2080000000000002</v>
      </c>
      <c r="F13">
        <v>-5.766</v>
      </c>
      <c r="G13">
        <v>-5.58</v>
      </c>
      <c r="H13">
        <v>-5.766</v>
      </c>
      <c r="I13">
        <v>-5.58</v>
      </c>
      <c r="J13">
        <v>-5.766</v>
      </c>
      <c r="K13">
        <v>-5.766</v>
      </c>
      <c r="L13">
        <v>-5.58</v>
      </c>
      <c r="M13">
        <v>-5.766</v>
      </c>
      <c r="N13">
        <v>-5.58</v>
      </c>
      <c r="O13">
        <v>-5.766</v>
      </c>
    </row>
    <row r="14" spans="1:15">
      <c r="B14" t="s">
        <v>40</v>
      </c>
      <c r="C14" s="12"/>
    </row>
    <row r="15" spans="1:15">
      <c r="B15" t="s">
        <v>92</v>
      </c>
      <c r="C15" s="122">
        <f>SUM(D15:O15)</f>
        <v>59130</v>
      </c>
      <c r="D15" s="3">
        <f>-D13*1000-D6</f>
        <v>5022</v>
      </c>
      <c r="E15" s="3">
        <f t="shared" ref="E15:O15" si="0">-E13*1000-E6</f>
        <v>4536</v>
      </c>
      <c r="F15" s="3">
        <f t="shared" si="0"/>
        <v>5023</v>
      </c>
      <c r="G15" s="3">
        <f t="shared" si="0"/>
        <v>4860</v>
      </c>
      <c r="H15" s="3">
        <f t="shared" si="0"/>
        <v>5022</v>
      </c>
      <c r="I15" s="3">
        <f t="shared" si="0"/>
        <v>4860</v>
      </c>
      <c r="J15" s="3">
        <f t="shared" si="0"/>
        <v>5022</v>
      </c>
      <c r="K15" s="3">
        <f t="shared" si="0"/>
        <v>5022</v>
      </c>
      <c r="L15" s="3">
        <f t="shared" si="0"/>
        <v>4860</v>
      </c>
      <c r="M15" s="3">
        <f t="shared" si="0"/>
        <v>5022</v>
      </c>
      <c r="N15" s="3">
        <f t="shared" si="0"/>
        <v>4859</v>
      </c>
      <c r="O15" s="3">
        <f t="shared" si="0"/>
        <v>5022</v>
      </c>
    </row>
    <row r="16" spans="1:15">
      <c r="B16" t="s">
        <v>104</v>
      </c>
      <c r="C16" s="102">
        <f>SUM(D16:O16)</f>
        <v>1788823.4392361718</v>
      </c>
      <c r="D16" s="25">
        <f>((D9*0.57+D10*0.43)-2.16)*D15</f>
        <v>174125.55748884057</v>
      </c>
      <c r="E16" s="25">
        <f t="shared" ref="E16:O16" si="1">((E9*0.57+E10*0.43)-2.16)*E15</f>
        <v>149275.39179604338</v>
      </c>
      <c r="F16" s="25">
        <f t="shared" si="1"/>
        <v>151286.52832538582</v>
      </c>
      <c r="G16" s="25">
        <f t="shared" si="1"/>
        <v>119602.0834234026</v>
      </c>
      <c r="H16" s="25">
        <f t="shared" si="1"/>
        <v>90824.140791653917</v>
      </c>
      <c r="I16" s="25">
        <f t="shared" si="1"/>
        <v>94374.405864160115</v>
      </c>
      <c r="J16" s="25">
        <f t="shared" si="1"/>
        <v>153083.74817663562</v>
      </c>
      <c r="K16" s="25">
        <f t="shared" si="1"/>
        <v>169278.86346584631</v>
      </c>
      <c r="L16" s="25">
        <f t="shared" si="1"/>
        <v>168854.90266154762</v>
      </c>
      <c r="M16" s="25">
        <f t="shared" si="1"/>
        <v>175011.35067410374</v>
      </c>
      <c r="N16" s="25">
        <f t="shared" si="1"/>
        <v>165343.5322251732</v>
      </c>
      <c r="O16" s="25">
        <f t="shared" si="1"/>
        <v>177762.93434337899</v>
      </c>
    </row>
    <row r="17" spans="1:15">
      <c r="C17" s="12"/>
    </row>
    <row r="18" spans="1:15">
      <c r="B18" t="s">
        <v>238</v>
      </c>
      <c r="C18" s="12"/>
    </row>
    <row r="19" spans="1:15">
      <c r="B19" t="s">
        <v>92</v>
      </c>
      <c r="C19" s="122">
        <f>SUM(D19:O19)</f>
        <v>307440</v>
      </c>
      <c r="D19" s="147">
        <v>26040</v>
      </c>
      <c r="E19" s="147">
        <v>24360</v>
      </c>
      <c r="F19" s="147">
        <v>26040</v>
      </c>
      <c r="G19" s="147">
        <v>25200</v>
      </c>
      <c r="H19" s="147">
        <v>26040</v>
      </c>
      <c r="I19" s="147">
        <v>25200</v>
      </c>
      <c r="J19" s="147">
        <v>26040</v>
      </c>
      <c r="K19" s="147">
        <v>26040</v>
      </c>
      <c r="L19" s="147">
        <v>25200</v>
      </c>
      <c r="M19" s="147">
        <v>26040</v>
      </c>
      <c r="N19" s="147">
        <v>25200</v>
      </c>
      <c r="O19" s="147">
        <v>26040</v>
      </c>
    </row>
    <row r="20" spans="1:15">
      <c r="B20" t="s">
        <v>236</v>
      </c>
      <c r="D20" s="29">
        <f>D11+3</f>
        <v>39.759513235092165</v>
      </c>
      <c r="E20" s="29">
        <f t="shared" ref="E20:O20" si="2">E11+3</f>
        <v>38.095093393325804</v>
      </c>
      <c r="F20" s="29">
        <f t="shared" si="2"/>
        <v>35.350860345363614</v>
      </c>
      <c r="G20" s="29">
        <f t="shared" si="2"/>
        <v>29.842268025875093</v>
      </c>
      <c r="H20" s="29">
        <f t="shared" si="2"/>
        <v>23.109347414970397</v>
      </c>
      <c r="I20" s="29">
        <f t="shared" si="2"/>
        <v>24.698437337577346</v>
      </c>
      <c r="J20" s="29">
        <f t="shared" si="2"/>
        <v>35.483225488662718</v>
      </c>
      <c r="K20" s="29">
        <f t="shared" si="2"/>
        <v>39.013947868347167</v>
      </c>
      <c r="L20" s="29">
        <f t="shared" si="2"/>
        <v>39.986029982566833</v>
      </c>
      <c r="M20" s="29">
        <f t="shared" si="2"/>
        <v>39.943839645385744</v>
      </c>
      <c r="N20" s="29">
        <f t="shared" si="2"/>
        <v>39.230886697769165</v>
      </c>
      <c r="O20" s="29">
        <f t="shared" si="2"/>
        <v>40.61770422458649</v>
      </c>
    </row>
    <row r="21" spans="1:15">
      <c r="B21" t="s">
        <v>104</v>
      </c>
      <c r="C21" s="102">
        <f>SUM(D21:O21)</f>
        <v>10894059.081876397</v>
      </c>
      <c r="D21" s="25">
        <f>D19*D20</f>
        <v>1035337.7246417999</v>
      </c>
      <c r="E21" s="25">
        <f t="shared" ref="E21:O21" si="3">E19*E20</f>
        <v>927996.47506141663</v>
      </c>
      <c r="F21" s="25">
        <f t="shared" si="3"/>
        <v>920536.40339326847</v>
      </c>
      <c r="G21" s="25">
        <f t="shared" si="3"/>
        <v>752025.15425205231</v>
      </c>
      <c r="H21" s="25">
        <f t="shared" si="3"/>
        <v>601767.40668582916</v>
      </c>
      <c r="I21" s="25">
        <f t="shared" si="3"/>
        <v>622400.62090694916</v>
      </c>
      <c r="J21" s="25">
        <f t="shared" si="3"/>
        <v>923983.19172477722</v>
      </c>
      <c r="K21" s="25">
        <f t="shared" si="3"/>
        <v>1015923.2024917603</v>
      </c>
      <c r="L21" s="25">
        <f t="shared" si="3"/>
        <v>1007647.9555606842</v>
      </c>
      <c r="M21" s="25">
        <f t="shared" si="3"/>
        <v>1040137.5843658447</v>
      </c>
      <c r="N21" s="25">
        <f t="shared" si="3"/>
        <v>988618.34478378296</v>
      </c>
      <c r="O21" s="25">
        <f t="shared" si="3"/>
        <v>1057685.0180082321</v>
      </c>
    </row>
    <row r="22" spans="1:15">
      <c r="C22" s="108"/>
      <c r="K22" s="29"/>
      <c r="L22" s="29"/>
      <c r="M22" s="25"/>
    </row>
    <row r="23" spans="1:15">
      <c r="A23" s="2" t="s">
        <v>149</v>
      </c>
      <c r="C23" s="108"/>
      <c r="K23" s="29"/>
      <c r="L23" s="29"/>
      <c r="M23" s="25"/>
    </row>
    <row r="24" spans="1:15">
      <c r="C24" s="123" t="s">
        <v>32</v>
      </c>
      <c r="D24" s="112">
        <f>D7</f>
        <v>40543</v>
      </c>
      <c r="E24" s="112">
        <f t="shared" ref="E24:O24" si="4">E7</f>
        <v>40574</v>
      </c>
      <c r="F24" s="112">
        <f t="shared" si="4"/>
        <v>40602</v>
      </c>
      <c r="G24" s="112">
        <f t="shared" si="4"/>
        <v>40633</v>
      </c>
      <c r="H24" s="112">
        <f t="shared" si="4"/>
        <v>40663</v>
      </c>
      <c r="I24" s="112">
        <f t="shared" si="4"/>
        <v>40694</v>
      </c>
      <c r="J24" s="112">
        <f t="shared" si="4"/>
        <v>40724</v>
      </c>
      <c r="K24" s="112">
        <f t="shared" si="4"/>
        <v>40755</v>
      </c>
      <c r="L24" s="112">
        <f t="shared" si="4"/>
        <v>40786</v>
      </c>
      <c r="M24" s="112">
        <f t="shared" si="4"/>
        <v>40816</v>
      </c>
      <c r="N24" s="112">
        <f t="shared" si="4"/>
        <v>40847</v>
      </c>
      <c r="O24" s="112">
        <f t="shared" si="4"/>
        <v>40877</v>
      </c>
    </row>
    <row r="25" spans="1:15">
      <c r="A25" s="2"/>
      <c r="C25" s="108"/>
      <c r="K25" s="29"/>
      <c r="L25" s="29"/>
      <c r="M25" s="25"/>
    </row>
    <row r="26" spans="1:15">
      <c r="B26" t="s">
        <v>217</v>
      </c>
      <c r="C26" s="108"/>
      <c r="D26" s="98">
        <f>0.65*D9+0.35*D10+5</f>
        <v>42.370581845045088</v>
      </c>
      <c r="E26" s="98">
        <f t="shared" ref="E26:O26" si="5">0.65*E9+0.35*E10+5</f>
        <v>40.511360249519349</v>
      </c>
      <c r="F26" s="98">
        <f t="shared" si="5"/>
        <v>37.820607927292585</v>
      </c>
      <c r="G26" s="98">
        <f t="shared" si="5"/>
        <v>32.518136165067553</v>
      </c>
      <c r="H26" s="98">
        <f t="shared" si="5"/>
        <v>26.246378992646932</v>
      </c>
      <c r="I26" s="98">
        <f t="shared" si="5"/>
        <v>27.811194712948058</v>
      </c>
      <c r="J26" s="98">
        <f t="shared" si="5"/>
        <v>38.816823360025886</v>
      </c>
      <c r="K26" s="98">
        <f t="shared" si="5"/>
        <v>41.968339042067527</v>
      </c>
      <c r="L26" s="98">
        <f t="shared" si="5"/>
        <v>42.74952974438667</v>
      </c>
      <c r="M26" s="98">
        <f t="shared" si="5"/>
        <v>42.488446643352503</v>
      </c>
      <c r="N26" s="98">
        <f t="shared" si="5"/>
        <v>41.626292709112164</v>
      </c>
      <c r="O26" s="98">
        <f t="shared" si="5"/>
        <v>43.01423944711685</v>
      </c>
    </row>
    <row r="27" spans="1:15">
      <c r="C27" s="11"/>
      <c r="K27" s="29"/>
      <c r="L27" s="29"/>
      <c r="M27" s="25"/>
    </row>
    <row r="28" spans="1:15">
      <c r="B28" t="s">
        <v>162</v>
      </c>
      <c r="C28" s="122">
        <f>SUM(D28:O28)</f>
        <v>170920.48250122069</v>
      </c>
      <c r="D28" s="128">
        <v>16082.035986328097</v>
      </c>
      <c r="E28" s="128">
        <v>13675.3127502441</v>
      </c>
      <c r="F28" s="128">
        <v>13712.052185058601</v>
      </c>
      <c r="G28" s="128">
        <v>14590.818084716801</v>
      </c>
      <c r="H28" s="128">
        <v>17601.611364746099</v>
      </c>
      <c r="I28" s="128">
        <v>16754.994854736298</v>
      </c>
      <c r="J28" s="128">
        <v>15677.038232421901</v>
      </c>
      <c r="K28" s="128">
        <v>13024.965344238301</v>
      </c>
      <c r="L28" s="128">
        <v>10412.902880859399</v>
      </c>
      <c r="M28" s="128">
        <v>10606.779675293001</v>
      </c>
      <c r="N28" s="128">
        <v>13477.5066040039</v>
      </c>
      <c r="O28" s="128">
        <v>15304.464538574201</v>
      </c>
    </row>
    <row r="29" spans="1:15">
      <c r="B29" t="s">
        <v>163</v>
      </c>
      <c r="C29" s="122">
        <f>SUM(D29:O29)</f>
        <v>162340.86307373052</v>
      </c>
      <c r="D29" s="128">
        <v>15001.8740661621</v>
      </c>
      <c r="E29" s="128">
        <v>12583.879370117198</v>
      </c>
      <c r="F29" s="128">
        <v>12650.914453125</v>
      </c>
      <c r="G29" s="128">
        <v>14341.7871520996</v>
      </c>
      <c r="H29" s="128">
        <v>17510.654772949201</v>
      </c>
      <c r="I29" s="128">
        <v>16850.928302002001</v>
      </c>
      <c r="J29" s="128">
        <v>15723.584777831999</v>
      </c>
      <c r="K29" s="128">
        <v>13607.529205322302</v>
      </c>
      <c r="L29" s="128">
        <v>8998.70536499023</v>
      </c>
      <c r="M29" s="128">
        <v>8996.8272583007802</v>
      </c>
      <c r="N29" s="128">
        <v>12098.888397216801</v>
      </c>
      <c r="O29" s="128">
        <v>13975.289953613299</v>
      </c>
    </row>
    <row r="30" spans="1:15">
      <c r="B30" t="s">
        <v>135</v>
      </c>
      <c r="C30" s="101"/>
      <c r="D30" s="101">
        <v>3.3000000000000002E-2</v>
      </c>
      <c r="E30" s="101">
        <v>3.3000000000000002E-2</v>
      </c>
      <c r="F30" s="101">
        <v>3.3000000000000002E-2</v>
      </c>
      <c r="G30" s="101">
        <v>3.3000000000000002E-2</v>
      </c>
      <c r="H30" s="101">
        <v>3.3000000000000002E-2</v>
      </c>
      <c r="I30" s="101">
        <v>3.3000000000000002E-2</v>
      </c>
      <c r="J30" s="101">
        <v>3.3000000000000002E-2</v>
      </c>
      <c r="K30" s="101">
        <v>3.3000000000000002E-2</v>
      </c>
      <c r="L30" s="101">
        <v>3.3000000000000002E-2</v>
      </c>
      <c r="M30" s="101">
        <v>3.3000000000000002E-2</v>
      </c>
      <c r="N30" s="101">
        <v>3.3000000000000002E-2</v>
      </c>
      <c r="O30" s="101">
        <v>3.3000000000000002E-2</v>
      </c>
    </row>
    <row r="31" spans="1:15">
      <c r="B31" t="s">
        <v>161</v>
      </c>
      <c r="D31" s="119">
        <v>0</v>
      </c>
      <c r="E31" s="119">
        <v>0</v>
      </c>
      <c r="F31" s="119">
        <v>0</v>
      </c>
      <c r="G31" s="119">
        <v>0</v>
      </c>
      <c r="H31" s="119">
        <v>0</v>
      </c>
      <c r="I31" s="119">
        <v>0</v>
      </c>
      <c r="J31" s="119">
        <v>0</v>
      </c>
      <c r="K31" s="119">
        <v>0</v>
      </c>
      <c r="L31" s="119">
        <v>0</v>
      </c>
      <c r="M31" s="119">
        <v>0</v>
      </c>
      <c r="N31" s="119">
        <v>0</v>
      </c>
      <c r="O31" s="119">
        <v>0</v>
      </c>
    </row>
    <row r="32" spans="1:15">
      <c r="B32" t="s">
        <v>136</v>
      </c>
      <c r="C32" s="101"/>
      <c r="D32" s="101">
        <v>4.8999999999999998E-3</v>
      </c>
      <c r="E32" s="101">
        <v>4.8999999999999998E-3</v>
      </c>
      <c r="F32" s="101">
        <v>4.8999999999999998E-3</v>
      </c>
      <c r="G32" s="101">
        <v>4.8999999999999998E-3</v>
      </c>
      <c r="H32" s="101">
        <v>4.8999999999999998E-3</v>
      </c>
      <c r="I32" s="101">
        <v>4.8999999999999998E-3</v>
      </c>
      <c r="J32" s="101">
        <v>4.8999999999999998E-3</v>
      </c>
      <c r="K32" s="101">
        <v>4.8999999999999998E-3</v>
      </c>
      <c r="L32" s="101">
        <v>4.8999999999999998E-3</v>
      </c>
      <c r="M32" s="101">
        <v>4.8999999999999998E-3</v>
      </c>
      <c r="N32" s="101">
        <v>4.8999999999999998E-3</v>
      </c>
      <c r="O32" s="101">
        <v>4.8999999999999998E-3</v>
      </c>
    </row>
    <row r="33" spans="2:15">
      <c r="B33" t="s">
        <v>139</v>
      </c>
      <c r="C33" s="101"/>
      <c r="D33" s="101">
        <f>D30+D31+D32</f>
        <v>3.7900000000000003E-2</v>
      </c>
      <c r="E33" s="101">
        <f t="shared" ref="E33:O33" si="6">E30+E31+E32</f>
        <v>3.7900000000000003E-2</v>
      </c>
      <c r="F33" s="101">
        <f t="shared" si="6"/>
        <v>3.7900000000000003E-2</v>
      </c>
      <c r="G33" s="101">
        <f t="shared" si="6"/>
        <v>3.7900000000000003E-2</v>
      </c>
      <c r="H33" s="101">
        <f t="shared" si="6"/>
        <v>3.7900000000000003E-2</v>
      </c>
      <c r="I33" s="101">
        <f t="shared" si="6"/>
        <v>3.7900000000000003E-2</v>
      </c>
      <c r="J33" s="101">
        <f t="shared" si="6"/>
        <v>3.7900000000000003E-2</v>
      </c>
      <c r="K33" s="101">
        <f t="shared" si="6"/>
        <v>3.7900000000000003E-2</v>
      </c>
      <c r="L33" s="101">
        <f t="shared" si="6"/>
        <v>3.7900000000000003E-2</v>
      </c>
      <c r="M33" s="101">
        <f t="shared" si="6"/>
        <v>3.7900000000000003E-2</v>
      </c>
      <c r="N33" s="101">
        <f t="shared" si="6"/>
        <v>3.7900000000000003E-2</v>
      </c>
      <c r="O33" s="101">
        <f t="shared" si="6"/>
        <v>3.7900000000000003E-2</v>
      </c>
    </row>
    <row r="34" spans="2:15">
      <c r="B34" t="s">
        <v>147</v>
      </c>
      <c r="C34" s="101"/>
      <c r="D34" s="109">
        <f>56.4/((C56/8760)*0.3)</f>
        <v>0.18630236246836621</v>
      </c>
      <c r="E34" s="109">
        <f>D34</f>
        <v>0.18630236246836621</v>
      </c>
      <c r="F34" s="109">
        <f t="shared" ref="F34:O34" si="7">E34</f>
        <v>0.18630236246836621</v>
      </c>
      <c r="G34" s="109">
        <f t="shared" si="7"/>
        <v>0.18630236246836621</v>
      </c>
      <c r="H34" s="109">
        <f t="shared" si="7"/>
        <v>0.18630236246836621</v>
      </c>
      <c r="I34" s="109">
        <f t="shared" si="7"/>
        <v>0.18630236246836621</v>
      </c>
      <c r="J34" s="109">
        <f t="shared" si="7"/>
        <v>0.18630236246836621</v>
      </c>
      <c r="K34" s="109">
        <f t="shared" si="7"/>
        <v>0.18630236246836621</v>
      </c>
      <c r="L34" s="109">
        <f t="shared" si="7"/>
        <v>0.18630236246836621</v>
      </c>
      <c r="M34" s="109">
        <f t="shared" si="7"/>
        <v>0.18630236246836621</v>
      </c>
      <c r="N34" s="109">
        <f t="shared" si="7"/>
        <v>0.18630236246836621</v>
      </c>
      <c r="O34" s="109">
        <f t="shared" si="7"/>
        <v>0.18630236246836621</v>
      </c>
    </row>
    <row r="35" spans="2:15">
      <c r="C35" s="100"/>
    </row>
    <row r="36" spans="2:15">
      <c r="B36" t="s">
        <v>129</v>
      </c>
      <c r="C36" s="100">
        <f>SUM(D36:O36)</f>
        <v>290174.78638452216</v>
      </c>
      <c r="D36" s="3">
        <f>(D28+D29)*(D30/D33)</f>
        <v>27065.145955994099</v>
      </c>
      <c r="E36" s="3">
        <f t="shared" ref="E36:O36" si="8">(E28+E29)*(E30/E33)</f>
        <v>22864.204220895059</v>
      </c>
      <c r="F36" s="3">
        <f t="shared" si="8"/>
        <v>22954.561980476483</v>
      </c>
      <c r="G36" s="3">
        <f t="shared" si="8"/>
        <v>25191.978174536707</v>
      </c>
      <c r="H36" s="3">
        <f t="shared" si="8"/>
        <v>30572.685555249209</v>
      </c>
      <c r="I36" s="3">
        <f t="shared" si="8"/>
        <v>29261.094041487169</v>
      </c>
      <c r="J36" s="3">
        <f t="shared" si="8"/>
        <v>27340.911855893894</v>
      </c>
      <c r="K36" s="3">
        <f t="shared" si="8"/>
        <v>23189.243275343</v>
      </c>
      <c r="L36" s="3">
        <f t="shared" si="8"/>
        <v>16901.928024090706</v>
      </c>
      <c r="M36" s="3">
        <f t="shared" si="8"/>
        <v>17069.103662495902</v>
      </c>
      <c r="N36" s="3">
        <f t="shared" si="8"/>
        <v>22269.684301854431</v>
      </c>
      <c r="O36" s="3">
        <f t="shared" si="8"/>
        <v>25494.245336205477</v>
      </c>
    </row>
    <row r="37" spans="2:15">
      <c r="B37" t="s">
        <v>130</v>
      </c>
      <c r="C37" s="99">
        <f>SUM(D37:O37)</f>
        <v>10882496.452690514</v>
      </c>
      <c r="D37" s="25">
        <f>D36*D26</f>
        <v>1146765.9818765391</v>
      </c>
      <c r="E37" s="25">
        <f t="shared" ref="E37:O37" si="9">E36*E26</f>
        <v>926260.01401126059</v>
      </c>
      <c r="F37" s="25">
        <f t="shared" si="9"/>
        <v>868155.48880633782</v>
      </c>
      <c r="G37" s="25">
        <f t="shared" si="9"/>
        <v>819196.1765469946</v>
      </c>
      <c r="H37" s="25">
        <f t="shared" si="9"/>
        <v>802422.29190609313</v>
      </c>
      <c r="I37" s="25">
        <f t="shared" si="9"/>
        <v>813785.98390168394</v>
      </c>
      <c r="J37" s="25">
        <f t="shared" si="9"/>
        <v>1061287.3460122708</v>
      </c>
      <c r="K37" s="25">
        <f t="shared" si="9"/>
        <v>973214.02390857949</v>
      </c>
      <c r="L37" s="25">
        <f t="shared" si="9"/>
        <v>722549.4748033483</v>
      </c>
      <c r="M37" s="25">
        <f t="shared" si="9"/>
        <v>725239.70021380996</v>
      </c>
      <c r="N37" s="25">
        <f t="shared" si="9"/>
        <v>927004.39728851267</v>
      </c>
      <c r="O37" s="25">
        <f t="shared" si="9"/>
        <v>1096615.5734150845</v>
      </c>
    </row>
    <row r="38" spans="2:15">
      <c r="D38" s="25"/>
    </row>
    <row r="39" spans="2:15">
      <c r="B39" t="s">
        <v>131</v>
      </c>
      <c r="C39" s="99">
        <f>SUM(D39:O39)</f>
        <v>3909478.7283185339</v>
      </c>
      <c r="D39" s="25">
        <f>((D36*10.66/11.03)*(D26-$C58))*(1-D34)</f>
        <v>468241.22345703497</v>
      </c>
      <c r="E39" s="25">
        <f t="shared" ref="E39:O39" si="10">((E36*10.66/11.03)*(E26-$C58))*(1-E34)</f>
        <v>362133.06503897189</v>
      </c>
      <c r="F39" s="25">
        <f t="shared" si="10"/>
        <v>314992.02278838906</v>
      </c>
      <c r="G39" s="25">
        <f t="shared" si="10"/>
        <v>240647.35783123775</v>
      </c>
      <c r="H39" s="25">
        <f t="shared" si="10"/>
        <v>141258.50107679737</v>
      </c>
      <c r="I39" s="25">
        <f t="shared" si="10"/>
        <v>171206.36289480803</v>
      </c>
      <c r="J39" s="25">
        <f t="shared" si="10"/>
        <v>396602.91835733934</v>
      </c>
      <c r="K39" s="25">
        <f t="shared" si="10"/>
        <v>393850.74462426413</v>
      </c>
      <c r="L39" s="25">
        <f t="shared" si="10"/>
        <v>297449.08877925214</v>
      </c>
      <c r="M39" s="25">
        <f t="shared" si="10"/>
        <v>296886.56842284236</v>
      </c>
      <c r="N39" s="25">
        <f t="shared" si="10"/>
        <v>372242.53771619668</v>
      </c>
      <c r="O39" s="25">
        <f t="shared" si="10"/>
        <v>453968.33733140002</v>
      </c>
    </row>
    <row r="41" spans="2:15">
      <c r="B41" t="s">
        <v>132</v>
      </c>
      <c r="C41" s="125">
        <f>SUM(D41:O41)</f>
        <v>6973017.7243719809</v>
      </c>
      <c r="D41" s="25">
        <f>D37-D39</f>
        <v>678524.75841950416</v>
      </c>
      <c r="E41" s="25">
        <f t="shared" ref="E41:O41" si="11">E37-E39</f>
        <v>564126.94897228875</v>
      </c>
      <c r="F41" s="25">
        <f t="shared" si="11"/>
        <v>553163.4660179487</v>
      </c>
      <c r="G41" s="25">
        <f t="shared" si="11"/>
        <v>578548.81871575688</v>
      </c>
      <c r="H41" s="25">
        <f t="shared" si="11"/>
        <v>661163.79082929576</v>
      </c>
      <c r="I41" s="25">
        <f t="shared" si="11"/>
        <v>642579.62100687588</v>
      </c>
      <c r="J41" s="25">
        <f t="shared" si="11"/>
        <v>664684.42765493144</v>
      </c>
      <c r="K41" s="25">
        <f t="shared" si="11"/>
        <v>579363.27928431542</v>
      </c>
      <c r="L41" s="25">
        <f t="shared" si="11"/>
        <v>425100.38602409617</v>
      </c>
      <c r="M41" s="25">
        <f t="shared" si="11"/>
        <v>428353.1317909676</v>
      </c>
      <c r="N41" s="25">
        <f t="shared" si="11"/>
        <v>554761.85957231605</v>
      </c>
      <c r="O41" s="25">
        <f t="shared" si="11"/>
        <v>642647.23608368449</v>
      </c>
    </row>
    <row r="42" spans="2:15">
      <c r="B42" t="s">
        <v>133</v>
      </c>
      <c r="C42" s="113">
        <f t="shared" ref="C42:O42" si="12">C41/C36</f>
        <v>24.03040529900402</v>
      </c>
      <c r="D42" s="29">
        <f t="shared" si="12"/>
        <v>25.070057243464884</v>
      </c>
      <c r="E42" s="29">
        <f t="shared" si="12"/>
        <v>24.672931693671035</v>
      </c>
      <c r="F42" s="29">
        <f t="shared" si="12"/>
        <v>24.098193051491471</v>
      </c>
      <c r="G42" s="29">
        <f t="shared" si="12"/>
        <v>22.965597012962508</v>
      </c>
      <c r="H42" s="29">
        <f t="shared" si="12"/>
        <v>21.625963791583779</v>
      </c>
      <c r="I42" s="29">
        <f t="shared" si="12"/>
        <v>21.960204908805157</v>
      </c>
      <c r="J42" s="29">
        <f t="shared" si="12"/>
        <v>24.310982426566184</v>
      </c>
      <c r="K42" s="29">
        <f t="shared" si="12"/>
        <v>24.98413908574366</v>
      </c>
      <c r="L42" s="29">
        <f t="shared" si="12"/>
        <v>25.150999662180009</v>
      </c>
      <c r="M42" s="29">
        <f t="shared" si="12"/>
        <v>25.095232899202649</v>
      </c>
      <c r="N42" s="29">
        <f t="shared" si="12"/>
        <v>24.911078758584836</v>
      </c>
      <c r="O42" s="29">
        <f t="shared" si="12"/>
        <v>25.207541059120249</v>
      </c>
    </row>
    <row r="44" spans="2:15">
      <c r="B44" t="s">
        <v>165</v>
      </c>
      <c r="C44" s="100">
        <f>SUM(D44:O44)</f>
        <v>0</v>
      </c>
      <c r="D44" s="3">
        <f>(D28+D29)*(D31/D33)</f>
        <v>0</v>
      </c>
      <c r="E44" s="3">
        <f t="shared" ref="E44:O44" si="13">(E28+E29)*(E31/E33)</f>
        <v>0</v>
      </c>
      <c r="F44" s="3">
        <f t="shared" si="13"/>
        <v>0</v>
      </c>
      <c r="G44" s="3">
        <f t="shared" si="13"/>
        <v>0</v>
      </c>
      <c r="H44" s="3">
        <f t="shared" si="13"/>
        <v>0</v>
      </c>
      <c r="I44" s="3">
        <f t="shared" si="13"/>
        <v>0</v>
      </c>
      <c r="J44" s="3">
        <f t="shared" si="13"/>
        <v>0</v>
      </c>
      <c r="K44" s="3">
        <f t="shared" si="13"/>
        <v>0</v>
      </c>
      <c r="L44" s="3">
        <f t="shared" si="13"/>
        <v>0</v>
      </c>
      <c r="M44" s="3">
        <f t="shared" si="13"/>
        <v>0</v>
      </c>
      <c r="N44" s="3">
        <f t="shared" si="13"/>
        <v>0</v>
      </c>
      <c r="O44" s="3">
        <f t="shared" si="13"/>
        <v>0</v>
      </c>
    </row>
    <row r="45" spans="2:15">
      <c r="B45" t="s">
        <v>148</v>
      </c>
      <c r="D45" s="111">
        <f>$C58</f>
        <v>20.370994986795338</v>
      </c>
      <c r="E45" s="111">
        <f t="shared" ref="E45:O45" si="14">$C58</f>
        <v>20.370994986795338</v>
      </c>
      <c r="F45" s="111">
        <f t="shared" si="14"/>
        <v>20.370994986795338</v>
      </c>
      <c r="G45" s="111">
        <f t="shared" si="14"/>
        <v>20.370994986795338</v>
      </c>
      <c r="H45" s="111">
        <f t="shared" si="14"/>
        <v>20.370994986795338</v>
      </c>
      <c r="I45" s="111">
        <f t="shared" si="14"/>
        <v>20.370994986795338</v>
      </c>
      <c r="J45" s="111">
        <f t="shared" si="14"/>
        <v>20.370994986795338</v>
      </c>
      <c r="K45" s="111">
        <f t="shared" si="14"/>
        <v>20.370994986795338</v>
      </c>
      <c r="L45" s="111">
        <f t="shared" si="14"/>
        <v>20.370994986795338</v>
      </c>
      <c r="M45" s="111">
        <f t="shared" si="14"/>
        <v>20.370994986795338</v>
      </c>
      <c r="N45" s="111">
        <f t="shared" si="14"/>
        <v>20.370994986795338</v>
      </c>
      <c r="O45" s="111">
        <f t="shared" si="14"/>
        <v>20.370994986795338</v>
      </c>
    </row>
    <row r="46" spans="2:15">
      <c r="B46" t="s">
        <v>166</v>
      </c>
      <c r="C46" s="126">
        <f>SUM(D46:O46)</f>
        <v>0</v>
      </c>
      <c r="D46" s="25">
        <f>D44*D45</f>
        <v>0</v>
      </c>
      <c r="E46" s="25">
        <f t="shared" ref="E46:O46" si="15">E44*E45</f>
        <v>0</v>
      </c>
      <c r="F46" s="25">
        <f t="shared" si="15"/>
        <v>0</v>
      </c>
      <c r="G46" s="25">
        <f t="shared" si="15"/>
        <v>0</v>
      </c>
      <c r="H46" s="25">
        <f t="shared" si="15"/>
        <v>0</v>
      </c>
      <c r="I46" s="25">
        <f t="shared" si="15"/>
        <v>0</v>
      </c>
      <c r="J46" s="25">
        <f t="shared" si="15"/>
        <v>0</v>
      </c>
      <c r="K46" s="25">
        <f t="shared" si="15"/>
        <v>0</v>
      </c>
      <c r="L46" s="25">
        <f t="shared" si="15"/>
        <v>0</v>
      </c>
      <c r="M46" s="25">
        <f t="shared" si="15"/>
        <v>0</v>
      </c>
      <c r="N46" s="25">
        <f t="shared" si="15"/>
        <v>0</v>
      </c>
      <c r="O46" s="25">
        <f t="shared" si="15"/>
        <v>0</v>
      </c>
    </row>
    <row r="47" spans="2:15">
      <c r="C47" s="113"/>
      <c r="D47" s="25"/>
    </row>
    <row r="48" spans="2:15">
      <c r="B48" t="s">
        <v>138</v>
      </c>
      <c r="C48" s="100">
        <f>SUM(D48:O48)</f>
        <v>43086.559190429049</v>
      </c>
      <c r="D48" s="3">
        <f>(D28+D29)*(D32/D33)</f>
        <v>4018.7640964960938</v>
      </c>
      <c r="E48" s="3">
        <f t="shared" ref="E48:O48" si="16">(E28+E29)*(E32/E33)</f>
        <v>3394.9878994662363</v>
      </c>
      <c r="F48" s="3">
        <f t="shared" si="16"/>
        <v>3408.4046577071144</v>
      </c>
      <c r="G48" s="3">
        <f t="shared" si="16"/>
        <v>3740.6270622796928</v>
      </c>
      <c r="H48" s="3">
        <f t="shared" si="16"/>
        <v>4539.580582446094</v>
      </c>
      <c r="I48" s="3">
        <f t="shared" si="16"/>
        <v>4344.8291152511247</v>
      </c>
      <c r="J48" s="3">
        <f t="shared" si="16"/>
        <v>4059.7111543600022</v>
      </c>
      <c r="K48" s="3">
        <f t="shared" si="16"/>
        <v>3443.2512742175973</v>
      </c>
      <c r="L48" s="3">
        <f t="shared" si="16"/>
        <v>2509.6802217589229</v>
      </c>
      <c r="M48" s="3">
        <f t="shared" si="16"/>
        <v>2534.5032710978762</v>
      </c>
      <c r="N48" s="3">
        <f t="shared" si="16"/>
        <v>3306.7106993662642</v>
      </c>
      <c r="O48" s="3">
        <f t="shared" si="16"/>
        <v>3785.5091559820248</v>
      </c>
    </row>
    <row r="49" spans="1:15">
      <c r="B49" t="s">
        <v>148</v>
      </c>
      <c r="D49" s="111">
        <f>$C58</f>
        <v>20.370994986795338</v>
      </c>
      <c r="E49" s="111">
        <f t="shared" ref="E49:O49" si="17">$C58</f>
        <v>20.370994986795338</v>
      </c>
      <c r="F49" s="111">
        <f t="shared" si="17"/>
        <v>20.370994986795338</v>
      </c>
      <c r="G49" s="111">
        <f t="shared" si="17"/>
        <v>20.370994986795338</v>
      </c>
      <c r="H49" s="111">
        <f t="shared" si="17"/>
        <v>20.370994986795338</v>
      </c>
      <c r="I49" s="111">
        <f t="shared" si="17"/>
        <v>20.370994986795338</v>
      </c>
      <c r="J49" s="111">
        <f t="shared" si="17"/>
        <v>20.370994986795338</v>
      </c>
      <c r="K49" s="111">
        <f t="shared" si="17"/>
        <v>20.370994986795338</v>
      </c>
      <c r="L49" s="111">
        <f t="shared" si="17"/>
        <v>20.370994986795338</v>
      </c>
      <c r="M49" s="111">
        <f t="shared" si="17"/>
        <v>20.370994986795338</v>
      </c>
      <c r="N49" s="111">
        <f t="shared" si="17"/>
        <v>20.370994986795338</v>
      </c>
      <c r="O49" s="111">
        <f t="shared" si="17"/>
        <v>20.370994986795338</v>
      </c>
    </row>
    <row r="50" spans="1:15">
      <c r="B50" t="s">
        <v>137</v>
      </c>
      <c r="C50" s="126">
        <f>SUM(D50:O50)</f>
        <v>877716.08126649074</v>
      </c>
      <c r="D50" s="25">
        <f>D48*D49</f>
        <v>81866.223262835018</v>
      </c>
      <c r="E50" s="25">
        <f t="shared" ref="E50:O50" si="18">E48*E49</f>
        <v>69159.28148025753</v>
      </c>
      <c r="F50" s="25">
        <f t="shared" si="18"/>
        <v>69432.594195121506</v>
      </c>
      <c r="G50" s="25">
        <f t="shared" si="18"/>
        <v>76200.295133170599</v>
      </c>
      <c r="H50" s="25">
        <f t="shared" si="18"/>
        <v>92475.77328716284</v>
      </c>
      <c r="I50" s="25">
        <f t="shared" si="18"/>
        <v>88508.492125263088</v>
      </c>
      <c r="J50" s="25">
        <f t="shared" si="18"/>
        <v>82700.355573304725</v>
      </c>
      <c r="K50" s="25">
        <f t="shared" si="18"/>
        <v>70142.454445363328</v>
      </c>
      <c r="L50" s="25">
        <f t="shared" si="18"/>
        <v>51124.683215910431</v>
      </c>
      <c r="M50" s="25">
        <f t="shared" si="18"/>
        <v>51630.353429551222</v>
      </c>
      <c r="N50" s="25">
        <f t="shared" si="18"/>
        <v>67360.987079572675</v>
      </c>
      <c r="O50" s="25">
        <f t="shared" si="18"/>
        <v>77114.588038977687</v>
      </c>
    </row>
    <row r="51" spans="1:15">
      <c r="B51" t="s">
        <v>150</v>
      </c>
      <c r="C51" s="113">
        <f>C50/C48</f>
        <v>20.370994986795338</v>
      </c>
      <c r="D51" s="25"/>
      <c r="E51" s="25"/>
      <c r="F51" s="25"/>
      <c r="G51" s="25"/>
      <c r="H51" s="25"/>
      <c r="I51" s="25"/>
      <c r="J51" s="25"/>
      <c r="K51" s="25"/>
      <c r="L51" s="25"/>
      <c r="M51" s="25"/>
      <c r="N51" s="25"/>
      <c r="O51" s="25"/>
    </row>
    <row r="52" spans="1:15">
      <c r="D52" s="25"/>
      <c r="E52" s="25"/>
      <c r="F52" s="25"/>
      <c r="G52" s="25"/>
      <c r="H52" s="25"/>
      <c r="I52" s="25"/>
      <c r="J52" s="25"/>
      <c r="K52" s="25"/>
      <c r="L52" s="25"/>
      <c r="M52" s="25"/>
      <c r="N52" s="25"/>
      <c r="O52" s="25"/>
    </row>
    <row r="53" spans="1:15">
      <c r="B53" t="s">
        <v>151</v>
      </c>
      <c r="C53" s="126">
        <f>SUM(D53:O53)</f>
        <v>7850733.8056384716</v>
      </c>
      <c r="D53" s="25">
        <f>D41+D46+D50</f>
        <v>760390.98168233922</v>
      </c>
      <c r="E53" s="25">
        <f t="shared" ref="E53:O53" si="19">E41+E46+E50</f>
        <v>633286.23045254627</v>
      </c>
      <c r="F53" s="25">
        <f t="shared" si="19"/>
        <v>622596.06021307025</v>
      </c>
      <c r="G53" s="25">
        <f t="shared" si="19"/>
        <v>654749.11384892743</v>
      </c>
      <c r="H53" s="25">
        <f t="shared" si="19"/>
        <v>753639.56411645864</v>
      </c>
      <c r="I53" s="25">
        <f t="shared" si="19"/>
        <v>731088.11313213897</v>
      </c>
      <c r="J53" s="25">
        <f t="shared" si="19"/>
        <v>747384.78322823613</v>
      </c>
      <c r="K53" s="25">
        <f t="shared" si="19"/>
        <v>649505.73372967879</v>
      </c>
      <c r="L53" s="25">
        <f t="shared" si="19"/>
        <v>476225.06924000662</v>
      </c>
      <c r="M53" s="25">
        <f t="shared" si="19"/>
        <v>479983.48522051884</v>
      </c>
      <c r="N53" s="25">
        <f t="shared" si="19"/>
        <v>622122.84665188869</v>
      </c>
      <c r="O53" s="25">
        <f t="shared" si="19"/>
        <v>719761.82412266219</v>
      </c>
    </row>
    <row r="54" spans="1:15">
      <c r="B54" t="s">
        <v>152</v>
      </c>
      <c r="C54" s="113">
        <f>C53/(C28+C29)</f>
        <v>23.557288926185482</v>
      </c>
    </row>
    <row r="56" spans="1:15">
      <c r="B56" t="s">
        <v>191</v>
      </c>
      <c r="C56" s="108">
        <f>SUM(D56:O56)</f>
        <v>8839823.4900517557</v>
      </c>
      <c r="D56" s="56">
        <f>(D28+D29)/0.0377</f>
        <v>824506.8979440371</v>
      </c>
      <c r="E56" s="56">
        <f t="shared" ref="E56:O56" si="20">(E28+E29)/0.0377</f>
        <v>696530.29496979574</v>
      </c>
      <c r="F56" s="56">
        <f t="shared" si="20"/>
        <v>699282.93469983025</v>
      </c>
      <c r="G56" s="56">
        <f t="shared" si="20"/>
        <v>767443.10972987814</v>
      </c>
      <c r="H56" s="56">
        <f t="shared" si="20"/>
        <v>931359.84450120176</v>
      </c>
      <c r="I56" s="56">
        <f t="shared" si="20"/>
        <v>891403.79726096278</v>
      </c>
      <c r="J56" s="56">
        <f t="shared" si="20"/>
        <v>832907.7721552758</v>
      </c>
      <c r="K56" s="56">
        <f t="shared" si="20"/>
        <v>706432.2161687162</v>
      </c>
      <c r="L56" s="56">
        <f t="shared" si="20"/>
        <v>514896.77044693986</v>
      </c>
      <c r="M56" s="56">
        <f t="shared" si="20"/>
        <v>519989.5738353788</v>
      </c>
      <c r="N56" s="56">
        <f t="shared" si="20"/>
        <v>678418.96554962068</v>
      </c>
      <c r="O56" s="56">
        <f t="shared" si="20"/>
        <v>776651.31279011944</v>
      </c>
    </row>
    <row r="57" spans="1:15">
      <c r="B57" t="s">
        <v>151</v>
      </c>
      <c r="C57" s="110">
        <v>180076000</v>
      </c>
    </row>
    <row r="58" spans="1:15">
      <c r="B58" t="s">
        <v>193</v>
      </c>
      <c r="C58" s="29">
        <f>C57/C56</f>
        <v>20.370994986795338</v>
      </c>
    </row>
    <row r="61" spans="1:15">
      <c r="A61" s="2" t="s">
        <v>218</v>
      </c>
    </row>
    <row r="62" spans="1:15">
      <c r="B62" t="s">
        <v>220</v>
      </c>
      <c r="C62" s="108">
        <f t="shared" ref="C62" si="21">SUM(D62:O62)</f>
        <v>481864.34772949241</v>
      </c>
      <c r="D62" s="147">
        <v>42643.004840087895</v>
      </c>
      <c r="E62" s="147">
        <v>36113.548150634801</v>
      </c>
      <c r="F62" s="147">
        <v>36545.782763671901</v>
      </c>
      <c r="G62" s="147">
        <v>43092.842541503902</v>
      </c>
      <c r="H62" s="147">
        <v>55756.028112792999</v>
      </c>
      <c r="I62" s="147">
        <v>51368.960449218699</v>
      </c>
      <c r="J62" s="147">
        <v>45391.302099609398</v>
      </c>
      <c r="K62" s="147">
        <v>40485.537780761799</v>
      </c>
      <c r="L62" s="147">
        <v>27774.204528808605</v>
      </c>
      <c r="M62" s="147">
        <v>28483.0098266602</v>
      </c>
      <c r="N62" s="147">
        <v>35010.605700683598</v>
      </c>
      <c r="O62" s="147">
        <v>39199.520935058601</v>
      </c>
    </row>
    <row r="63" spans="1:15">
      <c r="B63" t="s">
        <v>217</v>
      </c>
      <c r="C63" s="108"/>
      <c r="D63" s="29">
        <f>D26</f>
        <v>42.370581845045088</v>
      </c>
      <c r="E63" s="29">
        <f t="shared" ref="E63:O63" si="22">E26</f>
        <v>40.511360249519349</v>
      </c>
      <c r="F63" s="29">
        <f t="shared" si="22"/>
        <v>37.820607927292585</v>
      </c>
      <c r="G63" s="29">
        <f t="shared" si="22"/>
        <v>32.518136165067553</v>
      </c>
      <c r="H63" s="29">
        <f t="shared" si="22"/>
        <v>26.246378992646932</v>
      </c>
      <c r="I63" s="29">
        <f t="shared" si="22"/>
        <v>27.811194712948058</v>
      </c>
      <c r="J63" s="29">
        <f t="shared" si="22"/>
        <v>38.816823360025886</v>
      </c>
      <c r="K63" s="29">
        <f t="shared" si="22"/>
        <v>41.968339042067527</v>
      </c>
      <c r="L63" s="29">
        <f t="shared" si="22"/>
        <v>42.74952974438667</v>
      </c>
      <c r="M63" s="29">
        <f t="shared" si="22"/>
        <v>42.488446643352503</v>
      </c>
      <c r="N63" s="29">
        <f t="shared" si="22"/>
        <v>41.626292709112164</v>
      </c>
      <c r="O63" s="29">
        <f t="shared" si="22"/>
        <v>43.01423944711685</v>
      </c>
    </row>
    <row r="64" spans="1:15">
      <c r="B64" t="s">
        <v>221</v>
      </c>
      <c r="C64" s="148">
        <f>SUM(D64:O64)</f>
        <v>17947415.792739123</v>
      </c>
      <c r="D64" s="25">
        <f>D62*D63</f>
        <v>1806808.9266955981</v>
      </c>
      <c r="E64" s="25">
        <f t="shared" ref="E64:O64" si="23">E62*E63</f>
        <v>1463008.9590187296</v>
      </c>
      <c r="F64" s="25">
        <f t="shared" si="23"/>
        <v>1382183.7213008422</v>
      </c>
      <c r="G64" s="25">
        <f t="shared" si="23"/>
        <v>1401298.9215044396</v>
      </c>
      <c r="H64" s="25">
        <f t="shared" si="23"/>
        <v>1463393.8449730419</v>
      </c>
      <c r="I64" s="25">
        <f t="shared" si="23"/>
        <v>1428632.1612549489</v>
      </c>
      <c r="J64" s="25">
        <f t="shared" si="23"/>
        <v>1761946.1556821102</v>
      </c>
      <c r="K64" s="25">
        <f t="shared" si="23"/>
        <v>1699110.7758834453</v>
      </c>
      <c r="L64" s="25">
        <f t="shared" si="23"/>
        <v>1187334.1826309825</v>
      </c>
      <c r="M64" s="25">
        <f t="shared" si="23"/>
        <v>1210198.8432621369</v>
      </c>
      <c r="N64" s="25">
        <f t="shared" si="23"/>
        <v>1457361.7208199664</v>
      </c>
      <c r="O64" s="25">
        <f t="shared" si="23"/>
        <v>1686137.5797128805</v>
      </c>
    </row>
    <row r="66" spans="1:15">
      <c r="A66" s="2" t="s">
        <v>219</v>
      </c>
    </row>
    <row r="67" spans="1:15">
      <c r="B67" t="s">
        <v>220</v>
      </c>
      <c r="C67" s="108">
        <f t="shared" ref="C67" si="24">SUM(D67:O67)</f>
        <v>0</v>
      </c>
      <c r="D67" s="147">
        <v>0</v>
      </c>
      <c r="E67" s="147">
        <v>0</v>
      </c>
      <c r="F67" s="147">
        <v>0</v>
      </c>
      <c r="G67" s="147">
        <v>0</v>
      </c>
      <c r="H67" s="147">
        <v>0</v>
      </c>
      <c r="I67" s="147">
        <v>0</v>
      </c>
      <c r="J67" s="147">
        <v>0</v>
      </c>
      <c r="K67" s="147">
        <v>0</v>
      </c>
      <c r="L67" s="147">
        <v>0</v>
      </c>
      <c r="M67" s="147">
        <v>0</v>
      </c>
      <c r="N67" s="147">
        <v>0</v>
      </c>
      <c r="O67" s="147">
        <v>0</v>
      </c>
    </row>
    <row r="68" spans="1:15">
      <c r="B68" t="s">
        <v>217</v>
      </c>
      <c r="C68" s="108"/>
      <c r="D68" s="29">
        <f>D$9*0.65+D$10*0.35+5</f>
        <v>42.370581845045088</v>
      </c>
      <c r="E68" s="29">
        <f t="shared" ref="E68:O68" si="25">E$9*0.65+E$10*0.35+5</f>
        <v>40.511360249519349</v>
      </c>
      <c r="F68" s="29">
        <f t="shared" si="25"/>
        <v>37.820607927292585</v>
      </c>
      <c r="G68" s="29">
        <f t="shared" si="25"/>
        <v>32.518136165067553</v>
      </c>
      <c r="H68" s="29">
        <f t="shared" si="25"/>
        <v>26.246378992646932</v>
      </c>
      <c r="I68" s="29">
        <f t="shared" si="25"/>
        <v>27.811194712948058</v>
      </c>
      <c r="J68" s="29">
        <f t="shared" si="25"/>
        <v>38.816823360025886</v>
      </c>
      <c r="K68" s="29">
        <f t="shared" si="25"/>
        <v>41.968339042067527</v>
      </c>
      <c r="L68" s="29">
        <f t="shared" si="25"/>
        <v>42.74952974438667</v>
      </c>
      <c r="M68" s="29">
        <f t="shared" si="25"/>
        <v>42.488446643352503</v>
      </c>
      <c r="N68" s="29">
        <f t="shared" si="25"/>
        <v>41.626292709112164</v>
      </c>
      <c r="O68" s="29">
        <f t="shared" si="25"/>
        <v>43.01423944711685</v>
      </c>
    </row>
    <row r="69" spans="1:15">
      <c r="B69" t="s">
        <v>221</v>
      </c>
      <c r="C69" s="148">
        <f>SUM(D69:O69)</f>
        <v>0</v>
      </c>
      <c r="D69" s="25">
        <f>D67*D68</f>
        <v>0</v>
      </c>
      <c r="E69" s="29">
        <f t="shared" ref="E69:O69" si="26">E67*E68</f>
        <v>0</v>
      </c>
      <c r="F69" s="29">
        <f t="shared" si="26"/>
        <v>0</v>
      </c>
      <c r="G69" s="29">
        <f t="shared" si="26"/>
        <v>0</v>
      </c>
      <c r="H69" s="29">
        <f t="shared" si="26"/>
        <v>0</v>
      </c>
      <c r="I69" s="29">
        <f t="shared" si="26"/>
        <v>0</v>
      </c>
      <c r="J69" s="29">
        <f t="shared" si="26"/>
        <v>0</v>
      </c>
      <c r="K69" s="29">
        <f t="shared" si="26"/>
        <v>0</v>
      </c>
      <c r="L69" s="29">
        <f t="shared" si="26"/>
        <v>0</v>
      </c>
      <c r="M69" s="29">
        <f t="shared" si="26"/>
        <v>0</v>
      </c>
      <c r="N69" s="29">
        <f t="shared" si="26"/>
        <v>0</v>
      </c>
      <c r="O69" s="29">
        <f t="shared" si="26"/>
        <v>0</v>
      </c>
    </row>
  </sheetData>
  <phoneticPr fontId="6" type="noConversion"/>
  <pageMargins left="0.75" right="0.75" top="1" bottom="1" header="0.5" footer="0.5"/>
  <pageSetup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2015-02-09T08:00:00+00:00</OpenedDate>
    <Date1 xmlns="dc463f71-b30c-4ab2-9473-d307f9d35888">2015-02-09T08:00:00+00:00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A7FDE4436DDBF4D82FDD1C15667C2E2" ma:contentTypeVersion="119" ma:contentTypeDescription="" ma:contentTypeScope="" ma:versionID="c032a4c147a26dcdd45af4d4b25597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7AEED13-CC51-40AC-9A2E-77AB24E64CD1}"/>
</file>

<file path=customXml/itemProps2.xml><?xml version="1.0" encoding="utf-8"?>
<ds:datastoreItem xmlns:ds="http://schemas.openxmlformats.org/officeDocument/2006/customXml" ds:itemID="{CB759F33-B4B7-4CFB-8376-114F7C432581}"/>
</file>

<file path=customXml/itemProps3.xml><?xml version="1.0" encoding="utf-8"?>
<ds:datastoreItem xmlns:ds="http://schemas.openxmlformats.org/officeDocument/2006/customXml" ds:itemID="{5F8D84CB-6AAF-494A-A351-073454D0AE39}"/>
</file>

<file path=customXml/itemProps4.xml><?xml version="1.0" encoding="utf-8"?>
<ds:datastoreItem xmlns:ds="http://schemas.openxmlformats.org/officeDocument/2006/customXml" ds:itemID="{8EACE801-DAA3-437A-9E6F-5D4F497955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PF 2016</vt:lpstr>
      <vt:lpstr>WGJ-2</vt:lpstr>
      <vt:lpstr>WGJ-4</vt:lpstr>
      <vt:lpstr>WGJ-5</vt:lpstr>
      <vt:lpstr>Aurora</vt:lpstr>
      <vt:lpstr>Index</vt:lpstr>
      <vt:lpstr>Index!Print_Area</vt:lpstr>
      <vt:lpstr>'PF 2016'!Print_Area</vt:lpstr>
      <vt:lpstr>'WGJ-2'!Print_Area</vt:lpstr>
      <vt:lpstr>'WGJ-4'!Print_Area</vt:lpstr>
      <vt:lpstr>'WGJ-2'!Print_Titles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Resources</dc:creator>
  <cp:lastModifiedBy>jzlfgj</cp:lastModifiedBy>
  <cp:lastPrinted>2015-01-27T20:48:23Z</cp:lastPrinted>
  <dcterms:created xsi:type="dcterms:W3CDTF">1998-10-07T00:01:47Z</dcterms:created>
  <dcterms:modified xsi:type="dcterms:W3CDTF">2015-01-28T15:33:49Z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0x0101006E56B4D1795A2E4DB2F0B01679ED314A005A7FDE4436DDBF4D82FDD1C15667C2E2</vt:lpwstr>
  </property>
  <property fmtid="{D5CDD505-2E9C-101B-9397-08002B2CF9AE}" pid="3" name="_docset_NoMedatataSyncRequired">
    <vt:lpwstr>False</vt:lpwstr>
  </property>
</Properties>
</file>