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240" yWindow="1716" windowWidth="9168" windowHeight="2448" tabRatio="599"/>
  </bookViews>
  <sheets>
    <sheet name="Summary" sheetId="252" r:id="rId1"/>
    <sheet name="RevReq" sheetId="210" r:id="rId2"/>
    <sheet name="ROO" sheetId="211" r:id="rId3"/>
    <sheet name="Adjustments" sheetId="143" r:id="rId4"/>
    <sheet name="PlantP1" sheetId="245" r:id="rId5"/>
    <sheet name="PlantP2" sheetId="244" r:id="rId6"/>
    <sheet name="PlantP3" sheetId="246" r:id="rId7"/>
    <sheet name="ADIT" sheetId="247" r:id="rId8"/>
    <sheet name="Retire" sheetId="159" r:id="rId9"/>
    <sheet name="LaborEscP1" sheetId="239" r:id="rId10"/>
    <sheet name="LaborEscP2" sheetId="238" r:id="rId11"/>
    <sheet name="EmployeeRed" sheetId="181" r:id="rId12"/>
    <sheet name="EmployeeP2" sheetId="237" r:id="rId13"/>
    <sheet name="EmployeeP3" sheetId="236" r:id="rId14"/>
    <sheet name="EmployeeP4" sheetId="180" r:id="rId15"/>
    <sheet name="PensionP1" sheetId="178" r:id="rId16"/>
    <sheet name="PensionP2" sheetId="179" r:id="rId17"/>
    <sheet name="OPEBp1" sheetId="232" r:id="rId18"/>
    <sheet name="OPEBp2" sheetId="231" r:id="rId19"/>
    <sheet name="IHS_ESC" sheetId="220" r:id="rId20"/>
    <sheet name="LiabP1" sheetId="250" r:id="rId21"/>
    <sheet name="LiabP2" sheetId="249" r:id="rId22"/>
    <sheet name="IntSyn" sheetId="254" r:id="rId23"/>
    <sheet name="ROR" sheetId="253" r:id="rId24"/>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3">Adjustments!$A:$D,Adjustments!$1:$3</definedName>
    <definedName name="_xlnm.Print_Titles" localSheetId="14">EmployeeP4!$1:$7</definedName>
    <definedName name="_xlnm.Print_Titles" localSheetId="10">LaborEscP2!$1:$8</definedName>
    <definedName name="_xlnm.Print_Titles" localSheetId="18">OPEBp2!$1:$7</definedName>
    <definedName name="_xlnm.Print_Titles" localSheetId="16">PensionP2!$1:$7</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45621"/>
</workbook>
</file>

<file path=xl/calcChain.xml><?xml version="1.0" encoding="utf-8"?>
<calcChain xmlns="http://schemas.openxmlformats.org/spreadsheetml/2006/main">
  <c r="I28" i="252" l="1"/>
  <c r="G25" i="143" l="1"/>
  <c r="G25" i="252" l="1"/>
  <c r="G24" i="252"/>
  <c r="P11" i="143"/>
  <c r="P12" i="143" s="1"/>
  <c r="R47" i="143"/>
  <c r="Q47" i="143"/>
  <c r="P47" i="143"/>
  <c r="O47" i="143"/>
  <c r="R56" i="143"/>
  <c r="R57" i="143" s="1"/>
  <c r="Q56" i="143"/>
  <c r="Q57" i="143" s="1"/>
  <c r="P56" i="143"/>
  <c r="P57" i="143" s="1"/>
  <c r="O56" i="143"/>
  <c r="O57" i="143" s="1"/>
  <c r="Q24" i="143"/>
  <c r="P24" i="143"/>
  <c r="Q12" i="143"/>
  <c r="Q33" i="143" l="1"/>
  <c r="Q34" i="143" s="1"/>
  <c r="Q28" i="143"/>
  <c r="P33" i="143"/>
  <c r="P34" i="143" s="1"/>
  <c r="P28" i="143"/>
  <c r="Q59" i="143"/>
  <c r="P59" i="143" l="1"/>
  <c r="I31" i="252" l="1"/>
  <c r="I27" i="210"/>
  <c r="O12" i="143" l="1"/>
  <c r="I15" i="253" l="1"/>
  <c r="I14" i="253"/>
  <c r="E14" i="254" s="1"/>
  <c r="I13" i="253"/>
  <c r="I12" i="253"/>
  <c r="E17" i="253"/>
  <c r="I24" i="252" l="1"/>
  <c r="Q60" i="143"/>
  <c r="P60" i="143"/>
  <c r="I17" i="253"/>
  <c r="I16" i="210" s="1"/>
  <c r="I25" i="252" s="1"/>
  <c r="J16" i="249" l="1"/>
  <c r="L17" i="249"/>
  <c r="L15" i="249"/>
  <c r="L12" i="249"/>
  <c r="H17" i="249"/>
  <c r="H15" i="249"/>
  <c r="H14" i="249"/>
  <c r="L14" i="249" s="1"/>
  <c r="H13" i="249"/>
  <c r="H20" i="249" s="1"/>
  <c r="H12" i="249"/>
  <c r="F17" i="249"/>
  <c r="F16" i="249"/>
  <c r="H16" i="249" s="1"/>
  <c r="N21" i="143"/>
  <c r="N20" i="143"/>
  <c r="N19" i="143"/>
  <c r="N18" i="143"/>
  <c r="N16" i="143"/>
  <c r="N14" i="143"/>
  <c r="O12" i="220"/>
  <c r="I12" i="220"/>
  <c r="L13" i="249" l="1"/>
  <c r="L19" i="249" s="1"/>
  <c r="L22" i="249" s="1"/>
  <c r="G14" i="250" s="1"/>
  <c r="M14" i="250" s="1"/>
  <c r="O23" i="143" s="1"/>
  <c r="O24" i="143" s="1"/>
  <c r="O28" i="143" s="1"/>
  <c r="O33" i="143" s="1"/>
  <c r="O34" i="143" s="1"/>
  <c r="L16" i="249"/>
  <c r="E17" i="247"/>
  <c r="E12" i="247"/>
  <c r="K35" i="246"/>
  <c r="K20" i="246"/>
  <c r="G19" i="246"/>
  <c r="G34" i="246" s="1"/>
  <c r="F19" i="246"/>
  <c r="F34" i="246" s="1"/>
  <c r="F18" i="246"/>
  <c r="F33" i="246" s="1"/>
  <c r="F17" i="246"/>
  <c r="F32" i="246" s="1"/>
  <c r="F16" i="246"/>
  <c r="G15" i="246"/>
  <c r="G30" i="246" s="1"/>
  <c r="F15" i="246"/>
  <c r="F30" i="246" s="1"/>
  <c r="F14" i="246"/>
  <c r="F29" i="246" s="1"/>
  <c r="G13" i="246"/>
  <c r="G28" i="246" s="1"/>
  <c r="F13" i="246"/>
  <c r="F28" i="246" s="1"/>
  <c r="I28" i="246" s="1"/>
  <c r="M28" i="246" s="1"/>
  <c r="G24" i="245" s="1"/>
  <c r="F12" i="246"/>
  <c r="G23" i="252" l="1"/>
  <c r="O59" i="143"/>
  <c r="O60" i="143"/>
  <c r="F20" i="246"/>
  <c r="I13" i="246"/>
  <c r="M13" i="246" s="1"/>
  <c r="G35" i="245" s="1"/>
  <c r="M35" i="245" s="1"/>
  <c r="I15" i="246"/>
  <c r="M15" i="246" s="1"/>
  <c r="G37" i="245" s="1"/>
  <c r="M37" i="245" s="1"/>
  <c r="I19" i="246"/>
  <c r="M19" i="246" s="1"/>
  <c r="G41" i="245" s="1"/>
  <c r="M41" i="245" s="1"/>
  <c r="F27" i="246"/>
  <c r="F31" i="246"/>
  <c r="I30" i="246"/>
  <c r="M30" i="246" s="1"/>
  <c r="G26" i="245" s="1"/>
  <c r="M26" i="245" s="1"/>
  <c r="I34" i="246"/>
  <c r="M34" i="246" s="1"/>
  <c r="G30" i="245" s="1"/>
  <c r="M30" i="245" s="1"/>
  <c r="M19" i="245"/>
  <c r="M24" i="245"/>
  <c r="G19" i="245"/>
  <c r="G15" i="245"/>
  <c r="M15" i="245" s="1"/>
  <c r="G13" i="245"/>
  <c r="M13" i="245" s="1"/>
  <c r="F56" i="244"/>
  <c r="P54" i="244"/>
  <c r="N54" i="244"/>
  <c r="N53" i="244"/>
  <c r="P53" i="244" s="1"/>
  <c r="N52" i="244"/>
  <c r="P52" i="244" s="1"/>
  <c r="N51" i="244"/>
  <c r="P51" i="244" s="1"/>
  <c r="N50" i="244"/>
  <c r="P50" i="244" s="1"/>
  <c r="N46" i="244"/>
  <c r="N45" i="244"/>
  <c r="N41" i="244"/>
  <c r="P41" i="244" s="1"/>
  <c r="N40" i="244"/>
  <c r="P40" i="244" s="1"/>
  <c r="N39" i="244"/>
  <c r="P39" i="244" s="1"/>
  <c r="N38" i="244"/>
  <c r="P38" i="244" s="1"/>
  <c r="N37" i="244"/>
  <c r="P37" i="244" s="1"/>
  <c r="N36" i="244"/>
  <c r="P36" i="244" s="1"/>
  <c r="N35" i="244"/>
  <c r="P35" i="244" s="1"/>
  <c r="N34" i="244"/>
  <c r="P34" i="244" s="1"/>
  <c r="N33" i="244"/>
  <c r="P33" i="244" s="1"/>
  <c r="N32" i="244"/>
  <c r="P32" i="244" s="1"/>
  <c r="N31" i="244"/>
  <c r="P31" i="244" s="1"/>
  <c r="N30" i="244"/>
  <c r="P30" i="244" s="1"/>
  <c r="N26" i="244"/>
  <c r="P26" i="244" s="1"/>
  <c r="N25" i="244"/>
  <c r="P25" i="244" s="1"/>
  <c r="N24" i="244"/>
  <c r="P24" i="244" s="1"/>
  <c r="N23" i="244"/>
  <c r="P23" i="244" s="1"/>
  <c r="N22" i="244"/>
  <c r="N18" i="244"/>
  <c r="P18" i="244" s="1"/>
  <c r="N17" i="244"/>
  <c r="P17" i="244" s="1"/>
  <c r="N16" i="244"/>
  <c r="P16" i="244" s="1"/>
  <c r="N15" i="244"/>
  <c r="P15" i="244" s="1"/>
  <c r="N14" i="244"/>
  <c r="P14" i="244" s="1"/>
  <c r="N13" i="244"/>
  <c r="P13" i="244" s="1"/>
  <c r="N12" i="244"/>
  <c r="G16" i="246" s="1"/>
  <c r="G31" i="246" s="1"/>
  <c r="L26" i="244"/>
  <c r="F54" i="244"/>
  <c r="F47" i="244"/>
  <c r="F42" i="244"/>
  <c r="F27" i="244"/>
  <c r="F19" i="244"/>
  <c r="P46" i="244" l="1"/>
  <c r="G18" i="245" s="1"/>
  <c r="M18" i="245" s="1"/>
  <c r="G18" i="246"/>
  <c r="P45" i="244"/>
  <c r="G17" i="246"/>
  <c r="N47" i="244"/>
  <c r="G14" i="245"/>
  <c r="M14" i="245" s="1"/>
  <c r="N42" i="244"/>
  <c r="G14" i="246" s="1"/>
  <c r="G29" i="246" s="1"/>
  <c r="I29" i="246" s="1"/>
  <c r="M29" i="246" s="1"/>
  <c r="G25" i="245" s="1"/>
  <c r="M25" i="245" s="1"/>
  <c r="P42" i="244"/>
  <c r="N27" i="244"/>
  <c r="P22" i="244"/>
  <c r="G12" i="246"/>
  <c r="N19" i="244"/>
  <c r="I31" i="246"/>
  <c r="M31" i="246" s="1"/>
  <c r="G27" i="245" s="1"/>
  <c r="M27" i="245" s="1"/>
  <c r="P12" i="244"/>
  <c r="I16" i="246"/>
  <c r="M16" i="246" s="1"/>
  <c r="G38" i="245" s="1"/>
  <c r="M38" i="245" s="1"/>
  <c r="F35" i="246"/>
  <c r="I25" i="143"/>
  <c r="G15" i="159"/>
  <c r="G14" i="159"/>
  <c r="G13" i="159"/>
  <c r="K23" i="159"/>
  <c r="K22" i="159"/>
  <c r="K21" i="159"/>
  <c r="D94" i="231"/>
  <c r="D52" i="231" s="1"/>
  <c r="F52" i="231" s="1"/>
  <c r="C92" i="231"/>
  <c r="B90" i="231"/>
  <c r="B94" i="231" s="1"/>
  <c r="C85" i="231"/>
  <c r="C84" i="231"/>
  <c r="C81" i="231"/>
  <c r="C80" i="231"/>
  <c r="C77" i="231"/>
  <c r="C76" i="231"/>
  <c r="C73" i="231"/>
  <c r="C72" i="231"/>
  <c r="C69" i="231"/>
  <c r="C68" i="231"/>
  <c r="C65" i="231"/>
  <c r="C64" i="231"/>
  <c r="C61" i="231"/>
  <c r="C60" i="231"/>
  <c r="C59" i="231"/>
  <c r="C57" i="231"/>
  <c r="C56" i="231"/>
  <c r="C55" i="231"/>
  <c r="C53" i="231"/>
  <c r="C52" i="231"/>
  <c r="C51" i="231"/>
  <c r="C49" i="231"/>
  <c r="C48" i="231"/>
  <c r="C47" i="231"/>
  <c r="C45" i="231"/>
  <c r="C44" i="231"/>
  <c r="C43" i="231"/>
  <c r="C41" i="231"/>
  <c r="C40" i="231"/>
  <c r="C39" i="231"/>
  <c r="C37" i="231"/>
  <c r="C36" i="231"/>
  <c r="C35" i="231"/>
  <c r="C33" i="231"/>
  <c r="C32" i="231"/>
  <c r="C31" i="231"/>
  <c r="C29" i="231"/>
  <c r="C28" i="231"/>
  <c r="C27" i="231"/>
  <c r="C25" i="231"/>
  <c r="C24" i="231"/>
  <c r="C23" i="231"/>
  <c r="C21" i="231"/>
  <c r="C20" i="231"/>
  <c r="C19" i="231"/>
  <c r="C17" i="231"/>
  <c r="C16" i="231"/>
  <c r="C15" i="231"/>
  <c r="C13" i="231"/>
  <c r="C12" i="231"/>
  <c r="C11" i="231"/>
  <c r="C9" i="231"/>
  <c r="C8" i="231"/>
  <c r="I21" i="232"/>
  <c r="I22" i="232" s="1"/>
  <c r="I13" i="232" s="1"/>
  <c r="I20" i="232"/>
  <c r="G33" i="246" l="1"/>
  <c r="I33" i="246" s="1"/>
  <c r="M33" i="246" s="1"/>
  <c r="G29" i="245" s="1"/>
  <c r="M29" i="245" s="1"/>
  <c r="I18" i="246"/>
  <c r="M18" i="246" s="1"/>
  <c r="G40" i="245" s="1"/>
  <c r="M40" i="245" s="1"/>
  <c r="G32" i="246"/>
  <c r="I32" i="246" s="1"/>
  <c r="M32" i="246" s="1"/>
  <c r="G28" i="245" s="1"/>
  <c r="M28" i="245" s="1"/>
  <c r="I17" i="246"/>
  <c r="M17" i="246" s="1"/>
  <c r="G39" i="245" s="1"/>
  <c r="M39" i="245" s="1"/>
  <c r="P47" i="244"/>
  <c r="G17" i="245"/>
  <c r="M17" i="245" s="1"/>
  <c r="G20" i="246"/>
  <c r="I14" i="246"/>
  <c r="M14" i="246" s="1"/>
  <c r="G36" i="245" s="1"/>
  <c r="M36" i="245" s="1"/>
  <c r="N56" i="244"/>
  <c r="G12" i="245"/>
  <c r="M12" i="245" s="1"/>
  <c r="P27" i="244"/>
  <c r="G27" i="246"/>
  <c r="I12" i="246"/>
  <c r="M12" i="246" s="1"/>
  <c r="G16" i="245"/>
  <c r="P19" i="244"/>
  <c r="D9" i="231"/>
  <c r="F9" i="231" s="1"/>
  <c r="D12" i="231"/>
  <c r="F12" i="231" s="1"/>
  <c r="D16" i="231"/>
  <c r="F16" i="231" s="1"/>
  <c r="D20" i="231"/>
  <c r="F20" i="231" s="1"/>
  <c r="D25" i="231"/>
  <c r="F25" i="231" s="1"/>
  <c r="D33" i="231"/>
  <c r="F33" i="231" s="1"/>
  <c r="D37" i="231"/>
  <c r="F37" i="231" s="1"/>
  <c r="D49" i="231"/>
  <c r="F49" i="231" s="1"/>
  <c r="D53" i="231"/>
  <c r="F53" i="231" s="1"/>
  <c r="D59" i="231"/>
  <c r="F59" i="231" s="1"/>
  <c r="D64" i="231"/>
  <c r="F64" i="231" s="1"/>
  <c r="D72" i="231"/>
  <c r="F72" i="231" s="1"/>
  <c r="D80" i="231"/>
  <c r="F80" i="231" s="1"/>
  <c r="D21" i="231"/>
  <c r="F21" i="231" s="1"/>
  <c r="D29" i="231"/>
  <c r="F29" i="231" s="1"/>
  <c r="D39" i="231"/>
  <c r="F39" i="231" s="1"/>
  <c r="D45" i="231"/>
  <c r="F45" i="231" s="1"/>
  <c r="D55" i="231"/>
  <c r="F55" i="231" s="1"/>
  <c r="D65" i="231"/>
  <c r="F65" i="231" s="1"/>
  <c r="D73" i="231"/>
  <c r="F73" i="231" s="1"/>
  <c r="D81" i="231"/>
  <c r="F81" i="231" s="1"/>
  <c r="D92" i="231"/>
  <c r="D11" i="231"/>
  <c r="F11" i="231" s="1"/>
  <c r="D13" i="231"/>
  <c r="F13" i="231" s="1"/>
  <c r="D19" i="231"/>
  <c r="F19" i="231" s="1"/>
  <c r="D23" i="231"/>
  <c r="F23" i="231" s="1"/>
  <c r="D31" i="231"/>
  <c r="F31" i="231" s="1"/>
  <c r="D40" i="231"/>
  <c r="F40" i="231" s="1"/>
  <c r="D47" i="231"/>
  <c r="F47" i="231" s="1"/>
  <c r="D56" i="231"/>
  <c r="F56" i="231" s="1"/>
  <c r="D60" i="231"/>
  <c r="F60" i="231" s="1"/>
  <c r="D68" i="231"/>
  <c r="F68" i="231" s="1"/>
  <c r="D76" i="231"/>
  <c r="F76" i="231" s="1"/>
  <c r="D84" i="231"/>
  <c r="F84" i="231" s="1"/>
  <c r="D17" i="231"/>
  <c r="F17" i="231" s="1"/>
  <c r="D27" i="231"/>
  <c r="F27" i="231" s="1"/>
  <c r="D35" i="231"/>
  <c r="F35" i="231" s="1"/>
  <c r="D43" i="231"/>
  <c r="F43" i="231" s="1"/>
  <c r="D51" i="231"/>
  <c r="F51" i="231" s="1"/>
  <c r="D15" i="231"/>
  <c r="F15" i="231" s="1"/>
  <c r="D24" i="231"/>
  <c r="F24" i="231" s="1"/>
  <c r="D28" i="231"/>
  <c r="F28" i="231" s="1"/>
  <c r="D32" i="231"/>
  <c r="F32" i="231" s="1"/>
  <c r="D36" i="231"/>
  <c r="F36" i="231" s="1"/>
  <c r="D41" i="231"/>
  <c r="F41" i="231" s="1"/>
  <c r="D44" i="231"/>
  <c r="F44" i="231" s="1"/>
  <c r="D48" i="231"/>
  <c r="F48" i="231" s="1"/>
  <c r="D57" i="231"/>
  <c r="F57" i="231" s="1"/>
  <c r="D61" i="231"/>
  <c r="F61" i="231" s="1"/>
  <c r="D69" i="231"/>
  <c r="F69" i="231" s="1"/>
  <c r="D77" i="231"/>
  <c r="F77" i="231" s="1"/>
  <c r="D85" i="231"/>
  <c r="F85" i="231" s="1"/>
  <c r="D8" i="231"/>
  <c r="C86" i="231"/>
  <c r="D86" i="231" s="1"/>
  <c r="F86" i="231" s="1"/>
  <c r="C82" i="231"/>
  <c r="D82" i="231" s="1"/>
  <c r="F82" i="231" s="1"/>
  <c r="C78" i="231"/>
  <c r="D78" i="231" s="1"/>
  <c r="F78" i="231" s="1"/>
  <c r="C74" i="231"/>
  <c r="D74" i="231" s="1"/>
  <c r="F74" i="231" s="1"/>
  <c r="C70" i="231"/>
  <c r="D70" i="231" s="1"/>
  <c r="F70" i="231" s="1"/>
  <c r="C66" i="231"/>
  <c r="D66" i="231" s="1"/>
  <c r="F66" i="231" s="1"/>
  <c r="C62" i="231"/>
  <c r="D62" i="231" s="1"/>
  <c r="F62" i="231" s="1"/>
  <c r="C58" i="231"/>
  <c r="D58" i="231" s="1"/>
  <c r="F58" i="231" s="1"/>
  <c r="C54" i="231"/>
  <c r="D54" i="231" s="1"/>
  <c r="F54" i="231" s="1"/>
  <c r="C50" i="231"/>
  <c r="D50" i="231" s="1"/>
  <c r="F50" i="231" s="1"/>
  <c r="C46" i="231"/>
  <c r="D46" i="231" s="1"/>
  <c r="F46" i="231" s="1"/>
  <c r="C42" i="231"/>
  <c r="D42" i="231" s="1"/>
  <c r="F42" i="231" s="1"/>
  <c r="C38" i="231"/>
  <c r="D38" i="231" s="1"/>
  <c r="F38" i="231" s="1"/>
  <c r="C34" i="231"/>
  <c r="D34" i="231" s="1"/>
  <c r="F34" i="231" s="1"/>
  <c r="C30" i="231"/>
  <c r="D30" i="231" s="1"/>
  <c r="F30" i="231" s="1"/>
  <c r="C26" i="231"/>
  <c r="D26" i="231" s="1"/>
  <c r="F26" i="231" s="1"/>
  <c r="C22" i="231"/>
  <c r="D22" i="231" s="1"/>
  <c r="F22" i="231" s="1"/>
  <c r="C18" i="231"/>
  <c r="D18" i="231" s="1"/>
  <c r="F18" i="231" s="1"/>
  <c r="C14" i="231"/>
  <c r="D14" i="231" s="1"/>
  <c r="F14" i="231" s="1"/>
  <c r="C10" i="231"/>
  <c r="D10" i="231" s="1"/>
  <c r="F10" i="231" s="1"/>
  <c r="C87" i="231"/>
  <c r="D87" i="231" s="1"/>
  <c r="F87" i="231" s="1"/>
  <c r="C83" i="231"/>
  <c r="D83" i="231" s="1"/>
  <c r="F83" i="231" s="1"/>
  <c r="C79" i="231"/>
  <c r="D79" i="231" s="1"/>
  <c r="F79" i="231" s="1"/>
  <c r="C75" i="231"/>
  <c r="D75" i="231" s="1"/>
  <c r="F75" i="231" s="1"/>
  <c r="C71" i="231"/>
  <c r="D71" i="231" s="1"/>
  <c r="F71" i="231" s="1"/>
  <c r="C67" i="231"/>
  <c r="D67" i="231" s="1"/>
  <c r="F67" i="231" s="1"/>
  <c r="C63" i="231"/>
  <c r="D63" i="231" s="1"/>
  <c r="F63" i="231" s="1"/>
  <c r="D94" i="179"/>
  <c r="B94" i="179"/>
  <c r="B90" i="179"/>
  <c r="C82" i="179"/>
  <c r="C74" i="179"/>
  <c r="C66" i="179"/>
  <c r="C61" i="179"/>
  <c r="C58" i="179"/>
  <c r="C53" i="179"/>
  <c r="C49" i="179"/>
  <c r="C45" i="179"/>
  <c r="C42" i="179"/>
  <c r="C40" i="179"/>
  <c r="C38" i="179"/>
  <c r="C36" i="179"/>
  <c r="C33" i="179"/>
  <c r="C29" i="179"/>
  <c r="C26" i="179"/>
  <c r="C24" i="179"/>
  <c r="C22" i="179"/>
  <c r="C20" i="179"/>
  <c r="C17" i="179"/>
  <c r="C13" i="179"/>
  <c r="C10" i="179"/>
  <c r="C8" i="179"/>
  <c r="I21" i="178"/>
  <c r="I20" i="178"/>
  <c r="I22" i="178" s="1"/>
  <c r="C87" i="180"/>
  <c r="C86" i="180"/>
  <c r="C85" i="180"/>
  <c r="C84" i="180"/>
  <c r="C83" i="180"/>
  <c r="C82" i="180"/>
  <c r="C81" i="180"/>
  <c r="C80" i="180"/>
  <c r="C79" i="180"/>
  <c r="C78" i="180"/>
  <c r="C77" i="180"/>
  <c r="C76" i="180"/>
  <c r="C75" i="180"/>
  <c r="C74" i="180"/>
  <c r="C73" i="180"/>
  <c r="C72" i="180"/>
  <c r="C71" i="180"/>
  <c r="C70" i="180"/>
  <c r="C69" i="180"/>
  <c r="C68" i="180"/>
  <c r="C67" i="180"/>
  <c r="C66" i="180"/>
  <c r="C65" i="180"/>
  <c r="C64" i="180"/>
  <c r="C63" i="180"/>
  <c r="C62" i="180"/>
  <c r="C61" i="180"/>
  <c r="C60" i="180"/>
  <c r="C59" i="180"/>
  <c r="C58" i="180"/>
  <c r="C57" i="180"/>
  <c r="C56" i="180"/>
  <c r="C55" i="180"/>
  <c r="C54" i="180"/>
  <c r="C53" i="180"/>
  <c r="C52" i="180"/>
  <c r="C51" i="180"/>
  <c r="C50" i="180"/>
  <c r="C49" i="180"/>
  <c r="C48" i="180"/>
  <c r="C47" i="180"/>
  <c r="C46" i="180"/>
  <c r="C45" i="180"/>
  <c r="C44" i="180"/>
  <c r="C43" i="180"/>
  <c r="C42" i="180"/>
  <c r="C41" i="180"/>
  <c r="C40" i="180"/>
  <c r="C39" i="180"/>
  <c r="C38" i="180"/>
  <c r="C37" i="180"/>
  <c r="C36" i="180"/>
  <c r="C35" i="180"/>
  <c r="C34" i="180"/>
  <c r="C33" i="180"/>
  <c r="C32" i="180"/>
  <c r="C31" i="180"/>
  <c r="C30" i="180"/>
  <c r="C29" i="180"/>
  <c r="C28" i="180"/>
  <c r="C27" i="180"/>
  <c r="C26" i="180"/>
  <c r="C25" i="180"/>
  <c r="C24" i="180"/>
  <c r="C23" i="180"/>
  <c r="C22" i="180"/>
  <c r="C21" i="180"/>
  <c r="C20" i="180"/>
  <c r="C19" i="180"/>
  <c r="C18" i="180"/>
  <c r="C17" i="180"/>
  <c r="C16" i="180"/>
  <c r="C15" i="180"/>
  <c r="C14" i="180"/>
  <c r="C13" i="180"/>
  <c r="C12" i="180"/>
  <c r="C11" i="180"/>
  <c r="C10" i="180"/>
  <c r="C9" i="180"/>
  <c r="C8" i="180"/>
  <c r="B90" i="180"/>
  <c r="B94" i="180" s="1"/>
  <c r="C92" i="180" s="1"/>
  <c r="E36" i="237"/>
  <c r="E34" i="237"/>
  <c r="E31" i="237"/>
  <c r="E30" i="237"/>
  <c r="E29" i="237"/>
  <c r="G27" i="237"/>
  <c r="G26" i="237"/>
  <c r="G25" i="237"/>
  <c r="G24" i="237"/>
  <c r="G23" i="237"/>
  <c r="I23" i="181"/>
  <c r="I20" i="181"/>
  <c r="M27" i="239"/>
  <c r="M26" i="239"/>
  <c r="M25" i="239"/>
  <c r="M24" i="239"/>
  <c r="K27" i="239"/>
  <c r="I27" i="239"/>
  <c r="K19" i="239"/>
  <c r="K18" i="239"/>
  <c r="F95" i="238"/>
  <c r="B91" i="238"/>
  <c r="D13" i="179" l="1"/>
  <c r="F13" i="179" s="1"/>
  <c r="D24" i="179"/>
  <c r="F24" i="179" s="1"/>
  <c r="D36" i="179"/>
  <c r="F36" i="179" s="1"/>
  <c r="D45" i="179"/>
  <c r="F45" i="179" s="1"/>
  <c r="D17" i="179"/>
  <c r="F17" i="179" s="1"/>
  <c r="D26" i="179"/>
  <c r="F26" i="179" s="1"/>
  <c r="D38" i="179"/>
  <c r="F38" i="179" s="1"/>
  <c r="D49" i="179"/>
  <c r="F49" i="179" s="1"/>
  <c r="P56" i="244"/>
  <c r="G34" i="245"/>
  <c r="M20" i="246"/>
  <c r="I27" i="246"/>
  <c r="M27" i="246" s="1"/>
  <c r="G35" i="246"/>
  <c r="M16" i="245"/>
  <c r="M20" i="245" s="1"/>
  <c r="G20" i="245"/>
  <c r="M20" i="143"/>
  <c r="M19" i="143"/>
  <c r="M23" i="143"/>
  <c r="M16" i="143"/>
  <c r="M18" i="143"/>
  <c r="M21" i="143"/>
  <c r="M17" i="143"/>
  <c r="D61" i="179"/>
  <c r="F61" i="179" s="1"/>
  <c r="C90" i="231"/>
  <c r="C94" i="231" s="1"/>
  <c r="D90" i="231"/>
  <c r="F8" i="231"/>
  <c r="D66" i="179"/>
  <c r="F66" i="179" s="1"/>
  <c r="D20" i="179"/>
  <c r="F20" i="179" s="1"/>
  <c r="D29" i="179"/>
  <c r="F29" i="179" s="1"/>
  <c r="D40" i="179"/>
  <c r="F40" i="179" s="1"/>
  <c r="D53" i="179"/>
  <c r="F53" i="179" s="1"/>
  <c r="D74" i="179"/>
  <c r="F74" i="179" s="1"/>
  <c r="D10" i="179"/>
  <c r="F10" i="179" s="1"/>
  <c r="D22" i="179"/>
  <c r="F22" i="179" s="1"/>
  <c r="D33" i="179"/>
  <c r="F33" i="179" s="1"/>
  <c r="D42" i="179"/>
  <c r="F42" i="179" s="1"/>
  <c r="D58" i="179"/>
  <c r="F58" i="179" s="1"/>
  <c r="D82" i="179"/>
  <c r="F82" i="179" s="1"/>
  <c r="C56" i="179"/>
  <c r="D56" i="179" s="1"/>
  <c r="F56" i="179" s="1"/>
  <c r="C87" i="179"/>
  <c r="D87" i="179" s="1"/>
  <c r="F87" i="179" s="1"/>
  <c r="C83" i="179"/>
  <c r="D83" i="179" s="1"/>
  <c r="F83" i="179" s="1"/>
  <c r="C79" i="179"/>
  <c r="D79" i="179" s="1"/>
  <c r="F79" i="179" s="1"/>
  <c r="C75" i="179"/>
  <c r="D75" i="179" s="1"/>
  <c r="F75" i="179" s="1"/>
  <c r="C71" i="179"/>
  <c r="D71" i="179" s="1"/>
  <c r="F71" i="179" s="1"/>
  <c r="C67" i="179"/>
  <c r="D67" i="179" s="1"/>
  <c r="F67" i="179" s="1"/>
  <c r="C63" i="179"/>
  <c r="D63" i="179" s="1"/>
  <c r="F63" i="179" s="1"/>
  <c r="C59" i="179"/>
  <c r="D59" i="179" s="1"/>
  <c r="F59" i="179" s="1"/>
  <c r="C55" i="179"/>
  <c r="D55" i="179" s="1"/>
  <c r="F55" i="179" s="1"/>
  <c r="C51" i="179"/>
  <c r="D51" i="179" s="1"/>
  <c r="F51" i="179" s="1"/>
  <c r="C47" i="179"/>
  <c r="D47" i="179" s="1"/>
  <c r="F47" i="179" s="1"/>
  <c r="C43" i="179"/>
  <c r="D43" i="179" s="1"/>
  <c r="F43" i="179" s="1"/>
  <c r="C39" i="179"/>
  <c r="D39" i="179" s="1"/>
  <c r="F39" i="179" s="1"/>
  <c r="C35" i="179"/>
  <c r="D35" i="179" s="1"/>
  <c r="F35" i="179" s="1"/>
  <c r="C31" i="179"/>
  <c r="D31" i="179" s="1"/>
  <c r="F31" i="179" s="1"/>
  <c r="C27" i="179"/>
  <c r="D27" i="179" s="1"/>
  <c r="F27" i="179" s="1"/>
  <c r="C23" i="179"/>
  <c r="D23" i="179" s="1"/>
  <c r="F23" i="179" s="1"/>
  <c r="C19" i="179"/>
  <c r="D19" i="179" s="1"/>
  <c r="F19" i="179" s="1"/>
  <c r="C15" i="179"/>
  <c r="D15" i="179" s="1"/>
  <c r="F15" i="179" s="1"/>
  <c r="C11" i="179"/>
  <c r="D11" i="179" s="1"/>
  <c r="F11" i="179" s="1"/>
  <c r="C92" i="179"/>
  <c r="D92" i="179" s="1"/>
  <c r="C84" i="179"/>
  <c r="D84" i="179" s="1"/>
  <c r="F84" i="179" s="1"/>
  <c r="C80" i="179"/>
  <c r="D80" i="179" s="1"/>
  <c r="F80" i="179" s="1"/>
  <c r="C76" i="179"/>
  <c r="D76" i="179" s="1"/>
  <c r="F76" i="179" s="1"/>
  <c r="C72" i="179"/>
  <c r="D72" i="179" s="1"/>
  <c r="F72" i="179" s="1"/>
  <c r="C68" i="179"/>
  <c r="D68" i="179" s="1"/>
  <c r="F68" i="179" s="1"/>
  <c r="C64" i="179"/>
  <c r="D64" i="179" s="1"/>
  <c r="F64" i="179" s="1"/>
  <c r="C60" i="179"/>
  <c r="D60" i="179" s="1"/>
  <c r="F60" i="179" s="1"/>
  <c r="C52" i="179"/>
  <c r="D52" i="179" s="1"/>
  <c r="F52" i="179" s="1"/>
  <c r="C12" i="179"/>
  <c r="D12" i="179" s="1"/>
  <c r="F12" i="179" s="1"/>
  <c r="C14" i="179"/>
  <c r="D14" i="179" s="1"/>
  <c r="F14" i="179" s="1"/>
  <c r="C21" i="179"/>
  <c r="D21" i="179" s="1"/>
  <c r="F21" i="179" s="1"/>
  <c r="C28" i="179"/>
  <c r="D28" i="179" s="1"/>
  <c r="F28" i="179" s="1"/>
  <c r="C30" i="179"/>
  <c r="D30" i="179" s="1"/>
  <c r="F30" i="179" s="1"/>
  <c r="C37" i="179"/>
  <c r="D37" i="179" s="1"/>
  <c r="F37" i="179" s="1"/>
  <c r="C44" i="179"/>
  <c r="D44" i="179" s="1"/>
  <c r="F44" i="179" s="1"/>
  <c r="C46" i="179"/>
  <c r="D46" i="179" s="1"/>
  <c r="F46" i="179" s="1"/>
  <c r="C54" i="179"/>
  <c r="D54" i="179" s="1"/>
  <c r="F54" i="179" s="1"/>
  <c r="C62" i="179"/>
  <c r="D62" i="179" s="1"/>
  <c r="F62" i="179" s="1"/>
  <c r="C70" i="179"/>
  <c r="D70" i="179" s="1"/>
  <c r="F70" i="179" s="1"/>
  <c r="C78" i="179"/>
  <c r="D78" i="179" s="1"/>
  <c r="F78" i="179" s="1"/>
  <c r="C86" i="179"/>
  <c r="D86" i="179" s="1"/>
  <c r="F86" i="179" s="1"/>
  <c r="D8" i="179"/>
  <c r="C69" i="179"/>
  <c r="D69" i="179" s="1"/>
  <c r="F69" i="179" s="1"/>
  <c r="C77" i="179"/>
  <c r="D77" i="179" s="1"/>
  <c r="F77" i="179" s="1"/>
  <c r="C85" i="179"/>
  <c r="D85" i="179" s="1"/>
  <c r="F85" i="179" s="1"/>
  <c r="C9" i="179"/>
  <c r="D9" i="179" s="1"/>
  <c r="F9" i="179" s="1"/>
  <c r="C16" i="179"/>
  <c r="D16" i="179" s="1"/>
  <c r="F16" i="179" s="1"/>
  <c r="C18" i="179"/>
  <c r="D18" i="179" s="1"/>
  <c r="F18" i="179" s="1"/>
  <c r="C25" i="179"/>
  <c r="D25" i="179" s="1"/>
  <c r="F25" i="179" s="1"/>
  <c r="C32" i="179"/>
  <c r="D32" i="179" s="1"/>
  <c r="F32" i="179" s="1"/>
  <c r="C34" i="179"/>
  <c r="D34" i="179" s="1"/>
  <c r="F34" i="179" s="1"/>
  <c r="C41" i="179"/>
  <c r="D41" i="179" s="1"/>
  <c r="F41" i="179" s="1"/>
  <c r="C48" i="179"/>
  <c r="D48" i="179" s="1"/>
  <c r="F48" i="179" s="1"/>
  <c r="C50" i="179"/>
  <c r="D50" i="179" s="1"/>
  <c r="F50" i="179" s="1"/>
  <c r="C57" i="179"/>
  <c r="D57" i="179" s="1"/>
  <c r="F57" i="179" s="1"/>
  <c r="C65" i="179"/>
  <c r="D65" i="179" s="1"/>
  <c r="F65" i="179" s="1"/>
  <c r="C73" i="179"/>
  <c r="D73" i="179" s="1"/>
  <c r="F73" i="179" s="1"/>
  <c r="C81" i="179"/>
  <c r="D81" i="179" s="1"/>
  <c r="F81" i="179" s="1"/>
  <c r="C90" i="180"/>
  <c r="C94" i="180" s="1"/>
  <c r="B95" i="238"/>
  <c r="C93" i="238" s="1"/>
  <c r="L20" i="143" l="1"/>
  <c r="L23" i="143"/>
  <c r="G23" i="245"/>
  <c r="M35" i="246"/>
  <c r="M34" i="245"/>
  <c r="M42" i="245" s="1"/>
  <c r="G42" i="245"/>
  <c r="G24" i="247"/>
  <c r="G25" i="247" s="1"/>
  <c r="G36" i="143"/>
  <c r="F90" i="231"/>
  <c r="O13" i="232" s="1"/>
  <c r="M14" i="143"/>
  <c r="L18" i="143"/>
  <c r="L17" i="143"/>
  <c r="L19" i="143"/>
  <c r="L21" i="143"/>
  <c r="L16" i="143"/>
  <c r="C90" i="179"/>
  <c r="C94" i="179" s="1"/>
  <c r="D90" i="179"/>
  <c r="F8" i="179"/>
  <c r="C81" i="238"/>
  <c r="C59" i="238"/>
  <c r="C16" i="238"/>
  <c r="C74" i="238"/>
  <c r="C21" i="238"/>
  <c r="C26" i="238"/>
  <c r="C11" i="238"/>
  <c r="C75" i="238"/>
  <c r="C32" i="238"/>
  <c r="C49" i="238"/>
  <c r="C42" i="238"/>
  <c r="C27" i="238"/>
  <c r="C9" i="238"/>
  <c r="C48" i="238"/>
  <c r="C65" i="238"/>
  <c r="C58" i="238"/>
  <c r="C43" i="238"/>
  <c r="C45" i="238"/>
  <c r="C64" i="238"/>
  <c r="C80" i="238"/>
  <c r="C29" i="238"/>
  <c r="C53" i="238"/>
  <c r="C69" i="238"/>
  <c r="C85" i="238"/>
  <c r="C30" i="238"/>
  <c r="C46" i="238"/>
  <c r="C62" i="238"/>
  <c r="C78" i="238"/>
  <c r="C15" i="238"/>
  <c r="C31" i="238"/>
  <c r="C47" i="238"/>
  <c r="C63" i="238"/>
  <c r="C79" i="238"/>
  <c r="C17" i="238"/>
  <c r="C10" i="238"/>
  <c r="C20" i="238"/>
  <c r="C36" i="238"/>
  <c r="C52" i="238"/>
  <c r="C68" i="238"/>
  <c r="C84" i="238"/>
  <c r="C37" i="238"/>
  <c r="C57" i="238"/>
  <c r="C73" i="238"/>
  <c r="C14" i="238"/>
  <c r="C34" i="238"/>
  <c r="C50" i="238"/>
  <c r="C66" i="238"/>
  <c r="C82" i="238"/>
  <c r="C19" i="238"/>
  <c r="C35" i="238"/>
  <c r="C51" i="238"/>
  <c r="C67" i="238"/>
  <c r="C83" i="238"/>
  <c r="C25" i="238"/>
  <c r="C22" i="238"/>
  <c r="C24" i="238"/>
  <c r="C40" i="238"/>
  <c r="C56" i="238"/>
  <c r="C72" i="238"/>
  <c r="C88" i="238"/>
  <c r="C13" i="238"/>
  <c r="C41" i="238"/>
  <c r="C61" i="238"/>
  <c r="C77" i="238"/>
  <c r="C18" i="238"/>
  <c r="C38" i="238"/>
  <c r="C54" i="238"/>
  <c r="C70" i="238"/>
  <c r="C86" i="238"/>
  <c r="C23" i="238"/>
  <c r="C39" i="238"/>
  <c r="C55" i="238"/>
  <c r="C71" i="238"/>
  <c r="C87" i="238"/>
  <c r="C33" i="238"/>
  <c r="C12" i="238"/>
  <c r="C28" i="238"/>
  <c r="C44" i="238"/>
  <c r="C60" i="238"/>
  <c r="C76" i="238"/>
  <c r="M23" i="245" l="1"/>
  <c r="M31" i="245" s="1"/>
  <c r="G49" i="143" s="1"/>
  <c r="G31" i="245"/>
  <c r="G12" i="247"/>
  <c r="I12" i="247" s="1"/>
  <c r="G17" i="247"/>
  <c r="I17" i="247" s="1"/>
  <c r="H51" i="143" s="1"/>
  <c r="G13" i="247"/>
  <c r="I13" i="247" s="1"/>
  <c r="H30" i="143" s="1"/>
  <c r="F90" i="179"/>
  <c r="O13" i="178" s="1"/>
  <c r="L14" i="143"/>
  <c r="C91" i="238"/>
  <c r="C95" i="238" s="1"/>
  <c r="H28" i="143" l="1"/>
  <c r="I14" i="247"/>
  <c r="I22" i="210"/>
  <c r="G22" i="210"/>
  <c r="K14" i="159" l="1"/>
  <c r="H47" i="143" l="1"/>
  <c r="H56" i="143"/>
  <c r="H57" i="143" l="1"/>
  <c r="K20" i="239"/>
  <c r="I13" i="239" s="1"/>
  <c r="G22" i="237" l="1"/>
  <c r="G21" i="237"/>
  <c r="G20" i="237"/>
  <c r="G19" i="237"/>
  <c r="G18" i="237"/>
  <c r="G17" i="237"/>
  <c r="G16" i="237"/>
  <c r="G15" i="237"/>
  <c r="G14" i="237"/>
  <c r="G13" i="237"/>
  <c r="G12" i="237"/>
  <c r="G11" i="237"/>
  <c r="F18" i="236"/>
  <c r="I21" i="181" l="1"/>
  <c r="I22" i="181" s="1"/>
  <c r="D94" i="180" s="1"/>
  <c r="D86" i="180" l="1"/>
  <c r="F86" i="180" s="1"/>
  <c r="D82" i="180"/>
  <c r="F82" i="180" s="1"/>
  <c r="D78" i="180"/>
  <c r="F78" i="180" s="1"/>
  <c r="D74" i="180"/>
  <c r="F74" i="180" s="1"/>
  <c r="D70" i="180"/>
  <c r="F70" i="180" s="1"/>
  <c r="D66" i="180"/>
  <c r="F66" i="180" s="1"/>
  <c r="D62" i="180"/>
  <c r="F62" i="180" s="1"/>
  <c r="D58" i="180"/>
  <c r="F58" i="180" s="1"/>
  <c r="D54" i="180"/>
  <c r="F54" i="180" s="1"/>
  <c r="D50" i="180"/>
  <c r="F50" i="180" s="1"/>
  <c r="D46" i="180"/>
  <c r="F46" i="180" s="1"/>
  <c r="D42" i="180"/>
  <c r="F42" i="180" s="1"/>
  <c r="D38" i="180"/>
  <c r="F38" i="180" s="1"/>
  <c r="D34" i="180"/>
  <c r="F34" i="180" s="1"/>
  <c r="D30" i="180"/>
  <c r="F30" i="180" s="1"/>
  <c r="D26" i="180"/>
  <c r="F26" i="180" s="1"/>
  <c r="D22" i="180"/>
  <c r="F22" i="180" s="1"/>
  <c r="D18" i="180"/>
  <c r="F18" i="180" s="1"/>
  <c r="D14" i="180"/>
  <c r="F14" i="180" s="1"/>
  <c r="D10" i="180"/>
  <c r="F10" i="180" s="1"/>
  <c r="D92" i="180"/>
  <c r="D76" i="180"/>
  <c r="F76" i="180" s="1"/>
  <c r="D68" i="180"/>
  <c r="F68" i="180" s="1"/>
  <c r="D60" i="180"/>
  <c r="F60" i="180" s="1"/>
  <c r="D52" i="180"/>
  <c r="F52" i="180" s="1"/>
  <c r="D40" i="180"/>
  <c r="F40" i="180" s="1"/>
  <c r="D32" i="180"/>
  <c r="F32" i="180" s="1"/>
  <c r="D24" i="180"/>
  <c r="F24" i="180" s="1"/>
  <c r="D16" i="180"/>
  <c r="F16" i="180" s="1"/>
  <c r="D8" i="180"/>
  <c r="F8" i="180" s="1"/>
  <c r="D83" i="180"/>
  <c r="F83" i="180" s="1"/>
  <c r="D75" i="180"/>
  <c r="F75" i="180" s="1"/>
  <c r="D67" i="180"/>
  <c r="F67" i="180" s="1"/>
  <c r="D63" i="180"/>
  <c r="F63" i="180" s="1"/>
  <c r="D51" i="180"/>
  <c r="F51" i="180" s="1"/>
  <c r="D43" i="180"/>
  <c r="F43" i="180" s="1"/>
  <c r="D85" i="180"/>
  <c r="F85" i="180" s="1"/>
  <c r="D81" i="180"/>
  <c r="F81" i="180" s="1"/>
  <c r="D77" i="180"/>
  <c r="F77" i="180" s="1"/>
  <c r="D73" i="180"/>
  <c r="F73" i="180" s="1"/>
  <c r="D69" i="180"/>
  <c r="F69" i="180" s="1"/>
  <c r="D65" i="180"/>
  <c r="F65" i="180" s="1"/>
  <c r="D61" i="180"/>
  <c r="F61" i="180" s="1"/>
  <c r="D57" i="180"/>
  <c r="F57" i="180" s="1"/>
  <c r="D53" i="180"/>
  <c r="F53" i="180" s="1"/>
  <c r="D49" i="180"/>
  <c r="F49" i="180" s="1"/>
  <c r="D45" i="180"/>
  <c r="F45" i="180" s="1"/>
  <c r="D41" i="180"/>
  <c r="F41" i="180" s="1"/>
  <c r="D37" i="180"/>
  <c r="F37" i="180" s="1"/>
  <c r="D33" i="180"/>
  <c r="F33" i="180" s="1"/>
  <c r="D29" i="180"/>
  <c r="F29" i="180" s="1"/>
  <c r="D25" i="180"/>
  <c r="F25" i="180" s="1"/>
  <c r="D21" i="180"/>
  <c r="F21" i="180" s="1"/>
  <c r="D17" i="180"/>
  <c r="F17" i="180" s="1"/>
  <c r="D13" i="180"/>
  <c r="F13" i="180" s="1"/>
  <c r="D9" i="180"/>
  <c r="D84" i="180"/>
  <c r="F84" i="180" s="1"/>
  <c r="D80" i="180"/>
  <c r="F80" i="180" s="1"/>
  <c r="D72" i="180"/>
  <c r="F72" i="180" s="1"/>
  <c r="D64" i="180"/>
  <c r="F64" i="180" s="1"/>
  <c r="D56" i="180"/>
  <c r="F56" i="180" s="1"/>
  <c r="D48" i="180"/>
  <c r="F48" i="180" s="1"/>
  <c r="D44" i="180"/>
  <c r="F44" i="180" s="1"/>
  <c r="D36" i="180"/>
  <c r="F36" i="180" s="1"/>
  <c r="D28" i="180"/>
  <c r="F28" i="180" s="1"/>
  <c r="D20" i="180"/>
  <c r="F20" i="180" s="1"/>
  <c r="D12" i="180"/>
  <c r="F12" i="180" s="1"/>
  <c r="D87" i="180"/>
  <c r="F87" i="180" s="1"/>
  <c r="D79" i="180"/>
  <c r="F79" i="180" s="1"/>
  <c r="D71" i="180"/>
  <c r="F71" i="180" s="1"/>
  <c r="D59" i="180"/>
  <c r="F59" i="180" s="1"/>
  <c r="D55" i="180"/>
  <c r="F55" i="180" s="1"/>
  <c r="D47" i="180"/>
  <c r="F47" i="180" s="1"/>
  <c r="D39" i="180"/>
  <c r="F39" i="180" s="1"/>
  <c r="D23" i="180"/>
  <c r="F23" i="180" s="1"/>
  <c r="D15" i="180"/>
  <c r="F15" i="180" s="1"/>
  <c r="D27" i="180"/>
  <c r="F27" i="180" s="1"/>
  <c r="D35" i="180"/>
  <c r="F35" i="180" s="1"/>
  <c r="D19" i="180"/>
  <c r="F19" i="180" s="1"/>
  <c r="D31" i="180"/>
  <c r="F31" i="180" s="1"/>
  <c r="D11" i="180"/>
  <c r="F11" i="180" s="1"/>
  <c r="H24" i="143"/>
  <c r="D90" i="180" l="1"/>
  <c r="F9" i="180"/>
  <c r="F90" i="180" s="1"/>
  <c r="O13" i="181" s="1"/>
  <c r="K23" i="143"/>
  <c r="K18" i="143"/>
  <c r="K21" i="143"/>
  <c r="K14" i="143"/>
  <c r="K19" i="143"/>
  <c r="K16" i="143"/>
  <c r="K20" i="143"/>
  <c r="K17" i="143"/>
  <c r="H33" i="143"/>
  <c r="H34" i="143" s="1"/>
  <c r="H59" i="143" l="1"/>
  <c r="H60" i="143"/>
  <c r="I56" i="143"/>
  <c r="I47" i="143"/>
  <c r="I24" i="143"/>
  <c r="I12" i="143"/>
  <c r="K56" i="143"/>
  <c r="K47" i="143"/>
  <c r="K24" i="143"/>
  <c r="K12" i="143"/>
  <c r="R12" i="143"/>
  <c r="M15" i="159"/>
  <c r="M14" i="159"/>
  <c r="L56" i="143"/>
  <c r="L47" i="143"/>
  <c r="L24" i="143"/>
  <c r="L12" i="143"/>
  <c r="K28" i="143" l="1"/>
  <c r="K33" i="143" s="1"/>
  <c r="K34" i="143" s="1"/>
  <c r="G17" i="159"/>
  <c r="I57" i="143"/>
  <c r="I28" i="143"/>
  <c r="I33" i="143" s="1"/>
  <c r="I34" i="143" s="1"/>
  <c r="G17" i="252" s="1"/>
  <c r="I17" i="252" s="1"/>
  <c r="K57" i="143"/>
  <c r="L57" i="143"/>
  <c r="L28" i="143"/>
  <c r="L33" i="143" s="1"/>
  <c r="L34" i="143" s="1"/>
  <c r="E65" i="211"/>
  <c r="E55" i="211"/>
  <c r="E29" i="211"/>
  <c r="E39" i="211" s="1"/>
  <c r="E16" i="211"/>
  <c r="K60" i="143" l="1"/>
  <c r="K59" i="143"/>
  <c r="G19" i="252"/>
  <c r="I19" i="252" s="1"/>
  <c r="L60" i="143"/>
  <c r="L59" i="143"/>
  <c r="G20" i="252"/>
  <c r="I20" i="252" s="1"/>
  <c r="I60" i="143"/>
  <c r="I59" i="143"/>
  <c r="R24" i="143"/>
  <c r="E67" i="211"/>
  <c r="E41" i="211"/>
  <c r="G12" i="210" s="1"/>
  <c r="G10" i="252" s="1"/>
  <c r="G10" i="210" l="1"/>
  <c r="I13" i="178"/>
  <c r="G18" i="210" l="1"/>
  <c r="G20" i="210" s="1"/>
  <c r="G24" i="210" s="1"/>
  <c r="E10" i="252"/>
  <c r="I24" i="181"/>
  <c r="I13" i="181" s="1"/>
  <c r="G14" i="210"/>
  <c r="I15" i="252" l="1"/>
  <c r="I12" i="252"/>
  <c r="M13" i="159"/>
  <c r="M12" i="143"/>
  <c r="N12" i="143"/>
  <c r="G12" i="143"/>
  <c r="G24" i="143"/>
  <c r="J12" i="143"/>
  <c r="J56" i="143"/>
  <c r="N47" i="143"/>
  <c r="N56" i="143"/>
  <c r="M47" i="143"/>
  <c r="M56" i="143"/>
  <c r="G56" i="143"/>
  <c r="E8" i="143"/>
  <c r="G12" i="211" s="1"/>
  <c r="I12" i="211" s="1"/>
  <c r="E9" i="143"/>
  <c r="G13" i="211" s="1"/>
  <c r="I13" i="211" s="1"/>
  <c r="E10" i="143"/>
  <c r="G14" i="211" s="1"/>
  <c r="I14" i="211" s="1"/>
  <c r="E15" i="143"/>
  <c r="G20" i="211" s="1"/>
  <c r="I20" i="211" s="1"/>
  <c r="E22" i="143"/>
  <c r="G27" i="211" s="1"/>
  <c r="I27" i="211" s="1"/>
  <c r="E26" i="143"/>
  <c r="G32" i="211" s="1"/>
  <c r="I32" i="211" s="1"/>
  <c r="E27" i="143"/>
  <c r="G33" i="211" s="1"/>
  <c r="I33" i="211" s="1"/>
  <c r="E30" i="143"/>
  <c r="G36" i="211" s="1"/>
  <c r="I36" i="211" s="1"/>
  <c r="E31" i="143"/>
  <c r="G37" i="211" s="1"/>
  <c r="I37" i="211" s="1"/>
  <c r="E32" i="143"/>
  <c r="G38" i="211" s="1"/>
  <c r="I38" i="211" s="1"/>
  <c r="E38" i="143"/>
  <c r="G46" i="211" s="1"/>
  <c r="I46" i="211" s="1"/>
  <c r="E39" i="143"/>
  <c r="G47" i="211" s="1"/>
  <c r="I47" i="211" s="1"/>
  <c r="E40" i="143"/>
  <c r="G48" i="211" s="1"/>
  <c r="I48" i="211" s="1"/>
  <c r="E41" i="143"/>
  <c r="G49" i="211" s="1"/>
  <c r="I49" i="211" s="1"/>
  <c r="E42" i="143"/>
  <c r="G50" i="211" s="1"/>
  <c r="I50" i="211" s="1"/>
  <c r="E43" i="143"/>
  <c r="G51" i="211" s="1"/>
  <c r="I51" i="211" s="1"/>
  <c r="E44" i="143"/>
  <c r="G52" i="211" s="1"/>
  <c r="I52" i="211" s="1"/>
  <c r="E45" i="143"/>
  <c r="G53" i="211" s="1"/>
  <c r="I53" i="211" s="1"/>
  <c r="E46" i="143"/>
  <c r="G54" i="211" s="1"/>
  <c r="I54" i="211" s="1"/>
  <c r="E50" i="143"/>
  <c r="G59" i="211" s="1"/>
  <c r="I59" i="211" s="1"/>
  <c r="E51" i="143"/>
  <c r="G60" i="211" s="1"/>
  <c r="I60" i="211" s="1"/>
  <c r="E52" i="143"/>
  <c r="G61" i="211" s="1"/>
  <c r="I61" i="211" s="1"/>
  <c r="E53" i="143"/>
  <c r="G62" i="211" s="1"/>
  <c r="I62" i="211" s="1"/>
  <c r="E54" i="143"/>
  <c r="G63" i="211" s="1"/>
  <c r="I63" i="211" s="1"/>
  <c r="E55" i="143"/>
  <c r="G64" i="211" s="1"/>
  <c r="I64" i="211" s="1"/>
  <c r="M17" i="159" l="1"/>
  <c r="M57" i="143"/>
  <c r="N57" i="143"/>
  <c r="G28" i="143"/>
  <c r="M24" i="143"/>
  <c r="E36" i="143" l="1"/>
  <c r="G44" i="211" s="1"/>
  <c r="G47" i="143"/>
  <c r="G57" i="143" s="1"/>
  <c r="E37" i="143"/>
  <c r="G45" i="211" s="1"/>
  <c r="I45" i="211" s="1"/>
  <c r="J47" i="143"/>
  <c r="J57" i="143" s="1"/>
  <c r="E49" i="143"/>
  <c r="G58" i="211" s="1"/>
  <c r="G33" i="143"/>
  <c r="G34" i="143" s="1"/>
  <c r="G16" i="252" s="1"/>
  <c r="M28" i="143"/>
  <c r="M33" i="143" s="1"/>
  <c r="M34" i="143" s="1"/>
  <c r="G21" i="252" s="1"/>
  <c r="I21" i="252" s="1"/>
  <c r="E25" i="143"/>
  <c r="G31" i="211" s="1"/>
  <c r="M60" i="143" l="1"/>
  <c r="G60" i="143"/>
  <c r="G59" i="143"/>
  <c r="E16" i="252"/>
  <c r="I16" i="252" s="1"/>
  <c r="M59" i="143"/>
  <c r="G65" i="211"/>
  <c r="I58" i="211"/>
  <c r="I65" i="211" s="1"/>
  <c r="I31" i="211"/>
  <c r="G55" i="211"/>
  <c r="I44" i="211"/>
  <c r="I55" i="211" s="1"/>
  <c r="E56" i="143"/>
  <c r="E47" i="143"/>
  <c r="N24" i="143"/>
  <c r="E11" i="143"/>
  <c r="G15" i="211" s="1"/>
  <c r="I15" i="211" l="1"/>
  <c r="I16" i="211" s="1"/>
  <c r="G16" i="211"/>
  <c r="G67" i="211"/>
  <c r="I67" i="211"/>
  <c r="E12" i="143"/>
  <c r="E57" i="143"/>
  <c r="N28" i="143"/>
  <c r="N33" i="143" s="1"/>
  <c r="N34" i="143" s="1"/>
  <c r="I10" i="210" l="1"/>
  <c r="I18" i="210" s="1"/>
  <c r="E12" i="254"/>
  <c r="E16" i="254" s="1"/>
  <c r="E20" i="254" s="1"/>
  <c r="E24" i="254" s="1"/>
  <c r="R28" i="143" s="1"/>
  <c r="R33" i="143" s="1"/>
  <c r="R34" i="143" s="1"/>
  <c r="G26" i="252" s="1"/>
  <c r="N59" i="143"/>
  <c r="N60" i="143"/>
  <c r="G22" i="252"/>
  <c r="I22" i="252" s="1"/>
  <c r="E29" i="143"/>
  <c r="G35" i="211" s="1"/>
  <c r="I35" i="211" s="1"/>
  <c r="R60" i="143" l="1"/>
  <c r="I23" i="252"/>
  <c r="R59" i="143"/>
  <c r="I26" i="252"/>
  <c r="D73" i="238"/>
  <c r="D57" i="238"/>
  <c r="D41" i="238"/>
  <c r="D25" i="238"/>
  <c r="D93" i="238"/>
  <c r="D76" i="238"/>
  <c r="D60" i="238"/>
  <c r="D44" i="238"/>
  <c r="D28" i="238"/>
  <c r="D59" i="238"/>
  <c r="D27" i="238"/>
  <c r="D72" i="238"/>
  <c r="D40" i="238"/>
  <c r="D86" i="238"/>
  <c r="F86" i="238" s="1"/>
  <c r="H86" i="238" s="1"/>
  <c r="D54" i="238"/>
  <c r="D20" i="238"/>
  <c r="D81" i="238"/>
  <c r="F81" i="238" s="1"/>
  <c r="H81" i="238" s="1"/>
  <c r="D19" i="238"/>
  <c r="D17" i="238"/>
  <c r="D12" i="238"/>
  <c r="D87" i="238"/>
  <c r="F87" i="238" s="1"/>
  <c r="H87" i="238" s="1"/>
  <c r="D71" i="238"/>
  <c r="D55" i="238"/>
  <c r="D66" i="238"/>
  <c r="D39" i="238"/>
  <c r="D18" i="238"/>
  <c r="D78" i="238"/>
  <c r="D53" i="238"/>
  <c r="D35" i="238"/>
  <c r="F35" i="238" s="1"/>
  <c r="H35" i="238" s="1"/>
  <c r="D70" i="238"/>
  <c r="D21" i="238"/>
  <c r="D58" i="238"/>
  <c r="D11" i="238"/>
  <c r="D43" i="238"/>
  <c r="D13" i="238"/>
  <c r="D31" i="238"/>
  <c r="D24" i="238"/>
  <c r="D64" i="238"/>
  <c r="D34" i="238"/>
  <c r="D16" i="238"/>
  <c r="D69" i="238"/>
  <c r="D51" i="238"/>
  <c r="D30" i="238"/>
  <c r="D52" i="238"/>
  <c r="D14" i="238"/>
  <c r="F14" i="238" s="1"/>
  <c r="H14" i="238" s="1"/>
  <c r="D47" i="238"/>
  <c r="D75" i="238"/>
  <c r="D36" i="238"/>
  <c r="D88" i="238"/>
  <c r="D10" i="238"/>
  <c r="D49" i="238"/>
  <c r="D82" i="238"/>
  <c r="D32" i="238"/>
  <c r="D67" i="238"/>
  <c r="D84" i="238"/>
  <c r="D79" i="238"/>
  <c r="D68" i="238"/>
  <c r="D74" i="238"/>
  <c r="D22" i="238"/>
  <c r="D80" i="238"/>
  <c r="D23" i="238"/>
  <c r="D62" i="238"/>
  <c r="D77" i="238"/>
  <c r="D65" i="238"/>
  <c r="D61" i="238"/>
  <c r="D63" i="238"/>
  <c r="D50" i="238"/>
  <c r="D85" i="238"/>
  <c r="D46" i="238"/>
  <c r="F46" i="238" s="1"/>
  <c r="H46" i="238" s="1"/>
  <c r="D45" i="238"/>
  <c r="D33" i="238"/>
  <c r="D38" i="238"/>
  <c r="D56" i="238"/>
  <c r="D48" i="238"/>
  <c r="D26" i="238"/>
  <c r="D42" i="238"/>
  <c r="D83" i="238"/>
  <c r="D29" i="238"/>
  <c r="D37" i="238"/>
  <c r="D15" i="238"/>
  <c r="E10" i="238"/>
  <c r="E63" i="238"/>
  <c r="F63" i="238" s="1"/>
  <c r="H63" i="238" s="1"/>
  <c r="E62" i="238"/>
  <c r="E33" i="238"/>
  <c r="F33" i="238"/>
  <c r="H33" i="238" s="1"/>
  <c r="E22" i="238"/>
  <c r="F22" i="238" s="1"/>
  <c r="H22" i="238" s="1"/>
  <c r="E45" i="238"/>
  <c r="E76" i="238"/>
  <c r="E30" i="238"/>
  <c r="F30" i="238" s="1"/>
  <c r="H30" i="238" s="1"/>
  <c r="E18" i="238"/>
  <c r="E34" i="238"/>
  <c r="F34" i="238" s="1"/>
  <c r="H34" i="238" s="1"/>
  <c r="E93" i="238"/>
  <c r="D9" i="238"/>
  <c r="E78" i="238"/>
  <c r="F78" i="238" s="1"/>
  <c r="H78" i="238" s="1"/>
  <c r="E80" i="238"/>
  <c r="F80" i="238"/>
  <c r="H80" i="238" s="1"/>
  <c r="E83" i="238"/>
  <c r="E74" i="238"/>
  <c r="E48" i="238"/>
  <c r="E27" i="238"/>
  <c r="F27" i="238"/>
  <c r="H27" i="238" s="1"/>
  <c r="E77" i="238"/>
  <c r="F77" i="238" s="1"/>
  <c r="H77" i="238" s="1"/>
  <c r="E14" i="238"/>
  <c r="E51" i="238"/>
  <c r="E52" i="238"/>
  <c r="F52" i="238" s="1"/>
  <c r="H52" i="238" s="1"/>
  <c r="E42" i="238"/>
  <c r="E54" i="238"/>
  <c r="F54" i="238" s="1"/>
  <c r="H54" i="238" s="1"/>
  <c r="E72" i="238"/>
  <c r="E37" i="238"/>
  <c r="F37" i="238" s="1"/>
  <c r="H37" i="238" s="1"/>
  <c r="E15" i="238"/>
  <c r="F15" i="238" s="1"/>
  <c r="H15" i="238" s="1"/>
  <c r="E46" i="238"/>
  <c r="E32" i="238"/>
  <c r="E38" i="238"/>
  <c r="F38" i="238" s="1"/>
  <c r="H38" i="238" s="1"/>
  <c r="E29" i="238"/>
  <c r="E69" i="238"/>
  <c r="E24" i="238"/>
  <c r="E39" i="238"/>
  <c r="E55" i="238"/>
  <c r="F55" i="238" s="1"/>
  <c r="H55" i="238" s="1"/>
  <c r="E60" i="238"/>
  <c r="F60" i="238" s="1"/>
  <c r="H60" i="238" s="1"/>
  <c r="E28" i="238"/>
  <c r="E25" i="238"/>
  <c r="F25" i="238" s="1"/>
  <c r="H25" i="238" s="1"/>
  <c r="E61" i="238"/>
  <c r="E40" i="238"/>
  <c r="E66" i="238"/>
  <c r="F66" i="238"/>
  <c r="H66" i="238"/>
  <c r="E82" i="238"/>
  <c r="E36" i="238"/>
  <c r="E88" i="238"/>
  <c r="F88" i="238"/>
  <c r="H88" i="238" s="1"/>
  <c r="E35" i="238"/>
  <c r="E16" i="238"/>
  <c r="E19" i="238"/>
  <c r="F19" i="238"/>
  <c r="H19" i="238" s="1"/>
  <c r="E87" i="238"/>
  <c r="E41" i="238"/>
  <c r="F41" i="238" s="1"/>
  <c r="H41" i="238" s="1"/>
  <c r="E59" i="238"/>
  <c r="F59" i="238"/>
  <c r="H59" i="238" s="1"/>
  <c r="E71" i="238"/>
  <c r="E12" i="238"/>
  <c r="E17" i="238"/>
  <c r="F17" i="238" s="1"/>
  <c r="H17" i="238" s="1"/>
  <c r="E70" i="238"/>
  <c r="E23" i="238"/>
  <c r="E57" i="238"/>
  <c r="E13" i="238"/>
  <c r="F13" i="238"/>
  <c r="H13" i="238" s="1"/>
  <c r="E56" i="238"/>
  <c r="E86" i="238"/>
  <c r="E11" i="238"/>
  <c r="E79" i="238"/>
  <c r="E65" i="238"/>
  <c r="F65" i="238" s="1"/>
  <c r="H65" i="238" s="1"/>
  <c r="E21" i="238"/>
  <c r="F21" i="238" s="1"/>
  <c r="H21" i="238" s="1"/>
  <c r="E43" i="238"/>
  <c r="F43" i="238" s="1"/>
  <c r="H43" i="238" s="1"/>
  <c r="E85" i="238"/>
  <c r="E20" i="238"/>
  <c r="E53" i="238"/>
  <c r="F53" i="238" s="1"/>
  <c r="H53" i="238" s="1"/>
  <c r="E31" i="238"/>
  <c r="E67" i="238"/>
  <c r="E73" i="238"/>
  <c r="E64" i="238"/>
  <c r="E50" i="238"/>
  <c r="F50" i="238"/>
  <c r="H50" i="238" s="1"/>
  <c r="E84" i="238"/>
  <c r="F84" i="238" s="1"/>
  <c r="H84" i="238" s="1"/>
  <c r="E26" i="238"/>
  <c r="F26" i="238" s="1"/>
  <c r="H26" i="238" s="1"/>
  <c r="E81" i="238"/>
  <c r="E47" i="238"/>
  <c r="E49" i="238"/>
  <c r="F49" i="238" s="1"/>
  <c r="H49" i="238" s="1"/>
  <c r="E44" i="238"/>
  <c r="E75" i="238"/>
  <c r="F75" i="238"/>
  <c r="H75" i="238" s="1"/>
  <c r="E68" i="238"/>
  <c r="F68" i="238" s="1"/>
  <c r="H68" i="238" s="1"/>
  <c r="E9" i="238"/>
  <c r="E58" i="238"/>
  <c r="J18" i="143" l="1"/>
  <c r="E18" i="143" s="1"/>
  <c r="G23" i="211" s="1"/>
  <c r="I23" i="211" s="1"/>
  <c r="F57" i="238"/>
  <c r="H57" i="238" s="1"/>
  <c r="F28" i="238"/>
  <c r="H28" i="238" s="1"/>
  <c r="F32" i="238"/>
  <c r="H32" i="238" s="1"/>
  <c r="F9" i="238"/>
  <c r="H9" i="238" s="1"/>
  <c r="F44" i="238"/>
  <c r="H44" i="238" s="1"/>
  <c r="J19" i="143" s="1"/>
  <c r="E19" i="143" s="1"/>
  <c r="G24" i="211" s="1"/>
  <c r="I24" i="211" s="1"/>
  <c r="F64" i="238"/>
  <c r="H64" i="238" s="1"/>
  <c r="F71" i="238"/>
  <c r="H71" i="238" s="1"/>
  <c r="F45" i="238"/>
  <c r="H45" i="238" s="1"/>
  <c r="F70" i="238"/>
  <c r="H70" i="238" s="1"/>
  <c r="F51" i="238"/>
  <c r="H51" i="238" s="1"/>
  <c r="F83" i="238"/>
  <c r="H83" i="238" s="1"/>
  <c r="F93" i="238"/>
  <c r="F67" i="238"/>
  <c r="H67" i="238" s="1"/>
  <c r="F48" i="238"/>
  <c r="H48" i="238" s="1"/>
  <c r="F82" i="238"/>
  <c r="H82" i="238" s="1"/>
  <c r="F72" i="238"/>
  <c r="H72" i="238" s="1"/>
  <c r="F76" i="238"/>
  <c r="H76" i="238" s="1"/>
  <c r="F10" i="238"/>
  <c r="F73" i="238"/>
  <c r="H73" i="238" s="1"/>
  <c r="F47" i="238"/>
  <c r="H47" i="238" s="1"/>
  <c r="F29" i="238"/>
  <c r="H29" i="238" s="1"/>
  <c r="F74" i="238"/>
  <c r="H74" i="238" s="1"/>
  <c r="F18" i="238"/>
  <c r="H18" i="238" s="1"/>
  <c r="F62" i="238"/>
  <c r="H62" i="238" s="1"/>
  <c r="F24" i="238"/>
  <c r="H24" i="238" s="1"/>
  <c r="F85" i="238"/>
  <c r="H85" i="238" s="1"/>
  <c r="F31" i="238"/>
  <c r="H31" i="238" s="1"/>
  <c r="F58" i="238"/>
  <c r="H58" i="238" s="1"/>
  <c r="F79" i="238"/>
  <c r="H79" i="238" s="1"/>
  <c r="F23" i="238"/>
  <c r="H23" i="238" s="1"/>
  <c r="F16" i="238"/>
  <c r="H16" i="238" s="1"/>
  <c r="F36" i="238"/>
  <c r="H36" i="238" s="1"/>
  <c r="F61" i="238"/>
  <c r="H61" i="238" s="1"/>
  <c r="D91" i="238"/>
  <c r="F69" i="238"/>
  <c r="H69" i="238" s="1"/>
  <c r="J21" i="143" s="1"/>
  <c r="E21" i="143" s="1"/>
  <c r="G26" i="211" s="1"/>
  <c r="I26" i="211" s="1"/>
  <c r="F42" i="238"/>
  <c r="H42" i="238" s="1"/>
  <c r="F20" i="238"/>
  <c r="H20" i="238" s="1"/>
  <c r="J16" i="143" s="1"/>
  <c r="E16" i="143" s="1"/>
  <c r="G21" i="211" s="1"/>
  <c r="I21" i="211" s="1"/>
  <c r="F56" i="238"/>
  <c r="H56" i="238" s="1"/>
  <c r="F12" i="238"/>
  <c r="H12" i="238" s="1"/>
  <c r="F40" i="238"/>
  <c r="H40" i="238" s="1"/>
  <c r="F39" i="238"/>
  <c r="H39" i="238" s="1"/>
  <c r="H10" i="238"/>
  <c r="E91" i="238"/>
  <c r="F11" i="238"/>
  <c r="H11" i="238" s="1"/>
  <c r="J17" i="143" l="1"/>
  <c r="E17" i="143" s="1"/>
  <c r="G22" i="211" s="1"/>
  <c r="I22" i="211" s="1"/>
  <c r="H91" i="238"/>
  <c r="O13" i="239" s="1"/>
  <c r="J20" i="143"/>
  <c r="E20" i="143" s="1"/>
  <c r="G25" i="211" s="1"/>
  <c r="I25" i="211" s="1"/>
  <c r="J14" i="143"/>
  <c r="J23" i="143"/>
  <c r="E23" i="143" s="1"/>
  <c r="G28" i="211" s="1"/>
  <c r="I28" i="211" s="1"/>
  <c r="F91" i="238"/>
  <c r="J24" i="143" l="1"/>
  <c r="J28" i="143" s="1"/>
  <c r="E14" i="143"/>
  <c r="G19" i="211" l="1"/>
  <c r="E24" i="143"/>
  <c r="J33" i="143"/>
  <c r="J34" i="143" s="1"/>
  <c r="E28" i="143"/>
  <c r="G34" i="211" s="1"/>
  <c r="I34" i="211" s="1"/>
  <c r="G18" i="252" l="1"/>
  <c r="I18" i="252" s="1"/>
  <c r="J59" i="143"/>
  <c r="J60" i="143"/>
  <c r="E33" i="143"/>
  <c r="E34" i="143" s="1"/>
  <c r="I19" i="211"/>
  <c r="I29" i="211" s="1"/>
  <c r="I39" i="211" s="1"/>
  <c r="I41" i="211" s="1"/>
  <c r="I12" i="210" s="1"/>
  <c r="G29" i="211"/>
  <c r="G39" i="211" s="1"/>
  <c r="G41" i="211" s="1"/>
  <c r="I33" i="252" l="1"/>
  <c r="I14" i="210"/>
  <c r="I20" i="210"/>
  <c r="I24" i="210" s="1"/>
  <c r="I29" i="210" s="1"/>
</calcChain>
</file>

<file path=xl/sharedStrings.xml><?xml version="1.0" encoding="utf-8"?>
<sst xmlns="http://schemas.openxmlformats.org/spreadsheetml/2006/main" count="1379" uniqueCount="570">
  <si>
    <t>Line</t>
  </si>
  <si>
    <t>Description</t>
  </si>
  <si>
    <t>Amount</t>
  </si>
  <si>
    <t>No.</t>
  </si>
  <si>
    <t>Total</t>
  </si>
  <si>
    <t>Description of Adjustment:</t>
  </si>
  <si>
    <t>Company</t>
  </si>
  <si>
    <t>Factor</t>
  </si>
  <si>
    <t>Allocation</t>
  </si>
  <si>
    <t>Factor %</t>
  </si>
  <si>
    <t>Acct.</t>
  </si>
  <si>
    <t>Adjustment to Expense:</t>
  </si>
  <si>
    <t>Source:</t>
  </si>
  <si>
    <t>FIT</t>
  </si>
  <si>
    <t>Adjustments</t>
  </si>
  <si>
    <t xml:space="preserve"> Operating Revenues:</t>
  </si>
  <si>
    <t xml:space="preserve">  General Business</t>
  </si>
  <si>
    <t xml:space="preserve">  Interdepartmental</t>
  </si>
  <si>
    <t xml:space="preserve">  Special Sales</t>
  </si>
  <si>
    <t xml:space="preserve">  Other Operating Revenues</t>
  </si>
  <si>
    <t xml:space="preserve">    Total Operating Revenues </t>
  </si>
  <si>
    <t xml:space="preserve"> Operating Expenses: </t>
  </si>
  <si>
    <t xml:space="preserve">    Steam Production</t>
  </si>
  <si>
    <t xml:space="preserve">    Nuclear Production</t>
  </si>
  <si>
    <t xml:space="preserve">    Hydro Production</t>
  </si>
  <si>
    <t xml:space="preserve">    Other Power Supply</t>
  </si>
  <si>
    <t xml:space="preserve">    Transmission</t>
  </si>
  <si>
    <t xml:space="preserve">    Distribution</t>
  </si>
  <si>
    <t xml:space="preserve">    Customer Accounting</t>
  </si>
  <si>
    <t xml:space="preserve">    Customer Service &amp; Info</t>
  </si>
  <si>
    <t xml:space="preserve">    Sales</t>
  </si>
  <si>
    <t xml:space="preserve">    Administrative &amp; General</t>
  </si>
  <si>
    <t xml:space="preserve">        Total O &amp; M Expense</t>
  </si>
  <si>
    <t xml:space="preserve">  Depreciation</t>
  </si>
  <si>
    <t xml:space="preserve">  Amortization</t>
  </si>
  <si>
    <t xml:space="preserve">  Taxes Other Than Income</t>
  </si>
  <si>
    <t xml:space="preserve">  Income Taxes - Federal</t>
  </si>
  <si>
    <t xml:space="preserve">  Income Taxes - State</t>
  </si>
  <si>
    <t xml:space="preserve">  Income Taxes Deferred - Net</t>
  </si>
  <si>
    <t xml:space="preserve">  Investment Tax Credit Adjustment</t>
  </si>
  <si>
    <t xml:space="preserve">  Misc. Revenue &amp; Expense</t>
  </si>
  <si>
    <t xml:space="preserve">    Total Operating Expenses</t>
  </si>
  <si>
    <t>Operating Revenue for Return:</t>
  </si>
  <si>
    <t xml:space="preserve"> Additions to Rate Base: </t>
  </si>
  <si>
    <t xml:space="preserve">   Electric Plant In Service</t>
  </si>
  <si>
    <t xml:space="preserve">   Plant Held for Future Use</t>
  </si>
  <si>
    <t xml:space="preserve">   Misc Deferred Debits</t>
  </si>
  <si>
    <t xml:space="preserve">   Electric Plant Acq Adj</t>
  </si>
  <si>
    <t xml:space="preserve">   Nuclear Fuel</t>
  </si>
  <si>
    <t xml:space="preserve">   Prepayments</t>
  </si>
  <si>
    <t xml:space="preserve">   Fuel Stock</t>
  </si>
  <si>
    <t xml:space="preserve">   Materials and Supplies</t>
  </si>
  <si>
    <t xml:space="preserve">   Cash Working Capital</t>
  </si>
  <si>
    <t xml:space="preserve">   Weatherization Loans</t>
  </si>
  <si>
    <t xml:space="preserve">   Misc. Additions to Rate Base</t>
  </si>
  <si>
    <t xml:space="preserve">      Total Additions</t>
  </si>
  <si>
    <t xml:space="preserve"> Deductions from Rate Base: </t>
  </si>
  <si>
    <t xml:space="preserve">   Accum Prov For Depreciation</t>
  </si>
  <si>
    <t xml:space="preserve">   Accum Prov For Amortization</t>
  </si>
  <si>
    <t xml:space="preserve">   Accum Def Income Taxes</t>
  </si>
  <si>
    <t xml:space="preserve">   Unamortized ITC</t>
  </si>
  <si>
    <t xml:space="preserve">   Customer Adv For Construction</t>
  </si>
  <si>
    <t xml:space="preserve">   Customer Service Deposits</t>
  </si>
  <si>
    <t xml:space="preserve">    Total Deductions</t>
  </si>
  <si>
    <t>Actual</t>
  </si>
  <si>
    <t>Accts.</t>
  </si>
  <si>
    <t>500SG</t>
  </si>
  <si>
    <t>501SE</t>
  </si>
  <si>
    <t>548SG</t>
  </si>
  <si>
    <t>557SG</t>
  </si>
  <si>
    <t>560SG</t>
  </si>
  <si>
    <t>571SG</t>
  </si>
  <si>
    <t>580SNPD</t>
  </si>
  <si>
    <t>593CA</t>
  </si>
  <si>
    <t>593OR</t>
  </si>
  <si>
    <t>593SNPD</t>
  </si>
  <si>
    <t>593UT</t>
  </si>
  <si>
    <t>593WA</t>
  </si>
  <si>
    <t>593WYP</t>
  </si>
  <si>
    <t>593WYU</t>
  </si>
  <si>
    <t>903CA</t>
  </si>
  <si>
    <t>903CN</t>
  </si>
  <si>
    <t>903OR</t>
  </si>
  <si>
    <t>903UT</t>
  </si>
  <si>
    <t>903WA</t>
  </si>
  <si>
    <t>903WYP</t>
  </si>
  <si>
    <t>903WYU</t>
  </si>
  <si>
    <t>908CA</t>
  </si>
  <si>
    <t>908CN</t>
  </si>
  <si>
    <t>908OR</t>
  </si>
  <si>
    <t>908OTHER</t>
  </si>
  <si>
    <t>908UT</t>
  </si>
  <si>
    <t>908WYP</t>
  </si>
  <si>
    <t>920SO</t>
  </si>
  <si>
    <t>935OR</t>
  </si>
  <si>
    <t>935SO</t>
  </si>
  <si>
    <t>Percentage</t>
  </si>
  <si>
    <t>Rate Base</t>
  </si>
  <si>
    <t>SO</t>
  </si>
  <si>
    <t>Account</t>
  </si>
  <si>
    <t>Adjustment</t>
  </si>
  <si>
    <t>500-935</t>
  </si>
  <si>
    <t>Multiple</t>
  </si>
  <si>
    <t>Purpose of Adjustment:</t>
  </si>
  <si>
    <t>Details:</t>
  </si>
  <si>
    <t>A.1</t>
  </si>
  <si>
    <t>A.2</t>
  </si>
  <si>
    <t>A.3</t>
  </si>
  <si>
    <t>A.4</t>
  </si>
  <si>
    <t>A.5</t>
  </si>
  <si>
    <t>REDUCTION TO PENSION EXPENSE</t>
  </si>
  <si>
    <t>Reduction to Pension Expense</t>
  </si>
  <si>
    <t>Reference</t>
  </si>
  <si>
    <t>935WA</t>
  </si>
  <si>
    <t xml:space="preserve">  Investment Tax Credit Adj.</t>
  </si>
  <si>
    <t xml:space="preserve">   Working Capital</t>
  </si>
  <si>
    <t xml:space="preserve">   Misc. Rate Base</t>
  </si>
  <si>
    <t xml:space="preserve">   Accum Prov For Deprec.</t>
  </si>
  <si>
    <t xml:space="preserve">   Accum Prov For Amort.</t>
  </si>
  <si>
    <t xml:space="preserve">   Customer Adv For Const</t>
  </si>
  <si>
    <t xml:space="preserve">   Misc. Rate Base Deductions</t>
  </si>
  <si>
    <t>Per Company</t>
  </si>
  <si>
    <t>No</t>
  </si>
  <si>
    <t>Rate Base, as Adjusted</t>
  </si>
  <si>
    <t>Operating Income, as Adjusted</t>
  </si>
  <si>
    <t>Earned Rate of Return</t>
  </si>
  <si>
    <t>L.2 / L.1</t>
  </si>
  <si>
    <t>Fair Rate of Return</t>
  </si>
  <si>
    <t>Required Operating Income</t>
  </si>
  <si>
    <t>L.1 X L.4</t>
  </si>
  <si>
    <t>Income (Deficiency) Sufficiency</t>
  </si>
  <si>
    <t>L.2 - L.5</t>
  </si>
  <si>
    <t>Revenue Conversion Factor</t>
  </si>
  <si>
    <t>Total Revenue (Deficiency) Sufficiency</t>
  </si>
  <si>
    <t>L. 6 X L.7</t>
  </si>
  <si>
    <t>Adjusted</t>
  </si>
  <si>
    <t>(A)</t>
  </si>
  <si>
    <t>(B)</t>
  </si>
  <si>
    <t>(C)</t>
  </si>
  <si>
    <t xml:space="preserve">    RATE BASE</t>
  </si>
  <si>
    <t>Expense</t>
  </si>
  <si>
    <t>Adjustment to Plant in Service:</t>
  </si>
  <si>
    <t>580CA</t>
  </si>
  <si>
    <t>580OR</t>
  </si>
  <si>
    <t>580WA</t>
  </si>
  <si>
    <t>908WA</t>
  </si>
  <si>
    <t>920CA</t>
  </si>
  <si>
    <t>920OR</t>
  </si>
  <si>
    <t>920UT</t>
  </si>
  <si>
    <t>920WA</t>
  </si>
  <si>
    <t>935CA</t>
  </si>
  <si>
    <t>Utility Labor</t>
  </si>
  <si>
    <t>Per Company Expense Factor</t>
  </si>
  <si>
    <t>Reduction to Labor Expense</t>
  </si>
  <si>
    <t>Reduction to Expense</t>
  </si>
  <si>
    <t>Month</t>
  </si>
  <si>
    <t>580ID</t>
  </si>
  <si>
    <t>580UT</t>
  </si>
  <si>
    <t>580WYP</t>
  </si>
  <si>
    <t>580WYU</t>
  </si>
  <si>
    <t>593ID</t>
  </si>
  <si>
    <t>903ID</t>
  </si>
  <si>
    <t>908ID</t>
  </si>
  <si>
    <t>935ID</t>
  </si>
  <si>
    <t>935WYU</t>
  </si>
  <si>
    <t>Change</t>
  </si>
  <si>
    <t xml:space="preserve"> - Labor Costs Directly Impacted by Change in Employee Level</t>
  </si>
  <si>
    <t>Labor Costs Impacted by Employee Level</t>
  </si>
  <si>
    <t>Employee Full Time Equivalent Count</t>
  </si>
  <si>
    <t>Full-Time</t>
  </si>
  <si>
    <t>Equivalent</t>
  </si>
  <si>
    <t xml:space="preserve">    FTE Employee Compliment</t>
  </si>
  <si>
    <t>Actual % FTE Employee Reduction from Average Base Year Level</t>
  </si>
  <si>
    <t>Reduction to Labor Costs to Reflect Employee Reductions</t>
  </si>
  <si>
    <t>Monthly</t>
  </si>
  <si>
    <t>IMPACT OF EMPLOYEE REDUCTIONS ON LABOR COSTS</t>
  </si>
  <si>
    <t>Employee</t>
  </si>
  <si>
    <t>Reductions</t>
  </si>
  <si>
    <t>Pension</t>
  </si>
  <si>
    <t>Average Lines 1 - 12</t>
  </si>
  <si>
    <t>Labor Expense Reduction</t>
  </si>
  <si>
    <t>Situs</t>
  </si>
  <si>
    <t>108TP</t>
  </si>
  <si>
    <t>403TP</t>
  </si>
  <si>
    <t>Washington</t>
  </si>
  <si>
    <t>Per PC</t>
  </si>
  <si>
    <t>Pacific Power &amp; Light Company</t>
  </si>
  <si>
    <t xml:space="preserve">  -  Washington Operations</t>
  </si>
  <si>
    <t>Test Year Ended December 31, 2013</t>
  </si>
  <si>
    <t>Schedule 1</t>
  </si>
  <si>
    <t>Schedule 2</t>
  </si>
  <si>
    <t>Rev. Req. @ Co. ROR</t>
  </si>
  <si>
    <t>REVENUE REQUIREMENT</t>
  </si>
  <si>
    <t>RESULTS OF OPERATIONS</t>
  </si>
  <si>
    <t>LIMIT LABOR ESCALATIONS TO 12-MONTHS POST-TEST YEAR</t>
  </si>
  <si>
    <t>LIMIT WAGE INCREASES TO 12-MONTHS POST-TEST YEAR</t>
  </si>
  <si>
    <t>Reduction to Limit Wage Increases to Annualized December 2014 Level</t>
  </si>
  <si>
    <t>YE 12/31/13</t>
  </si>
  <si>
    <t>500CAGE</t>
  </si>
  <si>
    <t>500JBG</t>
  </si>
  <si>
    <t>501CAEE</t>
  </si>
  <si>
    <t>501JBE</t>
  </si>
  <si>
    <t>500CAGW</t>
  </si>
  <si>
    <t>512CAGE</t>
  </si>
  <si>
    <t>512JBG</t>
  </si>
  <si>
    <t>512CAGW</t>
  </si>
  <si>
    <t>535CAGE</t>
  </si>
  <si>
    <t>535CAGW</t>
  </si>
  <si>
    <t>545CAGW</t>
  </si>
  <si>
    <t>545CAGE</t>
  </si>
  <si>
    <t>548CAGE</t>
  </si>
  <si>
    <t>548CAGW</t>
  </si>
  <si>
    <t>548OR</t>
  </si>
  <si>
    <t>553CAGE</t>
  </si>
  <si>
    <t>553CAGW</t>
  </si>
  <si>
    <t>557CAGE</t>
  </si>
  <si>
    <t>557CAGW</t>
  </si>
  <si>
    <t>557JBG</t>
  </si>
  <si>
    <t>560CAGE</t>
  </si>
  <si>
    <t>560CAGW</t>
  </si>
  <si>
    <t>560JBG</t>
  </si>
  <si>
    <t>571CAGE</t>
  </si>
  <si>
    <t>571CAGW</t>
  </si>
  <si>
    <t>571JBG</t>
  </si>
  <si>
    <t>593OTHER</t>
  </si>
  <si>
    <t>920ID</t>
  </si>
  <si>
    <t>920WYP</t>
  </si>
  <si>
    <t>935UT</t>
  </si>
  <si>
    <t>935WYP</t>
  </si>
  <si>
    <t>Non-Utility/Capital</t>
  </si>
  <si>
    <t>Pro Forma</t>
  </si>
  <si>
    <t>Public Counsel</t>
  </si>
  <si>
    <t>The Company included actual and projected wage increases through March 2016.  The above adjustments limits the wage increases to known and measurable post-test year wage increases occuring by December 31, 2014 and analyzes the impact of the increases through December 2014.  Includes the impact of all 2013 and 2014 wage increses incorporated in Company's filing.  Adjustment reflects impacts on regular ordinary time wages, overtime, premium pay, annual incentive plan and payroll tax expense.</t>
  </si>
  <si>
    <t>B.1</t>
  </si>
  <si>
    <t>B.2</t>
  </si>
  <si>
    <t>B.3</t>
  </si>
  <si>
    <t>Difference</t>
  </si>
  <si>
    <t>Total Regular Time, Overtime and Premium Pay</t>
  </si>
  <si>
    <t>Annual Incentive Plan</t>
  </si>
  <si>
    <t>Payroll Tax Expense</t>
  </si>
  <si>
    <t xml:space="preserve">  Subtotal </t>
  </si>
  <si>
    <t>B.4</t>
  </si>
  <si>
    <t xml:space="preserve">Total  </t>
  </si>
  <si>
    <t xml:space="preserve">Total per  </t>
  </si>
  <si>
    <t>Limit Wage Incr.</t>
  </si>
  <si>
    <t>to Dec. 2014</t>
  </si>
  <si>
    <t>Pro Forma Regular Time, Overtime and Premium Pay, per Public Counsel</t>
  </si>
  <si>
    <t>Annual Incentive Plan, per Public Counsel</t>
  </si>
  <si>
    <t>Payroll Tax Expense, per Public Counsel</t>
  </si>
  <si>
    <t>Medical Expense, per Company</t>
  </si>
  <si>
    <t>Stock/401(k)/ESOP, per Company</t>
  </si>
  <si>
    <t>All Other Labor and Benefit Items, per Company</t>
  </si>
  <si>
    <t>Lines 4 - 6:  Exhibit No.__(NCS-3), page 4.3.2</t>
  </si>
  <si>
    <t>Labor Costs Impacted by Employee Level, as Adjusted</t>
  </si>
  <si>
    <t>Actual FTE Employee Compliment June 2014</t>
  </si>
  <si>
    <t>Line 18</t>
  </si>
  <si>
    <t>Line 20 - Line 19</t>
  </si>
  <si>
    <t>Line 21 / Line 19</t>
  </si>
  <si>
    <t>Reduction from Start of Base Year to June 2014</t>
  </si>
  <si>
    <t>Line 18 - Line 1</t>
  </si>
  <si>
    <t>Lines 1 - 18:  Response to Public Counsel Data Request 70.</t>
  </si>
  <si>
    <t>Adjusted Test Year labor costs incorporated in the filing are based on the employee compliment that existed during the base year ended December 31, 2013.  The employee compliment declined steadily throughout the base year and subsequent to date.  The above adjustment reduces the Company's adjusted test year labor costs to reflect the current employee compliment as of June 30, 2014.</t>
  </si>
  <si>
    <t>Test Year Pension Expense, per Company</t>
  </si>
  <si>
    <t>Test Year Pension Expense Based on Most Recent Actuarial Report</t>
  </si>
  <si>
    <t>Known and Measurable Reduction to Pension Expense</t>
  </si>
  <si>
    <t>Line A.2 - Line A.1</t>
  </si>
  <si>
    <t>REDUCTION TO OPEB EXPENSE</t>
  </si>
  <si>
    <t>Reduction to OPEB Expense</t>
  </si>
  <si>
    <t>Test Year OPEB Expense, per Company</t>
  </si>
  <si>
    <t>Test Year OPEB Expense Based on Most Recent Actuarial Report</t>
  </si>
  <si>
    <t>Known and Measurable Reduction to OPEB Expense</t>
  </si>
  <si>
    <t>Exh. No__(NCS-3), p. 4.3.2</t>
  </si>
  <si>
    <t>Response to PC 69</t>
  </si>
  <si>
    <t>Based on the most recent actuarial valuation for 2014, OPEB expense has declined significantly as compared to the amount incorporated in the adjusted test year, which was based on the 2013 recorded amount.  The 2014 OPEB projections provided by the actuarial firm are based on known and measurable changes, such as the 2014 actuarial assumptions selection that occurred at the end of 2013 and impact of the actual 2013 plan experience.</t>
  </si>
  <si>
    <t>OPEB</t>
  </si>
  <si>
    <t>Retired Plant</t>
  </si>
  <si>
    <t>Depreciation</t>
  </si>
  <si>
    <t>RETIRED PLANT DEPRECIATION EXPENSE</t>
  </si>
  <si>
    <t>Since the end of the historic test year, the Company retired three plant items exceeding the $250,000 Washington basis threshold used for the post-test year plant additions.  The above adjustments removes the depreciation expense on the retired plant items.  Since the adjustment to plant in service is equally offset by the adjustment to accumulated depreciation, only the depreciation expense is being adjusted.</t>
  </si>
  <si>
    <t>Step-up Transformer GSU #3 - Transmission</t>
  </si>
  <si>
    <t>Plant amount</t>
  </si>
  <si>
    <t>CAGW</t>
  </si>
  <si>
    <t>JBG</t>
  </si>
  <si>
    <t>Deprec.</t>
  </si>
  <si>
    <t>Rate</t>
  </si>
  <si>
    <t>WF-Swift Fish/Wildlife Stuct. &amp; Improvements</t>
  </si>
  <si>
    <t>CT - Cooling Tower (JB Unit 1)</t>
  </si>
  <si>
    <t>Adjustment to  Expense:</t>
  </si>
  <si>
    <t>Depreciation Expense - Transmission</t>
  </si>
  <si>
    <t>Depreciation Expense - Hydro</t>
  </si>
  <si>
    <t>403HP</t>
  </si>
  <si>
    <t>Depreciation Expense - Steam</t>
  </si>
  <si>
    <t>403SP</t>
  </si>
  <si>
    <t>Project Description</t>
  </si>
  <si>
    <t>Transmission</t>
  </si>
  <si>
    <t>Alvey Series Cap Controls - Payment to BPA</t>
  </si>
  <si>
    <t>Fry Sub Instl 115 kV Capacitor Bank TPL2</t>
  </si>
  <si>
    <t>Line 3 Convert to 115kV - Phase 1and 2</t>
  </si>
  <si>
    <t>U2 GSU Transformer Upgrade Replacement</t>
  </si>
  <si>
    <t>Transmission Total</t>
  </si>
  <si>
    <t>Steam Production</t>
  </si>
  <si>
    <t>JB New Sewage Treatment Plant or Lagoon</t>
  </si>
  <si>
    <t>JB U1 Burners - Major 14</t>
  </si>
  <si>
    <t>JB U1 Pendant Plat Lower Replacement 14</t>
  </si>
  <si>
    <t>JB U1 Replace Cooling Tower 13/14</t>
  </si>
  <si>
    <t>Colstrip 4: Generator Repair CY13 &amp; CY14</t>
  </si>
  <si>
    <t xml:space="preserve">Steam Production Total </t>
  </si>
  <si>
    <t>Hydro Production</t>
  </si>
  <si>
    <t>ILR 4.3 Merwin Upstream Collect &amp; Trans</t>
  </si>
  <si>
    <t>ILR 6.2 Merwin Flow Controls</t>
  </si>
  <si>
    <t>ILR 8.7 Speelyai Hatchery Water Intake</t>
  </si>
  <si>
    <t>INU 10.6 Aquatic Connectivity 14</t>
  </si>
  <si>
    <t>Merwin 1 TIV Overhaul</t>
  </si>
  <si>
    <t>Merwin 3 TIV Overhaul</t>
  </si>
  <si>
    <t>Soda Springs Screen Upgrade</t>
  </si>
  <si>
    <t>Swift 1 Spare Generator Windings</t>
  </si>
  <si>
    <t>Swift 11 Generator Rewind</t>
  </si>
  <si>
    <t>Swift Main Net Modifications</t>
  </si>
  <si>
    <t>Swift Side Nets Replacement</t>
  </si>
  <si>
    <t>Yale Upper Rock Block Stabilization</t>
  </si>
  <si>
    <t>Hydro Production Total</t>
  </si>
  <si>
    <t>General Plant</t>
  </si>
  <si>
    <t>Call Center ACD Replacement Project</t>
  </si>
  <si>
    <t>General Plant Total</t>
  </si>
  <si>
    <t>Distribution Plant</t>
  </si>
  <si>
    <t>WA</t>
  </si>
  <si>
    <t>Replace Spare 116-13.0kV 25 MVA w/ LTC - Yakima</t>
  </si>
  <si>
    <t>Union Gap - Add 230 - 115kV Capacity - TPL002</t>
  </si>
  <si>
    <t>Distribution Plant Total</t>
  </si>
  <si>
    <t>Total Capital Additions</t>
  </si>
  <si>
    <t>In-Service</t>
  </si>
  <si>
    <t>@ June 2014</t>
  </si>
  <si>
    <t>Additional</t>
  </si>
  <si>
    <t>Date</t>
  </si>
  <si>
    <t>Acct</t>
  </si>
  <si>
    <t>Est. Date</t>
  </si>
  <si>
    <t>In Filing</t>
  </si>
  <si>
    <t>Revised</t>
  </si>
  <si>
    <t>Estimate</t>
  </si>
  <si>
    <t>Plant</t>
  </si>
  <si>
    <t>Per Public</t>
  </si>
  <si>
    <t>Counsel</t>
  </si>
  <si>
    <t>(a)</t>
  </si>
  <si>
    <t>(b)</t>
  </si>
  <si>
    <t xml:space="preserve">(c) </t>
  </si>
  <si>
    <t>(d)</t>
  </si>
  <si>
    <t xml:space="preserve">(e) </t>
  </si>
  <si>
    <t>(f)</t>
  </si>
  <si>
    <t>(g) = (e)+(f)</t>
  </si>
  <si>
    <t>Plant in</t>
  </si>
  <si>
    <t>Service</t>
  </si>
  <si>
    <t xml:space="preserve">(h) = (g)-(c) </t>
  </si>
  <si>
    <t xml:space="preserve">Purchase spare 230-69 kV 150 MVA Transformer </t>
  </si>
  <si>
    <t>Knott Sub  Install 115-12.5 kV Transformer - Trans.</t>
  </si>
  <si>
    <t>REDUCTION TO PRO FORMA MAJOR PLANT ADDITIONS</t>
  </si>
  <si>
    <t>Orchard  and Wiiley Substation Capacity Relief</t>
  </si>
  <si>
    <t>Selah Substation Cap. Relief (25 MVA at Pomona H)</t>
  </si>
  <si>
    <t>Replace 6GHz MW  radios Starvout to Fort Rock ph 2</t>
  </si>
  <si>
    <t>Middleton-Toquerville: 69 kV Line Rebld 2.2 Miles</t>
  </si>
  <si>
    <t>Amts for</t>
  </si>
  <si>
    <t>General</t>
  </si>
  <si>
    <t>Distribution</t>
  </si>
  <si>
    <t xml:space="preserve">  Total Plant In Service Adjustment</t>
  </si>
  <si>
    <t>Adjustment to Depreciation Reserve:</t>
  </si>
  <si>
    <t>Accumulated Reserve</t>
  </si>
  <si>
    <t xml:space="preserve">  Total Accumulated Reserve Adjustment</t>
  </si>
  <si>
    <t>Depreciation Expense</t>
  </si>
  <si>
    <t xml:space="preserve">  Total Depreciation Expense Adjustment</t>
  </si>
  <si>
    <t>108SP</t>
  </si>
  <si>
    <t>108HP</t>
  </si>
  <si>
    <t>108GP</t>
  </si>
  <si>
    <t>403GP</t>
  </si>
  <si>
    <t>Reduction to</t>
  </si>
  <si>
    <t>Plant Adds</t>
  </si>
  <si>
    <t>Plant Additions</t>
  </si>
  <si>
    <t xml:space="preserve">The above adjustments limits the proposed pro form major plant additions to the actual known and measurable plant additions that were placed into service by June 30, 2014 (6-months post-test year).  Adjustment allows for the actual amounts placed into service plus additional project close-outs on the projects placed into service. </t>
  </si>
  <si>
    <t xml:space="preserve">  -  Calculation of Plant in Service Adjustments</t>
  </si>
  <si>
    <t xml:space="preserve">  -  Calculation of Depreciation Expense and Depreciation Reserve</t>
  </si>
  <si>
    <t>Plant Adjustments:</t>
  </si>
  <si>
    <t>per PC</t>
  </si>
  <si>
    <t>% Reduction</t>
  </si>
  <si>
    <t>to Plant Adds</t>
  </si>
  <si>
    <t>Per Co.</t>
  </si>
  <si>
    <t>Accumulated Depreciation</t>
  </si>
  <si>
    <t>A/Dep</t>
  </si>
  <si>
    <t>Accum.</t>
  </si>
  <si>
    <t>Accumulated</t>
  </si>
  <si>
    <t>Schedule 5</t>
  </si>
  <si>
    <t>PRO FORMA MAJOR PLANT ADDITIONS ADJUSTMENT - TAX IMPACTS</t>
  </si>
  <si>
    <t>Federal Income Tax Expense Adjustment</t>
  </si>
  <si>
    <t>Deferred Income Tax Expense Adjustment</t>
  </si>
  <si>
    <t>Accumulated Deferred Income Taxes Adj.</t>
  </si>
  <si>
    <t>Expense Adjustments:</t>
  </si>
  <si>
    <t>Rate Base Adjustments:</t>
  </si>
  <si>
    <t>% Reduction to</t>
  </si>
  <si>
    <t>Pro Forma Plant</t>
  </si>
  <si>
    <t>Adds, per PC</t>
  </si>
  <si>
    <t>Per Company Pro Forma Major Plant Adds - Washington</t>
  </si>
  <si>
    <t>Public Counsel Reduction to Pro Forma Major Plant Adds - WA</t>
  </si>
  <si>
    <t>% Reduction to Pro Forma Plant Adds, per Public Counsel</t>
  </si>
  <si>
    <t xml:space="preserve">  Total Tax Expense Adjustment</t>
  </si>
  <si>
    <t>Sch. 4</t>
  </si>
  <si>
    <t>Sch. 5</t>
  </si>
  <si>
    <t>Red. To Plant</t>
  </si>
  <si>
    <t>Adds (Cont.)</t>
  </si>
  <si>
    <t>Remove</t>
  </si>
  <si>
    <t>Escalation Adj.</t>
  </si>
  <si>
    <t>REMOVE IHS GLOBAL INSIGHT ESCALATION</t>
  </si>
  <si>
    <t>Reverse Company Escalation Adjustment</t>
  </si>
  <si>
    <t>500 - 935</t>
  </si>
  <si>
    <t xml:space="preserve">The above removes the Company's post-test year pro forma adjustment to escalate non-labor and non-NPC expenses by IHS Global Insight Factors.  </t>
  </si>
  <si>
    <t>Year</t>
  </si>
  <si>
    <t>Accrual</t>
  </si>
  <si>
    <t>Amount Not</t>
  </si>
  <si>
    <t>Requested,</t>
  </si>
  <si>
    <t>Removals, per</t>
  </si>
  <si>
    <t>Net</t>
  </si>
  <si>
    <t>Revised Six-Year Average, per Public Counsel</t>
  </si>
  <si>
    <t>Six-Year Average, per Company</t>
  </si>
  <si>
    <t>Net Expense</t>
  </si>
  <si>
    <t>per Company</t>
  </si>
  <si>
    <t>Additional Reduction to Liability Insurance Expense</t>
  </si>
  <si>
    <t>ADDITIONAL LIABILITY EXPENSE ADJUSTMENT</t>
  </si>
  <si>
    <t>Reduction to Liability Expense</t>
  </si>
  <si>
    <t xml:space="preserve">  -  Calculation of Additional Adjustment</t>
  </si>
  <si>
    <t>Liability Exp.</t>
  </si>
  <si>
    <t>Rev. Req. @ Public Counsel ROR</t>
  </si>
  <si>
    <t>SUMMARY OF ADJUSTMENTS</t>
  </si>
  <si>
    <t>Income</t>
  </si>
  <si>
    <t>Revenue</t>
  </si>
  <si>
    <t>Requirement</t>
  </si>
  <si>
    <t>Impact</t>
  </si>
  <si>
    <t>Operating</t>
  </si>
  <si>
    <t>Company Adjusted Amounts</t>
  </si>
  <si>
    <t>Per Company Revenue Requierment Increase at 7.67% ROR</t>
  </si>
  <si>
    <t>Public Counsel Adjustments:</t>
  </si>
  <si>
    <t>Limit Major Plant Adds to Actual Through June 2014</t>
  </si>
  <si>
    <t>Remove Depreciation on Plant Retired Jan - June 2014</t>
  </si>
  <si>
    <t>Limit Wage Increases to December 2014</t>
  </si>
  <si>
    <t>Reflect Current Employee Level</t>
  </si>
  <si>
    <t>Known &amp; Measurable Pension Expense Reduction</t>
  </si>
  <si>
    <t>Known &amp; Measurable OPEB Expense Reduction</t>
  </si>
  <si>
    <t>Remove IHS Global Insight Escalation</t>
  </si>
  <si>
    <t>Additional Liability Expense Adjustment</t>
  </si>
  <si>
    <t>Revenue Requirement, per Public Counsel</t>
  </si>
  <si>
    <t>Capitalization</t>
  </si>
  <si>
    <t>Ratio</t>
  </si>
  <si>
    <t>Cost</t>
  </si>
  <si>
    <t>Weighted</t>
  </si>
  <si>
    <t>Cost Rate</t>
  </si>
  <si>
    <t>Common Equity</t>
  </si>
  <si>
    <t>Preferred Stock</t>
  </si>
  <si>
    <t>Long Term Debt</t>
  </si>
  <si>
    <t>Short Term Debt</t>
  </si>
  <si>
    <t>Above amounts per Public Counsel witness Stephen Hill.  Amounts provided here</t>
  </si>
  <si>
    <t>for ease of reference.</t>
  </si>
  <si>
    <t>Col (B):  Adjustments summarized on Schedule 3</t>
  </si>
  <si>
    <t>Interest Deduction for Income Taxes</t>
  </si>
  <si>
    <t>Line 1 x Line 2</t>
  </si>
  <si>
    <t>Interest Deduction, per Company</t>
  </si>
  <si>
    <t>Increase (Reduction) in Deductible Interest</t>
  </si>
  <si>
    <t>Reduction (Increase) to Income Tax Expense</t>
  </si>
  <si>
    <t>Adjusted Rate Base, per Public Counsel</t>
  </si>
  <si>
    <t>Weighted Cost of Debt, per Public Counsel</t>
  </si>
  <si>
    <t>Exh.__(NCS-3), Page 1.0</t>
  </si>
  <si>
    <t>Federal Income Tax Rate</t>
  </si>
  <si>
    <t>Line 3 - Line 4</t>
  </si>
  <si>
    <t>Interest</t>
  </si>
  <si>
    <t>Synchronization</t>
  </si>
  <si>
    <t>RATE OF RETURN</t>
  </si>
  <si>
    <t>INTEREST SYNCHRONIZATION ADJUSTMENT</t>
  </si>
  <si>
    <t>Description of Adjustment</t>
  </si>
  <si>
    <t xml:space="preserve">The above adjustment synchronizes the tax deductible interest expense with Public Counsel's recommended rate base and weighted cost of debt.  Since Public Counsel's recommended weighted cost of debt is higher than the amount proposed by the Company, the resulting interest expense is higher, reducing income tax expense.  </t>
  </si>
  <si>
    <t>Interest Synchronization</t>
  </si>
  <si>
    <t>Sch. 6</t>
  </si>
  <si>
    <t>Sch. 7</t>
  </si>
  <si>
    <t>Sch. 8</t>
  </si>
  <si>
    <t>Sch. 10</t>
  </si>
  <si>
    <t>Sch. 11</t>
  </si>
  <si>
    <t>Sch. 12</t>
  </si>
  <si>
    <t>Sch. 13</t>
  </si>
  <si>
    <t>Schedule 6</t>
  </si>
  <si>
    <t>Schedule 11</t>
  </si>
  <si>
    <t>Schedule 13</t>
  </si>
  <si>
    <t>Schedule 14</t>
  </si>
  <si>
    <t>Revenue Requirement Impact Resulting from Situs Assignment</t>
  </si>
  <si>
    <t xml:space="preserve">    of Purchase Power Agreements with Qualified Facilities</t>
  </si>
  <si>
    <t>Revenue (Deficiency) Sufficiency, per Public Counsel</t>
  </si>
  <si>
    <t>Revenue Requirement Based on Above Adjustments</t>
  </si>
  <si>
    <t xml:space="preserve">(C) </t>
  </si>
  <si>
    <t>(D)</t>
  </si>
  <si>
    <t>(E) = (C) x (D)</t>
  </si>
  <si>
    <t>Columns (A) &amp; (D):  Company Exhibit__(NCS-3), page 8.4.3</t>
  </si>
  <si>
    <t>Column (B):  See page 2 of 3.</t>
  </si>
  <si>
    <t>-Washington</t>
  </si>
  <si>
    <t>- Washington</t>
  </si>
  <si>
    <t>Source:  Company response to Public Counsel Data Request 79</t>
  </si>
  <si>
    <t>Avg. Test Year Employee Compliment</t>
  </si>
  <si>
    <t>Reduction to Average Test Year Employee Level</t>
  </si>
  <si>
    <t>Actual % Change from Average Test Year</t>
  </si>
  <si>
    <t>Lines 1 - 3:  See Schedule 7, lines B.1 to B.3.  Reflects limitation of wage increases to December 2014.</t>
  </si>
  <si>
    <t>The Company bases the liability expnese, net of commercial reimbursements, on a six year average.  In determining the six-year average amount, the Company removed $16,200,000 from 2012 expenses and $27,688,053 from 2013 expenses for items it is not requesting to include in determining the average expense level.  Public Counsel recommends several additional items be removed from the 2012 accrued expenses for purposes of determining the six-year average amount to include in rates.  The specific items being removed, and reason for removal, are addressed in confidential testimony.</t>
  </si>
  <si>
    <t>Source:  Company Exhibit__(NCS-3), page 4.7.1.  Additional removal discussed in Confidential</t>
  </si>
  <si>
    <t>Testimony.</t>
  </si>
  <si>
    <t>Reverse Co.</t>
  </si>
  <si>
    <t>Sch. 300 Adj.</t>
  </si>
  <si>
    <t xml:space="preserve">Collection  </t>
  </si>
  <si>
    <t>Agency Fee</t>
  </si>
  <si>
    <t>Reverse Collection Agency Fee Adjustment</t>
  </si>
  <si>
    <t>Reverse Sch. 300 Changes Adjustment</t>
  </si>
  <si>
    <t>Page 1 of 1</t>
  </si>
  <si>
    <t>Schedule 4, page 1 of 3</t>
  </si>
  <si>
    <t>Schedule 4, page 2 of 3</t>
  </si>
  <si>
    <t>Schedule 4, page 3 of 3</t>
  </si>
  <si>
    <t>Schedule 7, page 1 of 2</t>
  </si>
  <si>
    <t>Sch. 4, p.1</t>
  </si>
  <si>
    <t>Schedule 7, page 2 of 2</t>
  </si>
  <si>
    <t>Schedule 8, page 1 of 4</t>
  </si>
  <si>
    <t>See Sch. 8, page 3 of 3</t>
  </si>
  <si>
    <t>See Sch. 8, page 2 of 3</t>
  </si>
  <si>
    <t>Schedule 8, page 2 of 4</t>
  </si>
  <si>
    <t>Schedule 8, page 3 of 4</t>
  </si>
  <si>
    <t>Schedule 8, page 4 of 4</t>
  </si>
  <si>
    <t>Schedule 9, page 1 of 2</t>
  </si>
  <si>
    <t>Schedule 9, page 2 of 2</t>
  </si>
  <si>
    <t>Schedule 10, page 1 of 2</t>
  </si>
  <si>
    <t>Schedule 10, page 2 of 2</t>
  </si>
  <si>
    <t>Schedule 12, page 1 of 2</t>
  </si>
  <si>
    <t>Schedule 12, page 2 of 2</t>
  </si>
  <si>
    <t>Page 24 of 24</t>
  </si>
  <si>
    <t>Page 23 of 24</t>
  </si>
  <si>
    <t>Page 22 of 24</t>
  </si>
  <si>
    <t>Page 21 of 24</t>
  </si>
  <si>
    <t>Page 20 of 24</t>
  </si>
  <si>
    <t>Page 19 of 24</t>
  </si>
  <si>
    <t>Page 18 of 24</t>
  </si>
  <si>
    <t>Page 17 of 24</t>
  </si>
  <si>
    <t>Page 16 of 24</t>
  </si>
  <si>
    <t>Page 15 of 24</t>
  </si>
  <si>
    <t>Page 14 of 24</t>
  </si>
  <si>
    <t>Page 13 of 24</t>
  </si>
  <si>
    <t>Page 12 of 24</t>
  </si>
  <si>
    <t>Page 11 of 24</t>
  </si>
  <si>
    <t>Page 10 of 24</t>
  </si>
  <si>
    <t>Page 9 of 24</t>
  </si>
  <si>
    <t>Page 8 of 24</t>
  </si>
  <si>
    <t>Page 7 of 24</t>
  </si>
  <si>
    <t>Page 6 of 24</t>
  </si>
  <si>
    <t>Page 5 of 24</t>
  </si>
  <si>
    <t xml:space="preserve">      witness Stefanie Johnson.</t>
  </si>
  <si>
    <t>(A)  Sponsored by Public Counsel</t>
  </si>
  <si>
    <t>Page 2 of 24</t>
  </si>
  <si>
    <t>Page 1 of 24</t>
  </si>
  <si>
    <t xml:space="preserve">Docket UE-140762 et al. </t>
  </si>
  <si>
    <t>Docket UE-140762 et al.</t>
  </si>
  <si>
    <t>Partial *</t>
  </si>
  <si>
    <t>Partial*</t>
  </si>
  <si>
    <t xml:space="preserve">  *  Project Partially placed into service August 2014.</t>
  </si>
  <si>
    <t>Source:  Company Exhibit__(NCS-3), page 8.4.2, 1st Revised Response to Public Counsel Data Request 54 and response to Public Cousel Data Request 109.</t>
  </si>
  <si>
    <t>Revised (10/17/14)</t>
  </si>
  <si>
    <t>Reduction to Pension Expense (Excludes IBEW 57 contributions)</t>
  </si>
  <si>
    <t>Schedule 14, Revised</t>
  </si>
  <si>
    <t>Based on the most recent actuarial valuation for 2014, pension expense has declined significantly as compared to the amount incorporated in the adjusted test year, which was based on the 2013 recorded amount.  The 2014 pension projections provided by the actuarial firm are based on known and measurable changes, such as the 2014 actuarial assumptions selection that occurred at the end of 2013 and impact of the actual 2013 plan experience.</t>
  </si>
  <si>
    <t>Response to PC 67, corrected</t>
  </si>
  <si>
    <t>Sch. 9, REV</t>
  </si>
  <si>
    <t>Reduction in Revenue Requirement at PC's Rate of Return - 7.01%</t>
  </si>
  <si>
    <t>Exhibit No. DMR-2r</t>
  </si>
  <si>
    <t>Exhibit No. DMR-3r</t>
  </si>
  <si>
    <t>Revised (12/1/14)</t>
  </si>
  <si>
    <t xml:space="preserve">Revised (12/1/14)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</si>
</sst>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_(* #,##0.0_);_(* \(#,##0.0\);_(* &quot;-&quot;??_);_(@_)"/>
    <numFmt numFmtId="169" formatCode="0.00000"/>
    <numFmt numFmtId="170" formatCode="0.0%"/>
    <numFmt numFmtId="171" formatCode="_(* #,##0.0000_);_(* \(#,##0.0000\);_(* &quot;-&quot;??_);_(@_)"/>
  </numFmts>
  <fonts count="23"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2"/>
      <name val="Times New Roman"/>
      <family val="1"/>
    </font>
    <font>
      <sz val="10"/>
      <name val="Times New Roman"/>
      <family val="1"/>
    </font>
    <font>
      <sz val="8"/>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b/>
      <sz val="10"/>
      <name val="Times New Roman"/>
      <family val="1"/>
    </font>
    <font>
      <u/>
      <sz val="10"/>
      <name val="Times New Roman"/>
      <family val="1"/>
    </font>
    <font>
      <sz val="10"/>
      <color theme="1"/>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u val="singleAccounting"/>
      <sz val="12"/>
      <name val="Times New Roman"/>
      <family val="1"/>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
      <patternFill patternType="solid">
        <fgColor rgb="FFFFFF00"/>
        <bgColor indexed="64"/>
      </patternFill>
    </fill>
  </fills>
  <borders count="18">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1">
    <xf numFmtId="0" fontId="0" fillId="0" borderId="0"/>
    <xf numFmtId="41" fontId="1" fillId="0" borderId="0" applyFont="0" applyFill="0" applyBorder="0" applyAlignment="0" applyProtection="0"/>
    <xf numFmtId="43" fontId="9" fillId="0" borderId="0" applyFont="0" applyFill="0" applyBorder="0" applyAlignment="0" applyProtection="0"/>
    <xf numFmtId="0" fontId="9" fillId="0" borderId="0"/>
    <xf numFmtId="41" fontId="4" fillId="0" borderId="0"/>
    <xf numFmtId="41" fontId="4" fillId="0" borderId="0"/>
    <xf numFmtId="9" fontId="2" fillId="0" borderId="0" applyFont="0" applyFill="0" applyBorder="0" applyAlignment="0" applyProtection="0"/>
    <xf numFmtId="9" fontId="9" fillId="0" borderId="0" applyFont="0" applyFill="0" applyBorder="0" applyAlignment="0" applyProtection="0"/>
    <xf numFmtId="4" fontId="11" fillId="2" borderId="1"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2"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11"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11" fillId="2" borderId="1" applyNumberFormat="0" applyProtection="0">
      <alignment horizontal="left" vertical="center" indent="1"/>
    </xf>
    <xf numFmtId="9" fontId="12" fillId="0" borderId="0" applyFont="0" applyFill="0" applyBorder="0" applyAlignment="0" applyProtection="0"/>
    <xf numFmtId="0" fontId="1" fillId="0" borderId="0"/>
    <xf numFmtId="0" fontId="1" fillId="0" borderId="0"/>
    <xf numFmtId="0" fontId="1" fillId="0" borderId="0"/>
    <xf numFmtId="0" fontId="18" fillId="0" borderId="0"/>
    <xf numFmtId="0" fontId="1" fillId="0" borderId="0"/>
    <xf numFmtId="0" fontId="1"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xf numFmtId="41" fontId="1" fillId="0" borderId="0" applyFont="0" applyFill="0" applyBorder="0" applyAlignment="0" applyProtection="0"/>
    <xf numFmtId="43" fontId="12" fillId="0" borderId="0" applyFont="0" applyFill="0" applyBorder="0" applyAlignment="0" applyProtection="0"/>
    <xf numFmtId="4" fontId="20" fillId="3" borderId="1" applyNumberFormat="0" applyProtection="0"/>
    <xf numFmtId="0" fontId="11" fillId="3" borderId="1" applyNumberFormat="0" applyProtection="0">
      <alignment horizontal="left" vertical="top"/>
    </xf>
    <xf numFmtId="4" fontId="11" fillId="0" borderId="1" applyNumberFormat="0" applyProtection="0">
      <alignment horizontal="right" vertical="center"/>
    </xf>
    <xf numFmtId="0" fontId="19" fillId="0" borderId="0"/>
    <xf numFmtId="9" fontId="19" fillId="0" borderId="0" applyFont="0" applyFill="0" applyBorder="0" applyAlignment="0" applyProtection="0"/>
    <xf numFmtId="4" fontId="20" fillId="4" borderId="1" applyNumberFormat="0" applyProtection="0">
      <alignment horizontal="left" vertical="center" indent="1"/>
    </xf>
    <xf numFmtId="4" fontId="20" fillId="5" borderId="1" applyNumberFormat="0" applyProtection="0">
      <alignment vertical="center"/>
    </xf>
    <xf numFmtId="0" fontId="19" fillId="0" borderId="0"/>
    <xf numFmtId="0" fontId="21" fillId="0" borderId="0"/>
    <xf numFmtId="0" fontId="21" fillId="0" borderId="0"/>
    <xf numFmtId="4" fontId="11" fillId="0" borderId="1" applyNumberFormat="0" applyProtection="0">
      <alignment horizontal="left" vertical="center"/>
    </xf>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cellStyleXfs>
  <cellXfs count="258">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0" fontId="0" fillId="0" borderId="0" xfId="0" applyAlignment="1">
      <alignment horizontal="left"/>
    </xf>
    <xf numFmtId="41" fontId="0" fillId="0" borderId="0" xfId="0" applyNumberFormat="1"/>
    <xf numFmtId="0" fontId="4" fillId="0" borderId="0" xfId="0" applyFont="1"/>
    <xf numFmtId="0" fontId="0" fillId="0" borderId="0" xfId="0" applyBorder="1" applyAlignment="1">
      <alignment horizontal="center"/>
    </xf>
    <xf numFmtId="0" fontId="4" fillId="0" borderId="0" xfId="0" applyFont="1" applyAlignment="1">
      <alignment horizontal="left"/>
    </xf>
    <xf numFmtId="0" fontId="0" fillId="0" borderId="2" xfId="0" applyBorder="1" applyAlignment="1">
      <alignment horizontal="center"/>
    </xf>
    <xf numFmtId="0" fontId="0" fillId="0" borderId="2" xfId="0" quotePrefix="1" applyBorder="1" applyAlignment="1">
      <alignment horizontal="center"/>
    </xf>
    <xf numFmtId="41" fontId="0" fillId="0" borderId="0" xfId="0" applyNumberFormat="1" applyBorder="1"/>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41" fontId="4" fillId="0" borderId="0" xfId="5"/>
    <xf numFmtId="0" fontId="5" fillId="0" borderId="0" xfId="0" applyFont="1"/>
    <xf numFmtId="0" fontId="0" fillId="0" borderId="0" xfId="0" applyFill="1" applyBorder="1"/>
    <xf numFmtId="0" fontId="0" fillId="0" borderId="0" xfId="0" quotePrefix="1" applyBorder="1" applyAlignment="1">
      <alignment horizontal="center"/>
    </xf>
    <xf numFmtId="41" fontId="0" fillId="0" borderId="0" xfId="1" applyNumberFormat="1" applyFont="1" applyBorder="1"/>
    <xf numFmtId="10" fontId="0" fillId="0" borderId="0" xfId="6" applyNumberFormat="1" applyFont="1" applyBorder="1"/>
    <xf numFmtId="0" fontId="6" fillId="0" borderId="0" xfId="0" applyFont="1"/>
    <xf numFmtId="41" fontId="4" fillId="0" borderId="0" xfId="4"/>
    <xf numFmtId="10" fontId="4" fillId="0" borderId="0" xfId="4" applyNumberFormat="1"/>
    <xf numFmtId="10" fontId="4" fillId="0" borderId="0" xfId="4" applyNumberFormat="1" applyFont="1"/>
    <xf numFmtId="41" fontId="4" fillId="0" borderId="0" xfId="4" applyFont="1"/>
    <xf numFmtId="41" fontId="4" fillId="0" borderId="0" xfId="4" applyFont="1" applyAlignment="1">
      <alignment horizontal="center"/>
    </xf>
    <xf numFmtId="41" fontId="7" fillId="0" borderId="0" xfId="4" applyFont="1" applyAlignment="1">
      <alignment horizontal="center"/>
    </xf>
    <xf numFmtId="41" fontId="4" fillId="0" borderId="0" xfId="4" applyAlignment="1">
      <alignment horizontal="center"/>
    </xf>
    <xf numFmtId="0" fontId="7" fillId="0" borderId="0" xfId="0" applyFont="1" applyAlignment="1">
      <alignment horizontal="center"/>
    </xf>
    <xf numFmtId="41" fontId="4" fillId="0" borderId="0" xfId="4" applyBorder="1"/>
    <xf numFmtId="41" fontId="4" fillId="0" borderId="2" xfId="4" applyBorder="1"/>
    <xf numFmtId="41" fontId="4" fillId="0" borderId="3" xfId="4" applyBorder="1"/>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0" xfId="1" applyNumberFormat="1" applyFont="1"/>
    <xf numFmtId="41" fontId="0" fillId="0" borderId="2" xfId="0" applyNumberFormat="1" applyBorder="1"/>
    <xf numFmtId="0" fontId="6" fillId="0" borderId="0" xfId="0" applyFont="1" applyBorder="1"/>
    <xf numFmtId="0" fontId="6" fillId="0" borderId="0" xfId="0" applyFont="1" applyBorder="1" applyAlignment="1">
      <alignment horizontal="center"/>
    </xf>
    <xf numFmtId="41" fontId="6" fillId="0" borderId="0" xfId="0" applyNumberFormat="1" applyFont="1" applyBorder="1"/>
    <xf numFmtId="41" fontId="6" fillId="0" borderId="0" xfId="0" applyNumberFormat="1" applyFont="1"/>
    <xf numFmtId="41" fontId="0" fillId="0" borderId="0" xfId="1" applyFont="1"/>
    <xf numFmtId="41" fontId="0" fillId="0" borderId="2" xfId="1" applyFont="1" applyBorder="1"/>
    <xf numFmtId="41" fontId="0" fillId="0" borderId="3" xfId="1" applyFont="1" applyBorder="1"/>
    <xf numFmtId="41" fontId="0" fillId="0" borderId="0" xfId="1" applyFont="1" applyBorder="1"/>
    <xf numFmtId="165" fontId="6" fillId="0" borderId="0" xfId="6" applyNumberFormat="1" applyFont="1" applyBorder="1" applyAlignment="1">
      <alignment horizontal="center"/>
    </xf>
    <xf numFmtId="41" fontId="6" fillId="0" borderId="2" xfId="0" applyNumberFormat="1" applyFont="1" applyBorder="1"/>
    <xf numFmtId="41" fontId="5" fillId="0" borderId="0" xfId="4" applyFont="1"/>
    <xf numFmtId="41" fontId="0" fillId="0" borderId="7" xfId="1" applyFont="1" applyBorder="1"/>
    <xf numFmtId="0" fontId="0" fillId="0" borderId="0" xfId="0" quotePrefix="1" applyAlignment="1">
      <alignment horizontal="center"/>
    </xf>
    <xf numFmtId="41" fontId="0" fillId="0" borderId="0" xfId="4" applyFont="1" applyAlignment="1">
      <alignment horizontal="center"/>
    </xf>
    <xf numFmtId="41" fontId="0" fillId="0" borderId="0" xfId="4" applyFont="1"/>
    <xf numFmtId="41" fontId="0" fillId="0" borderId="0" xfId="4" applyFont="1" applyBorder="1"/>
    <xf numFmtId="17" fontId="0" fillId="0" borderId="0" xfId="0" applyNumberFormat="1"/>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5" fontId="0" fillId="0" borderId="0" xfId="0" applyNumberFormat="1"/>
    <xf numFmtId="41" fontId="4" fillId="0" borderId="0" xfId="4" applyFont="1" applyBorder="1" applyAlignment="1">
      <alignment horizontal="center"/>
    </xf>
    <xf numFmtId="41" fontId="4" fillId="0" borderId="2" xfId="4" applyFont="1" applyBorder="1" applyAlignment="1">
      <alignment horizontal="center"/>
    </xf>
    <xf numFmtId="41" fontId="4" fillId="0" borderId="0" xfId="4" quotePrefix="1" applyFont="1" applyAlignment="1">
      <alignment horizontal="center"/>
    </xf>
    <xf numFmtId="41" fontId="4" fillId="0" borderId="0" xfId="4" quotePrefix="1" applyFont="1" applyBorder="1" applyAlignment="1">
      <alignment horizontal="center"/>
    </xf>
    <xf numFmtId="41" fontId="4" fillId="0" borderId="7" xfId="4" applyBorder="1"/>
    <xf numFmtId="41" fontId="0" fillId="0" borderId="2" xfId="4" applyFont="1" applyBorder="1"/>
    <xf numFmtId="165" fontId="0" fillId="0" borderId="0" xfId="6" applyNumberFormat="1" applyFont="1" applyBorder="1"/>
    <xf numFmtId="165" fontId="0" fillId="0" borderId="0" xfId="6" applyNumberFormat="1" applyFont="1" applyBorder="1" applyAlignment="1">
      <alignment horizontal="center"/>
    </xf>
    <xf numFmtId="10" fontId="0" fillId="0" borderId="2" xfId="0" applyNumberFormat="1" applyBorder="1"/>
    <xf numFmtId="166" fontId="0" fillId="0" borderId="7" xfId="0" quotePrefix="1" applyNumberFormat="1" applyBorder="1"/>
    <xf numFmtId="165" fontId="0" fillId="0" borderId="0" xfId="6" applyNumberFormat="1" applyFont="1"/>
    <xf numFmtId="41" fontId="0" fillId="0" borderId="14" xfId="1" applyFont="1" applyBorder="1"/>
    <xf numFmtId="0" fontId="0" fillId="0" borderId="0" xfId="0" applyFont="1"/>
    <xf numFmtId="0" fontId="0" fillId="0" borderId="0" xfId="0" applyFont="1" applyAlignment="1">
      <alignment horizontal="center"/>
    </xf>
    <xf numFmtId="167" fontId="0" fillId="0" borderId="0" xfId="16" applyNumberFormat="1" applyFont="1"/>
    <xf numFmtId="168" fontId="0" fillId="0" borderId="0" xfId="1" applyNumberFormat="1" applyFont="1" applyAlignment="1">
      <alignment horizontal="right"/>
    </xf>
    <xf numFmtId="168" fontId="0" fillId="0" borderId="0" xfId="1" applyNumberFormat="1" applyFont="1" applyFill="1"/>
    <xf numFmtId="0" fontId="3" fillId="0" borderId="0" xfId="0" applyFont="1" applyAlignment="1">
      <alignment horizontal="right"/>
    </xf>
    <xf numFmtId="168" fontId="0" fillId="0" borderId="0" xfId="0" applyNumberFormat="1"/>
    <xf numFmtId="168" fontId="0" fillId="0" borderId="2" xfId="0" applyNumberFormat="1" applyBorder="1"/>
    <xf numFmtId="168" fontId="0" fillId="0" borderId="14" xfId="0" applyNumberFormat="1" applyBorder="1"/>
    <xf numFmtId="10" fontId="0" fillId="0" borderId="3" xfId="6" applyNumberFormat="1" applyFont="1" applyBorder="1"/>
    <xf numFmtId="168" fontId="0" fillId="0" borderId="3" xfId="0" applyNumberFormat="1" applyBorder="1"/>
    <xf numFmtId="0" fontId="7" fillId="0" borderId="0" xfId="0" quotePrefix="1" applyFont="1" applyAlignment="1">
      <alignment horizontal="center"/>
    </xf>
    <xf numFmtId="165" fontId="0" fillId="0" borderId="0" xfId="22" applyNumberFormat="1" applyFont="1" applyAlignment="1">
      <alignment horizontal="center"/>
    </xf>
    <xf numFmtId="0" fontId="7" fillId="0" borderId="0" xfId="0" applyFont="1"/>
    <xf numFmtId="41" fontId="0" fillId="0" borderId="0" xfId="0" applyNumberFormat="1" applyFont="1" applyBorder="1"/>
    <xf numFmtId="0" fontId="0" fillId="0" borderId="0" xfId="0" applyFont="1" applyBorder="1"/>
    <xf numFmtId="41" fontId="4" fillId="0" borderId="0" xfId="4" applyFill="1"/>
    <xf numFmtId="0" fontId="5" fillId="0" borderId="0" xfId="0" applyFont="1" applyFill="1"/>
    <xf numFmtId="41" fontId="0" fillId="0" borderId="0" xfId="4" applyFont="1" applyAlignment="1">
      <alignment horizontal="right"/>
    </xf>
    <xf numFmtId="41" fontId="0" fillId="0" borderId="0" xfId="4" applyFont="1" applyBorder="1" applyAlignment="1">
      <alignment horizontal="center"/>
    </xf>
    <xf numFmtId="10" fontId="0" fillId="0" borderId="0" xfId="6" applyNumberFormat="1" applyFont="1"/>
    <xf numFmtId="10" fontId="4" fillId="0" borderId="12" xfId="0" applyNumberFormat="1" applyFont="1" applyBorder="1" applyProtection="1"/>
    <xf numFmtId="169" fontId="4" fillId="0" borderId="0" xfId="1" applyNumberFormat="1" applyFont="1" applyBorder="1" applyProtection="1"/>
    <xf numFmtId="41" fontId="0" fillId="0" borderId="0" xfId="4" applyFont="1" applyFill="1"/>
    <xf numFmtId="169" fontId="0" fillId="0" borderId="2" xfId="0" applyNumberFormat="1" applyBorder="1"/>
    <xf numFmtId="0" fontId="13" fillId="0" borderId="0" xfId="19" applyFont="1" applyBorder="1"/>
    <xf numFmtId="166" fontId="0" fillId="0" borderId="0" xfId="21" applyNumberFormat="1" applyFont="1" applyBorder="1"/>
    <xf numFmtId="10" fontId="0" fillId="0" borderId="0" xfId="18" applyNumberFormat="1" applyFont="1" applyBorder="1"/>
    <xf numFmtId="166" fontId="0" fillId="0" borderId="0" xfId="2" applyNumberFormat="1" applyFont="1" applyBorder="1"/>
    <xf numFmtId="165" fontId="0" fillId="0" borderId="0" xfId="22" applyNumberFormat="1" applyFont="1" applyBorder="1"/>
    <xf numFmtId="0" fontId="13" fillId="0" borderId="0" xfId="19" applyFont="1" applyFill="1" applyBorder="1"/>
    <xf numFmtId="166" fontId="0" fillId="0" borderId="0" xfId="21" applyNumberFormat="1" applyFont="1" applyFill="1" applyBorder="1"/>
    <xf numFmtId="0" fontId="0" fillId="0" borderId="0" xfId="3" applyFont="1" applyBorder="1"/>
    <xf numFmtId="164" fontId="0" fillId="0" borderId="0" xfId="0" applyNumberFormat="1" applyFont="1" applyBorder="1"/>
    <xf numFmtId="0" fontId="5" fillId="0" borderId="0" xfId="20" applyFont="1" applyBorder="1"/>
    <xf numFmtId="166" fontId="5" fillId="0" borderId="0" xfId="3" applyNumberFormat="1" applyFont="1" applyFill="1" applyBorder="1"/>
    <xf numFmtId="10" fontId="5" fillId="0" borderId="0" xfId="18" applyNumberFormat="1" applyFont="1" applyBorder="1"/>
    <xf numFmtId="0" fontId="0" fillId="0" borderId="0" xfId="20" applyFont="1" applyBorder="1"/>
    <xf numFmtId="0" fontId="0" fillId="0" borderId="0" xfId="3" applyFont="1" applyFill="1" applyBorder="1"/>
    <xf numFmtId="166" fontId="0" fillId="0" borderId="0" xfId="17" applyNumberFormat="1" applyFont="1" applyFill="1" applyBorder="1"/>
    <xf numFmtId="0" fontId="7" fillId="0" borderId="0" xfId="3" applyFont="1"/>
    <xf numFmtId="166" fontId="7" fillId="0" borderId="0" xfId="2" applyNumberFormat="1" applyFont="1" applyAlignment="1">
      <alignment horizontal="center"/>
    </xf>
    <xf numFmtId="10" fontId="7" fillId="0" borderId="0" xfId="7" applyNumberFormat="1" applyFont="1"/>
    <xf numFmtId="0" fontId="15" fillId="0" borderId="0" xfId="3" applyFont="1"/>
    <xf numFmtId="166" fontId="15" fillId="0" borderId="0" xfId="2" applyNumberFormat="1" applyFont="1" applyAlignment="1">
      <alignment horizontal="center"/>
    </xf>
    <xf numFmtId="10" fontId="15" fillId="0" borderId="0" xfId="7" applyNumberFormat="1" applyFont="1" applyAlignment="1">
      <alignment horizontal="center"/>
    </xf>
    <xf numFmtId="0" fontId="15" fillId="0" borderId="0" xfId="0" applyFont="1" applyAlignment="1">
      <alignment horizontal="center"/>
    </xf>
    <xf numFmtId="166" fontId="7" fillId="0" borderId="0" xfId="2" applyNumberFormat="1" applyFont="1"/>
    <xf numFmtId="165" fontId="7" fillId="0" borderId="0" xfId="22" applyNumberFormat="1" applyFont="1"/>
    <xf numFmtId="0" fontId="16" fillId="0" borderId="0" xfId="19" applyFont="1" applyBorder="1"/>
    <xf numFmtId="166" fontId="7" fillId="0" borderId="0" xfId="21" applyNumberFormat="1" applyFont="1" applyBorder="1"/>
    <xf numFmtId="10" fontId="7" fillId="0" borderId="0" xfId="18" applyNumberFormat="1" applyFont="1" applyBorder="1"/>
    <xf numFmtId="166" fontId="7" fillId="0" borderId="0" xfId="2" applyNumberFormat="1" applyFont="1" applyBorder="1"/>
    <xf numFmtId="165" fontId="7" fillId="0" borderId="0" xfId="22" applyNumberFormat="1" applyFont="1" applyBorder="1"/>
    <xf numFmtId="0" fontId="7" fillId="0" borderId="0" xfId="25" applyFont="1" applyBorder="1"/>
    <xf numFmtId="166" fontId="7" fillId="0" borderId="0" xfId="26" applyNumberFormat="1" applyFont="1"/>
    <xf numFmtId="10" fontId="7" fillId="0" borderId="0" xfId="27" applyNumberFormat="1" applyFont="1" applyFill="1"/>
    <xf numFmtId="0" fontId="7" fillId="0" borderId="0" xfId="25" applyFont="1" applyFill="1" applyBorder="1"/>
    <xf numFmtId="166" fontId="7" fillId="0" borderId="0" xfId="26" applyNumberFormat="1" applyFont="1" applyFill="1"/>
    <xf numFmtId="166" fontId="7" fillId="0" borderId="0" xfId="1" applyNumberFormat="1" applyFont="1" applyFill="1"/>
    <xf numFmtId="10" fontId="7" fillId="0" borderId="0" xfId="27" applyNumberFormat="1" applyFont="1"/>
    <xf numFmtId="0" fontId="7" fillId="0" borderId="0" xfId="25" applyFont="1" applyFill="1"/>
    <xf numFmtId="0" fontId="7" fillId="0" borderId="0" xfId="25" applyFont="1"/>
    <xf numFmtId="0" fontId="14" fillId="0" borderId="7" xfId="25" applyFont="1" applyBorder="1"/>
    <xf numFmtId="166" fontId="14" fillId="0" borderId="7" xfId="25" applyNumberFormat="1" applyFont="1" applyBorder="1"/>
    <xf numFmtId="10" fontId="14" fillId="0" borderId="7" xfId="6" applyNumberFormat="1" applyFont="1" applyBorder="1"/>
    <xf numFmtId="0" fontId="14" fillId="0" borderId="9" xfId="25" applyFont="1" applyBorder="1"/>
    <xf numFmtId="166" fontId="14" fillId="0" borderId="9" xfId="25" applyNumberFormat="1" applyFont="1" applyFill="1" applyBorder="1"/>
    <xf numFmtId="10" fontId="14" fillId="0" borderId="9" xfId="27" applyNumberFormat="1" applyFont="1" applyBorder="1"/>
    <xf numFmtId="10" fontId="7" fillId="0" borderId="0" xfId="7" applyNumberFormat="1" applyFont="1" applyAlignment="1">
      <alignment horizontal="center"/>
    </xf>
    <xf numFmtId="164" fontId="7" fillId="0" borderId="0" xfId="27" applyNumberFormat="1" applyFont="1" applyFill="1" applyAlignment="1">
      <alignment horizontal="center"/>
    </xf>
    <xf numFmtId="166" fontId="0" fillId="0" borderId="0" xfId="0" quotePrefix="1" applyNumberFormat="1" applyBorder="1"/>
    <xf numFmtId="41" fontId="0" fillId="0" borderId="2" xfId="1" applyNumberFormat="1" applyFont="1" applyBorder="1"/>
    <xf numFmtId="41" fontId="0" fillId="0" borderId="0" xfId="5" applyFont="1"/>
    <xf numFmtId="166" fontId="5" fillId="0" borderId="0" xfId="20" applyNumberFormat="1" applyFont="1" applyFill="1" applyBorder="1"/>
    <xf numFmtId="0" fontId="0" fillId="0" borderId="0" xfId="20" applyFont="1" applyFill="1" applyBorder="1"/>
    <xf numFmtId="0" fontId="0" fillId="0" borderId="0" xfId="0" applyFont="1" applyBorder="1" applyAlignment="1">
      <alignment horizontal="center"/>
    </xf>
    <xf numFmtId="170" fontId="0" fillId="0" borderId="0" xfId="6" applyNumberFormat="1" applyFont="1"/>
    <xf numFmtId="0" fontId="14" fillId="0" borderId="0" xfId="33" quotePrefix="1" applyNumberFormat="1" applyFont="1" applyFill="1"/>
    <xf numFmtId="0" fontId="7" fillId="0" borderId="0" xfId="33" applyFont="1" applyFill="1" applyAlignment="1">
      <alignment horizontal="center"/>
    </xf>
    <xf numFmtId="49" fontId="7" fillId="0" borderId="0" xfId="33" quotePrefix="1" applyNumberFormat="1" applyFont="1" applyFill="1" applyAlignment="1">
      <alignment horizontal="center"/>
    </xf>
    <xf numFmtId="0" fontId="7" fillId="0" borderId="0" xfId="33" quotePrefix="1" applyNumberFormat="1" applyFont="1" applyFill="1"/>
    <xf numFmtId="0" fontId="14" fillId="0" borderId="0" xfId="33" applyFont="1" applyFill="1"/>
    <xf numFmtId="0" fontId="7" fillId="0" borderId="0" xfId="33" applyFont="1" applyFill="1" applyAlignment="1">
      <alignment horizontal="right"/>
    </xf>
    <xf numFmtId="0" fontId="14" fillId="0" borderId="0" xfId="33" applyFont="1" applyFill="1" applyBorder="1" applyAlignment="1">
      <alignment horizontal="left"/>
    </xf>
    <xf numFmtId="0" fontId="14" fillId="0" borderId="0" xfId="33" applyFont="1" applyFill="1" applyBorder="1" applyAlignment="1">
      <alignment horizontal="center"/>
    </xf>
    <xf numFmtId="0" fontId="7" fillId="0" borderId="0" xfId="33" applyFont="1" applyFill="1" applyBorder="1" applyAlignment="1">
      <alignment horizontal="left"/>
    </xf>
    <xf numFmtId="0" fontId="7" fillId="0" borderId="0" xfId="33" applyFont="1" applyFill="1" applyBorder="1" applyAlignment="1">
      <alignment horizontal="center"/>
    </xf>
    <xf numFmtId="49" fontId="14" fillId="0" borderId="0" xfId="33" applyNumberFormat="1" applyFont="1" applyFill="1"/>
    <xf numFmtId="0" fontId="7" fillId="0" borderId="0" xfId="33" applyFont="1"/>
    <xf numFmtId="49" fontId="7" fillId="0" borderId="0" xfId="33" applyNumberFormat="1" applyFont="1" applyFill="1"/>
    <xf numFmtId="0" fontId="7" fillId="0" borderId="0" xfId="33" applyFont="1" applyFill="1"/>
    <xf numFmtId="0" fontId="7" fillId="0" borderId="2" xfId="0" applyFont="1" applyBorder="1" applyAlignment="1">
      <alignment horizontal="center"/>
    </xf>
    <xf numFmtId="0" fontId="7" fillId="0" borderId="2" xfId="0" quotePrefix="1" applyFont="1" applyBorder="1" applyAlignment="1">
      <alignment horizontal="center"/>
    </xf>
    <xf numFmtId="0" fontId="0" fillId="0" borderId="2" xfId="0" applyBorder="1" applyAlignment="1"/>
    <xf numFmtId="0" fontId="0" fillId="0" borderId="0" xfId="0" applyAlignment="1">
      <alignment horizontal="right"/>
    </xf>
    <xf numFmtId="17" fontId="7" fillId="0" borderId="0" xfId="1" applyNumberFormat="1" applyFont="1"/>
    <xf numFmtId="0" fontId="0" fillId="0" borderId="0" xfId="0" applyFill="1" applyBorder="1" applyAlignment="1">
      <alignment horizontal="center"/>
    </xf>
    <xf numFmtId="41" fontId="7" fillId="0" borderId="2" xfId="0" applyNumberFormat="1" applyFont="1" applyBorder="1"/>
    <xf numFmtId="0" fontId="0" fillId="0" borderId="0" xfId="0" applyBorder="1" applyAlignment="1"/>
    <xf numFmtId="0" fontId="0" fillId="0" borderId="0" xfId="0" quotePrefix="1" applyBorder="1" applyAlignment="1"/>
    <xf numFmtId="0" fontId="0" fillId="0" borderId="2" xfId="0" applyFill="1" applyBorder="1" applyAlignment="1">
      <alignment horizontal="center"/>
    </xf>
    <xf numFmtId="164" fontId="0" fillId="0" borderId="0" xfId="6" applyNumberFormat="1" applyFont="1"/>
    <xf numFmtId="41" fontId="7" fillId="0" borderId="3" xfId="0" applyNumberFormat="1" applyFont="1" applyBorder="1"/>
    <xf numFmtId="41" fontId="7" fillId="0" borderId="0" xfId="1" applyFont="1"/>
    <xf numFmtId="0" fontId="7" fillId="0" borderId="2" xfId="33" applyFont="1" applyFill="1" applyBorder="1" applyAlignment="1">
      <alignment horizontal="left"/>
    </xf>
    <xf numFmtId="0" fontId="7" fillId="0" borderId="2" xfId="33" applyFont="1" applyFill="1" applyBorder="1" applyAlignment="1">
      <alignment horizontal="center"/>
    </xf>
    <xf numFmtId="41" fontId="0" fillId="0" borderId="7" xfId="0" applyNumberFormat="1" applyBorder="1"/>
    <xf numFmtId="164" fontId="0" fillId="0" borderId="0" xfId="6" applyNumberFormat="1" applyFont="1" applyAlignment="1">
      <alignment horizontal="center"/>
    </xf>
    <xf numFmtId="41" fontId="7" fillId="0" borderId="2" xfId="1" applyFont="1" applyBorder="1"/>
    <xf numFmtId="41" fontId="7" fillId="0" borderId="0" xfId="0" applyNumberFormat="1" applyFont="1"/>
    <xf numFmtId="170" fontId="0" fillId="0" borderId="0" xfId="1" applyNumberFormat="1" applyFont="1"/>
    <xf numFmtId="171" fontId="0" fillId="0" borderId="0" xfId="0" applyNumberFormat="1"/>
    <xf numFmtId="43" fontId="7" fillId="0" borderId="0" xfId="0" applyNumberFormat="1" applyFont="1"/>
    <xf numFmtId="41" fontId="0" fillId="0" borderId="0" xfId="1" applyFont="1" applyBorder="1" applyAlignment="1">
      <alignment horizontal="center"/>
    </xf>
    <xf numFmtId="41" fontId="0" fillId="0" borderId="0" xfId="0" quotePrefix="1" applyNumberFormat="1" applyFont="1" applyBorder="1"/>
    <xf numFmtId="0" fontId="0" fillId="0" borderId="2" xfId="0" applyBorder="1" applyAlignment="1">
      <alignment horizontal="right"/>
    </xf>
    <xf numFmtId="165" fontId="0" fillId="0" borderId="0" xfId="6" applyNumberFormat="1" applyFont="1" applyAlignment="1">
      <alignment horizontal="center"/>
    </xf>
    <xf numFmtId="166" fontId="0" fillId="0" borderId="3" xfId="0" applyNumberFormat="1" applyBorder="1"/>
    <xf numFmtId="10" fontId="0" fillId="0" borderId="2" xfId="6" applyNumberFormat="1" applyFont="1" applyBorder="1"/>
    <xf numFmtId="166" fontId="0" fillId="0" borderId="0" xfId="1" applyNumberFormat="1" applyFont="1"/>
    <xf numFmtId="166" fontId="0" fillId="0" borderId="2" xfId="1" applyNumberFormat="1" applyFont="1" applyBorder="1"/>
    <xf numFmtId="0" fontId="0" fillId="0" borderId="0" xfId="0" quotePrefix="1" applyFont="1"/>
    <xf numFmtId="0" fontId="0" fillId="0" borderId="0" xfId="0" applyBorder="1" applyAlignment="1">
      <alignment horizontal="right"/>
    </xf>
    <xf numFmtId="0" fontId="4" fillId="0" borderId="0" xfId="0" applyFont="1" applyAlignment="1"/>
    <xf numFmtId="167" fontId="4" fillId="0" borderId="0" xfId="16" applyNumberFormat="1" applyFont="1" applyAlignment="1"/>
    <xf numFmtId="167" fontId="4" fillId="0" borderId="0" xfId="16" applyNumberFormat="1" applyFont="1"/>
    <xf numFmtId="0" fontId="4" fillId="0" borderId="2" xfId="0" applyFont="1" applyBorder="1" applyAlignment="1">
      <alignment horizontal="center"/>
    </xf>
    <xf numFmtId="0" fontId="4" fillId="0" borderId="2" xfId="0" applyFont="1" applyBorder="1"/>
    <xf numFmtId="167" fontId="4" fillId="0" borderId="2" xfId="16" applyNumberFormat="1" applyFont="1" applyBorder="1" applyAlignment="1">
      <alignment horizontal="center"/>
    </xf>
    <xf numFmtId="10" fontId="4" fillId="0" borderId="2" xfId="6" applyNumberFormat="1" applyFont="1" applyBorder="1"/>
    <xf numFmtId="167" fontId="4" fillId="0" borderId="2" xfId="16" applyNumberFormat="1" applyFont="1" applyFill="1" applyBorder="1"/>
    <xf numFmtId="167" fontId="4" fillId="0" borderId="3" xfId="16" applyNumberFormat="1" applyFont="1" applyBorder="1"/>
    <xf numFmtId="0" fontId="4" fillId="0" borderId="0" xfId="0" quotePrefix="1" applyFont="1"/>
    <xf numFmtId="167" fontId="4" fillId="0" borderId="0" xfId="16" applyNumberFormat="1" applyFont="1" applyBorder="1"/>
    <xf numFmtId="0" fontId="0" fillId="0" borderId="0" xfId="0" applyFont="1" applyAlignment="1">
      <alignment horizontal="left"/>
    </xf>
    <xf numFmtId="0" fontId="0" fillId="0" borderId="0" xfId="0" quotePrefix="1" applyFont="1" applyAlignment="1">
      <alignment horizontal="left"/>
    </xf>
    <xf numFmtId="9" fontId="4" fillId="0" borderId="2" xfId="6" applyNumberFormat="1" applyFont="1" applyBorder="1"/>
    <xf numFmtId="0" fontId="0" fillId="0" borderId="0" xfId="0" applyAlignment="1">
      <alignment horizontal="centerContinuous" wrapText="1"/>
    </xf>
    <xf numFmtId="166" fontId="0" fillId="0" borderId="0" xfId="1" applyNumberFormat="1" applyFont="1" applyBorder="1"/>
    <xf numFmtId="166" fontId="0" fillId="0" borderId="3" xfId="1" applyNumberFormat="1" applyFont="1" applyBorder="1"/>
    <xf numFmtId="41" fontId="4" fillId="0" borderId="2" xfId="0" applyNumberFormat="1" applyFont="1" applyBorder="1" applyProtection="1"/>
    <xf numFmtId="41" fontId="22" fillId="0" borderId="0" xfId="4" applyFont="1"/>
    <xf numFmtId="167" fontId="0" fillId="0" borderId="0" xfId="16" applyNumberFormat="1" applyFont="1" applyBorder="1"/>
    <xf numFmtId="41" fontId="7" fillId="0" borderId="7" xfId="1" applyFont="1" applyBorder="1"/>
    <xf numFmtId="41" fontId="7" fillId="0" borderId="7" xfId="0" applyNumberFormat="1" applyFont="1" applyBorder="1"/>
    <xf numFmtId="41" fontId="7" fillId="0" borderId="0" xfId="4" quotePrefix="1" applyFont="1" applyAlignment="1">
      <alignment horizontal="center"/>
    </xf>
    <xf numFmtId="41" fontId="0" fillId="0" borderId="0" xfId="4" quotePrefix="1" applyFont="1"/>
    <xf numFmtId="17" fontId="7" fillId="0" borderId="0" xfId="1" applyNumberFormat="1" applyFont="1" applyAlignment="1">
      <alignment horizontal="right"/>
    </xf>
    <xf numFmtId="41" fontId="7" fillId="0" borderId="0" xfId="1" applyFont="1" applyAlignment="1">
      <alignment horizontal="right"/>
    </xf>
    <xf numFmtId="10" fontId="0" fillId="6" borderId="0" xfId="6" applyNumberFormat="1" applyFont="1" applyFill="1"/>
    <xf numFmtId="41" fontId="0" fillId="6" borderId="17" xfId="1" applyFont="1" applyFill="1" applyBorder="1"/>
    <xf numFmtId="41" fontId="4" fillId="6" borderId="17" xfId="4" applyFill="1" applyBorder="1"/>
    <xf numFmtId="0" fontId="0" fillId="6" borderId="0" xfId="0" applyFill="1"/>
    <xf numFmtId="41" fontId="0" fillId="6" borderId="0" xfId="1" applyFont="1" applyFill="1"/>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8" xfId="0" applyBorder="1" applyAlignment="1">
      <alignment horizontal="justify"/>
    </xf>
    <xf numFmtId="0" fontId="0" fillId="0" borderId="9" xfId="0" applyBorder="1" applyAlignment="1">
      <alignment horizontal="justify"/>
    </xf>
    <xf numFmtId="0" fontId="0" fillId="0" borderId="4" xfId="0" applyBorder="1" applyAlignment="1">
      <alignment horizontal="justify"/>
    </xf>
    <xf numFmtId="0" fontId="0" fillId="0" borderId="10" xfId="0" applyBorder="1" applyAlignment="1">
      <alignment horizontal="justify"/>
    </xf>
    <xf numFmtId="0" fontId="0" fillId="0" borderId="0" xfId="0" applyBorder="1" applyAlignment="1">
      <alignment horizontal="justify"/>
    </xf>
    <xf numFmtId="0" fontId="0" fillId="0" borderId="5" xfId="0" applyBorder="1" applyAlignment="1">
      <alignment horizontal="justify"/>
    </xf>
    <xf numFmtId="0" fontId="0" fillId="0" borderId="11" xfId="0" applyBorder="1" applyAlignment="1">
      <alignment horizontal="justify"/>
    </xf>
    <xf numFmtId="0" fontId="0" fillId="0" borderId="2" xfId="0" applyBorder="1" applyAlignment="1">
      <alignment horizontal="justify"/>
    </xf>
    <xf numFmtId="0" fontId="0" fillId="0" borderId="6" xfId="0" applyBorder="1" applyAlignment="1">
      <alignment horizontal="justify"/>
    </xf>
    <xf numFmtId="0" fontId="0" fillId="0" borderId="15" xfId="0" applyBorder="1" applyAlignment="1">
      <alignment horizontal="justify" wrapText="1"/>
    </xf>
    <xf numFmtId="0" fontId="0" fillId="0" borderId="7" xfId="0" applyBorder="1" applyAlignment="1">
      <alignment horizontal="justify" wrapText="1"/>
    </xf>
    <xf numFmtId="0" fontId="0" fillId="0" borderId="16" xfId="0" applyBorder="1" applyAlignment="1">
      <alignment horizontal="justify" wrapText="1"/>
    </xf>
  </cellXfs>
  <cellStyles count="71">
    <cellStyle name="Comma" xfId="1" builtinId="3"/>
    <cellStyle name="Comma [0] 2" xfId="46"/>
    <cellStyle name="Comma [0] 3" xfId="49"/>
    <cellStyle name="Comma [0] 4" xfId="47"/>
    <cellStyle name="Comma 13" xfId="21"/>
    <cellStyle name="Comma 2" xfId="2"/>
    <cellStyle name="Comma 2 2" xfId="66"/>
    <cellStyle name="Comma 2 2 2" xfId="11"/>
    <cellStyle name="Comma 2 3" xfId="65"/>
    <cellStyle name="Comma 2 4" xfId="34"/>
    <cellStyle name="Comma 3" xfId="45"/>
    <cellStyle name="Comma 3 2" xfId="67"/>
    <cellStyle name="Comma 4" xfId="12"/>
    <cellStyle name="Comma 4 2" xfId="50"/>
    <cellStyle name="Comma 5" xfId="17"/>
    <cellStyle name="Comma 5 2" xfId="63"/>
    <cellStyle name="Comma 6" xfId="29"/>
    <cellStyle name="Comma 6 2" xfId="26"/>
    <cellStyle name="Comma 7" xfId="69"/>
    <cellStyle name="Comma 8" xfId="70"/>
    <cellStyle name="Currency" xfId="16" builtinId="4"/>
    <cellStyle name="Currency 2 2 2" xfId="14"/>
    <cellStyle name="Normal" xfId="0" builtinId="0"/>
    <cellStyle name="Normal 12" xfId="9"/>
    <cellStyle name="Normal 18" xfId="33"/>
    <cellStyle name="Normal 19" xfId="20"/>
    <cellStyle name="Normal 19 2" xfId="40"/>
    <cellStyle name="Normal 2" xfId="3"/>
    <cellStyle name="Normal 2 2" xfId="10"/>
    <cellStyle name="Normal 2 2 2" xfId="68"/>
    <cellStyle name="Normal 2 2 3" xfId="32"/>
    <cellStyle name="Normal 2 3" xfId="54"/>
    <cellStyle name="Normal 2 4" xfId="64"/>
    <cellStyle name="Normal 2 5" xfId="41"/>
    <cellStyle name="Normal 2_Composite Rates" xfId="59"/>
    <cellStyle name="Normal 22" xfId="42"/>
    <cellStyle name="Normal 3" xfId="38"/>
    <cellStyle name="Normal 3 2" xfId="58"/>
    <cellStyle name="Normal 3_Composite Rates" xfId="60"/>
    <cellStyle name="Normal 4" xfId="43"/>
    <cellStyle name="Normal 4 3" xfId="25"/>
    <cellStyle name="Normal 5" xfId="35"/>
    <cellStyle name="Normal 5 3" xfId="19"/>
    <cellStyle name="Normal 6" xfId="44"/>
    <cellStyle name="Normal 7" xfId="23"/>
    <cellStyle name="Normal 7 2" xfId="24"/>
    <cellStyle name="Normal 7 3" xfId="39"/>
    <cellStyle name="Normal 8" xfId="62"/>
    <cellStyle name="Normal 9" xfId="28"/>
    <cellStyle name="Normal_SHEET" xfId="4"/>
    <cellStyle name="Normal_SHEET_3" xfId="5"/>
    <cellStyle name="Percent" xfId="6" builtinId="5"/>
    <cellStyle name="Percent 11" xfId="22"/>
    <cellStyle name="Percent 2" xfId="7"/>
    <cellStyle name="Percent 2 2" xfId="55"/>
    <cellStyle name="Percent 2 2 2" xfId="15"/>
    <cellStyle name="Percent 3" xfId="13"/>
    <cellStyle name="Percent 3 2" xfId="48"/>
    <cellStyle name="Percent 3 3" xfId="37"/>
    <cellStyle name="Percent 4" xfId="18"/>
    <cellStyle name="Percent 5" xfId="27"/>
    <cellStyle name="Percent 6" xfId="30"/>
    <cellStyle name="SAPBEXaggData" xfId="57"/>
    <cellStyle name="SAPBEXaggItem" xfId="56"/>
    <cellStyle name="SAPBEXchaText" xfId="51"/>
    <cellStyle name="SAPBEXstdData" xfId="53"/>
    <cellStyle name="SAPBEXstdItem" xfId="8"/>
    <cellStyle name="SAPBEXstdItem 2" xfId="36"/>
    <cellStyle name="SAPBEXstdItem 3" xfId="31"/>
    <cellStyle name="SAPBEXstdItem_Composite Rates" xfId="61"/>
    <cellStyle name="SAPBEXstdItemX"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71"/>
  <sheetViews>
    <sheetView tabSelected="1" workbookViewId="0">
      <selection activeCell="C21" sqref="C21"/>
    </sheetView>
  </sheetViews>
  <sheetFormatPr defaultRowHeight="15.6" x14ac:dyDescent="0.3"/>
  <cols>
    <col min="1" max="1" width="3.8984375" customWidth="1"/>
    <col min="2" max="2" width="1.5" customWidth="1"/>
    <col min="3" max="3" width="44.59765625" customWidth="1"/>
    <col min="4" max="4" width="6" customWidth="1"/>
    <col min="5" max="5" width="12.5" customWidth="1"/>
    <col min="6" max="6" width="1.09765625" customWidth="1"/>
    <col min="7" max="7" width="11.19921875" customWidth="1"/>
    <col min="8" max="8" width="1.69921875" customWidth="1"/>
    <col min="9" max="9" width="12" customWidth="1"/>
  </cols>
  <sheetData>
    <row r="1" spans="1:10" x14ac:dyDescent="0.3">
      <c r="A1" t="s">
        <v>186</v>
      </c>
      <c r="G1" t="s">
        <v>553</v>
      </c>
    </row>
    <row r="2" spans="1:10" x14ac:dyDescent="0.3">
      <c r="A2" t="s">
        <v>187</v>
      </c>
      <c r="G2" t="s">
        <v>566</v>
      </c>
    </row>
    <row r="3" spans="1:10" x14ac:dyDescent="0.3">
      <c r="A3" t="s">
        <v>427</v>
      </c>
      <c r="G3" t="s">
        <v>510</v>
      </c>
    </row>
    <row r="4" spans="1:10" x14ac:dyDescent="0.3">
      <c r="A4" t="s">
        <v>188</v>
      </c>
      <c r="G4" t="s">
        <v>568</v>
      </c>
    </row>
    <row r="6" spans="1:10" x14ac:dyDescent="0.3">
      <c r="G6" s="1" t="s">
        <v>416</v>
      </c>
      <c r="H6" s="1"/>
      <c r="I6" s="1" t="s">
        <v>429</v>
      </c>
    </row>
    <row r="7" spans="1:10" x14ac:dyDescent="0.3">
      <c r="E7" s="1"/>
      <c r="F7" s="1"/>
      <c r="G7" s="1" t="s">
        <v>432</v>
      </c>
      <c r="H7" s="1"/>
      <c r="I7" s="1" t="s">
        <v>430</v>
      </c>
    </row>
    <row r="8" spans="1:10" x14ac:dyDescent="0.3">
      <c r="A8" t="s">
        <v>0</v>
      </c>
      <c r="C8" s="2" t="s">
        <v>1</v>
      </c>
      <c r="E8" s="10" t="s">
        <v>97</v>
      </c>
      <c r="F8" s="1"/>
      <c r="G8" s="10" t="s">
        <v>428</v>
      </c>
      <c r="H8" s="1"/>
      <c r="I8" s="10" t="s">
        <v>431</v>
      </c>
    </row>
    <row r="10" spans="1:10" x14ac:dyDescent="0.3">
      <c r="A10">
        <v>1</v>
      </c>
      <c r="C10" t="s">
        <v>433</v>
      </c>
      <c r="E10" s="44">
        <f>RevReq!G10</f>
        <v>849625443</v>
      </c>
      <c r="F10" s="44"/>
      <c r="G10" s="44">
        <f>RevReq!G12</f>
        <v>48317806</v>
      </c>
      <c r="H10" s="44"/>
      <c r="I10" s="44"/>
      <c r="J10" s="44"/>
    </row>
    <row r="11" spans="1:10" ht="9" customHeight="1" x14ac:dyDescent="0.3">
      <c r="E11" s="44"/>
      <c r="F11" s="44"/>
      <c r="G11" s="44"/>
      <c r="H11" s="44"/>
      <c r="I11" s="44"/>
      <c r="J11" s="44"/>
    </row>
    <row r="12" spans="1:10" x14ac:dyDescent="0.3">
      <c r="A12">
        <v>2</v>
      </c>
      <c r="C12" t="s">
        <v>434</v>
      </c>
      <c r="E12" s="44"/>
      <c r="F12" s="44"/>
      <c r="G12" s="44"/>
      <c r="H12" s="44"/>
      <c r="I12" s="44">
        <f>((E10*RevReq!G16)-G10)*RevReq!G22</f>
        <v>27201268.12738134</v>
      </c>
      <c r="J12" s="44"/>
    </row>
    <row r="13" spans="1:10" ht="8.25" customHeight="1" x14ac:dyDescent="0.3">
      <c r="E13" s="44"/>
      <c r="F13" s="44"/>
      <c r="G13" s="44"/>
      <c r="H13" s="44"/>
      <c r="I13" s="44"/>
      <c r="J13" s="44"/>
    </row>
    <row r="14" spans="1:10" x14ac:dyDescent="0.3">
      <c r="C14" s="3" t="s">
        <v>435</v>
      </c>
      <c r="E14" s="44"/>
      <c r="F14" s="44"/>
      <c r="G14" s="44"/>
      <c r="H14" s="44"/>
      <c r="I14" s="44"/>
      <c r="J14" s="44"/>
    </row>
    <row r="15" spans="1:10" x14ac:dyDescent="0.3">
      <c r="A15">
        <v>3</v>
      </c>
      <c r="C15" s="235" t="s">
        <v>565</v>
      </c>
      <c r="D15" s="235"/>
      <c r="E15" s="236"/>
      <c r="F15" s="44"/>
      <c r="G15" s="44"/>
      <c r="H15" s="44"/>
      <c r="I15" s="44">
        <f>E10*(RevReq!I16-RevReq!G16)*RevReq!I22</f>
        <v>-9107068.459331451</v>
      </c>
      <c r="J15" s="44"/>
    </row>
    <row r="16" spans="1:10" x14ac:dyDescent="0.3">
      <c r="A16">
        <v>4</v>
      </c>
      <c r="C16" t="s">
        <v>436</v>
      </c>
      <c r="E16" s="44">
        <f>Adjustments!G57+Adjustments!H57</f>
        <v>-21726982.141460512</v>
      </c>
      <c r="F16" s="44"/>
      <c r="G16" s="44">
        <f>Adjustments!G34+Adjustments!H34</f>
        <v>320880.57672357128</v>
      </c>
      <c r="H16" s="44"/>
      <c r="I16" s="202">
        <f>(E16*RevReq!$I$16*RevReq!$I$22)-(G16*RevReq!$I$22)</f>
        <v>-2975602.4450141974</v>
      </c>
      <c r="J16" s="44"/>
    </row>
    <row r="17" spans="1:10" x14ac:dyDescent="0.3">
      <c r="A17">
        <v>5</v>
      </c>
      <c r="C17" t="s">
        <v>437</v>
      </c>
      <c r="E17" s="44"/>
      <c r="F17" s="44"/>
      <c r="G17" s="44">
        <f>Adjustments!I34</f>
        <v>18306.063171499998</v>
      </c>
      <c r="H17" s="44"/>
      <c r="I17" s="202">
        <f>(E17*RevReq!$I$16*RevReq!$I$22)-(G17*RevReq!$I$22)</f>
        <v>-29554.50947933484</v>
      </c>
      <c r="J17" s="44"/>
    </row>
    <row r="18" spans="1:10" x14ac:dyDescent="0.3">
      <c r="A18">
        <v>6</v>
      </c>
      <c r="C18" t="s">
        <v>438</v>
      </c>
      <c r="E18" s="44"/>
      <c r="F18" s="44"/>
      <c r="G18" s="44">
        <f>Adjustments!J34</f>
        <v>443699.17844407569</v>
      </c>
      <c r="H18" s="44"/>
      <c r="I18" s="202">
        <f>(E18*RevReq!$I$16*RevReq!$I$22)-(G18*RevReq!$I$22)</f>
        <v>-716337.06561846251</v>
      </c>
      <c r="J18" s="44"/>
    </row>
    <row r="19" spans="1:10" x14ac:dyDescent="0.3">
      <c r="A19">
        <v>7</v>
      </c>
      <c r="C19" t="s">
        <v>439</v>
      </c>
      <c r="E19" s="44"/>
      <c r="F19" s="44"/>
      <c r="G19" s="44">
        <f>Adjustments!K34</f>
        <v>245462.62368256872</v>
      </c>
      <c r="H19" s="44"/>
      <c r="I19" s="202">
        <f>(E19*RevReq!$I$16*RevReq!$I$22)-(G19*RevReq!$I$22)</f>
        <v>-396290.96493795404</v>
      </c>
      <c r="J19" s="44"/>
    </row>
    <row r="20" spans="1:10" x14ac:dyDescent="0.3">
      <c r="A20">
        <v>8</v>
      </c>
      <c r="C20" t="s">
        <v>440</v>
      </c>
      <c r="E20" s="44"/>
      <c r="F20" s="44"/>
      <c r="G20" s="44">
        <f>Adjustments!L34</f>
        <v>495005.48426418408</v>
      </c>
      <c r="H20" s="44"/>
      <c r="I20" s="202">
        <f>(E20*RevReq!$I$16*RevReq!$I$22)-(G20*RevReq!$I$22)</f>
        <v>-799169.33203775284</v>
      </c>
      <c r="J20" s="44"/>
    </row>
    <row r="21" spans="1:10" x14ac:dyDescent="0.3">
      <c r="A21">
        <v>9</v>
      </c>
      <c r="C21" t="s">
        <v>441</v>
      </c>
      <c r="E21" s="44"/>
      <c r="F21" s="44"/>
      <c r="G21" s="44">
        <f>Adjustments!M34</f>
        <v>65446.040346477079</v>
      </c>
      <c r="H21" s="44"/>
      <c r="I21" s="202">
        <f>(E21*RevReq!$I$16*RevReq!$I$22)-(G21*RevReq!$I$22)</f>
        <v>-105660.38157325974</v>
      </c>
      <c r="J21" s="44"/>
    </row>
    <row r="22" spans="1:10" x14ac:dyDescent="0.3">
      <c r="A22">
        <v>10</v>
      </c>
      <c r="C22" t="s">
        <v>442</v>
      </c>
      <c r="E22" s="44"/>
      <c r="F22" s="44"/>
      <c r="G22" s="44">
        <f>Adjustments!N34</f>
        <v>936190.45</v>
      </c>
      <c r="H22" s="44"/>
      <c r="I22" s="202">
        <f>(E22*RevReq!$I$16*RevReq!$I$22)-(G22*RevReq!$I$22)</f>
        <v>-1511447.287697772</v>
      </c>
      <c r="J22" s="44"/>
    </row>
    <row r="23" spans="1:10" x14ac:dyDescent="0.3">
      <c r="A23">
        <v>11</v>
      </c>
      <c r="C23" t="s">
        <v>443</v>
      </c>
      <c r="E23" s="44"/>
      <c r="F23" s="44"/>
      <c r="G23" s="44">
        <f>Adjustments!O34</f>
        <v>148503.54999999999</v>
      </c>
      <c r="H23" s="44"/>
      <c r="I23" s="202">
        <f>(E23*RevReq!$I$16*RevReq!$I$22)-(G23*RevReq!$I$22)</f>
        <v>-239753.87471746851</v>
      </c>
      <c r="J23" s="44"/>
    </row>
    <row r="24" spans="1:10" x14ac:dyDescent="0.3">
      <c r="A24">
        <v>12</v>
      </c>
      <c r="C24" t="s">
        <v>509</v>
      </c>
      <c r="E24" s="44"/>
      <c r="F24" s="44"/>
      <c r="G24" s="44">
        <f>Adjustments!P34</f>
        <v>-55085.55</v>
      </c>
      <c r="H24" s="44"/>
      <c r="I24" s="202">
        <f>(E24*RevReq!$I$16*RevReq!$I$22)-(G24*RevReq!$I$22)</f>
        <v>88933.726186632237</v>
      </c>
      <c r="J24" s="44"/>
    </row>
    <row r="25" spans="1:10" x14ac:dyDescent="0.3">
      <c r="A25">
        <v>13</v>
      </c>
      <c r="C25" t="s">
        <v>508</v>
      </c>
      <c r="E25" s="44"/>
      <c r="F25" s="44"/>
      <c r="G25" s="44">
        <f>Adjustments!Q34</f>
        <v>-27339</v>
      </c>
      <c r="H25" s="44"/>
      <c r="I25" s="202">
        <f>(E25*RevReq!$I$16*RevReq!$I$22)-(G25*RevReq!$I$22)</f>
        <v>44137.875363254767</v>
      </c>
      <c r="J25" s="44"/>
    </row>
    <row r="26" spans="1:10" x14ac:dyDescent="0.3">
      <c r="A26">
        <v>14</v>
      </c>
      <c r="C26" t="s">
        <v>473</v>
      </c>
      <c r="E26" s="44"/>
      <c r="F26" s="44"/>
      <c r="G26" s="44">
        <f>Adjustments!R34</f>
        <v>202482</v>
      </c>
      <c r="H26" s="44"/>
      <c r="I26" s="203">
        <f>(E26*RevReq!$I$16*RevReq!$I$22)-(G26*RevReq!$I$22)</f>
        <v>-326900.22602518566</v>
      </c>
      <c r="J26" s="44"/>
    </row>
    <row r="27" spans="1:10" ht="7.5" customHeight="1" x14ac:dyDescent="0.3">
      <c r="E27" s="44"/>
      <c r="F27" s="44"/>
      <c r="G27" s="44"/>
      <c r="H27" s="44"/>
      <c r="I27" s="221"/>
      <c r="J27" s="44"/>
    </row>
    <row r="28" spans="1:10" ht="16.2" thickBot="1" x14ac:dyDescent="0.35">
      <c r="A28">
        <v>15</v>
      </c>
      <c r="C28" t="s">
        <v>488</v>
      </c>
      <c r="E28" s="44"/>
      <c r="F28" s="44"/>
      <c r="G28" s="44"/>
      <c r="H28" s="44"/>
      <c r="I28" s="222">
        <f>SUM(I12:I26)+1</f>
        <v>11126556.182498388</v>
      </c>
      <c r="J28" s="44"/>
    </row>
    <row r="29" spans="1:10" ht="9" customHeight="1" thickTop="1" x14ac:dyDescent="0.3">
      <c r="E29" s="44"/>
      <c r="F29" s="44"/>
      <c r="G29" s="44"/>
      <c r="H29" s="44"/>
      <c r="I29" s="202"/>
      <c r="J29" s="44"/>
    </row>
    <row r="30" spans="1:10" x14ac:dyDescent="0.3">
      <c r="A30">
        <v>16</v>
      </c>
      <c r="C30" t="s">
        <v>485</v>
      </c>
      <c r="E30" s="44"/>
      <c r="F30" s="44"/>
      <c r="G30" s="44"/>
      <c r="H30" s="44"/>
      <c r="I30" s="202"/>
      <c r="J30" s="44"/>
    </row>
    <row r="31" spans="1:10" x14ac:dyDescent="0.3">
      <c r="C31" t="s">
        <v>486</v>
      </c>
      <c r="E31" s="44"/>
      <c r="F31" s="44"/>
      <c r="G31" s="44"/>
      <c r="H31" s="44"/>
      <c r="I31" s="203">
        <f>-10000000</f>
        <v>-10000000</v>
      </c>
      <c r="J31" s="44"/>
    </row>
    <row r="32" spans="1:10" ht="6" customHeight="1" x14ac:dyDescent="0.3">
      <c r="E32" s="44"/>
      <c r="F32" s="44"/>
      <c r="G32" s="44"/>
      <c r="H32" s="44"/>
      <c r="I32" s="202"/>
      <c r="J32" s="44"/>
    </row>
    <row r="33" spans="1:10" ht="16.2" thickBot="1" x14ac:dyDescent="0.35">
      <c r="A33">
        <v>17</v>
      </c>
      <c r="C33" t="s">
        <v>444</v>
      </c>
      <c r="E33" s="44"/>
      <c r="F33" s="44"/>
      <c r="G33" s="44"/>
      <c r="H33" s="44"/>
      <c r="I33" s="222">
        <f>SUM(I28:I31)</f>
        <v>1126556.182498388</v>
      </c>
      <c r="J33" s="44"/>
    </row>
    <row r="34" spans="1:10" ht="16.2" thickTop="1" x14ac:dyDescent="0.3">
      <c r="E34" s="44"/>
      <c r="F34" s="44"/>
      <c r="G34" s="44"/>
      <c r="H34" s="44"/>
      <c r="I34" s="202"/>
      <c r="J34" s="44"/>
    </row>
    <row r="35" spans="1:10" x14ac:dyDescent="0.3">
      <c r="E35" s="44"/>
      <c r="F35" s="44"/>
      <c r="G35" s="44"/>
      <c r="H35" s="44"/>
      <c r="I35" s="202"/>
      <c r="J35" s="44"/>
    </row>
    <row r="36" spans="1:10" x14ac:dyDescent="0.3">
      <c r="E36" s="44"/>
      <c r="F36" s="44"/>
      <c r="G36" s="44"/>
      <c r="H36" s="44"/>
      <c r="I36" s="202"/>
      <c r="J36" s="44"/>
    </row>
    <row r="37" spans="1:10" x14ac:dyDescent="0.3">
      <c r="E37" s="44"/>
      <c r="F37" s="44"/>
      <c r="G37" s="44"/>
      <c r="H37" s="44"/>
      <c r="I37" s="202"/>
      <c r="J37" s="44"/>
    </row>
    <row r="38" spans="1:10" x14ac:dyDescent="0.3">
      <c r="E38" s="44"/>
      <c r="F38" s="44"/>
      <c r="G38" s="44"/>
      <c r="H38" s="44"/>
      <c r="I38" s="202"/>
      <c r="J38" s="44"/>
    </row>
    <row r="39" spans="1:10" x14ac:dyDescent="0.3">
      <c r="E39" s="44"/>
      <c r="F39" s="44"/>
      <c r="G39" s="44"/>
      <c r="H39" s="44"/>
      <c r="I39" s="44"/>
      <c r="J39" s="44"/>
    </row>
    <row r="40" spans="1:10" x14ac:dyDescent="0.3">
      <c r="E40" s="44"/>
      <c r="F40" s="44"/>
      <c r="G40" s="44"/>
      <c r="H40" s="44"/>
      <c r="I40" s="44"/>
      <c r="J40" s="44"/>
    </row>
    <row r="41" spans="1:10" x14ac:dyDescent="0.3">
      <c r="E41" s="44"/>
      <c r="F41" s="44"/>
      <c r="G41" s="44"/>
      <c r="H41" s="44"/>
      <c r="I41" s="44"/>
      <c r="J41" s="44"/>
    </row>
    <row r="42" spans="1:10" x14ac:dyDescent="0.3">
      <c r="E42" s="44"/>
      <c r="F42" s="44"/>
      <c r="G42" s="44"/>
      <c r="H42" s="44"/>
      <c r="I42" s="44"/>
      <c r="J42" s="44"/>
    </row>
    <row r="43" spans="1:10" x14ac:dyDescent="0.3">
      <c r="E43" s="44"/>
      <c r="F43" s="44"/>
      <c r="G43" s="44"/>
      <c r="H43" s="44"/>
      <c r="I43" s="44"/>
      <c r="J43" s="44"/>
    </row>
    <row r="44" spans="1:10" x14ac:dyDescent="0.3">
      <c r="E44" s="44"/>
      <c r="F44" s="44"/>
      <c r="G44" s="44"/>
      <c r="H44" s="44"/>
      <c r="I44" s="44"/>
      <c r="J44" s="44"/>
    </row>
    <row r="45" spans="1:10" x14ac:dyDescent="0.3">
      <c r="E45" s="44"/>
      <c r="F45" s="44"/>
      <c r="G45" s="44"/>
      <c r="H45" s="44"/>
      <c r="I45" s="44"/>
      <c r="J45" s="44"/>
    </row>
    <row r="46" spans="1:10" x14ac:dyDescent="0.3">
      <c r="E46" s="44"/>
      <c r="F46" s="44"/>
      <c r="G46" s="44"/>
      <c r="H46" s="44"/>
      <c r="I46" s="44"/>
      <c r="J46" s="44"/>
    </row>
    <row r="47" spans="1:10" x14ac:dyDescent="0.3">
      <c r="E47" s="44"/>
      <c r="F47" s="44"/>
      <c r="G47" s="44"/>
      <c r="H47" s="44"/>
      <c r="I47" s="44"/>
      <c r="J47" s="44"/>
    </row>
    <row r="48" spans="1:10" x14ac:dyDescent="0.3">
      <c r="E48" s="44"/>
      <c r="F48" s="44"/>
      <c r="G48" s="44"/>
      <c r="H48" s="44"/>
      <c r="I48" s="44"/>
      <c r="J48" s="44"/>
    </row>
    <row r="49" spans="5:10" x14ac:dyDescent="0.3">
      <c r="E49" s="44"/>
      <c r="F49" s="44"/>
      <c r="G49" s="44"/>
      <c r="H49" s="44"/>
      <c r="I49" s="44"/>
      <c r="J49" s="44"/>
    </row>
    <row r="50" spans="5:10" x14ac:dyDescent="0.3">
      <c r="E50" s="44"/>
      <c r="F50" s="44"/>
      <c r="G50" s="44"/>
      <c r="H50" s="44"/>
      <c r="I50" s="44"/>
      <c r="J50" s="44"/>
    </row>
    <row r="51" spans="5:10" x14ac:dyDescent="0.3">
      <c r="E51" s="44"/>
      <c r="F51" s="44"/>
      <c r="G51" s="44"/>
      <c r="H51" s="44"/>
      <c r="I51" s="44"/>
      <c r="J51" s="44"/>
    </row>
    <row r="52" spans="5:10" x14ac:dyDescent="0.3">
      <c r="E52" s="44"/>
      <c r="F52" s="44"/>
      <c r="G52" s="44"/>
      <c r="H52" s="44"/>
      <c r="I52" s="44"/>
      <c r="J52" s="44"/>
    </row>
    <row r="53" spans="5:10" x14ac:dyDescent="0.3">
      <c r="E53" s="44"/>
      <c r="F53" s="44"/>
      <c r="G53" s="44"/>
      <c r="H53" s="44"/>
      <c r="I53" s="44"/>
      <c r="J53" s="44"/>
    </row>
    <row r="54" spans="5:10" x14ac:dyDescent="0.3">
      <c r="E54" s="44"/>
      <c r="F54" s="44"/>
      <c r="G54" s="44"/>
      <c r="H54" s="44"/>
      <c r="I54" s="44"/>
      <c r="J54" s="44"/>
    </row>
    <row r="55" spans="5:10" x14ac:dyDescent="0.3">
      <c r="E55" s="44"/>
      <c r="F55" s="44"/>
      <c r="G55" s="44"/>
      <c r="H55" s="44"/>
      <c r="I55" s="44"/>
      <c r="J55" s="44"/>
    </row>
    <row r="56" spans="5:10" x14ac:dyDescent="0.3">
      <c r="E56" s="44"/>
      <c r="F56" s="44"/>
      <c r="G56" s="44"/>
      <c r="H56" s="44"/>
      <c r="I56" s="44"/>
      <c r="J56" s="44"/>
    </row>
    <row r="57" spans="5:10" x14ac:dyDescent="0.3">
      <c r="E57" s="44"/>
      <c r="F57" s="44"/>
      <c r="G57" s="44"/>
      <c r="H57" s="44"/>
      <c r="I57" s="44"/>
      <c r="J57" s="44"/>
    </row>
    <row r="58" spans="5:10" x14ac:dyDescent="0.3">
      <c r="E58" s="44"/>
      <c r="F58" s="44"/>
      <c r="G58" s="44"/>
      <c r="H58" s="44"/>
      <c r="I58" s="44"/>
      <c r="J58" s="44"/>
    </row>
    <row r="59" spans="5:10" x14ac:dyDescent="0.3">
      <c r="E59" s="44"/>
      <c r="F59" s="44"/>
      <c r="G59" s="44"/>
      <c r="H59" s="44"/>
      <c r="I59" s="44"/>
      <c r="J59" s="44"/>
    </row>
    <row r="60" spans="5:10" x14ac:dyDescent="0.3">
      <c r="E60" s="44"/>
      <c r="F60" s="44"/>
      <c r="G60" s="44"/>
      <c r="H60" s="44"/>
      <c r="I60" s="44"/>
      <c r="J60" s="44"/>
    </row>
    <row r="61" spans="5:10" x14ac:dyDescent="0.3">
      <c r="E61" s="44"/>
      <c r="F61" s="44"/>
      <c r="G61" s="44"/>
      <c r="H61" s="44"/>
      <c r="I61" s="44"/>
      <c r="J61" s="44"/>
    </row>
    <row r="62" spans="5:10" x14ac:dyDescent="0.3">
      <c r="E62" s="44"/>
      <c r="F62" s="44"/>
      <c r="G62" s="44"/>
      <c r="H62" s="44"/>
      <c r="I62" s="44"/>
      <c r="J62" s="44"/>
    </row>
    <row r="63" spans="5:10" x14ac:dyDescent="0.3">
      <c r="E63" s="44"/>
      <c r="F63" s="44"/>
      <c r="G63" s="44"/>
      <c r="H63" s="44"/>
      <c r="I63" s="44"/>
      <c r="J63" s="44"/>
    </row>
    <row r="64" spans="5:10" x14ac:dyDescent="0.3">
      <c r="E64" s="44"/>
      <c r="F64" s="44"/>
      <c r="G64" s="44"/>
      <c r="H64" s="44"/>
      <c r="I64" s="44"/>
      <c r="J64" s="44"/>
    </row>
    <row r="65" spans="5:10" x14ac:dyDescent="0.3">
      <c r="E65" s="44"/>
      <c r="F65" s="44"/>
      <c r="G65" s="44"/>
      <c r="H65" s="44"/>
      <c r="I65" s="44"/>
      <c r="J65" s="44"/>
    </row>
    <row r="66" spans="5:10" x14ac:dyDescent="0.3">
      <c r="E66" s="44"/>
      <c r="F66" s="44"/>
      <c r="G66" s="44"/>
      <c r="H66" s="44"/>
      <c r="I66" s="44"/>
      <c r="J66" s="44"/>
    </row>
    <row r="67" spans="5:10" x14ac:dyDescent="0.3">
      <c r="E67" s="44"/>
      <c r="F67" s="44"/>
      <c r="G67" s="44"/>
      <c r="H67" s="44"/>
      <c r="I67" s="44"/>
      <c r="J67" s="44"/>
    </row>
    <row r="68" spans="5:10" x14ac:dyDescent="0.3">
      <c r="E68" s="44"/>
      <c r="F68" s="44"/>
      <c r="G68" s="44"/>
      <c r="H68" s="44"/>
      <c r="I68" s="44"/>
      <c r="J68" s="44"/>
    </row>
    <row r="69" spans="5:10" x14ac:dyDescent="0.3">
      <c r="E69" s="44"/>
      <c r="F69" s="44"/>
      <c r="G69" s="44"/>
      <c r="H69" s="44"/>
      <c r="I69" s="44"/>
      <c r="J69" s="44"/>
    </row>
    <row r="70" spans="5:10" x14ac:dyDescent="0.3">
      <c r="E70" s="44"/>
      <c r="F70" s="44"/>
      <c r="G70" s="44"/>
      <c r="H70" s="44"/>
      <c r="I70" s="44"/>
      <c r="J70" s="44"/>
    </row>
    <row r="71" spans="5:10" x14ac:dyDescent="0.3">
      <c r="J71" s="44"/>
    </row>
  </sheetData>
  <pageMargins left="0.7" right="0.7" top="0.75" bottom="0.75" header="0.3" footer="0.3"/>
  <pageSetup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C25" sqref="C25"/>
    </sheetView>
  </sheetViews>
  <sheetFormatPr defaultRowHeight="15.6" x14ac:dyDescent="0.3"/>
  <cols>
    <col min="1" max="1" width="4.3984375" customWidth="1"/>
    <col min="2" max="2" width="1.59765625" customWidth="1"/>
    <col min="3" max="3" width="36.69921875" customWidth="1"/>
    <col min="4" max="4" width="1.5" customWidth="1"/>
    <col min="5" max="6" width="1.19921875" customWidth="1"/>
    <col min="7" max="7" width="7.69921875" customWidth="1"/>
    <col min="8" max="8" width="1.19921875" customWidth="1"/>
    <col min="9" max="9" width="15.3984375" customWidth="1"/>
    <col min="10" max="10" width="1.69921875" customWidth="1"/>
    <col min="11" max="11" width="14" customWidth="1"/>
    <col min="12" max="12" width="1.8984375" customWidth="1"/>
    <col min="13" max="13" width="12" customWidth="1"/>
    <col min="14" max="14" width="1.59765625" customWidth="1"/>
    <col min="15" max="15" width="11.5" customWidth="1"/>
  </cols>
  <sheetData>
    <row r="1" spans="1:15" x14ac:dyDescent="0.3">
      <c r="A1" t="s">
        <v>514</v>
      </c>
      <c r="M1" t="s">
        <v>554</v>
      </c>
      <c r="N1" s="16"/>
      <c r="O1" s="16"/>
    </row>
    <row r="2" spans="1:15" x14ac:dyDescent="0.3">
      <c r="A2" t="s">
        <v>186</v>
      </c>
      <c r="M2" t="s">
        <v>567</v>
      </c>
      <c r="N2" s="16"/>
      <c r="O2" s="16"/>
    </row>
    <row r="3" spans="1:15" x14ac:dyDescent="0.3">
      <c r="A3" t="s">
        <v>187</v>
      </c>
      <c r="M3" t="s">
        <v>543</v>
      </c>
      <c r="N3" s="16"/>
      <c r="O3" s="16"/>
    </row>
    <row r="4" spans="1:15" x14ac:dyDescent="0.3">
      <c r="A4" t="s">
        <v>195</v>
      </c>
      <c r="M4" s="155"/>
      <c r="N4" s="16"/>
      <c r="O4" s="16"/>
    </row>
    <row r="5" spans="1:15" x14ac:dyDescent="0.3">
      <c r="A5" t="s">
        <v>188</v>
      </c>
      <c r="N5" s="16"/>
      <c r="O5" s="16"/>
    </row>
    <row r="6" spans="1:15" x14ac:dyDescent="0.3">
      <c r="A6" s="16"/>
      <c r="B6" s="16"/>
      <c r="C6" s="16"/>
      <c r="D6" s="16"/>
      <c r="E6" s="16"/>
      <c r="F6" s="16"/>
      <c r="G6" s="16"/>
      <c r="H6" s="16"/>
      <c r="I6" s="16"/>
      <c r="J6" s="16"/>
      <c r="K6" s="16"/>
      <c r="L6" s="16"/>
      <c r="M6" s="16"/>
      <c r="N6" s="16"/>
      <c r="O6" s="16"/>
    </row>
    <row r="7" spans="1:15" x14ac:dyDescent="0.3">
      <c r="A7" s="16"/>
      <c r="B7" s="16"/>
      <c r="C7" s="16"/>
      <c r="D7" s="16"/>
      <c r="E7" s="16"/>
      <c r="F7" s="16"/>
      <c r="G7" s="16"/>
      <c r="H7" s="16"/>
      <c r="I7" s="16"/>
      <c r="J7" s="16"/>
      <c r="K7" s="16"/>
      <c r="L7" s="16"/>
      <c r="M7" s="16"/>
      <c r="N7" s="16"/>
      <c r="O7" s="16"/>
    </row>
    <row r="8" spans="1:15" x14ac:dyDescent="0.3">
      <c r="G8" s="1"/>
      <c r="H8" s="1"/>
      <c r="I8" s="1" t="s">
        <v>4</v>
      </c>
      <c r="J8" s="1"/>
      <c r="K8" s="1"/>
      <c r="L8" s="1"/>
      <c r="M8" s="1"/>
      <c r="N8" s="1"/>
      <c r="O8" s="1" t="s">
        <v>184</v>
      </c>
    </row>
    <row r="9" spans="1:15" x14ac:dyDescent="0.3">
      <c r="A9" s="4"/>
      <c r="C9" s="2" t="s">
        <v>1</v>
      </c>
      <c r="D9" s="4"/>
      <c r="E9" s="14"/>
      <c r="G9" s="10" t="s">
        <v>10</v>
      </c>
      <c r="H9" s="1"/>
      <c r="I9" s="10" t="s">
        <v>6</v>
      </c>
      <c r="J9" s="1"/>
      <c r="K9" s="10" t="s">
        <v>7</v>
      </c>
      <c r="L9" s="1"/>
      <c r="M9" s="11" t="s">
        <v>9</v>
      </c>
      <c r="N9" s="1"/>
      <c r="O9" s="10" t="s">
        <v>8</v>
      </c>
    </row>
    <row r="11" spans="1:15" x14ac:dyDescent="0.3">
      <c r="C11" s="3" t="s">
        <v>11</v>
      </c>
    </row>
    <row r="13" spans="1:15" x14ac:dyDescent="0.3">
      <c r="A13">
        <v>1</v>
      </c>
      <c r="C13" t="s">
        <v>180</v>
      </c>
      <c r="G13" s="52" t="s">
        <v>101</v>
      </c>
      <c r="I13" s="44">
        <f>K20</f>
        <v>-10508842.275426891</v>
      </c>
      <c r="K13" s="1" t="s">
        <v>102</v>
      </c>
      <c r="L13" s="1"/>
      <c r="M13" s="1" t="s">
        <v>102</v>
      </c>
      <c r="O13" s="44">
        <f>LaborEscP2!H91</f>
        <v>-682614.12068319332</v>
      </c>
    </row>
    <row r="16" spans="1:15" x14ac:dyDescent="0.3">
      <c r="I16" s="44"/>
    </row>
    <row r="17" spans="1:15" x14ac:dyDescent="0.3">
      <c r="C17" s="3" t="s">
        <v>104</v>
      </c>
      <c r="I17" s="44"/>
    </row>
    <row r="18" spans="1:15" x14ac:dyDescent="0.3">
      <c r="A18" t="s">
        <v>105</v>
      </c>
      <c r="C18" s="18" t="s">
        <v>196</v>
      </c>
      <c r="D18" s="4"/>
      <c r="E18" s="4"/>
      <c r="F18" s="4"/>
      <c r="G18" s="4"/>
      <c r="H18" s="4"/>
      <c r="J18" s="4"/>
      <c r="K18" s="47">
        <f>LaborEscP2!F95</f>
        <v>-15037919</v>
      </c>
    </row>
    <row r="19" spans="1:15" x14ac:dyDescent="0.3">
      <c r="A19" t="s">
        <v>106</v>
      </c>
      <c r="C19" s="18" t="s">
        <v>152</v>
      </c>
      <c r="D19" s="4"/>
      <c r="E19" s="4"/>
      <c r="F19" s="4"/>
      <c r="G19" s="4"/>
      <c r="H19" s="4"/>
      <c r="I19" s="21"/>
      <c r="J19" s="4"/>
      <c r="K19" s="78">
        <f>1-(211320424/701648396)</f>
        <v>0.69882290730698116</v>
      </c>
    </row>
    <row r="20" spans="1:15" x14ac:dyDescent="0.3">
      <c r="A20" t="s">
        <v>107</v>
      </c>
      <c r="C20" s="18" t="s">
        <v>153</v>
      </c>
      <c r="D20" s="4"/>
      <c r="E20" s="4"/>
      <c r="F20" s="4"/>
      <c r="G20" s="4"/>
      <c r="H20" s="4"/>
      <c r="I20" s="76"/>
      <c r="J20" s="4"/>
      <c r="K20" s="79">
        <f>K18*K19</f>
        <v>-10508842.275426891</v>
      </c>
    </row>
    <row r="21" spans="1:15" x14ac:dyDescent="0.3">
      <c r="C21" s="18"/>
      <c r="D21" s="4"/>
      <c r="E21" s="4"/>
      <c r="F21" s="4"/>
      <c r="G21" s="4"/>
      <c r="H21" s="4"/>
      <c r="I21" s="76"/>
      <c r="J21" s="4"/>
      <c r="K21" s="153"/>
    </row>
    <row r="22" spans="1:15" x14ac:dyDescent="0.3">
      <c r="A22" s="4"/>
      <c r="B22" s="4"/>
      <c r="I22" s="1" t="s">
        <v>242</v>
      </c>
      <c r="J22" s="1"/>
      <c r="K22" s="1" t="s">
        <v>243</v>
      </c>
      <c r="L22" s="1"/>
      <c r="M22" s="1"/>
    </row>
    <row r="23" spans="1:15" x14ac:dyDescent="0.3">
      <c r="B23" s="4"/>
      <c r="C23" t="s">
        <v>104</v>
      </c>
      <c r="I23" s="34" t="s">
        <v>121</v>
      </c>
      <c r="J23" s="34"/>
      <c r="K23" s="34" t="s">
        <v>231</v>
      </c>
      <c r="L23" s="34"/>
      <c r="M23" s="34" t="s">
        <v>236</v>
      </c>
    </row>
    <row r="24" spans="1:15" x14ac:dyDescent="0.3">
      <c r="A24" s="18" t="s">
        <v>233</v>
      </c>
      <c r="B24" s="4"/>
      <c r="C24" s="18" t="s">
        <v>237</v>
      </c>
      <c r="D24" s="4"/>
      <c r="E24" s="4"/>
      <c r="F24" s="4"/>
      <c r="G24" s="4"/>
      <c r="H24" s="4"/>
      <c r="I24" s="47">
        <v>498234565</v>
      </c>
      <c r="J24" s="4"/>
      <c r="K24" s="47">
        <v>485146624</v>
      </c>
      <c r="M24" s="47">
        <f>K24-I24</f>
        <v>-13087941</v>
      </c>
    </row>
    <row r="25" spans="1:15" x14ac:dyDescent="0.3">
      <c r="A25" s="18" t="s">
        <v>234</v>
      </c>
      <c r="B25" s="4"/>
      <c r="C25" s="18" t="s">
        <v>238</v>
      </c>
      <c r="D25" s="4"/>
      <c r="E25" s="4"/>
      <c r="F25" s="4"/>
      <c r="G25" s="4"/>
      <c r="H25" s="4"/>
      <c r="I25" s="47">
        <v>34603225</v>
      </c>
      <c r="J25" s="4"/>
      <c r="K25" s="47">
        <v>33656632</v>
      </c>
      <c r="L25" s="4"/>
      <c r="M25" s="47">
        <f t="shared" ref="M25:M26" si="0">K25-I25</f>
        <v>-946593</v>
      </c>
    </row>
    <row r="26" spans="1:15" x14ac:dyDescent="0.3">
      <c r="A26" s="18" t="s">
        <v>235</v>
      </c>
      <c r="B26" s="4"/>
      <c r="C26" s="18" t="s">
        <v>239</v>
      </c>
      <c r="D26" s="4"/>
      <c r="E26" s="4"/>
      <c r="F26" s="4"/>
      <c r="G26" s="4"/>
      <c r="H26" s="4"/>
      <c r="I26" s="154">
        <v>41847044</v>
      </c>
      <c r="J26" s="4"/>
      <c r="K26" s="154">
        <v>40843659</v>
      </c>
      <c r="L26" s="4"/>
      <c r="M26" s="45">
        <f t="shared" si="0"/>
        <v>-1003385</v>
      </c>
    </row>
    <row r="27" spans="1:15" x14ac:dyDescent="0.3">
      <c r="A27" s="18" t="s">
        <v>241</v>
      </c>
      <c r="B27" s="4"/>
      <c r="C27" s="18" t="s">
        <v>240</v>
      </c>
      <c r="D27" s="4"/>
      <c r="E27" s="4"/>
      <c r="F27" s="4"/>
      <c r="G27" s="4"/>
      <c r="H27" s="4"/>
      <c r="I27" s="47">
        <f>SUM(I24:I26)</f>
        <v>574684834</v>
      </c>
      <c r="J27" s="4"/>
      <c r="K27" s="47">
        <f>SUM(K24:K26)</f>
        <v>559646915</v>
      </c>
      <c r="L27" s="4"/>
      <c r="M27" s="47">
        <f>SUM(M24:M26)</f>
        <v>-15037919</v>
      </c>
    </row>
    <row r="28" spans="1:15" x14ac:dyDescent="0.3">
      <c r="A28" s="4"/>
      <c r="B28" s="4"/>
      <c r="C28" s="4"/>
      <c r="D28" s="4"/>
      <c r="E28" s="4"/>
      <c r="F28" s="4"/>
      <c r="G28" s="4"/>
      <c r="H28" s="4"/>
      <c r="I28" s="47"/>
      <c r="J28" s="4"/>
      <c r="K28" s="4"/>
      <c r="L28" s="4"/>
      <c r="M28" s="4"/>
    </row>
    <row r="29" spans="1:15" x14ac:dyDescent="0.3">
      <c r="A29" s="4"/>
      <c r="B29" s="4"/>
      <c r="C29" s="4"/>
      <c r="D29" s="4"/>
      <c r="E29" s="4"/>
      <c r="F29" s="4"/>
      <c r="G29" s="4"/>
      <c r="H29" s="4"/>
      <c r="I29" s="4"/>
      <c r="J29" s="4"/>
      <c r="K29" s="4"/>
      <c r="L29" s="4"/>
      <c r="M29" s="4"/>
    </row>
    <row r="30" spans="1:15" x14ac:dyDescent="0.3">
      <c r="A30" s="4"/>
      <c r="B30" s="4"/>
      <c r="C30" s="4"/>
      <c r="D30" s="4"/>
      <c r="E30" s="4"/>
      <c r="F30" s="4"/>
      <c r="G30" s="4"/>
      <c r="H30" s="4"/>
      <c r="I30" s="4"/>
      <c r="J30" s="4"/>
      <c r="K30" s="4"/>
      <c r="L30" s="4"/>
      <c r="M30" s="4"/>
    </row>
    <row r="31" spans="1:15" x14ac:dyDescent="0.3">
      <c r="C31" t="s">
        <v>103</v>
      </c>
    </row>
    <row r="32" spans="1:15" x14ac:dyDescent="0.3">
      <c r="C32" s="246" t="s">
        <v>232</v>
      </c>
      <c r="D32" s="247"/>
      <c r="E32" s="247"/>
      <c r="F32" s="247"/>
      <c r="G32" s="247"/>
      <c r="H32" s="247"/>
      <c r="I32" s="247"/>
      <c r="J32" s="247"/>
      <c r="K32" s="247"/>
      <c r="L32" s="247"/>
      <c r="M32" s="247"/>
      <c r="N32" s="247"/>
      <c r="O32" s="248"/>
    </row>
    <row r="33" spans="3:15" x14ac:dyDescent="0.3">
      <c r="C33" s="249"/>
      <c r="D33" s="250"/>
      <c r="E33" s="250"/>
      <c r="F33" s="250"/>
      <c r="G33" s="250"/>
      <c r="H33" s="250"/>
      <c r="I33" s="250"/>
      <c r="J33" s="250"/>
      <c r="K33" s="250"/>
      <c r="L33" s="250"/>
      <c r="M33" s="250"/>
      <c r="N33" s="250"/>
      <c r="O33" s="251"/>
    </row>
    <row r="34" spans="3:15" x14ac:dyDescent="0.3">
      <c r="C34" s="249"/>
      <c r="D34" s="250"/>
      <c r="E34" s="250"/>
      <c r="F34" s="250"/>
      <c r="G34" s="250"/>
      <c r="H34" s="250"/>
      <c r="I34" s="250"/>
      <c r="J34" s="250"/>
      <c r="K34" s="250"/>
      <c r="L34" s="250"/>
      <c r="M34" s="250"/>
      <c r="N34" s="250"/>
      <c r="O34" s="251"/>
    </row>
    <row r="35" spans="3:15" x14ac:dyDescent="0.3">
      <c r="C35" s="252"/>
      <c r="D35" s="253"/>
      <c r="E35" s="253"/>
      <c r="F35" s="253"/>
      <c r="G35" s="253"/>
      <c r="H35" s="253"/>
      <c r="I35" s="253"/>
      <c r="J35" s="253"/>
      <c r="K35" s="253"/>
      <c r="L35" s="253"/>
      <c r="M35" s="253"/>
      <c r="N35" s="253"/>
      <c r="O35" s="254"/>
    </row>
  </sheetData>
  <mergeCells count="1">
    <mergeCell ref="C32:O35"/>
  </mergeCells>
  <pageMargins left="0.7" right="0.7" top="0.75" bottom="0.75" header="0.3" footer="0.3"/>
  <pageSetup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1"/>
  <sheetViews>
    <sheetView workbookViewId="0">
      <selection activeCell="C25" sqref="C25"/>
    </sheetView>
  </sheetViews>
  <sheetFormatPr defaultRowHeight="15.6" x14ac:dyDescent="0.3"/>
  <cols>
    <col min="1" max="1" width="13.19921875" customWidth="1"/>
    <col min="2" max="2" width="12.59765625" customWidth="1"/>
    <col min="3" max="3" width="8.3984375" customWidth="1"/>
    <col min="4" max="4" width="11.19921875" customWidth="1"/>
    <col min="5" max="5" width="11" bestFit="1" customWidth="1"/>
    <col min="6" max="6" width="12" customWidth="1"/>
    <col min="7" max="7" width="9" customWidth="1"/>
    <col min="8" max="8" width="10" customWidth="1"/>
  </cols>
  <sheetData>
    <row r="1" spans="1:10" x14ac:dyDescent="0.3">
      <c r="A1" t="s">
        <v>516</v>
      </c>
      <c r="C1" s="82"/>
      <c r="D1" s="82"/>
      <c r="E1" s="82"/>
      <c r="F1" s="82"/>
      <c r="G1" t="s">
        <v>554</v>
      </c>
      <c r="H1" s="82"/>
    </row>
    <row r="2" spans="1:10" x14ac:dyDescent="0.3">
      <c r="A2" t="s">
        <v>186</v>
      </c>
      <c r="C2" s="82"/>
      <c r="D2" s="82"/>
      <c r="E2" s="82"/>
      <c r="F2" s="82"/>
      <c r="G2" t="s">
        <v>567</v>
      </c>
      <c r="H2" s="82"/>
    </row>
    <row r="3" spans="1:10" x14ac:dyDescent="0.3">
      <c r="A3" t="s">
        <v>187</v>
      </c>
      <c r="C3" s="82"/>
      <c r="D3" s="82"/>
      <c r="E3" s="82"/>
      <c r="F3" s="82"/>
      <c r="G3" t="s">
        <v>542</v>
      </c>
      <c r="H3" s="82"/>
    </row>
    <row r="4" spans="1:10" x14ac:dyDescent="0.3">
      <c r="A4" t="s">
        <v>194</v>
      </c>
      <c r="C4" s="82"/>
      <c r="D4" s="82"/>
      <c r="E4" s="82"/>
      <c r="F4" s="82"/>
      <c r="G4" s="82"/>
      <c r="H4" s="82"/>
    </row>
    <row r="5" spans="1:10" ht="15.75" customHeight="1" x14ac:dyDescent="0.3">
      <c r="A5" t="s">
        <v>188</v>
      </c>
      <c r="B5" s="82"/>
      <c r="C5" s="82"/>
      <c r="D5" s="82"/>
      <c r="E5" s="82"/>
      <c r="F5" s="82"/>
      <c r="H5" s="82"/>
    </row>
    <row r="6" spans="1:10" ht="7.5" customHeight="1" x14ac:dyDescent="0.3">
      <c r="A6" s="82"/>
      <c r="B6" s="82"/>
      <c r="C6" s="82"/>
      <c r="D6" s="82"/>
      <c r="E6" s="82"/>
      <c r="F6" s="82"/>
      <c r="G6" s="82"/>
      <c r="H6" s="82"/>
    </row>
    <row r="7" spans="1:10" x14ac:dyDescent="0.3">
      <c r="A7" s="122"/>
      <c r="B7" s="123" t="s">
        <v>64</v>
      </c>
      <c r="C7" s="124"/>
      <c r="D7" s="151" t="s">
        <v>230</v>
      </c>
      <c r="E7" s="151" t="s">
        <v>230</v>
      </c>
      <c r="F7" s="30" t="s">
        <v>231</v>
      </c>
      <c r="G7" s="30" t="s">
        <v>8</v>
      </c>
      <c r="H7" s="30" t="s">
        <v>184</v>
      </c>
      <c r="I7" s="95"/>
      <c r="J7" s="95"/>
    </row>
    <row r="8" spans="1:10" x14ac:dyDescent="0.3">
      <c r="A8" s="125" t="s">
        <v>99</v>
      </c>
      <c r="B8" s="126" t="s">
        <v>197</v>
      </c>
      <c r="C8" s="127" t="s">
        <v>8</v>
      </c>
      <c r="D8" s="127" t="s">
        <v>121</v>
      </c>
      <c r="E8" s="127" t="s">
        <v>185</v>
      </c>
      <c r="F8" s="128" t="s">
        <v>100</v>
      </c>
      <c r="G8" s="128" t="s">
        <v>96</v>
      </c>
      <c r="H8" s="128" t="s">
        <v>2</v>
      </c>
      <c r="I8" s="95"/>
      <c r="J8" s="95"/>
    </row>
    <row r="9" spans="1:10" x14ac:dyDescent="0.3">
      <c r="A9" s="136" t="s">
        <v>198</v>
      </c>
      <c r="B9" s="137">
        <v>72805758.877121493</v>
      </c>
      <c r="C9" s="138">
        <f t="shared" ref="C9:C72" si="0">B9/B$95</f>
        <v>0.10376387849359243</v>
      </c>
      <c r="D9" s="137">
        <f>C9*$D$95</f>
        <v>75517358.397405624</v>
      </c>
      <c r="E9" s="137">
        <f>C9*$E$95</f>
        <v>73956965.597493127</v>
      </c>
      <c r="F9" s="129">
        <f>E9-D9</f>
        <v>-1560392.7999124974</v>
      </c>
      <c r="G9" s="152">
        <v>0</v>
      </c>
      <c r="H9" s="129">
        <f>F9*G9</f>
        <v>0</v>
      </c>
      <c r="I9" s="95"/>
      <c r="J9" s="95"/>
    </row>
    <row r="10" spans="1:10" x14ac:dyDescent="0.3">
      <c r="A10" s="136" t="s">
        <v>199</v>
      </c>
      <c r="B10" s="137">
        <v>5004257.3462908678</v>
      </c>
      <c r="C10" s="138">
        <f t="shared" si="0"/>
        <v>7.1321439298171465E-3</v>
      </c>
      <c r="D10" s="137">
        <f t="shared" ref="D10:D73" si="1">C10*$D$95</f>
        <v>5190637.4078253228</v>
      </c>
      <c r="E10" s="137">
        <f t="shared" ref="E10:E73" si="2">C10*$E$95</f>
        <v>5083384.8051123908</v>
      </c>
      <c r="F10" s="129">
        <f t="shared" ref="F10:F73" si="3">E10-D10</f>
        <v>-107252.60271293204</v>
      </c>
      <c r="G10" s="152">
        <v>0.22953887558714423</v>
      </c>
      <c r="H10" s="129">
        <f t="shared" ref="H10:H73" si="4">F10*G10</f>
        <v>-24618.641830521115</v>
      </c>
      <c r="I10" s="95"/>
      <c r="J10" s="95"/>
    </row>
    <row r="11" spans="1:10" x14ac:dyDescent="0.3">
      <c r="A11" s="136" t="s">
        <v>66</v>
      </c>
      <c r="B11" s="137">
        <v>28134</v>
      </c>
      <c r="C11" s="138">
        <f t="shared" si="0"/>
        <v>4.0097006096259361E-5</v>
      </c>
      <c r="D11" s="137">
        <f t="shared" si="1"/>
        <v>29181.831134243508</v>
      </c>
      <c r="E11" s="137">
        <f t="shared" si="2"/>
        <v>28578.855604425455</v>
      </c>
      <c r="F11" s="129">
        <f t="shared" si="3"/>
        <v>-602.97552981805347</v>
      </c>
      <c r="G11" s="152">
        <v>7.9057273540331513E-2</v>
      </c>
      <c r="H11" s="129">
        <f t="shared" si="4"/>
        <v>-47.669601398952175</v>
      </c>
      <c r="I11" s="95"/>
      <c r="J11" s="95"/>
    </row>
    <row r="12" spans="1:10" x14ac:dyDescent="0.3">
      <c r="A12" s="139" t="s">
        <v>200</v>
      </c>
      <c r="B12" s="140">
        <v>1059194.5785257067</v>
      </c>
      <c r="C12" s="138">
        <f t="shared" si="0"/>
        <v>1.5095802755480956E-3</v>
      </c>
      <c r="D12" s="137">
        <f t="shared" si="1"/>
        <v>1098643.5390930332</v>
      </c>
      <c r="E12" s="137">
        <f t="shared" si="2"/>
        <v>1075942.5931853433</v>
      </c>
      <c r="F12" s="129">
        <f t="shared" si="3"/>
        <v>-22700.945907689864</v>
      </c>
      <c r="G12" s="152">
        <v>0</v>
      </c>
      <c r="H12" s="129">
        <f t="shared" si="4"/>
        <v>0</v>
      </c>
      <c r="I12" s="95"/>
      <c r="J12" s="95"/>
    </row>
    <row r="13" spans="1:10" x14ac:dyDescent="0.3">
      <c r="A13" s="136" t="s">
        <v>201</v>
      </c>
      <c r="B13" s="137">
        <v>657035.80752340809</v>
      </c>
      <c r="C13" s="138">
        <f t="shared" si="0"/>
        <v>9.3641745858131749E-4</v>
      </c>
      <c r="D13" s="137">
        <f t="shared" si="1"/>
        <v>681506.64620386064</v>
      </c>
      <c r="E13" s="137">
        <f t="shared" si="2"/>
        <v>667424.87631152896</v>
      </c>
      <c r="F13" s="129">
        <f t="shared" si="3"/>
        <v>-14081.769892331678</v>
      </c>
      <c r="G13" s="152">
        <v>0.22612324164332259</v>
      </c>
      <c r="H13" s="129">
        <f t="shared" si="4"/>
        <v>-3184.215456129381</v>
      </c>
      <c r="I13" s="95"/>
      <c r="J13" s="95"/>
    </row>
    <row r="14" spans="1:10" x14ac:dyDescent="0.3">
      <c r="A14" s="136" t="s">
        <v>67</v>
      </c>
      <c r="B14" s="137">
        <v>299330.17647259089</v>
      </c>
      <c r="C14" s="138">
        <f t="shared" si="0"/>
        <v>4.2660993498314732E-4</v>
      </c>
      <c r="D14" s="137">
        <f t="shared" si="1"/>
        <v>310478.51934337302</v>
      </c>
      <c r="E14" s="137">
        <f t="shared" si="2"/>
        <v>304063.1936965012</v>
      </c>
      <c r="F14" s="129">
        <f t="shared" si="3"/>
        <v>-6415.3256468718173</v>
      </c>
      <c r="G14" s="152">
        <v>7.5697931989234163E-2</v>
      </c>
      <c r="H14" s="129">
        <f t="shared" si="4"/>
        <v>-485.62688450569249</v>
      </c>
      <c r="I14" s="95"/>
      <c r="J14" s="95"/>
    </row>
    <row r="15" spans="1:10" x14ac:dyDescent="0.3">
      <c r="A15" s="136" t="s">
        <v>202</v>
      </c>
      <c r="B15" s="137">
        <v>3701.0899999999997</v>
      </c>
      <c r="C15" s="138">
        <f t="shared" si="0"/>
        <v>5.2748499428735527E-6</v>
      </c>
      <c r="D15" s="137">
        <f t="shared" si="1"/>
        <v>3838.9345060296187</v>
      </c>
      <c r="E15" s="137">
        <f t="shared" si="2"/>
        <v>3759.6117398515316</v>
      </c>
      <c r="F15" s="129">
        <f t="shared" si="3"/>
        <v>-79.322766178087022</v>
      </c>
      <c r="G15" s="152">
        <v>0.23084885646883446</v>
      </c>
      <c r="H15" s="129">
        <f t="shared" si="4"/>
        <v>-18.311569864156127</v>
      </c>
      <c r="I15" s="95"/>
      <c r="J15" s="95"/>
    </row>
    <row r="16" spans="1:10" x14ac:dyDescent="0.3">
      <c r="A16" s="136" t="s">
        <v>203</v>
      </c>
      <c r="B16" s="137">
        <v>29914945.100075848</v>
      </c>
      <c r="C16" s="138">
        <f t="shared" si="0"/>
        <v>4.2635236228300469E-2</v>
      </c>
      <c r="D16" s="137">
        <f t="shared" si="1"/>
        <v>31029106.28778626</v>
      </c>
      <c r="E16" s="137">
        <f t="shared" si="2"/>
        <v>30387961.058839213</v>
      </c>
      <c r="F16" s="129">
        <f t="shared" si="3"/>
        <v>-641145.22894704714</v>
      </c>
      <c r="G16" s="152">
        <v>0</v>
      </c>
      <c r="H16" s="129">
        <f t="shared" si="4"/>
        <v>0</v>
      </c>
      <c r="I16" s="95"/>
      <c r="J16" s="95"/>
    </row>
    <row r="17" spans="1:10" x14ac:dyDescent="0.3">
      <c r="A17" s="136" t="s">
        <v>204</v>
      </c>
      <c r="B17" s="137">
        <v>19827025.255018521</v>
      </c>
      <c r="C17" s="138">
        <f t="shared" si="0"/>
        <v>2.8257778933715998E-2</v>
      </c>
      <c r="D17" s="137">
        <f t="shared" si="1"/>
        <v>20565468.930345196</v>
      </c>
      <c r="E17" s="137">
        <f t="shared" si="2"/>
        <v>20140530.739620071</v>
      </c>
      <c r="F17" s="129">
        <f t="shared" si="3"/>
        <v>-424938.19072512537</v>
      </c>
      <c r="G17" s="152">
        <v>0.22953887558714423</v>
      </c>
      <c r="H17" s="129">
        <f t="shared" si="4"/>
        <v>-97539.834493080722</v>
      </c>
      <c r="I17" s="95"/>
      <c r="J17" s="95"/>
    </row>
    <row r="18" spans="1:10" x14ac:dyDescent="0.3">
      <c r="A18" s="136" t="s">
        <v>205</v>
      </c>
      <c r="B18" s="137">
        <v>-187198.16058377374</v>
      </c>
      <c r="C18" s="138">
        <f t="shared" si="0"/>
        <v>-2.6679767491775481E-4</v>
      </c>
      <c r="D18" s="137">
        <f t="shared" si="1"/>
        <v>-194170.22502298586</v>
      </c>
      <c r="E18" s="137">
        <f t="shared" si="2"/>
        <v>-190158.14319818432</v>
      </c>
      <c r="F18" s="129">
        <f t="shared" si="3"/>
        <v>4012.0818248015421</v>
      </c>
      <c r="G18" s="152">
        <v>0.23084885646883446</v>
      </c>
      <c r="H18" s="129">
        <f t="shared" si="4"/>
        <v>926.18450131483064</v>
      </c>
      <c r="I18" s="95"/>
      <c r="J18" s="95"/>
    </row>
    <row r="19" spans="1:10" x14ac:dyDescent="0.3">
      <c r="A19" s="136" t="s">
        <v>206</v>
      </c>
      <c r="B19" s="137">
        <v>6266650.0927001694</v>
      </c>
      <c r="C19" s="138">
        <f t="shared" si="0"/>
        <v>8.9313253348305595E-3</v>
      </c>
      <c r="D19" s="137">
        <f t="shared" si="1"/>
        <v>6500047.0883119274</v>
      </c>
      <c r="E19" s="137">
        <f t="shared" si="2"/>
        <v>6365738.541364097</v>
      </c>
      <c r="F19" s="129">
        <f t="shared" si="3"/>
        <v>-134308.54694783036</v>
      </c>
      <c r="G19" s="152">
        <v>0</v>
      </c>
      <c r="H19" s="129">
        <f t="shared" si="4"/>
        <v>0</v>
      </c>
      <c r="I19" s="95"/>
      <c r="J19" s="95"/>
    </row>
    <row r="20" spans="1:10" x14ac:dyDescent="0.3">
      <c r="A20" s="136" t="s">
        <v>207</v>
      </c>
      <c r="B20" s="137">
        <v>8273337.0296269003</v>
      </c>
      <c r="C20" s="138">
        <f t="shared" si="0"/>
        <v>1.1791286177342651E-2</v>
      </c>
      <c r="D20" s="137">
        <f t="shared" si="1"/>
        <v>8581471.6753840894</v>
      </c>
      <c r="E20" s="137">
        <f t="shared" si="2"/>
        <v>8404155.2689433917</v>
      </c>
      <c r="F20" s="129">
        <f t="shared" si="3"/>
        <v>-177316.40644069761</v>
      </c>
      <c r="G20" s="152">
        <v>0.23084885646883446</v>
      </c>
      <c r="H20" s="129">
        <f t="shared" si="4"/>
        <v>-40933.289659998118</v>
      </c>
      <c r="I20" s="95"/>
      <c r="J20" s="95"/>
    </row>
    <row r="21" spans="1:10" x14ac:dyDescent="0.3">
      <c r="A21" s="136" t="s">
        <v>208</v>
      </c>
      <c r="B21" s="137">
        <v>3408722.215469243</v>
      </c>
      <c r="C21" s="138">
        <f t="shared" si="0"/>
        <v>4.858162915124936E-3</v>
      </c>
      <c r="D21" s="137">
        <f t="shared" si="1"/>
        <v>3535677.688041795</v>
      </c>
      <c r="E21" s="137">
        <f t="shared" si="2"/>
        <v>3462621.0276353424</v>
      </c>
      <c r="F21" s="129">
        <f t="shared" si="3"/>
        <v>-73056.660406452604</v>
      </c>
      <c r="G21" s="152">
        <v>0.23084885646883446</v>
      </c>
      <c r="H21" s="129">
        <f t="shared" si="4"/>
        <v>-16865.046512261557</v>
      </c>
      <c r="I21" s="95"/>
      <c r="J21" s="95"/>
    </row>
    <row r="22" spans="1:10" x14ac:dyDescent="0.3">
      <c r="A22" s="136" t="s">
        <v>209</v>
      </c>
      <c r="B22" s="137">
        <v>1239752.5874200864</v>
      </c>
      <c r="C22" s="138">
        <f t="shared" si="0"/>
        <v>1.766914304956157E-3</v>
      </c>
      <c r="D22" s="137">
        <f t="shared" si="1"/>
        <v>1285926.3046255216</v>
      </c>
      <c r="E22" s="137">
        <f t="shared" si="2"/>
        <v>1259355.5904276497</v>
      </c>
      <c r="F22" s="129">
        <f t="shared" si="3"/>
        <v>-26570.714197871974</v>
      </c>
      <c r="G22" s="152">
        <v>0</v>
      </c>
      <c r="H22" s="129">
        <f t="shared" si="4"/>
        <v>0</v>
      </c>
      <c r="I22" s="95"/>
      <c r="J22" s="95"/>
    </row>
    <row r="23" spans="1:10" x14ac:dyDescent="0.3">
      <c r="A23" s="136" t="s">
        <v>210</v>
      </c>
      <c r="B23" s="137">
        <v>4220655.6559829628</v>
      </c>
      <c r="C23" s="138">
        <f t="shared" si="0"/>
        <v>6.0153428438245683E-3</v>
      </c>
      <c r="D23" s="137">
        <f t="shared" si="1"/>
        <v>4377851.0211375766</v>
      </c>
      <c r="E23" s="137">
        <f t="shared" si="2"/>
        <v>4287392.7826949134</v>
      </c>
      <c r="F23" s="129">
        <f t="shared" si="3"/>
        <v>-90458.238442663103</v>
      </c>
      <c r="G23" s="152">
        <v>0</v>
      </c>
      <c r="H23" s="129">
        <f t="shared" si="4"/>
        <v>0</v>
      </c>
      <c r="I23" s="95"/>
      <c r="J23" s="95"/>
    </row>
    <row r="24" spans="1:10" x14ac:dyDescent="0.3">
      <c r="A24" s="136" t="s">
        <v>211</v>
      </c>
      <c r="B24" s="137">
        <v>1578131.5127310241</v>
      </c>
      <c r="C24" s="138">
        <f t="shared" si="0"/>
        <v>2.2491771126279545E-3</v>
      </c>
      <c r="D24" s="137">
        <f t="shared" si="1"/>
        <v>1636907.9161208856</v>
      </c>
      <c r="E24" s="137">
        <f t="shared" si="2"/>
        <v>1603084.9728845325</v>
      </c>
      <c r="F24" s="129">
        <f t="shared" si="3"/>
        <v>-33822.943236353109</v>
      </c>
      <c r="G24" s="152">
        <v>0.23084885646883446</v>
      </c>
      <c r="H24" s="129">
        <f t="shared" si="4"/>
        <v>-7807.9877685224137</v>
      </c>
      <c r="I24" s="95"/>
      <c r="J24" s="95"/>
    </row>
    <row r="25" spans="1:10" x14ac:dyDescent="0.3">
      <c r="A25" s="136" t="s">
        <v>212</v>
      </c>
      <c r="B25" s="137">
        <v>3463.0080643839146</v>
      </c>
      <c r="C25" s="138">
        <f t="shared" si="0"/>
        <v>4.9355319353450329E-6</v>
      </c>
      <c r="D25" s="137">
        <f t="shared" si="1"/>
        <v>3591.9853753954244</v>
      </c>
      <c r="E25" s="137">
        <f t="shared" si="2"/>
        <v>3517.7652459297924</v>
      </c>
      <c r="F25" s="129">
        <f t="shared" si="3"/>
        <v>-74.220129465631999</v>
      </c>
      <c r="G25" s="152">
        <v>0</v>
      </c>
      <c r="H25" s="129">
        <f t="shared" si="4"/>
        <v>0</v>
      </c>
      <c r="I25" s="95"/>
      <c r="J25" s="95"/>
    </row>
    <row r="26" spans="1:10" x14ac:dyDescent="0.3">
      <c r="A26" s="136" t="s">
        <v>68</v>
      </c>
      <c r="B26" s="137">
        <v>1950082.4103485716</v>
      </c>
      <c r="C26" s="138">
        <f t="shared" si="0"/>
        <v>2.7792872075053251E-3</v>
      </c>
      <c r="D26" s="137">
        <f t="shared" si="1"/>
        <v>2022711.8645287042</v>
      </c>
      <c r="E26" s="137">
        <f t="shared" si="2"/>
        <v>1980917.1686245031</v>
      </c>
      <c r="F26" s="129">
        <f t="shared" si="3"/>
        <v>-41794.695904201129</v>
      </c>
      <c r="G26" s="152">
        <v>7.9057273540331513E-2</v>
      </c>
      <c r="H26" s="129">
        <f t="shared" si="4"/>
        <v>-3304.1747066334019</v>
      </c>
      <c r="I26" s="95"/>
      <c r="J26" s="95"/>
    </row>
    <row r="27" spans="1:10" x14ac:dyDescent="0.3">
      <c r="A27" s="136" t="s">
        <v>213</v>
      </c>
      <c r="B27" s="137">
        <v>1390972.6413808805</v>
      </c>
      <c r="C27" s="138">
        <f t="shared" si="0"/>
        <v>1.9824354333254834E-3</v>
      </c>
      <c r="D27" s="137">
        <f t="shared" si="1"/>
        <v>1442778.4436315314</v>
      </c>
      <c r="E27" s="137">
        <f t="shared" si="2"/>
        <v>1412966.7401624529</v>
      </c>
      <c r="F27" s="129">
        <f t="shared" si="3"/>
        <v>-29811.703469078522</v>
      </c>
      <c r="G27" s="152">
        <v>0</v>
      </c>
      <c r="H27" s="129">
        <f t="shared" si="4"/>
        <v>0</v>
      </c>
      <c r="I27" s="95"/>
      <c r="J27" s="95"/>
    </row>
    <row r="28" spans="1:10" x14ac:dyDescent="0.3">
      <c r="A28" s="136" t="s">
        <v>214</v>
      </c>
      <c r="B28" s="137">
        <v>807494.00649469718</v>
      </c>
      <c r="C28" s="138">
        <f t="shared" si="0"/>
        <v>1.1508527795944681E-3</v>
      </c>
      <c r="D28" s="137">
        <f t="shared" si="1"/>
        <v>837568.55546463293</v>
      </c>
      <c r="E28" s="137">
        <f t="shared" si="2"/>
        <v>820262.12458416645</v>
      </c>
      <c r="F28" s="129">
        <f t="shared" si="3"/>
        <v>-17306.430880466476</v>
      </c>
      <c r="G28" s="152">
        <v>0.23084885646883446</v>
      </c>
      <c r="H28" s="129">
        <f t="shared" si="4"/>
        <v>-3995.1697783126101</v>
      </c>
      <c r="I28" s="95"/>
      <c r="J28" s="95"/>
    </row>
    <row r="29" spans="1:10" x14ac:dyDescent="0.3">
      <c r="A29" s="136" t="s">
        <v>69</v>
      </c>
      <c r="B29" s="137">
        <v>26928953.147739861</v>
      </c>
      <c r="C29" s="138">
        <f t="shared" si="0"/>
        <v>3.837955493462742E-2</v>
      </c>
      <c r="D29" s="137">
        <f t="shared" si="1"/>
        <v>27931903.155587535</v>
      </c>
      <c r="E29" s="137">
        <f t="shared" si="2"/>
        <v>27354754.517224558</v>
      </c>
      <c r="F29" s="129">
        <f t="shared" si="3"/>
        <v>-577148.63836297765</v>
      </c>
      <c r="G29" s="152">
        <v>7.9057273540331513E-2</v>
      </c>
      <c r="H29" s="129">
        <f t="shared" si="4"/>
        <v>-45627.797776491796</v>
      </c>
      <c r="I29" s="95"/>
      <c r="J29" s="95"/>
    </row>
    <row r="30" spans="1:10" x14ac:dyDescent="0.3">
      <c r="A30" s="136" t="s">
        <v>215</v>
      </c>
      <c r="B30" s="137">
        <v>10104432.451182554</v>
      </c>
      <c r="C30" s="138">
        <f t="shared" si="0"/>
        <v>1.4400991312799736E-2</v>
      </c>
      <c r="D30" s="137">
        <f t="shared" si="1"/>
        <v>10480764.96402145</v>
      </c>
      <c r="E30" s="137">
        <f t="shared" si="2"/>
        <v>10264204.023139864</v>
      </c>
      <c r="F30" s="129">
        <f t="shared" si="3"/>
        <v>-216560.9408815857</v>
      </c>
      <c r="G30" s="152">
        <v>0</v>
      </c>
      <c r="H30" s="129">
        <f t="shared" si="4"/>
        <v>0</v>
      </c>
      <c r="I30" s="95"/>
      <c r="J30" s="95"/>
    </row>
    <row r="31" spans="1:10" x14ac:dyDescent="0.3">
      <c r="A31" s="136" t="s">
        <v>216</v>
      </c>
      <c r="B31" s="137">
        <v>141506.74922955746</v>
      </c>
      <c r="C31" s="138">
        <f t="shared" si="0"/>
        <v>2.0167757825120531E-4</v>
      </c>
      <c r="D31" s="137">
        <f t="shared" si="1"/>
        <v>146777.06904004724</v>
      </c>
      <c r="E31" s="137">
        <f t="shared" si="2"/>
        <v>143744.25795418944</v>
      </c>
      <c r="F31" s="129">
        <f t="shared" si="3"/>
        <v>-3032.8110858578002</v>
      </c>
      <c r="G31" s="152">
        <v>0.23084885646883446</v>
      </c>
      <c r="H31" s="129">
        <f t="shared" si="4"/>
        <v>-700.12097105627731</v>
      </c>
      <c r="I31" s="95"/>
      <c r="J31" s="95"/>
    </row>
    <row r="32" spans="1:10" x14ac:dyDescent="0.3">
      <c r="A32" s="136" t="s">
        <v>217</v>
      </c>
      <c r="B32" s="137">
        <v>1687548.9431406297</v>
      </c>
      <c r="C32" s="138">
        <f t="shared" si="0"/>
        <v>2.4051205040465581E-3</v>
      </c>
      <c r="D32" s="137">
        <f t="shared" si="1"/>
        <v>1750400.5221262868</v>
      </c>
      <c r="E32" s="137">
        <f t="shared" si="2"/>
        <v>1714232.5148011956</v>
      </c>
      <c r="F32" s="129">
        <f t="shared" si="3"/>
        <v>-36168.007325091166</v>
      </c>
      <c r="G32" s="152">
        <v>0.22953887558714423</v>
      </c>
      <c r="H32" s="129">
        <f t="shared" si="4"/>
        <v>-8301.9637336290216</v>
      </c>
      <c r="I32" s="95"/>
      <c r="J32" s="95"/>
    </row>
    <row r="33" spans="1:10" x14ac:dyDescent="0.3">
      <c r="A33" s="136" t="s">
        <v>218</v>
      </c>
      <c r="B33" s="137">
        <v>4197785.5916158678</v>
      </c>
      <c r="C33" s="138">
        <f t="shared" si="0"/>
        <v>5.9827480791146354E-3</v>
      </c>
      <c r="D33" s="137">
        <f t="shared" si="1"/>
        <v>4354129.1772337649</v>
      </c>
      <c r="E33" s="137">
        <f t="shared" si="2"/>
        <v>4264161.0962226335</v>
      </c>
      <c r="F33" s="129">
        <f t="shared" si="3"/>
        <v>-89968.081011131406</v>
      </c>
      <c r="G33" s="152">
        <v>0</v>
      </c>
      <c r="H33" s="129">
        <f t="shared" si="4"/>
        <v>0</v>
      </c>
      <c r="I33" s="95"/>
      <c r="J33" s="95"/>
    </row>
    <row r="34" spans="1:10" x14ac:dyDescent="0.3">
      <c r="A34" s="136" t="s">
        <v>219</v>
      </c>
      <c r="B34" s="137">
        <v>769065.97958879825</v>
      </c>
      <c r="C34" s="138">
        <f t="shared" si="0"/>
        <v>1.0960845692755286E-3</v>
      </c>
      <c r="D34" s="137">
        <f t="shared" si="1"/>
        <v>797709.30359891511</v>
      </c>
      <c r="E34" s="137">
        <f t="shared" si="2"/>
        <v>781226.47262899973</v>
      </c>
      <c r="F34" s="129">
        <f t="shared" si="3"/>
        <v>-16482.830969915376</v>
      </c>
      <c r="G34" s="152">
        <v>0.23084885646883446</v>
      </c>
      <c r="H34" s="129">
        <f t="shared" si="4"/>
        <v>-3805.0426807740541</v>
      </c>
      <c r="I34" s="95"/>
      <c r="J34" s="95"/>
    </row>
    <row r="35" spans="1:10" x14ac:dyDescent="0.3">
      <c r="A35" s="136" t="s">
        <v>70</v>
      </c>
      <c r="B35" s="137">
        <v>15700223.388632614</v>
      </c>
      <c r="C35" s="138">
        <f t="shared" si="0"/>
        <v>2.2376197942938641E-2</v>
      </c>
      <c r="D35" s="137">
        <f t="shared" si="1"/>
        <v>16284967.217494041</v>
      </c>
      <c r="E35" s="137">
        <f t="shared" si="2"/>
        <v>15948475.765300162</v>
      </c>
      <c r="F35" s="129">
        <f t="shared" si="3"/>
        <v>-336491.45219387859</v>
      </c>
      <c r="G35" s="152">
        <v>7.9057273540331513E-2</v>
      </c>
      <c r="H35" s="129">
        <f t="shared" si="4"/>
        <v>-26602.096780074844</v>
      </c>
      <c r="I35" s="95"/>
      <c r="J35" s="95"/>
    </row>
    <row r="36" spans="1:10" x14ac:dyDescent="0.3">
      <c r="A36" s="136" t="s">
        <v>220</v>
      </c>
      <c r="B36" s="137">
        <v>31739.500776958677</v>
      </c>
      <c r="C36" s="138">
        <f t="shared" si="0"/>
        <v>4.523562081985998E-5</v>
      </c>
      <c r="D36" s="137">
        <f t="shared" si="1"/>
        <v>32921.61626353873</v>
      </c>
      <c r="E36" s="137">
        <f t="shared" si="2"/>
        <v>32241.366661734963</v>
      </c>
      <c r="F36" s="129">
        <f t="shared" si="3"/>
        <v>-680.24960180376729</v>
      </c>
      <c r="G36" s="152">
        <v>0.22953887558714423</v>
      </c>
      <c r="H36" s="129">
        <f t="shared" si="4"/>
        <v>-156.14372871663934</v>
      </c>
      <c r="I36" s="95"/>
      <c r="J36" s="95"/>
    </row>
    <row r="37" spans="1:10" x14ac:dyDescent="0.3">
      <c r="A37" s="136" t="s">
        <v>221</v>
      </c>
      <c r="B37" s="137">
        <v>-873427.82166207838</v>
      </c>
      <c r="C37" s="138">
        <f t="shared" si="0"/>
        <v>-1.2448226590540588E-3</v>
      </c>
      <c r="D37" s="137">
        <f t="shared" si="1"/>
        <v>-905958.02941966744</v>
      </c>
      <c r="E37" s="137">
        <f t="shared" si="2"/>
        <v>-887238.4871034479</v>
      </c>
      <c r="F37" s="129">
        <f t="shared" si="3"/>
        <v>18719.542316219537</v>
      </c>
      <c r="G37" s="152">
        <v>0</v>
      </c>
      <c r="H37" s="129">
        <f t="shared" si="4"/>
        <v>0</v>
      </c>
      <c r="I37" s="95"/>
      <c r="J37" s="95"/>
    </row>
    <row r="38" spans="1:10" x14ac:dyDescent="0.3">
      <c r="A38" s="136" t="s">
        <v>222</v>
      </c>
      <c r="B38" s="137">
        <v>864073.98225386161</v>
      </c>
      <c r="C38" s="138">
        <f t="shared" si="0"/>
        <v>1.2314914243993812E-3</v>
      </c>
      <c r="D38" s="137">
        <f t="shared" si="1"/>
        <v>896255.81281102973</v>
      </c>
      <c r="E38" s="137">
        <f t="shared" si="2"/>
        <v>877736.74452171719</v>
      </c>
      <c r="F38" s="129">
        <f t="shared" si="3"/>
        <v>-18519.068289312534</v>
      </c>
      <c r="G38" s="152">
        <v>0.23084885646883446</v>
      </c>
      <c r="H38" s="129">
        <f t="shared" si="4"/>
        <v>-4275.1057374560532</v>
      </c>
      <c r="I38" s="95"/>
      <c r="J38" s="95"/>
    </row>
    <row r="39" spans="1:10" x14ac:dyDescent="0.3">
      <c r="A39" s="136" t="s">
        <v>223</v>
      </c>
      <c r="B39" s="137">
        <v>87786.425808280328</v>
      </c>
      <c r="C39" s="138">
        <f t="shared" si="0"/>
        <v>1.2511455359363887E-4</v>
      </c>
      <c r="D39" s="137">
        <f t="shared" si="1"/>
        <v>91055.969780906817</v>
      </c>
      <c r="E39" s="137">
        <f t="shared" si="2"/>
        <v>89174.507258244528</v>
      </c>
      <c r="F39" s="129">
        <f t="shared" si="3"/>
        <v>-1881.4625226622884</v>
      </c>
      <c r="G39" s="152">
        <v>0.22953887558714423</v>
      </c>
      <c r="H39" s="129">
        <f t="shared" si="4"/>
        <v>-431.86879191125354</v>
      </c>
      <c r="I39" s="95"/>
      <c r="J39" s="95"/>
    </row>
    <row r="40" spans="1:10" x14ac:dyDescent="0.3">
      <c r="A40" s="136" t="s">
        <v>71</v>
      </c>
      <c r="B40" s="137">
        <v>446033.26339732972</v>
      </c>
      <c r="C40" s="138">
        <f t="shared" si="0"/>
        <v>6.356934130083595E-4</v>
      </c>
      <c r="D40" s="137">
        <f t="shared" si="1"/>
        <v>462645.46003826085</v>
      </c>
      <c r="E40" s="137">
        <f t="shared" si="2"/>
        <v>453085.95398460759</v>
      </c>
      <c r="F40" s="129">
        <f t="shared" si="3"/>
        <v>-9559.5060536532546</v>
      </c>
      <c r="G40" s="152">
        <v>7.9057273540331513E-2</v>
      </c>
      <c r="H40" s="129">
        <f t="shared" si="4"/>
        <v>-755.74848499412042</v>
      </c>
      <c r="I40" s="95"/>
      <c r="J40" s="95"/>
    </row>
    <row r="41" spans="1:10" x14ac:dyDescent="0.3">
      <c r="A41" s="136" t="s">
        <v>156</v>
      </c>
      <c r="B41" s="137">
        <v>1421176.4645030841</v>
      </c>
      <c r="C41" s="138">
        <f t="shared" si="0"/>
        <v>2.0254823829189052E-3</v>
      </c>
      <c r="D41" s="137">
        <f t="shared" si="1"/>
        <v>1474107.1870011447</v>
      </c>
      <c r="E41" s="137">
        <f t="shared" si="2"/>
        <v>1443648.1469908834</v>
      </c>
      <c r="F41" s="129">
        <f t="shared" si="3"/>
        <v>-30459.040010261349</v>
      </c>
      <c r="G41" s="152">
        <v>0</v>
      </c>
      <c r="H41" s="129">
        <f t="shared" si="4"/>
        <v>0</v>
      </c>
      <c r="I41" s="95"/>
      <c r="J41" s="95"/>
    </row>
    <row r="42" spans="1:10" x14ac:dyDescent="0.3">
      <c r="A42" s="136" t="s">
        <v>143</v>
      </c>
      <c r="B42" s="137">
        <v>9308198.5839699395</v>
      </c>
      <c r="C42" s="138">
        <f t="shared" si="0"/>
        <v>1.3266186655528379E-2</v>
      </c>
      <c r="D42" s="137">
        <f t="shared" si="1"/>
        <v>9654875.9238435812</v>
      </c>
      <c r="E42" s="137">
        <f t="shared" si="2"/>
        <v>9455380.0834788643</v>
      </c>
      <c r="F42" s="129">
        <f t="shared" si="3"/>
        <v>-199495.84036471695</v>
      </c>
      <c r="G42" s="152">
        <v>0</v>
      </c>
      <c r="H42" s="129">
        <f t="shared" si="4"/>
        <v>0</v>
      </c>
      <c r="I42" s="95"/>
      <c r="J42" s="95"/>
    </row>
    <row r="43" spans="1:10" x14ac:dyDescent="0.3">
      <c r="A43" s="136" t="s">
        <v>72</v>
      </c>
      <c r="B43" s="137">
        <v>31486400.90512336</v>
      </c>
      <c r="C43" s="138">
        <f t="shared" si="0"/>
        <v>4.4874899020473362E-2</v>
      </c>
      <c r="D43" s="137">
        <f t="shared" si="1"/>
        <v>32659089.864164419</v>
      </c>
      <c r="E43" s="137">
        <f t="shared" si="2"/>
        <v>31984264.767561361</v>
      </c>
      <c r="F43" s="129">
        <f t="shared" si="3"/>
        <v>-674825.09660305828</v>
      </c>
      <c r="G43" s="152">
        <v>6.2803307592478125E-2</v>
      </c>
      <c r="H43" s="129">
        <f t="shared" si="4"/>
        <v>-42381.248113085632</v>
      </c>
      <c r="I43" s="95"/>
      <c r="J43" s="95"/>
    </row>
    <row r="44" spans="1:10" x14ac:dyDescent="0.3">
      <c r="A44" s="136" t="s">
        <v>157</v>
      </c>
      <c r="B44" s="137">
        <v>8995075.9886611123</v>
      </c>
      <c r="C44" s="138">
        <f t="shared" si="0"/>
        <v>1.2819919554761527E-2</v>
      </c>
      <c r="D44" s="137">
        <f t="shared" si="1"/>
        <v>9330091.2966800686</v>
      </c>
      <c r="E44" s="137">
        <f t="shared" si="2"/>
        <v>9137306.3848290481</v>
      </c>
      <c r="F44" s="129">
        <f t="shared" si="3"/>
        <v>-192784.91185102053</v>
      </c>
      <c r="G44" s="152">
        <v>0</v>
      </c>
      <c r="H44" s="129">
        <f t="shared" si="4"/>
        <v>0</v>
      </c>
      <c r="I44" s="95"/>
      <c r="J44" s="95"/>
    </row>
    <row r="45" spans="1:10" x14ac:dyDescent="0.3">
      <c r="A45" s="136" t="s">
        <v>144</v>
      </c>
      <c r="B45" s="137">
        <v>1906825.2606635569</v>
      </c>
      <c r="C45" s="138">
        <f t="shared" si="0"/>
        <v>2.7176364577140818E-3</v>
      </c>
      <c r="D45" s="137">
        <f t="shared" si="1"/>
        <v>1977843.6325866841</v>
      </c>
      <c r="E45" s="137">
        <f t="shared" si="2"/>
        <v>1936976.0356641328</v>
      </c>
      <c r="F45" s="129">
        <f t="shared" si="3"/>
        <v>-40867.596922551282</v>
      </c>
      <c r="G45" s="152">
        <v>1</v>
      </c>
      <c r="H45" s="129">
        <f t="shared" si="4"/>
        <v>-40867.596922551282</v>
      </c>
      <c r="I45" s="95"/>
      <c r="J45" s="95"/>
    </row>
    <row r="46" spans="1:10" x14ac:dyDescent="0.3">
      <c r="A46" s="136" t="s">
        <v>158</v>
      </c>
      <c r="B46" s="137">
        <v>2283017.6600456955</v>
      </c>
      <c r="C46" s="138">
        <f t="shared" si="0"/>
        <v>3.2537916056273558E-3</v>
      </c>
      <c r="D46" s="137">
        <f t="shared" si="1"/>
        <v>2368047.0545229698</v>
      </c>
      <c r="E46" s="137">
        <f t="shared" si="2"/>
        <v>2319116.799914666</v>
      </c>
      <c r="F46" s="129">
        <f t="shared" si="3"/>
        <v>-48930.254608303774</v>
      </c>
      <c r="G46" s="152">
        <v>0</v>
      </c>
      <c r="H46" s="129">
        <f t="shared" si="4"/>
        <v>0</v>
      </c>
      <c r="I46" s="95"/>
      <c r="J46" s="95"/>
    </row>
    <row r="47" spans="1:10" x14ac:dyDescent="0.3">
      <c r="A47" s="136" t="s">
        <v>142</v>
      </c>
      <c r="B47" s="137">
        <v>847559.2442914343</v>
      </c>
      <c r="C47" s="138">
        <f t="shared" si="0"/>
        <v>1.2079543678572054E-3</v>
      </c>
      <c r="D47" s="137">
        <f t="shared" si="1"/>
        <v>879125.99499465688</v>
      </c>
      <c r="E47" s="137">
        <f t="shared" si="2"/>
        <v>860960.87505512405</v>
      </c>
      <c r="F47" s="129">
        <f t="shared" si="3"/>
        <v>-18165.119939532829</v>
      </c>
      <c r="G47" s="152">
        <v>0</v>
      </c>
      <c r="H47" s="129">
        <f t="shared" si="4"/>
        <v>0</v>
      </c>
      <c r="I47" s="95"/>
      <c r="J47" s="95"/>
    </row>
    <row r="48" spans="1:10" x14ac:dyDescent="0.3">
      <c r="A48" s="136" t="s">
        <v>159</v>
      </c>
      <c r="B48" s="137">
        <v>149500.18065220167</v>
      </c>
      <c r="C48" s="138">
        <f t="shared" si="0"/>
        <v>2.1306993868640102E-4</v>
      </c>
      <c r="D48" s="137">
        <f t="shared" si="1"/>
        <v>155068.21022006994</v>
      </c>
      <c r="E48" s="137">
        <f t="shared" si="2"/>
        <v>151864.08174076889</v>
      </c>
      <c r="F48" s="129">
        <f t="shared" si="3"/>
        <v>-3204.1284793010564</v>
      </c>
      <c r="G48" s="152">
        <v>0</v>
      </c>
      <c r="H48" s="129">
        <f t="shared" si="4"/>
        <v>0</v>
      </c>
      <c r="I48" s="95"/>
      <c r="J48" s="95"/>
    </row>
    <row r="49" spans="1:10" x14ac:dyDescent="0.3">
      <c r="A49" s="136" t="s">
        <v>73</v>
      </c>
      <c r="B49" s="137">
        <v>1676877.5348007174</v>
      </c>
      <c r="C49" s="138">
        <f t="shared" si="0"/>
        <v>2.3899114500456646E-3</v>
      </c>
      <c r="D49" s="137">
        <f t="shared" si="1"/>
        <v>1739331.6646534824</v>
      </c>
      <c r="E49" s="137">
        <f t="shared" si="2"/>
        <v>1703392.3698505231</v>
      </c>
      <c r="F49" s="129">
        <f t="shared" si="3"/>
        <v>-35939.29480295931</v>
      </c>
      <c r="G49" s="152">
        <v>0</v>
      </c>
      <c r="H49" s="129">
        <f t="shared" si="4"/>
        <v>0</v>
      </c>
      <c r="I49" s="95"/>
      <c r="J49" s="95"/>
    </row>
    <row r="50" spans="1:10" x14ac:dyDescent="0.3">
      <c r="A50" s="136" t="s">
        <v>79</v>
      </c>
      <c r="B50" s="137">
        <v>969677.11159521504</v>
      </c>
      <c r="C50" s="138">
        <f t="shared" si="0"/>
        <v>1.3819986157331521E-3</v>
      </c>
      <c r="D50" s="137">
        <f t="shared" si="1"/>
        <v>1005792.0567751675</v>
      </c>
      <c r="E50" s="137">
        <f t="shared" si="2"/>
        <v>985009.67353366013</v>
      </c>
      <c r="F50" s="129">
        <f t="shared" si="3"/>
        <v>-20782.383241507341</v>
      </c>
      <c r="G50" s="152">
        <v>0</v>
      </c>
      <c r="H50" s="129">
        <f t="shared" si="4"/>
        <v>0</v>
      </c>
      <c r="I50" s="95"/>
      <c r="J50" s="95"/>
    </row>
    <row r="51" spans="1:10" x14ac:dyDescent="0.3">
      <c r="A51" s="136" t="s">
        <v>74</v>
      </c>
      <c r="B51" s="137">
        <v>11523387.808400126</v>
      </c>
      <c r="C51" s="138">
        <f t="shared" si="0"/>
        <v>1.6423308139723487E-2</v>
      </c>
      <c r="D51" s="137">
        <f t="shared" si="1"/>
        <v>11952568.320151163</v>
      </c>
      <c r="E51" s="137">
        <f t="shared" si="2"/>
        <v>11705595.94263396</v>
      </c>
      <c r="F51" s="129">
        <f t="shared" si="3"/>
        <v>-246972.37751720287</v>
      </c>
      <c r="G51" s="152">
        <v>0</v>
      </c>
      <c r="H51" s="129">
        <f t="shared" si="4"/>
        <v>0</v>
      </c>
      <c r="I51" s="95"/>
      <c r="J51" s="95"/>
    </row>
    <row r="52" spans="1:10" x14ac:dyDescent="0.3">
      <c r="A52" s="136" t="s">
        <v>75</v>
      </c>
      <c r="B52" s="137">
        <v>6168450.5395796224</v>
      </c>
      <c r="C52" s="138">
        <f t="shared" si="0"/>
        <v>8.7913698332977349E-3</v>
      </c>
      <c r="D52" s="137">
        <f t="shared" si="1"/>
        <v>6398190.1615819223</v>
      </c>
      <c r="E52" s="137">
        <f t="shared" si="2"/>
        <v>6265986.2541297479</v>
      </c>
      <c r="F52" s="129">
        <f t="shared" si="3"/>
        <v>-132203.90745217446</v>
      </c>
      <c r="G52" s="152">
        <v>6.2803307592478125E-2</v>
      </c>
      <c r="H52" s="129">
        <f t="shared" si="4"/>
        <v>-8302.8426646464231</v>
      </c>
      <c r="I52" s="95"/>
      <c r="J52" s="95"/>
    </row>
    <row r="53" spans="1:10" x14ac:dyDescent="0.3">
      <c r="A53" s="136" t="s">
        <v>76</v>
      </c>
      <c r="B53" s="137">
        <v>17650695.958583944</v>
      </c>
      <c r="C53" s="138">
        <f t="shared" si="0"/>
        <v>2.5156041211863257E-2</v>
      </c>
      <c r="D53" s="137">
        <f t="shared" si="1"/>
        <v>18308083.77284677</v>
      </c>
      <c r="E53" s="137">
        <f t="shared" si="2"/>
        <v>17929789.262742106</v>
      </c>
      <c r="F53" s="129">
        <f t="shared" si="3"/>
        <v>-378294.51010466367</v>
      </c>
      <c r="G53" s="152">
        <v>0</v>
      </c>
      <c r="H53" s="129">
        <f t="shared" si="4"/>
        <v>0</v>
      </c>
      <c r="I53" s="95"/>
      <c r="J53" s="95"/>
    </row>
    <row r="54" spans="1:10" x14ac:dyDescent="0.3">
      <c r="A54" s="136" t="s">
        <v>77</v>
      </c>
      <c r="B54" s="137">
        <v>2415628.3387159351</v>
      </c>
      <c r="C54" s="138">
        <f t="shared" si="0"/>
        <v>3.4427903683724218E-3</v>
      </c>
      <c r="D54" s="137">
        <f t="shared" si="1"/>
        <v>2505596.7250835854</v>
      </c>
      <c r="E54" s="137">
        <f t="shared" si="2"/>
        <v>2453824.3223900208</v>
      </c>
      <c r="F54" s="129">
        <f t="shared" si="3"/>
        <v>-51772.402693564538</v>
      </c>
      <c r="G54" s="152">
        <v>1</v>
      </c>
      <c r="H54" s="129">
        <f t="shared" si="4"/>
        <v>-51772.402693564538</v>
      </c>
      <c r="I54" s="95"/>
      <c r="J54" s="95"/>
    </row>
    <row r="55" spans="1:10" x14ac:dyDescent="0.3">
      <c r="A55" s="136" t="s">
        <v>78</v>
      </c>
      <c r="B55" s="137">
        <v>3929219.3941368903</v>
      </c>
      <c r="C55" s="138">
        <f t="shared" si="0"/>
        <v>5.5999834364202526E-3</v>
      </c>
      <c r="D55" s="137">
        <f t="shared" si="1"/>
        <v>4075560.4197446969</v>
      </c>
      <c r="E55" s="137">
        <f t="shared" si="2"/>
        <v>3991348.3224264677</v>
      </c>
      <c r="F55" s="129">
        <f t="shared" si="3"/>
        <v>-84212.097318229266</v>
      </c>
      <c r="G55" s="152">
        <v>0</v>
      </c>
      <c r="H55" s="129">
        <f t="shared" si="4"/>
        <v>0</v>
      </c>
      <c r="I55" s="95"/>
      <c r="J55" s="95"/>
    </row>
    <row r="56" spans="1:10" x14ac:dyDescent="0.3">
      <c r="A56" s="136" t="s">
        <v>160</v>
      </c>
      <c r="B56" s="137">
        <v>2687345.1777996956</v>
      </c>
      <c r="C56" s="138">
        <f t="shared" si="0"/>
        <v>3.8300453535575316E-3</v>
      </c>
      <c r="D56" s="137">
        <f t="shared" si="1"/>
        <v>2787433.4676183378</v>
      </c>
      <c r="E56" s="137">
        <f t="shared" si="2"/>
        <v>2729837.5558252134</v>
      </c>
      <c r="F56" s="129">
        <f t="shared" si="3"/>
        <v>-57595.911793124396</v>
      </c>
      <c r="G56" s="152">
        <v>0</v>
      </c>
      <c r="H56" s="129">
        <f t="shared" si="4"/>
        <v>0</v>
      </c>
      <c r="I56" s="95"/>
      <c r="J56" s="95"/>
    </row>
    <row r="57" spans="1:10" x14ac:dyDescent="0.3">
      <c r="A57" s="136" t="s">
        <v>224</v>
      </c>
      <c r="B57" s="137">
        <v>1.2254531611688435E-8</v>
      </c>
      <c r="C57" s="138">
        <f t="shared" si="0"/>
        <v>1.7465345444681675E-17</v>
      </c>
      <c r="D57" s="137">
        <f t="shared" si="1"/>
        <v>1.2710943062541439E-8</v>
      </c>
      <c r="E57" s="137">
        <f t="shared" si="2"/>
        <v>1.2448300612437297E-8</v>
      </c>
      <c r="F57" s="129">
        <f t="shared" si="3"/>
        <v>-2.6264245010414182E-10</v>
      </c>
      <c r="G57" s="152">
        <v>0</v>
      </c>
      <c r="H57" s="129">
        <f t="shared" si="4"/>
        <v>0</v>
      </c>
      <c r="I57" s="95"/>
      <c r="J57" s="95"/>
    </row>
    <row r="58" spans="1:10" x14ac:dyDescent="0.3">
      <c r="A58" s="136" t="s">
        <v>81</v>
      </c>
      <c r="B58" s="137">
        <v>35231804.061857961</v>
      </c>
      <c r="C58" s="138">
        <f t="shared" si="0"/>
        <v>5.0212904750498825E-2</v>
      </c>
      <c r="D58" s="137">
        <f t="shared" si="1"/>
        <v>36543987.939428933</v>
      </c>
      <c r="E58" s="137">
        <f t="shared" si="2"/>
        <v>35788890.345036216</v>
      </c>
      <c r="F58" s="129">
        <f t="shared" si="3"/>
        <v>-755097.59439271688</v>
      </c>
      <c r="G58" s="152">
        <v>6.9173575695716499E-2</v>
      </c>
      <c r="H58" s="129">
        <f t="shared" si="4"/>
        <v>-52232.800603378033</v>
      </c>
      <c r="I58" s="95"/>
      <c r="J58" s="95"/>
    </row>
    <row r="59" spans="1:10" x14ac:dyDescent="0.3">
      <c r="A59" s="136" t="s">
        <v>161</v>
      </c>
      <c r="B59" s="137">
        <v>1567422.7872020558</v>
      </c>
      <c r="C59" s="138">
        <f t="shared" si="0"/>
        <v>2.2339148735997963E-3</v>
      </c>
      <c r="D59" s="137">
        <f t="shared" si="1"/>
        <v>1625800.3516064438</v>
      </c>
      <c r="E59" s="137">
        <f t="shared" si="2"/>
        <v>1592206.9206843548</v>
      </c>
      <c r="F59" s="129">
        <f t="shared" si="3"/>
        <v>-33593.430922088912</v>
      </c>
      <c r="G59" s="152">
        <v>0</v>
      </c>
      <c r="H59" s="129">
        <f t="shared" si="4"/>
        <v>0</v>
      </c>
      <c r="I59" s="95"/>
      <c r="J59" s="95"/>
    </row>
    <row r="60" spans="1:10" x14ac:dyDescent="0.3">
      <c r="A60" s="136" t="s">
        <v>82</v>
      </c>
      <c r="B60" s="137">
        <v>9163492.8658836558</v>
      </c>
      <c r="C60" s="138">
        <f t="shared" si="0"/>
        <v>1.3059949858049553E-2</v>
      </c>
      <c r="D60" s="137">
        <f t="shared" si="1"/>
        <v>9504780.7425912395</v>
      </c>
      <c r="E60" s="137">
        <f t="shared" si="2"/>
        <v>9308386.2744818293</v>
      </c>
      <c r="F60" s="129">
        <f t="shared" si="3"/>
        <v>-196394.46810941026</v>
      </c>
      <c r="G60" s="152">
        <v>0</v>
      </c>
      <c r="H60" s="129">
        <f t="shared" si="4"/>
        <v>0</v>
      </c>
      <c r="I60" s="95"/>
      <c r="J60" s="95"/>
    </row>
    <row r="61" spans="1:10" x14ac:dyDescent="0.3">
      <c r="A61" s="136" t="s">
        <v>80</v>
      </c>
      <c r="B61" s="137">
        <v>934232.42413082847</v>
      </c>
      <c r="C61" s="138">
        <f t="shared" si="0"/>
        <v>1.3314823063089853E-3</v>
      </c>
      <c r="D61" s="137">
        <f t="shared" si="1"/>
        <v>969027.25673991605</v>
      </c>
      <c r="E61" s="137">
        <f t="shared" si="2"/>
        <v>949004.53366770828</v>
      </c>
      <c r="F61" s="129">
        <f t="shared" si="3"/>
        <v>-20022.723072207766</v>
      </c>
      <c r="G61" s="152">
        <v>0</v>
      </c>
      <c r="H61" s="129">
        <f t="shared" si="4"/>
        <v>0</v>
      </c>
      <c r="I61" s="95"/>
      <c r="J61" s="95"/>
    </row>
    <row r="62" spans="1:10" x14ac:dyDescent="0.3">
      <c r="A62" s="136" t="s">
        <v>83</v>
      </c>
      <c r="B62" s="137">
        <v>5661589.3204952721</v>
      </c>
      <c r="C62" s="138">
        <f t="shared" si="0"/>
        <v>8.0689834896714233E-3</v>
      </c>
      <c r="D62" s="137">
        <f t="shared" si="1"/>
        <v>5872451.2512308769</v>
      </c>
      <c r="E62" s="137">
        <f t="shared" si="2"/>
        <v>5751110.5311008608</v>
      </c>
      <c r="F62" s="129">
        <f t="shared" si="3"/>
        <v>-121340.7201300161</v>
      </c>
      <c r="G62" s="152">
        <v>0</v>
      </c>
      <c r="H62" s="129">
        <f t="shared" si="4"/>
        <v>0</v>
      </c>
      <c r="I62" s="95"/>
      <c r="J62" s="95"/>
    </row>
    <row r="63" spans="1:10" x14ac:dyDescent="0.3">
      <c r="A63" s="136" t="s">
        <v>84</v>
      </c>
      <c r="B63" s="137">
        <v>1183229.4582911038</v>
      </c>
      <c r="C63" s="138">
        <f t="shared" si="0"/>
        <v>1.6863566788360008E-3</v>
      </c>
      <c r="D63" s="137">
        <f t="shared" si="1"/>
        <v>1227298.0111222512</v>
      </c>
      <c r="E63" s="137">
        <f t="shared" si="2"/>
        <v>1201938.7159808064</v>
      </c>
      <c r="F63" s="129">
        <f t="shared" si="3"/>
        <v>-25359.295141444774</v>
      </c>
      <c r="G63" s="152">
        <v>1</v>
      </c>
      <c r="H63" s="129">
        <f t="shared" si="4"/>
        <v>-25359.295141444774</v>
      </c>
      <c r="I63" s="95"/>
      <c r="J63" s="95"/>
    </row>
    <row r="64" spans="1:10" x14ac:dyDescent="0.3">
      <c r="A64" s="136" t="s">
        <v>85</v>
      </c>
      <c r="B64" s="137">
        <v>1649963.3160652858</v>
      </c>
      <c r="C64" s="138">
        <f t="shared" si="0"/>
        <v>2.3515528948202915E-3</v>
      </c>
      <c r="D64" s="137">
        <f t="shared" si="1"/>
        <v>1711415.0446830746</v>
      </c>
      <c r="E64" s="137">
        <f t="shared" si="2"/>
        <v>1676052.5827265517</v>
      </c>
      <c r="F64" s="129">
        <f t="shared" si="3"/>
        <v>-35362.461956522893</v>
      </c>
      <c r="G64" s="152">
        <v>0</v>
      </c>
      <c r="H64" s="129">
        <f t="shared" si="4"/>
        <v>0</v>
      </c>
      <c r="I64" s="95"/>
      <c r="J64" s="95"/>
    </row>
    <row r="65" spans="1:10" x14ac:dyDescent="0.3">
      <c r="A65" s="136" t="s">
        <v>86</v>
      </c>
      <c r="B65" s="137">
        <v>191643.16232005667</v>
      </c>
      <c r="C65" s="138">
        <f t="shared" si="0"/>
        <v>2.7313275921851617E-4</v>
      </c>
      <c r="D65" s="137">
        <f t="shared" si="1"/>
        <v>198780.77773712631</v>
      </c>
      <c r="E65" s="137">
        <f t="shared" si="2"/>
        <v>194673.42942775175</v>
      </c>
      <c r="F65" s="129">
        <f t="shared" si="3"/>
        <v>-4107.3483093745599</v>
      </c>
      <c r="G65" s="152">
        <v>0</v>
      </c>
      <c r="H65" s="129">
        <f t="shared" si="4"/>
        <v>0</v>
      </c>
      <c r="I65" s="95"/>
      <c r="J65" s="95"/>
    </row>
    <row r="66" spans="1:10" x14ac:dyDescent="0.3">
      <c r="A66" s="136" t="s">
        <v>88</v>
      </c>
      <c r="B66" s="137">
        <v>2582865.8792576068</v>
      </c>
      <c r="C66" s="138">
        <f t="shared" si="0"/>
        <v>3.6811398630273886E-3</v>
      </c>
      <c r="D66" s="137">
        <f t="shared" si="1"/>
        <v>2679062.9107448235</v>
      </c>
      <c r="E66" s="137">
        <f t="shared" si="2"/>
        <v>2623706.2276569465</v>
      </c>
      <c r="F66" s="129">
        <f t="shared" si="3"/>
        <v>-55356.683087876998</v>
      </c>
      <c r="G66" s="152">
        <v>6.9173575695716499E-2</v>
      </c>
      <c r="H66" s="129">
        <f t="shared" si="4"/>
        <v>-3829.219707843049</v>
      </c>
      <c r="I66" s="95"/>
      <c r="J66" s="95"/>
    </row>
    <row r="67" spans="1:10" x14ac:dyDescent="0.3">
      <c r="A67" s="136" t="s">
        <v>89</v>
      </c>
      <c r="B67" s="137">
        <v>1772661.6217189094</v>
      </c>
      <c r="C67" s="138">
        <f t="shared" si="0"/>
        <v>2.5264243922893336E-3</v>
      </c>
      <c r="D67" s="137">
        <f t="shared" si="1"/>
        <v>1838683.1628334206</v>
      </c>
      <c r="E67" s="137">
        <f t="shared" si="2"/>
        <v>1800690.9974625495</v>
      </c>
      <c r="F67" s="129">
        <f t="shared" si="3"/>
        <v>-37992.16537087108</v>
      </c>
      <c r="G67" s="152">
        <v>0</v>
      </c>
      <c r="H67" s="129">
        <f t="shared" si="4"/>
        <v>0</v>
      </c>
      <c r="I67" s="95"/>
      <c r="J67" s="95"/>
    </row>
    <row r="68" spans="1:10" x14ac:dyDescent="0.3">
      <c r="A68" s="139" t="s">
        <v>87</v>
      </c>
      <c r="B68" s="140">
        <v>40353.068910587172</v>
      </c>
      <c r="C68" s="138">
        <f t="shared" si="0"/>
        <v>5.7511809558206718E-5</v>
      </c>
      <c r="D68" s="137">
        <f t="shared" si="1"/>
        <v>41855.990712207524</v>
      </c>
      <c r="E68" s="137">
        <f t="shared" si="2"/>
        <v>40991.132778527783</v>
      </c>
      <c r="F68" s="129">
        <f t="shared" si="3"/>
        <v>-864.85793367974111</v>
      </c>
      <c r="G68" s="152">
        <v>0</v>
      </c>
      <c r="H68" s="129">
        <f t="shared" si="4"/>
        <v>0</v>
      </c>
      <c r="I68" s="95"/>
      <c r="J68" s="95"/>
    </row>
    <row r="69" spans="1:10" x14ac:dyDescent="0.3">
      <c r="A69" s="139" t="s">
        <v>162</v>
      </c>
      <c r="B69" s="140">
        <v>372042.14431110886</v>
      </c>
      <c r="C69" s="138">
        <f t="shared" si="0"/>
        <v>5.3024014105736606E-4</v>
      </c>
      <c r="D69" s="137">
        <f t="shared" si="1"/>
        <v>385898.59352060256</v>
      </c>
      <c r="E69" s="137">
        <f t="shared" si="2"/>
        <v>377924.8852288333</v>
      </c>
      <c r="F69" s="129">
        <f t="shared" si="3"/>
        <v>-7973.7082917692605</v>
      </c>
      <c r="G69" s="152">
        <v>0</v>
      </c>
      <c r="H69" s="129">
        <f t="shared" si="4"/>
        <v>0</v>
      </c>
      <c r="I69" s="95"/>
      <c r="J69" s="95"/>
    </row>
    <row r="70" spans="1:10" x14ac:dyDescent="0.3">
      <c r="A70" s="139" t="s">
        <v>90</v>
      </c>
      <c r="B70" s="140">
        <v>69094.113688911209</v>
      </c>
      <c r="C70" s="138">
        <f t="shared" si="0"/>
        <v>9.8473985135420129E-5</v>
      </c>
      <c r="D70" s="137">
        <f t="shared" si="1"/>
        <v>71667.475582570187</v>
      </c>
      <c r="E70" s="137">
        <f t="shared" si="2"/>
        <v>70186.631770496533</v>
      </c>
      <c r="F70" s="129">
        <f t="shared" si="3"/>
        <v>-1480.8438120736537</v>
      </c>
      <c r="G70" s="152">
        <v>0</v>
      </c>
      <c r="H70" s="129">
        <f t="shared" si="4"/>
        <v>0</v>
      </c>
      <c r="I70" s="95"/>
      <c r="J70" s="95"/>
    </row>
    <row r="71" spans="1:10" x14ac:dyDescent="0.3">
      <c r="A71" s="139" t="s">
        <v>91</v>
      </c>
      <c r="B71" s="140">
        <v>2658040.5854745409</v>
      </c>
      <c r="C71" s="138">
        <f t="shared" si="0"/>
        <v>3.788280001417412E-3</v>
      </c>
      <c r="D71" s="137">
        <f t="shared" si="1"/>
        <v>2757037.4462672854</v>
      </c>
      <c r="E71" s="137">
        <f t="shared" si="2"/>
        <v>2700069.5984566505</v>
      </c>
      <c r="F71" s="129">
        <f t="shared" si="3"/>
        <v>-56967.847810634878</v>
      </c>
      <c r="G71" s="152">
        <v>0</v>
      </c>
      <c r="H71" s="129">
        <f t="shared" si="4"/>
        <v>0</v>
      </c>
      <c r="I71" s="95"/>
      <c r="J71" s="95"/>
    </row>
    <row r="72" spans="1:10" x14ac:dyDescent="0.3">
      <c r="A72" s="136" t="s">
        <v>145</v>
      </c>
      <c r="B72" s="137">
        <v>376860.8236422973</v>
      </c>
      <c r="C72" s="138">
        <f t="shared" si="0"/>
        <v>5.3710779636832718E-4</v>
      </c>
      <c r="D72" s="137">
        <f t="shared" si="1"/>
        <v>390896.74119007046</v>
      </c>
      <c r="E72" s="137">
        <f t="shared" si="2"/>
        <v>382819.75765401503</v>
      </c>
      <c r="F72" s="129">
        <f t="shared" si="3"/>
        <v>-8076.983536055428</v>
      </c>
      <c r="G72" s="152">
        <v>1</v>
      </c>
      <c r="H72" s="129">
        <f t="shared" si="4"/>
        <v>-8076.983536055428</v>
      </c>
      <c r="I72" s="95"/>
      <c r="J72" s="95"/>
    </row>
    <row r="73" spans="1:10" x14ac:dyDescent="0.3">
      <c r="A73" s="139" t="s">
        <v>92</v>
      </c>
      <c r="B73" s="140">
        <v>1157323.6911945147</v>
      </c>
      <c r="C73" s="138">
        <f t="shared" ref="C73:C87" si="5">B73/B$95</f>
        <v>1.6494353842742534E-3</v>
      </c>
      <c r="D73" s="137">
        <f t="shared" si="1"/>
        <v>1200427.401865988</v>
      </c>
      <c r="E73" s="137">
        <f t="shared" si="2"/>
        <v>1175623.326161538</v>
      </c>
      <c r="F73" s="129">
        <f t="shared" si="3"/>
        <v>-24804.075704450021</v>
      </c>
      <c r="G73" s="152">
        <v>0</v>
      </c>
      <c r="H73" s="129">
        <f t="shared" si="4"/>
        <v>0</v>
      </c>
      <c r="I73" s="95"/>
      <c r="J73" s="95"/>
    </row>
    <row r="74" spans="1:10" x14ac:dyDescent="0.3">
      <c r="A74" s="136" t="s">
        <v>146</v>
      </c>
      <c r="B74" s="137">
        <v>42701.409918321719</v>
      </c>
      <c r="C74" s="138">
        <f t="shared" si="5"/>
        <v>6.0858700995728152E-5</v>
      </c>
      <c r="D74" s="137">
        <f t="shared" ref="D74:D88" si="6">C74*$D$95</f>
        <v>44291.794036773128</v>
      </c>
      <c r="E74" s="137">
        <f t="shared" ref="E74:E88" si="7">C74*$E$95</f>
        <v>43376.60582075415</v>
      </c>
      <c r="F74" s="129">
        <f t="shared" ref="F74:F88" si="8">E74-D74</f>
        <v>-915.18821601897798</v>
      </c>
      <c r="G74" s="152">
        <v>0</v>
      </c>
      <c r="H74" s="129">
        <f t="shared" ref="H74:H88" si="9">F74*G74</f>
        <v>0</v>
      </c>
      <c r="I74" s="95"/>
      <c r="J74" s="95"/>
    </row>
    <row r="75" spans="1:10" x14ac:dyDescent="0.3">
      <c r="A75" s="136" t="s">
        <v>147</v>
      </c>
      <c r="B75" s="137">
        <v>599152.74904484348</v>
      </c>
      <c r="C75" s="138">
        <f t="shared" si="5"/>
        <v>8.5392164040099677E-4</v>
      </c>
      <c r="D75" s="137">
        <f t="shared" si="6"/>
        <v>621467.7737344281</v>
      </c>
      <c r="E75" s="137">
        <f t="shared" si="7"/>
        <v>608626.56927373074</v>
      </c>
      <c r="F75" s="129">
        <f t="shared" si="8"/>
        <v>-12841.204460697365</v>
      </c>
      <c r="G75" s="152">
        <v>0</v>
      </c>
      <c r="H75" s="129">
        <f t="shared" si="9"/>
        <v>0</v>
      </c>
      <c r="I75" s="95"/>
      <c r="J75" s="95"/>
    </row>
    <row r="76" spans="1:10" x14ac:dyDescent="0.3">
      <c r="A76" s="136" t="s">
        <v>93</v>
      </c>
      <c r="B76" s="137">
        <v>98580207.099001169</v>
      </c>
      <c r="C76" s="138">
        <f t="shared" si="5"/>
        <v>0.14049801539131157</v>
      </c>
      <c r="D76" s="137">
        <f t="shared" si="6"/>
        <v>102251757.89940304</v>
      </c>
      <c r="E76" s="137">
        <f t="shared" si="7"/>
        <v>100138960.12428774</v>
      </c>
      <c r="F76" s="129">
        <f t="shared" si="8"/>
        <v>-2112797.7751152962</v>
      </c>
      <c r="G76" s="152">
        <v>6.8539355270203509E-2</v>
      </c>
      <c r="H76" s="129">
        <f t="shared" si="9"/>
        <v>-144809.79732272282</v>
      </c>
      <c r="I76" s="95"/>
      <c r="J76" s="95"/>
    </row>
    <row r="77" spans="1:10" x14ac:dyDescent="0.3">
      <c r="A77" s="136" t="s">
        <v>148</v>
      </c>
      <c r="B77" s="137">
        <v>888908.14456486097</v>
      </c>
      <c r="C77" s="138">
        <f t="shared" si="5"/>
        <v>1.266885451469106E-3</v>
      </c>
      <c r="D77" s="137">
        <f t="shared" si="6"/>
        <v>922014.90611166169</v>
      </c>
      <c r="E77" s="137">
        <f t="shared" si="7"/>
        <v>902963.5853101908</v>
      </c>
      <c r="F77" s="129">
        <f t="shared" si="8"/>
        <v>-19051.320801470894</v>
      </c>
      <c r="G77" s="152">
        <v>0</v>
      </c>
      <c r="H77" s="129">
        <f t="shared" si="9"/>
        <v>0</v>
      </c>
      <c r="I77" s="95"/>
      <c r="J77" s="95"/>
    </row>
    <row r="78" spans="1:10" x14ac:dyDescent="0.3">
      <c r="A78" s="136" t="s">
        <v>149</v>
      </c>
      <c r="B78" s="137">
        <v>585782.71361729526</v>
      </c>
      <c r="C78" s="138">
        <f t="shared" si="5"/>
        <v>8.3486646189649672E-4</v>
      </c>
      <c r="D78" s="137">
        <f t="shared" si="6"/>
        <v>607599.78069733549</v>
      </c>
      <c r="E78" s="137">
        <f t="shared" si="7"/>
        <v>595045.12646751932</v>
      </c>
      <c r="F78" s="129">
        <f t="shared" si="8"/>
        <v>-12554.654229816166</v>
      </c>
      <c r="G78" s="152">
        <v>1</v>
      </c>
      <c r="H78" s="129">
        <f t="shared" si="9"/>
        <v>-12554.654229816166</v>
      </c>
      <c r="I78" s="95"/>
      <c r="J78" s="95"/>
    </row>
    <row r="79" spans="1:10" x14ac:dyDescent="0.3">
      <c r="A79" s="136" t="s">
        <v>225</v>
      </c>
      <c r="B79" s="141">
        <v>164585.75113194375</v>
      </c>
      <c r="C79" s="138">
        <f t="shared" si="5"/>
        <v>2.3457012392460988E-4</v>
      </c>
      <c r="D79" s="137">
        <f t="shared" si="6"/>
        <v>170715.6322113816</v>
      </c>
      <c r="E79" s="137">
        <f t="shared" si="7"/>
        <v>167188.18568798335</v>
      </c>
      <c r="F79" s="129">
        <f t="shared" si="8"/>
        <v>-3527.4465233982482</v>
      </c>
      <c r="G79" s="152">
        <v>0</v>
      </c>
      <c r="H79" s="129">
        <f t="shared" si="9"/>
        <v>0</v>
      </c>
      <c r="I79" s="95"/>
      <c r="J79" s="95"/>
    </row>
    <row r="80" spans="1:10" x14ac:dyDescent="0.3">
      <c r="A80" s="136" t="s">
        <v>226</v>
      </c>
      <c r="B80" s="141">
        <v>177364.35304315062</v>
      </c>
      <c r="C80" s="138">
        <f t="shared" si="5"/>
        <v>2.5278238235694559E-4</v>
      </c>
      <c r="D80" s="137">
        <f t="shared" si="6"/>
        <v>183970.16420486136</v>
      </c>
      <c r="E80" s="137">
        <f t="shared" si="7"/>
        <v>180168.84321435058</v>
      </c>
      <c r="F80" s="129">
        <f t="shared" si="8"/>
        <v>-3801.3209905107797</v>
      </c>
      <c r="G80" s="152">
        <v>0</v>
      </c>
      <c r="H80" s="129">
        <f t="shared" si="9"/>
        <v>0</v>
      </c>
      <c r="I80" s="95"/>
      <c r="J80" s="95"/>
    </row>
    <row r="81" spans="1:10" x14ac:dyDescent="0.3">
      <c r="A81" s="136" t="s">
        <v>150</v>
      </c>
      <c r="B81" s="141">
        <v>-13684.671967230071</v>
      </c>
      <c r="C81" s="138">
        <f t="shared" si="5"/>
        <v>-1.9503603301888596E-5</v>
      </c>
      <c r="D81" s="137">
        <f t="shared" si="6"/>
        <v>-14194.34799442752</v>
      </c>
      <c r="E81" s="137">
        <f t="shared" si="7"/>
        <v>-13901.054387765587</v>
      </c>
      <c r="F81" s="129">
        <f t="shared" si="8"/>
        <v>293.29360666193315</v>
      </c>
      <c r="G81" s="152">
        <v>0</v>
      </c>
      <c r="H81" s="129">
        <f t="shared" si="9"/>
        <v>0</v>
      </c>
      <c r="I81" s="95"/>
      <c r="J81" s="95"/>
    </row>
    <row r="82" spans="1:10" x14ac:dyDescent="0.3">
      <c r="A82" s="136" t="s">
        <v>163</v>
      </c>
      <c r="B82" s="141">
        <v>-117.80689734841363</v>
      </c>
      <c r="C82" s="138">
        <f t="shared" si="5"/>
        <v>-1.6790018771453551E-7</v>
      </c>
      <c r="D82" s="137">
        <f t="shared" si="6"/>
        <v>-122.19453276713463</v>
      </c>
      <c r="E82" s="137">
        <f t="shared" si="7"/>
        <v>-119.66966334419865</v>
      </c>
      <c r="F82" s="129">
        <f t="shared" si="8"/>
        <v>2.5248694229359785</v>
      </c>
      <c r="G82" s="152">
        <v>0</v>
      </c>
      <c r="H82" s="129">
        <f t="shared" si="9"/>
        <v>0</v>
      </c>
      <c r="I82" s="95"/>
      <c r="J82" s="95"/>
    </row>
    <row r="83" spans="1:10" x14ac:dyDescent="0.3">
      <c r="A83" s="136" t="s">
        <v>94</v>
      </c>
      <c r="B83" s="141">
        <v>1625.6002820260478</v>
      </c>
      <c r="C83" s="138">
        <f t="shared" si="5"/>
        <v>2.3168303269524196E-6</v>
      </c>
      <c r="D83" s="137">
        <f t="shared" si="6"/>
        <v>1686.1446264968631</v>
      </c>
      <c r="E83" s="137">
        <f t="shared" si="7"/>
        <v>1651.3043197034092</v>
      </c>
      <c r="F83" s="129">
        <f t="shared" si="8"/>
        <v>-34.840306793453919</v>
      </c>
      <c r="G83" s="152">
        <v>0</v>
      </c>
      <c r="H83" s="129">
        <f t="shared" si="9"/>
        <v>0</v>
      </c>
      <c r="I83" s="95"/>
      <c r="J83" s="95"/>
    </row>
    <row r="84" spans="1:10" x14ac:dyDescent="0.3">
      <c r="A84" s="136" t="s">
        <v>95</v>
      </c>
      <c r="B84" s="141">
        <v>2653755.995605431</v>
      </c>
      <c r="C84" s="138">
        <f t="shared" si="5"/>
        <v>3.7821735385574675E-3</v>
      </c>
      <c r="D84" s="137">
        <f t="shared" si="6"/>
        <v>2752593.2798480112</v>
      </c>
      <c r="E84" s="137">
        <f t="shared" si="7"/>
        <v>2695717.2605312406</v>
      </c>
      <c r="F84" s="129">
        <f t="shared" si="8"/>
        <v>-56876.019316770602</v>
      </c>
      <c r="G84" s="152">
        <v>6.8539355270203509E-2</v>
      </c>
      <c r="H84" s="129">
        <f t="shared" si="9"/>
        <v>-3898.2456943070979</v>
      </c>
      <c r="I84" s="95"/>
      <c r="J84" s="95"/>
    </row>
    <row r="85" spans="1:10" x14ac:dyDescent="0.3">
      <c r="A85" s="136" t="s">
        <v>227</v>
      </c>
      <c r="B85" s="141">
        <v>-15150.291483841584</v>
      </c>
      <c r="C85" s="138">
        <f t="shared" si="5"/>
        <v>-2.159242660082826E-5</v>
      </c>
      <c r="D85" s="137">
        <f t="shared" si="6"/>
        <v>-15714.553483899645</v>
      </c>
      <c r="E85" s="137">
        <f t="shared" si="7"/>
        <v>-15389.848321662945</v>
      </c>
      <c r="F85" s="129">
        <f t="shared" si="8"/>
        <v>324.70516223669983</v>
      </c>
      <c r="G85" s="152">
        <v>0</v>
      </c>
      <c r="H85" s="129">
        <f t="shared" si="9"/>
        <v>0</v>
      </c>
      <c r="I85" s="95"/>
      <c r="J85" s="95"/>
    </row>
    <row r="86" spans="1:10" x14ac:dyDescent="0.3">
      <c r="A86" s="136" t="s">
        <v>113</v>
      </c>
      <c r="B86" s="141">
        <v>-29.786447771874577</v>
      </c>
      <c r="C86" s="138">
        <f t="shared" si="5"/>
        <v>-4.2452099875409322E-8</v>
      </c>
      <c r="D86" s="137">
        <f t="shared" si="6"/>
        <v>-30.895823166553196</v>
      </c>
      <c r="E86" s="137">
        <f t="shared" si="7"/>
        <v>-30.257431927246881</v>
      </c>
      <c r="F86" s="129">
        <f t="shared" si="8"/>
        <v>0.63839123930631558</v>
      </c>
      <c r="G86" s="152">
        <v>1</v>
      </c>
      <c r="H86" s="129">
        <f t="shared" si="9"/>
        <v>0.63839123930631558</v>
      </c>
      <c r="I86" s="95"/>
      <c r="J86" s="95"/>
    </row>
    <row r="87" spans="1:10" x14ac:dyDescent="0.3">
      <c r="A87" s="136" t="s">
        <v>228</v>
      </c>
      <c r="B87" s="141">
        <v>-6006.5372164366645</v>
      </c>
      <c r="C87" s="138">
        <f t="shared" si="5"/>
        <v>-8.5606084945215626E-6</v>
      </c>
      <c r="D87" s="137">
        <f t="shared" si="6"/>
        <v>-6230.2464900690902</v>
      </c>
      <c r="E87" s="137">
        <f t="shared" si="7"/>
        <v>-6101.5127529377623</v>
      </c>
      <c r="F87" s="129">
        <f t="shared" si="8"/>
        <v>128.73373713132787</v>
      </c>
      <c r="G87" s="152">
        <v>0</v>
      </c>
      <c r="H87" s="129">
        <f t="shared" si="9"/>
        <v>0</v>
      </c>
      <c r="I87" s="95"/>
      <c r="J87" s="95"/>
    </row>
    <row r="88" spans="1:10" x14ac:dyDescent="0.3">
      <c r="A88" s="136" t="s">
        <v>164</v>
      </c>
      <c r="B88" s="141">
        <v>54.674119627803975</v>
      </c>
      <c r="C88" s="138">
        <f>B88/B$95</f>
        <v>7.7922389565069651E-8</v>
      </c>
      <c r="D88" s="137">
        <f t="shared" si="6"/>
        <v>56.710418937655653</v>
      </c>
      <c r="E88" s="137">
        <f t="shared" si="7"/>
        <v>55.538628355089692</v>
      </c>
      <c r="F88" s="129">
        <f t="shared" si="8"/>
        <v>-1.1717905825659614</v>
      </c>
      <c r="G88" s="152">
        <v>0</v>
      </c>
      <c r="H88" s="129">
        <f t="shared" si="9"/>
        <v>0</v>
      </c>
      <c r="I88" s="95"/>
      <c r="J88" s="95"/>
    </row>
    <row r="89" spans="1:10" ht="6" customHeight="1" x14ac:dyDescent="0.3">
      <c r="A89" s="136"/>
      <c r="B89" s="141"/>
      <c r="C89" s="142"/>
      <c r="D89" s="137"/>
      <c r="E89" s="137"/>
      <c r="F89" s="129"/>
      <c r="G89" s="130"/>
      <c r="H89" s="129"/>
      <c r="I89" s="95"/>
      <c r="J89" s="95"/>
    </row>
    <row r="90" spans="1:10" ht="6.75" customHeight="1" x14ac:dyDescent="0.3">
      <c r="A90" s="136"/>
      <c r="B90" s="143"/>
      <c r="C90" s="144"/>
      <c r="D90" s="137"/>
      <c r="E90" s="137"/>
      <c r="F90" s="129"/>
      <c r="G90" s="130"/>
      <c r="H90" s="129"/>
      <c r="I90" s="95"/>
      <c r="J90" s="95"/>
    </row>
    <row r="91" spans="1:10" x14ac:dyDescent="0.3">
      <c r="A91" s="145" t="s">
        <v>151</v>
      </c>
      <c r="B91" s="146">
        <f t="shared" ref="B91:H91" si="10">SUM(B9:B88)</f>
        <v>490327971.70465124</v>
      </c>
      <c r="C91" s="147">
        <f t="shared" si="10"/>
        <v>0.69882290718020446</v>
      </c>
      <c r="D91" s="146">
        <f t="shared" si="10"/>
        <v>508589893.74711233</v>
      </c>
      <c r="E91" s="146">
        <f t="shared" si="10"/>
        <v>498081051.47359169</v>
      </c>
      <c r="F91" s="146">
        <f t="shared" si="10"/>
        <v>-10508842.273520449</v>
      </c>
      <c r="G91" s="130"/>
      <c r="H91" s="146">
        <f t="shared" si="10"/>
        <v>-682614.12068319332</v>
      </c>
      <c r="I91" s="95"/>
      <c r="J91" s="95"/>
    </row>
    <row r="92" spans="1:10" ht="4.5" customHeight="1" x14ac:dyDescent="0.3">
      <c r="A92" s="136"/>
      <c r="B92" s="143"/>
      <c r="C92" s="144"/>
      <c r="D92" s="137"/>
      <c r="E92" s="137"/>
      <c r="F92" s="129"/>
      <c r="G92" s="130"/>
      <c r="H92" s="129"/>
      <c r="I92" s="95"/>
      <c r="J92" s="95"/>
    </row>
    <row r="93" spans="1:10" x14ac:dyDescent="0.3">
      <c r="A93" s="136" t="s">
        <v>229</v>
      </c>
      <c r="B93" s="140">
        <v>211320424</v>
      </c>
      <c r="C93" s="142">
        <f>B93/B95</f>
        <v>0.30117709281979499</v>
      </c>
      <c r="D93" s="137">
        <f t="shared" ref="D93" si="11">C93*$D$95</f>
        <v>219190905.25288755</v>
      </c>
      <c r="E93" s="137">
        <f t="shared" ref="E93" si="12">C93*$E$95</f>
        <v>214661828.52640799</v>
      </c>
      <c r="F93" s="129">
        <f t="shared" ref="F93:F95" si="13">E93-D93</f>
        <v>-4529076.7264795601</v>
      </c>
      <c r="G93" s="130"/>
      <c r="H93" s="129"/>
      <c r="I93" s="95"/>
      <c r="J93" s="95"/>
    </row>
    <row r="94" spans="1:10" ht="6" customHeight="1" x14ac:dyDescent="0.3">
      <c r="A94" s="136"/>
      <c r="B94" s="143"/>
      <c r="C94" s="144"/>
      <c r="D94" s="137"/>
      <c r="E94" s="137"/>
      <c r="F94" s="129"/>
      <c r="G94" s="130"/>
      <c r="H94" s="129"/>
      <c r="I94" s="95"/>
      <c r="J94" s="95"/>
    </row>
    <row r="95" spans="1:10" x14ac:dyDescent="0.3">
      <c r="A95" s="148" t="s">
        <v>4</v>
      </c>
      <c r="B95" s="149">
        <f>B91+B93</f>
        <v>701648395.70465124</v>
      </c>
      <c r="C95" s="150">
        <f>C91+C93</f>
        <v>0.99999999999999944</v>
      </c>
      <c r="D95" s="149">
        <v>727780799</v>
      </c>
      <c r="E95" s="149">
        <v>712742880</v>
      </c>
      <c r="F95" s="149">
        <f t="shared" si="13"/>
        <v>-15037919</v>
      </c>
      <c r="G95" s="130"/>
      <c r="H95" s="129"/>
      <c r="I95" s="95"/>
      <c r="J95" s="95"/>
    </row>
    <row r="96" spans="1:10" x14ac:dyDescent="0.3">
      <c r="A96" s="131"/>
      <c r="B96" s="132"/>
      <c r="C96" s="133"/>
      <c r="D96" s="137"/>
      <c r="E96" s="137"/>
      <c r="F96" s="134"/>
      <c r="G96" s="135"/>
      <c r="H96" s="134"/>
      <c r="I96" s="95"/>
      <c r="J96" s="95"/>
    </row>
    <row r="97" spans="1:10" x14ac:dyDescent="0.3">
      <c r="A97" s="131"/>
      <c r="B97" s="132"/>
      <c r="C97" s="133"/>
      <c r="D97" s="137"/>
      <c r="E97" s="137"/>
      <c r="F97" s="134"/>
      <c r="G97" s="135"/>
      <c r="H97" s="134"/>
      <c r="I97" s="95"/>
      <c r="J97" s="95"/>
    </row>
    <row r="98" spans="1:10" x14ac:dyDescent="0.3">
      <c r="A98" s="131"/>
      <c r="B98" s="132"/>
      <c r="C98" s="133"/>
      <c r="D98" s="137"/>
      <c r="E98" s="137"/>
      <c r="F98" s="134"/>
      <c r="G98" s="135"/>
      <c r="H98" s="134"/>
      <c r="I98" s="95"/>
      <c r="J98" s="95"/>
    </row>
    <row r="99" spans="1:10" x14ac:dyDescent="0.3">
      <c r="A99" s="131"/>
      <c r="B99" s="132"/>
      <c r="C99" s="133"/>
      <c r="D99" s="137"/>
      <c r="E99" s="137"/>
      <c r="F99" s="134"/>
      <c r="G99" s="135"/>
      <c r="H99" s="134"/>
      <c r="I99" s="95"/>
      <c r="J99" s="95"/>
    </row>
    <row r="100" spans="1:10" x14ac:dyDescent="0.3">
      <c r="A100" s="131"/>
      <c r="B100" s="132"/>
      <c r="C100" s="133"/>
      <c r="D100" s="137"/>
      <c r="E100" s="137"/>
      <c r="F100" s="134"/>
      <c r="G100" s="135"/>
      <c r="H100" s="134"/>
      <c r="I100" s="95"/>
      <c r="J100" s="95"/>
    </row>
    <row r="101" spans="1:10" x14ac:dyDescent="0.3">
      <c r="A101" s="131"/>
      <c r="B101" s="132"/>
      <c r="C101" s="133"/>
      <c r="D101" s="137"/>
      <c r="E101" s="137"/>
      <c r="F101" s="134"/>
      <c r="G101" s="135"/>
      <c r="H101" s="134"/>
      <c r="I101" s="95"/>
      <c r="J101" s="95"/>
    </row>
    <row r="102" spans="1:10" x14ac:dyDescent="0.3">
      <c r="A102" s="131"/>
      <c r="B102" s="132"/>
      <c r="C102" s="133"/>
      <c r="D102" s="137"/>
      <c r="E102" s="137"/>
      <c r="F102" s="134"/>
      <c r="G102" s="135"/>
      <c r="H102" s="134"/>
      <c r="I102" s="95"/>
      <c r="J102" s="95"/>
    </row>
    <row r="103" spans="1:10" x14ac:dyDescent="0.3">
      <c r="A103" s="131"/>
      <c r="B103" s="132"/>
      <c r="C103" s="133"/>
      <c r="D103" s="137"/>
      <c r="E103" s="137"/>
      <c r="F103" s="134"/>
      <c r="G103" s="135"/>
      <c r="H103" s="134"/>
      <c r="I103" s="95"/>
      <c r="J103" s="95"/>
    </row>
    <row r="104" spans="1:10" x14ac:dyDescent="0.3">
      <c r="A104" s="131"/>
      <c r="B104" s="132"/>
      <c r="C104" s="133"/>
      <c r="D104" s="137"/>
      <c r="E104" s="137"/>
      <c r="F104" s="134"/>
      <c r="G104" s="135"/>
      <c r="H104" s="134"/>
      <c r="I104" s="95"/>
      <c r="J104" s="95"/>
    </row>
    <row r="105" spans="1:10" x14ac:dyDescent="0.3">
      <c r="A105" s="131"/>
      <c r="B105" s="132"/>
      <c r="C105" s="133"/>
      <c r="D105" s="137"/>
      <c r="E105" s="137"/>
      <c r="F105" s="134"/>
      <c r="G105" s="135"/>
      <c r="H105" s="134"/>
      <c r="I105" s="95"/>
      <c r="J105" s="95"/>
    </row>
    <row r="106" spans="1:10" x14ac:dyDescent="0.3">
      <c r="A106" s="131"/>
      <c r="B106" s="132"/>
      <c r="C106" s="133"/>
      <c r="D106" s="137"/>
      <c r="E106" s="137"/>
      <c r="F106" s="134"/>
      <c r="G106" s="135"/>
      <c r="H106" s="134"/>
      <c r="I106" s="95"/>
      <c r="J106" s="95"/>
    </row>
    <row r="107" spans="1:10" x14ac:dyDescent="0.3">
      <c r="A107" s="131"/>
      <c r="B107" s="132"/>
      <c r="C107" s="133"/>
      <c r="D107" s="137"/>
      <c r="E107" s="137"/>
      <c r="F107" s="134"/>
      <c r="G107" s="135"/>
      <c r="H107" s="134"/>
      <c r="I107" s="95"/>
      <c r="J107" s="95"/>
    </row>
    <row r="108" spans="1:10" x14ac:dyDescent="0.3">
      <c r="A108" s="131"/>
      <c r="B108" s="132"/>
      <c r="C108" s="133"/>
      <c r="D108" s="137"/>
      <c r="E108" s="137"/>
      <c r="F108" s="134"/>
      <c r="G108" s="135"/>
      <c r="H108" s="134"/>
      <c r="I108" s="95"/>
      <c r="J108" s="95"/>
    </row>
    <row r="109" spans="1:10" x14ac:dyDescent="0.3">
      <c r="A109" s="131"/>
      <c r="B109" s="132"/>
      <c r="C109" s="133"/>
      <c r="D109" s="137"/>
      <c r="E109" s="137"/>
      <c r="F109" s="134"/>
      <c r="G109" s="135"/>
      <c r="H109" s="134"/>
      <c r="I109" s="95"/>
      <c r="J109" s="95"/>
    </row>
    <row r="110" spans="1:10" x14ac:dyDescent="0.3">
      <c r="A110" s="131"/>
      <c r="B110" s="132"/>
      <c r="C110" s="133"/>
      <c r="D110" s="137"/>
      <c r="E110" s="137"/>
      <c r="F110" s="134"/>
      <c r="G110" s="135"/>
      <c r="H110" s="134"/>
      <c r="I110" s="95"/>
      <c r="J110" s="95"/>
    </row>
    <row r="111" spans="1:10" x14ac:dyDescent="0.3">
      <c r="A111" s="131"/>
      <c r="B111" s="132"/>
      <c r="C111" s="133"/>
      <c r="D111" s="137"/>
      <c r="E111" s="137"/>
      <c r="F111" s="134"/>
      <c r="G111" s="135"/>
      <c r="H111" s="134"/>
      <c r="I111" s="95"/>
      <c r="J111" s="95"/>
    </row>
    <row r="112" spans="1:10" x14ac:dyDescent="0.3">
      <c r="A112" s="131"/>
      <c r="B112" s="132"/>
      <c r="C112" s="133"/>
      <c r="D112" s="133"/>
      <c r="E112" s="133"/>
      <c r="F112" s="134"/>
      <c r="G112" s="135"/>
      <c r="H112" s="134"/>
      <c r="I112" s="95"/>
      <c r="J112" s="95"/>
    </row>
    <row r="113" spans="1:10" x14ac:dyDescent="0.3">
      <c r="A113" s="131"/>
      <c r="B113" s="132"/>
      <c r="C113" s="133"/>
      <c r="D113" s="133"/>
      <c r="E113" s="133"/>
      <c r="F113" s="134"/>
      <c r="G113" s="135"/>
      <c r="H113" s="134"/>
      <c r="I113" s="95"/>
      <c r="J113" s="95"/>
    </row>
    <row r="114" spans="1:10" x14ac:dyDescent="0.3">
      <c r="A114" s="131"/>
      <c r="B114" s="132"/>
      <c r="C114" s="133"/>
      <c r="D114" s="133"/>
      <c r="E114" s="133"/>
      <c r="F114" s="134"/>
      <c r="G114" s="135"/>
      <c r="H114" s="134"/>
      <c r="I114" s="95"/>
      <c r="J114" s="95"/>
    </row>
    <row r="115" spans="1:10" x14ac:dyDescent="0.3">
      <c r="A115" s="131"/>
      <c r="B115" s="132"/>
      <c r="C115" s="133"/>
      <c r="D115" s="133"/>
      <c r="E115" s="133"/>
      <c r="F115" s="134"/>
      <c r="G115" s="135"/>
      <c r="H115" s="134"/>
      <c r="I115" s="95"/>
      <c r="J115" s="95"/>
    </row>
    <row r="116" spans="1:10" x14ac:dyDescent="0.3">
      <c r="A116" s="131"/>
      <c r="B116" s="132"/>
      <c r="C116" s="133"/>
      <c r="D116" s="133"/>
      <c r="E116" s="133"/>
      <c r="F116" s="134"/>
      <c r="G116" s="135"/>
      <c r="H116" s="134"/>
      <c r="I116" s="95"/>
      <c r="J116" s="95"/>
    </row>
    <row r="117" spans="1:10" x14ac:dyDescent="0.3">
      <c r="A117" s="131"/>
      <c r="B117" s="132"/>
      <c r="C117" s="133"/>
      <c r="D117" s="133"/>
      <c r="E117" s="133"/>
      <c r="F117" s="134"/>
      <c r="G117" s="135"/>
      <c r="H117" s="134"/>
      <c r="I117" s="95"/>
      <c r="J117" s="95"/>
    </row>
    <row r="118" spans="1:10" x14ac:dyDescent="0.3">
      <c r="A118" s="131"/>
      <c r="B118" s="132"/>
      <c r="C118" s="133"/>
      <c r="D118" s="133"/>
      <c r="E118" s="133"/>
      <c r="F118" s="134"/>
      <c r="G118" s="135"/>
      <c r="H118" s="134"/>
      <c r="I118" s="95"/>
      <c r="J118" s="95"/>
    </row>
    <row r="119" spans="1:10" x14ac:dyDescent="0.3">
      <c r="A119" s="107"/>
      <c r="B119" s="108"/>
      <c r="C119" s="109"/>
      <c r="D119" s="109"/>
      <c r="E119" s="109"/>
      <c r="F119" s="110"/>
      <c r="G119" s="111"/>
      <c r="H119" s="110"/>
    </row>
    <row r="120" spans="1:10" x14ac:dyDescent="0.3">
      <c r="A120" s="107"/>
      <c r="B120" s="108"/>
      <c r="C120" s="109"/>
      <c r="D120" s="109"/>
      <c r="E120" s="109"/>
      <c r="F120" s="110"/>
      <c r="G120" s="111"/>
      <c r="H120" s="110"/>
    </row>
    <row r="121" spans="1:10" x14ac:dyDescent="0.3">
      <c r="A121" s="107"/>
      <c r="B121" s="108"/>
      <c r="C121" s="109"/>
      <c r="D121" s="109"/>
      <c r="E121" s="109"/>
      <c r="F121" s="110"/>
      <c r="G121" s="111"/>
      <c r="H121" s="110"/>
    </row>
    <row r="122" spans="1:10" x14ac:dyDescent="0.3">
      <c r="A122" s="107"/>
      <c r="B122" s="108"/>
      <c r="C122" s="109"/>
      <c r="D122" s="109"/>
      <c r="E122" s="109"/>
      <c r="F122" s="110"/>
      <c r="G122" s="111"/>
      <c r="H122" s="110"/>
    </row>
    <row r="123" spans="1:10" x14ac:dyDescent="0.3">
      <c r="A123" s="107"/>
      <c r="B123" s="108"/>
      <c r="C123" s="109"/>
      <c r="D123" s="109"/>
      <c r="E123" s="109"/>
      <c r="F123" s="110"/>
      <c r="G123" s="111"/>
      <c r="H123" s="110"/>
    </row>
    <row r="124" spans="1:10" x14ac:dyDescent="0.3">
      <c r="A124" s="107"/>
      <c r="B124" s="108"/>
      <c r="C124" s="109"/>
      <c r="D124" s="109"/>
      <c r="E124" s="109"/>
      <c r="F124" s="110"/>
      <c r="G124" s="111"/>
      <c r="H124" s="110"/>
    </row>
    <row r="125" spans="1:10" x14ac:dyDescent="0.3">
      <c r="A125" s="107"/>
      <c r="B125" s="108"/>
      <c r="C125" s="109"/>
      <c r="D125" s="109"/>
      <c r="E125" s="109"/>
      <c r="F125" s="110"/>
      <c r="G125" s="111"/>
      <c r="H125" s="110"/>
    </row>
    <row r="126" spans="1:10" x14ac:dyDescent="0.3">
      <c r="A126" s="107"/>
      <c r="B126" s="108"/>
      <c r="C126" s="109"/>
      <c r="D126" s="109"/>
      <c r="E126" s="109"/>
      <c r="F126" s="110"/>
      <c r="G126" s="111"/>
      <c r="H126" s="110"/>
    </row>
    <row r="127" spans="1:10" x14ac:dyDescent="0.3">
      <c r="A127" s="107"/>
      <c r="B127" s="108"/>
      <c r="C127" s="109"/>
      <c r="D127" s="109"/>
      <c r="E127" s="109"/>
      <c r="F127" s="110"/>
      <c r="G127" s="111"/>
      <c r="H127" s="110"/>
    </row>
    <row r="128" spans="1:10" x14ac:dyDescent="0.3">
      <c r="A128" s="107"/>
      <c r="B128" s="108"/>
      <c r="C128" s="109"/>
      <c r="D128" s="109"/>
      <c r="E128" s="109"/>
      <c r="F128" s="110"/>
      <c r="G128" s="111"/>
      <c r="H128" s="110"/>
    </row>
    <row r="129" spans="1:8" x14ac:dyDescent="0.3">
      <c r="A129" s="107"/>
      <c r="B129" s="108"/>
      <c r="C129" s="109"/>
      <c r="D129" s="109"/>
      <c r="E129" s="109"/>
      <c r="F129" s="110"/>
      <c r="G129" s="111"/>
      <c r="H129" s="110"/>
    </row>
    <row r="130" spans="1:8" x14ac:dyDescent="0.3">
      <c r="A130" s="107"/>
      <c r="B130" s="108"/>
      <c r="C130" s="109"/>
      <c r="D130" s="109"/>
      <c r="E130" s="109"/>
      <c r="F130" s="110"/>
      <c r="G130" s="111"/>
      <c r="H130" s="110"/>
    </row>
    <row r="131" spans="1:8" x14ac:dyDescent="0.3">
      <c r="A131" s="107"/>
      <c r="B131" s="108"/>
      <c r="C131" s="109"/>
      <c r="D131" s="109"/>
      <c r="E131" s="109"/>
      <c r="F131" s="110"/>
      <c r="G131" s="111"/>
      <c r="H131" s="110"/>
    </row>
    <row r="132" spans="1:8" x14ac:dyDescent="0.3">
      <c r="A132" s="107"/>
      <c r="B132" s="108"/>
      <c r="C132" s="109"/>
      <c r="D132" s="109"/>
      <c r="E132" s="109"/>
      <c r="F132" s="110"/>
      <c r="G132" s="111"/>
      <c r="H132" s="110"/>
    </row>
    <row r="133" spans="1:8" x14ac:dyDescent="0.3">
      <c r="A133" s="107"/>
      <c r="B133" s="108"/>
      <c r="C133" s="109"/>
      <c r="D133" s="109"/>
      <c r="E133" s="109"/>
      <c r="F133" s="110"/>
      <c r="G133" s="111"/>
      <c r="H133" s="110"/>
    </row>
    <row r="134" spans="1:8" x14ac:dyDescent="0.3">
      <c r="A134" s="107"/>
      <c r="B134" s="108"/>
      <c r="C134" s="109"/>
      <c r="D134" s="109"/>
      <c r="E134" s="109"/>
      <c r="F134" s="110"/>
      <c r="G134" s="111"/>
      <c r="H134" s="110"/>
    </row>
    <row r="135" spans="1:8" x14ac:dyDescent="0.3">
      <c r="A135" s="107"/>
      <c r="B135" s="108"/>
      <c r="C135" s="109"/>
      <c r="D135" s="109"/>
      <c r="E135" s="109"/>
      <c r="F135" s="110"/>
      <c r="G135" s="111"/>
      <c r="H135" s="110"/>
    </row>
    <row r="136" spans="1:8" x14ac:dyDescent="0.3">
      <c r="A136" s="107"/>
      <c r="B136" s="108"/>
      <c r="C136" s="109"/>
      <c r="D136" s="109"/>
      <c r="E136" s="109"/>
      <c r="F136" s="110"/>
      <c r="G136" s="111"/>
      <c r="H136" s="110"/>
    </row>
    <row r="137" spans="1:8" x14ac:dyDescent="0.3">
      <c r="A137" s="107"/>
      <c r="B137" s="108"/>
      <c r="C137" s="109"/>
      <c r="D137" s="109"/>
      <c r="E137" s="109"/>
      <c r="F137" s="110"/>
      <c r="G137" s="111"/>
      <c r="H137" s="110"/>
    </row>
    <row r="138" spans="1:8" x14ac:dyDescent="0.3">
      <c r="A138" s="107"/>
      <c r="B138" s="108"/>
      <c r="C138" s="109"/>
      <c r="D138" s="109"/>
      <c r="E138" s="109"/>
      <c r="F138" s="110"/>
      <c r="G138" s="111"/>
      <c r="H138" s="110"/>
    </row>
    <row r="139" spans="1:8" x14ac:dyDescent="0.3">
      <c r="A139" s="107"/>
      <c r="B139" s="108"/>
      <c r="C139" s="109"/>
      <c r="D139" s="109"/>
      <c r="E139" s="109"/>
      <c r="F139" s="110"/>
      <c r="G139" s="111"/>
      <c r="H139" s="110"/>
    </row>
    <row r="140" spans="1:8" x14ac:dyDescent="0.3">
      <c r="A140" s="107"/>
      <c r="B140" s="108"/>
      <c r="C140" s="109"/>
      <c r="D140" s="109"/>
      <c r="E140" s="109"/>
      <c r="F140" s="110"/>
      <c r="G140" s="111"/>
      <c r="H140" s="110"/>
    </row>
    <row r="141" spans="1:8" x14ac:dyDescent="0.3">
      <c r="A141" s="107"/>
      <c r="B141" s="108"/>
      <c r="C141" s="109"/>
      <c r="D141" s="109"/>
      <c r="E141" s="109"/>
      <c r="F141" s="110"/>
      <c r="G141" s="111"/>
      <c r="H141" s="110"/>
    </row>
    <row r="142" spans="1:8" x14ac:dyDescent="0.3">
      <c r="A142" s="107"/>
      <c r="B142" s="108"/>
      <c r="C142" s="109"/>
      <c r="D142" s="109"/>
      <c r="E142" s="109"/>
      <c r="F142" s="110"/>
      <c r="G142" s="111"/>
      <c r="H142" s="110"/>
    </row>
    <row r="143" spans="1:8" x14ac:dyDescent="0.3">
      <c r="A143" s="107"/>
      <c r="B143" s="108"/>
      <c r="C143" s="109"/>
      <c r="D143" s="109"/>
      <c r="E143" s="109"/>
      <c r="F143" s="110"/>
      <c r="G143" s="111"/>
      <c r="H143" s="110"/>
    </row>
    <row r="144" spans="1:8" x14ac:dyDescent="0.3">
      <c r="A144" s="107"/>
      <c r="B144" s="108"/>
      <c r="C144" s="109"/>
      <c r="D144" s="109"/>
      <c r="E144" s="109"/>
      <c r="F144" s="110"/>
      <c r="G144" s="111"/>
      <c r="H144" s="110"/>
    </row>
    <row r="145" spans="1:8" x14ac:dyDescent="0.3">
      <c r="A145" s="107"/>
      <c r="B145" s="108"/>
      <c r="C145" s="109"/>
      <c r="D145" s="109"/>
      <c r="E145" s="109"/>
      <c r="F145" s="110"/>
      <c r="G145" s="111"/>
      <c r="H145" s="110"/>
    </row>
    <row r="146" spans="1:8" x14ac:dyDescent="0.3">
      <c r="A146" s="107"/>
      <c r="B146" s="108"/>
      <c r="C146" s="109"/>
      <c r="D146" s="109"/>
      <c r="E146" s="109"/>
      <c r="F146" s="110"/>
      <c r="G146" s="111"/>
      <c r="H146" s="110"/>
    </row>
    <row r="147" spans="1:8" x14ac:dyDescent="0.3">
      <c r="A147" s="107"/>
      <c r="B147" s="108"/>
      <c r="C147" s="109"/>
      <c r="D147" s="109"/>
      <c r="E147" s="109"/>
      <c r="F147" s="110"/>
      <c r="G147" s="111"/>
      <c r="H147" s="110"/>
    </row>
    <row r="148" spans="1:8" x14ac:dyDescent="0.3">
      <c r="A148" s="107"/>
      <c r="B148" s="108"/>
      <c r="C148" s="109"/>
      <c r="D148" s="109"/>
      <c r="E148" s="109"/>
      <c r="F148" s="110"/>
      <c r="G148" s="111"/>
      <c r="H148" s="110"/>
    </row>
    <row r="149" spans="1:8" x14ac:dyDescent="0.3">
      <c r="A149" s="107"/>
      <c r="B149" s="108"/>
      <c r="C149" s="109"/>
      <c r="D149" s="109"/>
      <c r="E149" s="109"/>
      <c r="F149" s="110"/>
      <c r="G149" s="111"/>
      <c r="H149" s="110"/>
    </row>
    <row r="150" spans="1:8" x14ac:dyDescent="0.3">
      <c r="A150" s="107"/>
      <c r="B150" s="108"/>
      <c r="C150" s="109"/>
      <c r="D150" s="109"/>
      <c r="E150" s="109"/>
      <c r="F150" s="110"/>
      <c r="G150" s="111"/>
      <c r="H150" s="110"/>
    </row>
    <row r="151" spans="1:8" x14ac:dyDescent="0.3">
      <c r="A151" s="107"/>
      <c r="B151" s="108"/>
      <c r="C151" s="109"/>
      <c r="D151" s="109"/>
      <c r="E151" s="109"/>
      <c r="F151" s="110"/>
      <c r="G151" s="111"/>
      <c r="H151" s="110"/>
    </row>
    <row r="152" spans="1:8" x14ac:dyDescent="0.3">
      <c r="A152" s="107"/>
      <c r="B152" s="108"/>
      <c r="C152" s="109"/>
      <c r="D152" s="109"/>
      <c r="E152" s="109"/>
      <c r="F152" s="110"/>
      <c r="G152" s="111"/>
      <c r="H152" s="110"/>
    </row>
    <row r="153" spans="1:8" x14ac:dyDescent="0.3">
      <c r="A153" s="107"/>
      <c r="B153" s="108"/>
      <c r="C153" s="109"/>
      <c r="D153" s="109"/>
      <c r="E153" s="109"/>
      <c r="F153" s="110"/>
      <c r="G153" s="111"/>
      <c r="H153" s="110"/>
    </row>
    <row r="154" spans="1:8" x14ac:dyDescent="0.3">
      <c r="A154" s="107"/>
      <c r="B154" s="108"/>
      <c r="C154" s="109"/>
      <c r="D154" s="109"/>
      <c r="E154" s="109"/>
      <c r="F154" s="110"/>
      <c r="G154" s="111"/>
      <c r="H154" s="110"/>
    </row>
    <row r="155" spans="1:8" x14ac:dyDescent="0.3">
      <c r="A155" s="107"/>
      <c r="B155" s="108"/>
      <c r="C155" s="109"/>
      <c r="D155" s="109"/>
      <c r="E155" s="109"/>
      <c r="F155" s="110"/>
      <c r="G155" s="111"/>
      <c r="H155" s="110"/>
    </row>
    <row r="156" spans="1:8" x14ac:dyDescent="0.3">
      <c r="A156" s="107"/>
      <c r="B156" s="108"/>
      <c r="C156" s="109"/>
      <c r="D156" s="109"/>
      <c r="E156" s="109"/>
      <c r="F156" s="110"/>
      <c r="G156" s="111"/>
      <c r="H156" s="110"/>
    </row>
    <row r="157" spans="1:8" x14ac:dyDescent="0.3">
      <c r="A157" s="107"/>
      <c r="B157" s="108"/>
      <c r="C157" s="109"/>
      <c r="D157" s="109"/>
      <c r="E157" s="109"/>
      <c r="F157" s="110"/>
      <c r="G157" s="111"/>
      <c r="H157" s="110"/>
    </row>
    <row r="158" spans="1:8" x14ac:dyDescent="0.3">
      <c r="A158" s="107"/>
      <c r="B158" s="108"/>
      <c r="C158" s="109"/>
      <c r="D158" s="109"/>
      <c r="E158" s="109"/>
      <c r="F158" s="110"/>
      <c r="G158" s="111"/>
      <c r="H158" s="110"/>
    </row>
    <row r="159" spans="1:8" x14ac:dyDescent="0.3">
      <c r="A159" s="107"/>
      <c r="B159" s="108"/>
      <c r="C159" s="109"/>
      <c r="D159" s="109"/>
      <c r="E159" s="109"/>
      <c r="F159" s="110"/>
      <c r="G159" s="111"/>
      <c r="H159" s="110"/>
    </row>
    <row r="160" spans="1:8" x14ac:dyDescent="0.3">
      <c r="A160" s="107"/>
      <c r="B160" s="108"/>
      <c r="C160" s="109"/>
      <c r="D160" s="109"/>
      <c r="E160" s="109"/>
      <c r="F160" s="110"/>
      <c r="G160" s="111"/>
      <c r="H160" s="110"/>
    </row>
    <row r="161" spans="1:8" x14ac:dyDescent="0.3">
      <c r="A161" s="107"/>
      <c r="B161" s="108"/>
      <c r="C161" s="109"/>
      <c r="D161" s="109"/>
      <c r="E161" s="109"/>
      <c r="F161" s="110"/>
      <c r="G161" s="111"/>
      <c r="H161" s="110"/>
    </row>
    <row r="162" spans="1:8" x14ac:dyDescent="0.3">
      <c r="A162" s="107"/>
      <c r="B162" s="108"/>
      <c r="C162" s="109"/>
      <c r="D162" s="109"/>
      <c r="E162" s="109"/>
      <c r="F162" s="110"/>
      <c r="G162" s="111"/>
      <c r="H162" s="110"/>
    </row>
    <row r="163" spans="1:8" x14ac:dyDescent="0.3">
      <c r="A163" s="107"/>
      <c r="B163" s="108"/>
      <c r="C163" s="109"/>
      <c r="D163" s="109"/>
      <c r="E163" s="109"/>
      <c r="F163" s="110"/>
      <c r="G163" s="111"/>
      <c r="H163" s="110"/>
    </row>
    <row r="164" spans="1:8" x14ac:dyDescent="0.3">
      <c r="A164" s="107"/>
      <c r="B164" s="108"/>
      <c r="C164" s="109"/>
      <c r="D164" s="109"/>
      <c r="E164" s="109"/>
      <c r="F164" s="110"/>
      <c r="G164" s="111"/>
      <c r="H164" s="110"/>
    </row>
    <row r="165" spans="1:8" x14ac:dyDescent="0.3">
      <c r="A165" s="107"/>
      <c r="B165" s="108"/>
      <c r="C165" s="109"/>
      <c r="D165" s="109"/>
      <c r="E165" s="109"/>
      <c r="F165" s="110"/>
      <c r="G165" s="111"/>
      <c r="H165" s="110"/>
    </row>
    <row r="166" spans="1:8" x14ac:dyDescent="0.3">
      <c r="A166" s="107"/>
      <c r="B166" s="108"/>
      <c r="C166" s="109"/>
      <c r="D166" s="109"/>
      <c r="E166" s="109"/>
      <c r="F166" s="110"/>
      <c r="G166" s="111"/>
      <c r="H166" s="110"/>
    </row>
    <row r="167" spans="1:8" x14ac:dyDescent="0.3">
      <c r="A167" s="107"/>
      <c r="B167" s="108"/>
      <c r="C167" s="109"/>
      <c r="D167" s="109"/>
      <c r="E167" s="109"/>
      <c r="F167" s="110"/>
      <c r="G167" s="111"/>
      <c r="H167" s="110"/>
    </row>
    <row r="168" spans="1:8" x14ac:dyDescent="0.3">
      <c r="A168" s="107"/>
      <c r="B168" s="108"/>
      <c r="C168" s="109"/>
      <c r="D168" s="109"/>
      <c r="E168" s="109"/>
      <c r="F168" s="110"/>
      <c r="G168" s="111"/>
      <c r="H168" s="110"/>
    </row>
    <row r="169" spans="1:8" x14ac:dyDescent="0.3">
      <c r="A169" s="107"/>
      <c r="B169" s="108"/>
      <c r="C169" s="109"/>
      <c r="D169" s="109"/>
      <c r="E169" s="109"/>
      <c r="F169" s="110"/>
      <c r="G169" s="111"/>
      <c r="H169" s="110"/>
    </row>
    <row r="170" spans="1:8" x14ac:dyDescent="0.3">
      <c r="A170" s="107"/>
      <c r="B170" s="108"/>
      <c r="C170" s="109"/>
      <c r="D170" s="109"/>
      <c r="E170" s="109"/>
      <c r="F170" s="110"/>
      <c r="G170" s="111"/>
      <c r="H170" s="110"/>
    </row>
    <row r="171" spans="1:8" x14ac:dyDescent="0.3">
      <c r="A171" s="107"/>
      <c r="B171" s="108"/>
      <c r="C171" s="109"/>
      <c r="D171" s="109"/>
      <c r="E171" s="109"/>
      <c r="F171" s="110"/>
      <c r="G171" s="111"/>
      <c r="H171" s="110"/>
    </row>
    <row r="172" spans="1:8" x14ac:dyDescent="0.3">
      <c r="A172" s="107"/>
      <c r="B172" s="108"/>
      <c r="C172" s="109"/>
      <c r="D172" s="109"/>
      <c r="E172" s="109"/>
      <c r="F172" s="110"/>
      <c r="G172" s="111"/>
      <c r="H172" s="110"/>
    </row>
    <row r="173" spans="1:8" x14ac:dyDescent="0.3">
      <c r="A173" s="107"/>
      <c r="B173" s="108"/>
      <c r="C173" s="109"/>
      <c r="D173" s="109"/>
      <c r="E173" s="109"/>
      <c r="F173" s="110"/>
      <c r="G173" s="111"/>
      <c r="H173" s="110"/>
    </row>
    <row r="174" spans="1:8" x14ac:dyDescent="0.3">
      <c r="A174" s="107"/>
      <c r="B174" s="108"/>
      <c r="C174" s="109"/>
      <c r="D174" s="109"/>
      <c r="E174" s="109"/>
      <c r="F174" s="110"/>
      <c r="G174" s="111"/>
      <c r="H174" s="110"/>
    </row>
    <row r="175" spans="1:8" x14ac:dyDescent="0.3">
      <c r="A175" s="107"/>
      <c r="B175" s="108"/>
      <c r="C175" s="109"/>
      <c r="D175" s="109"/>
      <c r="E175" s="109"/>
      <c r="F175" s="110"/>
      <c r="G175" s="111"/>
      <c r="H175" s="110"/>
    </row>
    <row r="176" spans="1:8" x14ac:dyDescent="0.3">
      <c r="A176" s="107"/>
      <c r="B176" s="108"/>
      <c r="C176" s="109"/>
      <c r="D176" s="109"/>
      <c r="E176" s="109"/>
      <c r="F176" s="110"/>
      <c r="G176" s="111"/>
      <c r="H176" s="110"/>
    </row>
    <row r="177" spans="1:8" x14ac:dyDescent="0.3">
      <c r="A177" s="107"/>
      <c r="B177" s="108"/>
      <c r="C177" s="109"/>
      <c r="D177" s="109"/>
      <c r="E177" s="109"/>
      <c r="F177" s="110"/>
      <c r="G177" s="111"/>
      <c r="H177" s="110"/>
    </row>
    <row r="178" spans="1:8" x14ac:dyDescent="0.3">
      <c r="A178" s="107"/>
      <c r="B178" s="108"/>
      <c r="C178" s="109"/>
      <c r="D178" s="109"/>
      <c r="E178" s="109"/>
      <c r="F178" s="110"/>
      <c r="G178" s="111"/>
      <c r="H178" s="110"/>
    </row>
    <row r="179" spans="1:8" x14ac:dyDescent="0.3">
      <c r="A179" s="107"/>
      <c r="B179" s="108"/>
      <c r="C179" s="109"/>
      <c r="D179" s="109"/>
      <c r="E179" s="109"/>
      <c r="F179" s="110"/>
      <c r="G179" s="111"/>
      <c r="H179" s="110"/>
    </row>
    <row r="180" spans="1:8" x14ac:dyDescent="0.3">
      <c r="A180" s="107"/>
      <c r="B180" s="108"/>
      <c r="C180" s="109"/>
      <c r="D180" s="109"/>
      <c r="E180" s="109"/>
      <c r="F180" s="110"/>
      <c r="G180" s="111"/>
      <c r="H180" s="110"/>
    </row>
    <row r="181" spans="1:8" x14ac:dyDescent="0.3">
      <c r="A181" s="107"/>
      <c r="B181" s="108"/>
      <c r="C181" s="109"/>
      <c r="D181" s="109"/>
      <c r="E181" s="109"/>
      <c r="F181" s="110"/>
      <c r="G181" s="111"/>
      <c r="H181" s="110"/>
    </row>
    <row r="182" spans="1:8" x14ac:dyDescent="0.3">
      <c r="A182" s="107"/>
      <c r="B182" s="108"/>
      <c r="C182" s="109"/>
      <c r="D182" s="109"/>
      <c r="E182" s="109"/>
      <c r="F182" s="110"/>
      <c r="G182" s="111"/>
      <c r="H182" s="110"/>
    </row>
    <row r="183" spans="1:8" x14ac:dyDescent="0.3">
      <c r="A183" s="107"/>
      <c r="B183" s="108"/>
      <c r="C183" s="109"/>
      <c r="D183" s="109"/>
      <c r="E183" s="109"/>
      <c r="F183" s="110"/>
      <c r="G183" s="111"/>
      <c r="H183" s="110"/>
    </row>
    <row r="184" spans="1:8" x14ac:dyDescent="0.3">
      <c r="A184" s="107"/>
      <c r="B184" s="108"/>
      <c r="C184" s="109"/>
      <c r="D184" s="109"/>
      <c r="E184" s="109"/>
      <c r="F184" s="110"/>
      <c r="G184" s="111"/>
      <c r="H184" s="110"/>
    </row>
    <row r="185" spans="1:8" x14ac:dyDescent="0.3">
      <c r="A185" s="107"/>
      <c r="B185" s="108"/>
      <c r="C185" s="109"/>
      <c r="D185" s="109"/>
      <c r="E185" s="109"/>
      <c r="F185" s="110"/>
      <c r="G185" s="111"/>
      <c r="H185" s="110"/>
    </row>
    <row r="186" spans="1:8" x14ac:dyDescent="0.3">
      <c r="A186" s="107"/>
      <c r="B186" s="108"/>
      <c r="C186" s="109"/>
      <c r="D186" s="109"/>
      <c r="E186" s="109"/>
      <c r="F186" s="110"/>
      <c r="G186" s="111"/>
      <c r="H186" s="110"/>
    </row>
    <row r="187" spans="1:8" x14ac:dyDescent="0.3">
      <c r="A187" s="107"/>
      <c r="B187" s="108"/>
      <c r="C187" s="109"/>
      <c r="D187" s="109"/>
      <c r="E187" s="109"/>
      <c r="F187" s="110"/>
      <c r="G187" s="111"/>
      <c r="H187" s="110"/>
    </row>
    <row r="188" spans="1:8" x14ac:dyDescent="0.3">
      <c r="A188" s="107"/>
      <c r="B188" s="108"/>
      <c r="C188" s="109"/>
      <c r="D188" s="109"/>
      <c r="E188" s="109"/>
      <c r="F188" s="110"/>
      <c r="G188" s="111"/>
      <c r="H188" s="110"/>
    </row>
    <row r="189" spans="1:8" x14ac:dyDescent="0.3">
      <c r="A189" s="107"/>
      <c r="B189" s="108"/>
      <c r="C189" s="109"/>
      <c r="D189" s="109"/>
      <c r="E189" s="109"/>
      <c r="F189" s="110"/>
      <c r="G189" s="111"/>
      <c r="H189" s="110"/>
    </row>
    <row r="190" spans="1:8" x14ac:dyDescent="0.3">
      <c r="A190" s="107"/>
      <c r="B190" s="108"/>
      <c r="C190" s="109"/>
      <c r="D190" s="109"/>
      <c r="E190" s="109"/>
      <c r="F190" s="110"/>
      <c r="G190" s="111"/>
      <c r="H190" s="110"/>
    </row>
    <row r="191" spans="1:8" x14ac:dyDescent="0.3">
      <c r="A191" s="107"/>
      <c r="B191" s="108"/>
      <c r="C191" s="109"/>
      <c r="D191" s="109"/>
      <c r="E191" s="109"/>
      <c r="F191" s="110"/>
      <c r="G191" s="111"/>
      <c r="H191" s="110"/>
    </row>
    <row r="192" spans="1:8" x14ac:dyDescent="0.3">
      <c r="A192" s="107"/>
      <c r="B192" s="108"/>
      <c r="C192" s="109"/>
      <c r="D192" s="109"/>
      <c r="E192" s="109"/>
      <c r="F192" s="110"/>
      <c r="G192" s="111"/>
      <c r="H192" s="110"/>
    </row>
    <row r="193" spans="1:8" x14ac:dyDescent="0.3">
      <c r="A193" s="107"/>
      <c r="B193" s="108"/>
      <c r="C193" s="109"/>
      <c r="D193" s="109"/>
      <c r="E193" s="109"/>
      <c r="F193" s="110"/>
      <c r="G193" s="111"/>
      <c r="H193" s="110"/>
    </row>
    <row r="194" spans="1:8" x14ac:dyDescent="0.3">
      <c r="A194" s="107"/>
      <c r="B194" s="108"/>
      <c r="C194" s="109"/>
      <c r="D194" s="109"/>
      <c r="E194" s="109"/>
      <c r="F194" s="110"/>
      <c r="G194" s="111"/>
      <c r="H194" s="110"/>
    </row>
    <row r="195" spans="1:8" x14ac:dyDescent="0.3">
      <c r="A195" s="107"/>
      <c r="B195" s="108"/>
      <c r="C195" s="109"/>
      <c r="D195" s="109"/>
      <c r="E195" s="109"/>
      <c r="F195" s="110"/>
      <c r="G195" s="111"/>
      <c r="H195" s="110"/>
    </row>
    <row r="196" spans="1:8" x14ac:dyDescent="0.3">
      <c r="A196" s="107"/>
      <c r="B196" s="108"/>
      <c r="C196" s="109"/>
      <c r="D196" s="109"/>
      <c r="E196" s="109"/>
      <c r="F196" s="110"/>
      <c r="G196" s="111"/>
      <c r="H196" s="110"/>
    </row>
    <row r="197" spans="1:8" x14ac:dyDescent="0.3">
      <c r="A197" s="107"/>
      <c r="B197" s="108"/>
      <c r="C197" s="109"/>
      <c r="D197" s="109"/>
      <c r="E197" s="109"/>
      <c r="F197" s="110"/>
      <c r="G197" s="111"/>
      <c r="H197" s="110"/>
    </row>
    <row r="198" spans="1:8" x14ac:dyDescent="0.3">
      <c r="A198" s="107"/>
      <c r="B198" s="108"/>
      <c r="C198" s="109"/>
      <c r="D198" s="109"/>
      <c r="E198" s="109"/>
      <c r="F198" s="110"/>
      <c r="G198" s="111"/>
      <c r="H198" s="110"/>
    </row>
    <row r="199" spans="1:8" x14ac:dyDescent="0.3">
      <c r="A199" s="107"/>
      <c r="B199" s="108"/>
      <c r="C199" s="109"/>
      <c r="D199" s="109"/>
      <c r="E199" s="109"/>
      <c r="F199" s="110"/>
      <c r="G199" s="111"/>
      <c r="H199" s="110"/>
    </row>
    <row r="200" spans="1:8" x14ac:dyDescent="0.3">
      <c r="A200" s="107"/>
      <c r="B200" s="108"/>
      <c r="C200" s="109"/>
      <c r="D200" s="109"/>
      <c r="E200" s="109"/>
      <c r="F200" s="110"/>
      <c r="G200" s="111"/>
      <c r="H200" s="110"/>
    </row>
    <row r="201" spans="1:8" x14ac:dyDescent="0.3">
      <c r="A201" s="107"/>
      <c r="B201" s="108"/>
      <c r="C201" s="109"/>
      <c r="D201" s="109"/>
      <c r="E201" s="109"/>
      <c r="F201" s="110"/>
      <c r="G201" s="111"/>
      <c r="H201" s="110"/>
    </row>
    <row r="202" spans="1:8" x14ac:dyDescent="0.3">
      <c r="A202" s="107"/>
      <c r="B202" s="108"/>
      <c r="C202" s="109"/>
      <c r="D202" s="109"/>
      <c r="E202" s="109"/>
      <c r="F202" s="110"/>
      <c r="G202" s="111"/>
      <c r="H202" s="110"/>
    </row>
    <row r="203" spans="1:8" x14ac:dyDescent="0.3">
      <c r="A203" s="107"/>
      <c r="B203" s="108"/>
      <c r="C203" s="109"/>
      <c r="D203" s="109"/>
      <c r="E203" s="109"/>
      <c r="F203" s="110"/>
      <c r="G203" s="111"/>
      <c r="H203" s="110"/>
    </row>
    <row r="204" spans="1:8" x14ac:dyDescent="0.3">
      <c r="A204" s="107"/>
      <c r="B204" s="108"/>
      <c r="C204" s="109"/>
      <c r="D204" s="109"/>
      <c r="E204" s="109"/>
      <c r="F204" s="110"/>
      <c r="G204" s="111"/>
      <c r="H204" s="110"/>
    </row>
    <row r="205" spans="1:8" x14ac:dyDescent="0.3">
      <c r="A205" s="107"/>
      <c r="B205" s="108"/>
      <c r="C205" s="109"/>
      <c r="D205" s="109"/>
      <c r="E205" s="109"/>
      <c r="F205" s="110"/>
      <c r="G205" s="111"/>
      <c r="H205" s="110"/>
    </row>
    <row r="206" spans="1:8" x14ac:dyDescent="0.3">
      <c r="A206" s="107"/>
      <c r="B206" s="108"/>
      <c r="C206" s="109"/>
      <c r="D206" s="109"/>
      <c r="E206" s="109"/>
      <c r="F206" s="110"/>
      <c r="G206" s="111"/>
      <c r="H206" s="110"/>
    </row>
    <row r="207" spans="1:8" x14ac:dyDescent="0.3">
      <c r="A207" s="107"/>
      <c r="B207" s="108"/>
      <c r="C207" s="109"/>
      <c r="D207" s="109"/>
      <c r="E207" s="109"/>
      <c r="F207" s="110"/>
      <c r="G207" s="111"/>
      <c r="H207" s="110"/>
    </row>
    <row r="208" spans="1:8" x14ac:dyDescent="0.3">
      <c r="A208" s="107"/>
      <c r="B208" s="108"/>
      <c r="C208" s="109"/>
      <c r="D208" s="109"/>
      <c r="E208" s="109"/>
      <c r="F208" s="110"/>
      <c r="G208" s="111"/>
      <c r="H208" s="110"/>
    </row>
    <row r="209" spans="1:8" x14ac:dyDescent="0.3">
      <c r="A209" s="107"/>
      <c r="B209" s="108"/>
      <c r="C209" s="109"/>
      <c r="D209" s="109"/>
      <c r="E209" s="109"/>
      <c r="F209" s="110"/>
      <c r="G209" s="111"/>
      <c r="H209" s="110"/>
    </row>
    <row r="210" spans="1:8" x14ac:dyDescent="0.3">
      <c r="A210" s="107"/>
      <c r="B210" s="108"/>
      <c r="C210" s="109"/>
      <c r="D210" s="109"/>
      <c r="E210" s="109"/>
      <c r="F210" s="110"/>
      <c r="G210" s="111"/>
      <c r="H210" s="110"/>
    </row>
    <row r="211" spans="1:8" x14ac:dyDescent="0.3">
      <c r="A211" s="107"/>
      <c r="B211" s="108"/>
      <c r="C211" s="109"/>
      <c r="D211" s="109"/>
      <c r="E211" s="109"/>
      <c r="F211" s="110"/>
      <c r="G211" s="111"/>
      <c r="H211" s="110"/>
    </row>
    <row r="212" spans="1:8" x14ac:dyDescent="0.3">
      <c r="A212" s="107"/>
      <c r="B212" s="108"/>
      <c r="C212" s="109"/>
      <c r="D212" s="109"/>
      <c r="E212" s="109"/>
      <c r="F212" s="110"/>
      <c r="G212" s="111"/>
      <c r="H212" s="110"/>
    </row>
    <row r="213" spans="1:8" x14ac:dyDescent="0.3">
      <c r="A213" s="107"/>
      <c r="B213" s="108"/>
      <c r="C213" s="109"/>
      <c r="D213" s="109"/>
      <c r="E213" s="109"/>
      <c r="F213" s="110"/>
      <c r="G213" s="111"/>
      <c r="H213" s="110"/>
    </row>
    <row r="214" spans="1:8" x14ac:dyDescent="0.3">
      <c r="A214" s="107"/>
      <c r="B214" s="108"/>
      <c r="C214" s="109"/>
      <c r="D214" s="109"/>
      <c r="E214" s="109"/>
      <c r="F214" s="110"/>
      <c r="G214" s="111"/>
      <c r="H214" s="110"/>
    </row>
    <row r="215" spans="1:8" x14ac:dyDescent="0.3">
      <c r="A215" s="107"/>
      <c r="B215" s="108"/>
      <c r="C215" s="109"/>
      <c r="D215" s="109"/>
      <c r="E215" s="109"/>
      <c r="F215" s="110"/>
      <c r="G215" s="111"/>
      <c r="H215" s="110"/>
    </row>
    <row r="216" spans="1:8" x14ac:dyDescent="0.3">
      <c r="A216" s="112"/>
      <c r="B216" s="113"/>
      <c r="C216" s="109"/>
      <c r="D216" s="109"/>
      <c r="E216" s="109"/>
      <c r="F216" s="110"/>
      <c r="G216" s="111"/>
      <c r="H216" s="110"/>
    </row>
    <row r="217" spans="1:8" x14ac:dyDescent="0.3">
      <c r="A217" s="107"/>
      <c r="B217" s="108"/>
      <c r="C217" s="109"/>
      <c r="D217" s="109"/>
      <c r="E217" s="109"/>
      <c r="F217" s="110"/>
      <c r="G217" s="111"/>
      <c r="H217" s="110"/>
    </row>
    <row r="218" spans="1:8" x14ac:dyDescent="0.3">
      <c r="A218" s="107"/>
      <c r="B218" s="108"/>
      <c r="C218" s="109"/>
      <c r="D218" s="109"/>
      <c r="E218" s="109"/>
      <c r="F218" s="110"/>
      <c r="G218" s="111"/>
      <c r="H218" s="110"/>
    </row>
    <row r="219" spans="1:8" x14ac:dyDescent="0.3">
      <c r="A219" s="107"/>
      <c r="B219" s="108"/>
      <c r="C219" s="109"/>
      <c r="D219" s="109"/>
      <c r="E219" s="109"/>
      <c r="F219" s="110"/>
      <c r="G219" s="111"/>
      <c r="H219" s="110"/>
    </row>
    <row r="220" spans="1:8" x14ac:dyDescent="0.3">
      <c r="A220" s="107"/>
      <c r="B220" s="108"/>
      <c r="C220" s="109"/>
      <c r="D220" s="109"/>
      <c r="E220" s="109"/>
      <c r="F220" s="110"/>
      <c r="G220" s="111"/>
      <c r="H220" s="110"/>
    </row>
    <row r="221" spans="1:8" x14ac:dyDescent="0.3">
      <c r="A221" s="107"/>
      <c r="B221" s="108"/>
      <c r="C221" s="109"/>
      <c r="D221" s="109"/>
      <c r="E221" s="109"/>
      <c r="F221" s="110"/>
      <c r="G221" s="111"/>
      <c r="H221" s="110"/>
    </row>
    <row r="222" spans="1:8" x14ac:dyDescent="0.3">
      <c r="A222" s="107"/>
      <c r="B222" s="108"/>
      <c r="C222" s="109"/>
      <c r="D222" s="109"/>
      <c r="E222" s="109"/>
      <c r="F222" s="110"/>
      <c r="G222" s="111"/>
      <c r="H222" s="110"/>
    </row>
    <row r="223" spans="1:8" x14ac:dyDescent="0.3">
      <c r="A223" s="107"/>
      <c r="B223" s="114"/>
      <c r="C223" s="114"/>
      <c r="D223" s="114"/>
      <c r="E223" s="114"/>
      <c r="F223" s="97"/>
      <c r="G223" s="115"/>
      <c r="H223" s="97"/>
    </row>
    <row r="224" spans="1:8" x14ac:dyDescent="0.3">
      <c r="A224" s="116"/>
      <c r="B224" s="117"/>
      <c r="C224" s="118"/>
      <c r="D224" s="118"/>
      <c r="E224" s="118"/>
      <c r="F224" s="117"/>
      <c r="G224" s="115"/>
      <c r="H224" s="117"/>
    </row>
    <row r="225" spans="1:8" x14ac:dyDescent="0.3">
      <c r="A225" s="119"/>
      <c r="B225" s="120"/>
      <c r="C225" s="114"/>
      <c r="D225" s="114"/>
      <c r="E225" s="114"/>
      <c r="F225" s="110"/>
      <c r="G225" s="115"/>
      <c r="H225" s="110"/>
    </row>
    <row r="226" spans="1:8" x14ac:dyDescent="0.3">
      <c r="A226" s="119"/>
      <c r="B226" s="113"/>
      <c r="C226" s="109"/>
      <c r="D226" s="109"/>
      <c r="E226" s="109"/>
      <c r="F226" s="121"/>
      <c r="G226" s="115"/>
      <c r="H226" s="110"/>
    </row>
    <row r="227" spans="1:8" x14ac:dyDescent="0.3">
      <c r="A227" s="119"/>
      <c r="B227" s="120"/>
      <c r="C227" s="114"/>
      <c r="D227" s="114"/>
      <c r="E227" s="114"/>
      <c r="F227" s="120"/>
      <c r="G227" s="115"/>
      <c r="H227" s="110"/>
    </row>
    <row r="228" spans="1:8" x14ac:dyDescent="0.3">
      <c r="A228" s="116"/>
      <c r="B228" s="117"/>
      <c r="C228" s="118"/>
      <c r="D228" s="118"/>
      <c r="E228" s="118"/>
      <c r="F228" s="117"/>
      <c r="G228" s="115"/>
      <c r="H228" s="110"/>
    </row>
    <row r="229" spans="1:8" x14ac:dyDescent="0.3">
      <c r="A229" s="119"/>
      <c r="B229" s="97"/>
      <c r="C229" s="97"/>
      <c r="D229" s="97"/>
      <c r="E229" s="97"/>
      <c r="F229" s="97"/>
      <c r="G229" s="97"/>
      <c r="H229" s="97"/>
    </row>
    <row r="230" spans="1:8" x14ac:dyDescent="0.3">
      <c r="A230" s="97"/>
      <c r="B230" s="97"/>
      <c r="C230" s="97"/>
      <c r="D230" s="97"/>
      <c r="E230" s="97"/>
      <c r="F230" s="97"/>
      <c r="G230" s="97"/>
      <c r="H230" s="97"/>
    </row>
    <row r="231" spans="1:8" x14ac:dyDescent="0.3">
      <c r="A231" s="4"/>
      <c r="B231" s="4"/>
      <c r="C231" s="4"/>
      <c r="D231" s="4"/>
      <c r="E231" s="4"/>
      <c r="F231" s="4"/>
      <c r="G231" s="4"/>
      <c r="H231" s="4"/>
    </row>
    <row r="232" spans="1:8" x14ac:dyDescent="0.3">
      <c r="A232" s="4"/>
      <c r="B232" s="4"/>
      <c r="C232" s="4"/>
      <c r="D232" s="4"/>
      <c r="E232" s="4"/>
      <c r="F232" s="4"/>
      <c r="G232" s="4"/>
      <c r="H232" s="4"/>
    </row>
    <row r="233" spans="1:8" x14ac:dyDescent="0.3">
      <c r="A233" s="4"/>
      <c r="B233" s="4"/>
      <c r="C233" s="4"/>
      <c r="D233" s="4"/>
      <c r="E233" s="4"/>
      <c r="F233" s="4"/>
      <c r="G233" s="4"/>
      <c r="H233" s="4"/>
    </row>
    <row r="234" spans="1:8" x14ac:dyDescent="0.3">
      <c r="A234" s="4"/>
      <c r="B234" s="4"/>
      <c r="C234" s="4"/>
      <c r="D234" s="4"/>
      <c r="E234" s="4"/>
      <c r="F234" s="4"/>
      <c r="G234" s="4"/>
      <c r="H234" s="4"/>
    </row>
    <row r="235" spans="1:8" x14ac:dyDescent="0.3">
      <c r="A235" s="4"/>
      <c r="B235" s="4"/>
      <c r="C235" s="4"/>
      <c r="D235" s="4"/>
      <c r="E235" s="4"/>
      <c r="F235" s="4"/>
      <c r="G235" s="4"/>
      <c r="H235" s="4"/>
    </row>
    <row r="236" spans="1:8" x14ac:dyDescent="0.3">
      <c r="A236" s="4"/>
      <c r="B236" s="4"/>
      <c r="C236" s="4"/>
      <c r="D236" s="4"/>
      <c r="E236" s="4"/>
      <c r="F236" s="4"/>
      <c r="G236" s="4"/>
      <c r="H236" s="4"/>
    </row>
    <row r="237" spans="1:8" x14ac:dyDescent="0.3">
      <c r="A237" s="4"/>
      <c r="B237" s="4"/>
      <c r="C237" s="4"/>
      <c r="D237" s="4"/>
      <c r="E237" s="4"/>
      <c r="F237" s="4"/>
      <c r="G237" s="4"/>
      <c r="H237" s="4"/>
    </row>
    <row r="238" spans="1:8" x14ac:dyDescent="0.3">
      <c r="A238" s="4"/>
      <c r="B238" s="4"/>
      <c r="C238" s="4"/>
      <c r="D238" s="4"/>
      <c r="E238" s="4"/>
      <c r="F238" s="4"/>
      <c r="G238" s="4"/>
      <c r="H238" s="4"/>
    </row>
    <row r="239" spans="1:8" x14ac:dyDescent="0.3">
      <c r="A239" s="4"/>
      <c r="B239" s="4"/>
      <c r="C239" s="4"/>
      <c r="D239" s="4"/>
      <c r="E239" s="4"/>
      <c r="F239" s="4"/>
      <c r="G239" s="4"/>
      <c r="H239" s="4"/>
    </row>
    <row r="240" spans="1:8" x14ac:dyDescent="0.3">
      <c r="A240" s="4"/>
      <c r="B240" s="4"/>
      <c r="C240" s="4"/>
      <c r="D240" s="4"/>
      <c r="E240" s="4"/>
      <c r="F240" s="4"/>
      <c r="G240" s="4"/>
      <c r="H240" s="4"/>
    </row>
    <row r="241" spans="1:8" x14ac:dyDescent="0.3">
      <c r="A241" s="4"/>
      <c r="B241" s="4"/>
      <c r="C241" s="4"/>
      <c r="D241" s="4"/>
      <c r="E241" s="4"/>
      <c r="F241" s="4"/>
      <c r="G241" s="4"/>
      <c r="H241" s="4"/>
    </row>
    <row r="242" spans="1:8" x14ac:dyDescent="0.3">
      <c r="A242" s="4"/>
      <c r="B242" s="4"/>
      <c r="C242" s="4"/>
      <c r="D242" s="4"/>
      <c r="E242" s="4"/>
      <c r="F242" s="4"/>
      <c r="G242" s="4"/>
      <c r="H242" s="4"/>
    </row>
    <row r="243" spans="1:8" x14ac:dyDescent="0.3">
      <c r="A243" s="4"/>
      <c r="B243" s="4"/>
      <c r="C243" s="4"/>
      <c r="D243" s="4"/>
      <c r="E243" s="4"/>
      <c r="F243" s="4"/>
      <c r="G243" s="4"/>
      <c r="H243" s="4"/>
    </row>
    <row r="244" spans="1:8" x14ac:dyDescent="0.3">
      <c r="A244" s="4"/>
      <c r="B244" s="4"/>
      <c r="C244" s="4"/>
      <c r="D244" s="4"/>
      <c r="E244" s="4"/>
      <c r="F244" s="4"/>
      <c r="G244" s="4"/>
      <c r="H244" s="4"/>
    </row>
    <row r="245" spans="1:8" x14ac:dyDescent="0.3">
      <c r="A245" s="4"/>
      <c r="B245" s="4"/>
      <c r="C245" s="4"/>
      <c r="D245" s="4"/>
      <c r="E245" s="4"/>
      <c r="F245" s="4"/>
      <c r="G245" s="4"/>
      <c r="H245" s="4"/>
    </row>
    <row r="246" spans="1:8" x14ac:dyDescent="0.3">
      <c r="A246" s="4"/>
      <c r="B246" s="4"/>
      <c r="C246" s="4"/>
      <c r="D246" s="4"/>
      <c r="E246" s="4"/>
      <c r="F246" s="4"/>
      <c r="G246" s="4"/>
      <c r="H246" s="4"/>
    </row>
    <row r="247" spans="1:8" x14ac:dyDescent="0.3">
      <c r="A247" s="4"/>
      <c r="B247" s="4"/>
      <c r="C247" s="4"/>
      <c r="D247" s="4"/>
      <c r="E247" s="4"/>
      <c r="F247" s="4"/>
      <c r="G247" s="4"/>
      <c r="H247" s="4"/>
    </row>
    <row r="248" spans="1:8" x14ac:dyDescent="0.3">
      <c r="A248" s="4"/>
      <c r="B248" s="4"/>
      <c r="C248" s="4"/>
      <c r="D248" s="4"/>
      <c r="E248" s="4"/>
      <c r="F248" s="4"/>
      <c r="G248" s="4"/>
      <c r="H248" s="4"/>
    </row>
    <row r="249" spans="1:8" x14ac:dyDescent="0.3">
      <c r="A249" s="4"/>
      <c r="B249" s="4"/>
      <c r="C249" s="4"/>
      <c r="D249" s="4"/>
      <c r="E249" s="4"/>
      <c r="F249" s="4"/>
      <c r="G249" s="4"/>
      <c r="H249" s="4"/>
    </row>
    <row r="250" spans="1:8" x14ac:dyDescent="0.3">
      <c r="A250" s="4"/>
      <c r="B250" s="4"/>
      <c r="C250" s="4"/>
      <c r="D250" s="4"/>
      <c r="E250" s="4"/>
      <c r="F250" s="4"/>
      <c r="G250" s="4"/>
      <c r="H250" s="4"/>
    </row>
    <row r="251" spans="1:8" x14ac:dyDescent="0.3">
      <c r="A251" s="4"/>
      <c r="B251" s="4"/>
      <c r="C251" s="4"/>
      <c r="D251" s="4"/>
      <c r="E251" s="4"/>
      <c r="F251" s="4"/>
      <c r="G251" s="4"/>
      <c r="H251" s="4"/>
    </row>
    <row r="252" spans="1:8" x14ac:dyDescent="0.3">
      <c r="A252" s="4"/>
      <c r="B252" s="4"/>
      <c r="C252" s="4"/>
      <c r="D252" s="4"/>
      <c r="E252" s="4"/>
      <c r="F252" s="4"/>
      <c r="G252" s="4"/>
      <c r="H252" s="4"/>
    </row>
    <row r="253" spans="1:8" x14ac:dyDescent="0.3">
      <c r="A253" s="4"/>
      <c r="B253" s="4"/>
      <c r="C253" s="4"/>
      <c r="D253" s="4"/>
      <c r="E253" s="4"/>
      <c r="F253" s="4"/>
      <c r="G253" s="4"/>
      <c r="H253" s="4"/>
    </row>
    <row r="254" spans="1:8" x14ac:dyDescent="0.3">
      <c r="A254" s="4"/>
      <c r="B254" s="4"/>
      <c r="C254" s="4"/>
      <c r="D254" s="4"/>
      <c r="E254" s="4"/>
      <c r="F254" s="4"/>
      <c r="G254" s="4"/>
      <c r="H254" s="4"/>
    </row>
    <row r="255" spans="1:8" x14ac:dyDescent="0.3">
      <c r="A255" s="4"/>
      <c r="B255" s="4"/>
      <c r="C255" s="4"/>
      <c r="D255" s="4"/>
      <c r="E255" s="4"/>
      <c r="F255" s="4"/>
      <c r="G255" s="4"/>
      <c r="H255" s="4"/>
    </row>
    <row r="256" spans="1:8" x14ac:dyDescent="0.3">
      <c r="A256" s="4"/>
      <c r="B256" s="4"/>
      <c r="C256" s="4"/>
      <c r="D256" s="4"/>
      <c r="E256" s="4"/>
      <c r="F256" s="4"/>
      <c r="G256" s="4"/>
      <c r="H256" s="4"/>
    </row>
    <row r="257" spans="1:8" x14ac:dyDescent="0.3">
      <c r="A257" s="4"/>
      <c r="B257" s="4"/>
      <c r="C257" s="4"/>
      <c r="D257" s="4"/>
      <c r="E257" s="4"/>
      <c r="F257" s="4"/>
      <c r="G257" s="4"/>
      <c r="H257" s="4"/>
    </row>
    <row r="258" spans="1:8" x14ac:dyDescent="0.3">
      <c r="A258" s="4"/>
      <c r="B258" s="4"/>
      <c r="C258" s="4"/>
      <c r="D258" s="4"/>
      <c r="E258" s="4"/>
      <c r="F258" s="4"/>
      <c r="G258" s="4"/>
      <c r="H258" s="4"/>
    </row>
    <row r="259" spans="1:8" x14ac:dyDescent="0.3">
      <c r="A259" s="4"/>
      <c r="B259" s="4"/>
      <c r="C259" s="4"/>
      <c r="D259" s="4"/>
      <c r="E259" s="4"/>
      <c r="F259" s="4"/>
      <c r="G259" s="4"/>
      <c r="H259" s="4"/>
    </row>
    <row r="260" spans="1:8" x14ac:dyDescent="0.3">
      <c r="A260" s="4"/>
      <c r="B260" s="4"/>
      <c r="C260" s="4"/>
      <c r="D260" s="4"/>
      <c r="E260" s="4"/>
      <c r="F260" s="4"/>
      <c r="G260" s="4"/>
      <c r="H260" s="4"/>
    </row>
    <row r="261" spans="1:8" x14ac:dyDescent="0.3">
      <c r="A261" s="4"/>
      <c r="B261" s="4"/>
      <c r="C261" s="4"/>
      <c r="D261" s="4"/>
      <c r="E261" s="4"/>
      <c r="F261" s="4"/>
      <c r="G261" s="4"/>
      <c r="H261" s="4"/>
    </row>
    <row r="262" spans="1:8" x14ac:dyDescent="0.3">
      <c r="A262" s="4"/>
      <c r="B262" s="4"/>
      <c r="C262" s="4"/>
      <c r="D262" s="4"/>
      <c r="E262" s="4"/>
      <c r="F262" s="4"/>
      <c r="G262" s="4"/>
      <c r="H262" s="4"/>
    </row>
    <row r="263" spans="1:8" x14ac:dyDescent="0.3">
      <c r="A263" s="4"/>
      <c r="B263" s="4"/>
      <c r="C263" s="4"/>
      <c r="D263" s="4"/>
      <c r="E263" s="4"/>
      <c r="F263" s="4"/>
      <c r="G263" s="4"/>
      <c r="H263" s="4"/>
    </row>
    <row r="264" spans="1:8" x14ac:dyDescent="0.3">
      <c r="A264" s="4"/>
      <c r="B264" s="4"/>
      <c r="C264" s="4"/>
      <c r="D264" s="4"/>
      <c r="E264" s="4"/>
      <c r="F264" s="4"/>
      <c r="G264" s="4"/>
      <c r="H264" s="4"/>
    </row>
    <row r="265" spans="1:8" x14ac:dyDescent="0.3">
      <c r="A265" s="4"/>
      <c r="B265" s="4"/>
      <c r="C265" s="4"/>
      <c r="D265" s="4"/>
      <c r="E265" s="4"/>
      <c r="F265" s="4"/>
      <c r="G265" s="4"/>
      <c r="H265" s="4"/>
    </row>
    <row r="266" spans="1:8" x14ac:dyDescent="0.3">
      <c r="A266" s="4"/>
      <c r="B266" s="4"/>
      <c r="C266" s="4"/>
      <c r="D266" s="4"/>
      <c r="E266" s="4"/>
      <c r="F266" s="4"/>
      <c r="G266" s="4"/>
      <c r="H266" s="4"/>
    </row>
    <row r="267" spans="1:8" x14ac:dyDescent="0.3">
      <c r="A267" s="4"/>
      <c r="B267" s="4"/>
      <c r="C267" s="4"/>
      <c r="D267" s="4"/>
      <c r="E267" s="4"/>
      <c r="F267" s="4"/>
      <c r="G267" s="4"/>
      <c r="H267" s="4"/>
    </row>
    <row r="268" spans="1:8" x14ac:dyDescent="0.3">
      <c r="A268" s="4"/>
      <c r="B268" s="4"/>
      <c r="C268" s="4"/>
      <c r="D268" s="4"/>
      <c r="E268" s="4"/>
      <c r="F268" s="4"/>
      <c r="G268" s="4"/>
      <c r="H268" s="4"/>
    </row>
    <row r="269" spans="1:8" x14ac:dyDescent="0.3">
      <c r="A269" s="4"/>
      <c r="B269" s="4"/>
      <c r="C269" s="4"/>
      <c r="D269" s="4"/>
      <c r="E269" s="4"/>
      <c r="F269" s="4"/>
      <c r="G269" s="4"/>
      <c r="H269" s="4"/>
    </row>
    <row r="270" spans="1:8" x14ac:dyDescent="0.3">
      <c r="A270" s="4"/>
      <c r="B270" s="4"/>
      <c r="C270" s="4"/>
      <c r="D270" s="4"/>
      <c r="E270" s="4"/>
      <c r="F270" s="4"/>
      <c r="G270" s="4"/>
      <c r="H270" s="4"/>
    </row>
    <row r="271" spans="1:8" x14ac:dyDescent="0.3">
      <c r="A271" s="4"/>
      <c r="B271" s="4"/>
      <c r="C271" s="4"/>
      <c r="D271" s="4"/>
      <c r="E271" s="4"/>
      <c r="F271" s="4"/>
      <c r="G271" s="4"/>
      <c r="H271" s="4"/>
    </row>
    <row r="272" spans="1:8" x14ac:dyDescent="0.3">
      <c r="A272" s="4"/>
      <c r="B272" s="4"/>
      <c r="C272" s="4"/>
      <c r="D272" s="4"/>
      <c r="E272" s="4"/>
      <c r="F272" s="4"/>
      <c r="G272" s="4"/>
      <c r="H272" s="4"/>
    </row>
    <row r="273" spans="1:8" x14ac:dyDescent="0.3">
      <c r="A273" s="4"/>
      <c r="B273" s="4"/>
      <c r="C273" s="4"/>
      <c r="D273" s="4"/>
      <c r="E273" s="4"/>
      <c r="F273" s="4"/>
      <c r="G273" s="4"/>
      <c r="H273" s="4"/>
    </row>
    <row r="274" spans="1:8" x14ac:dyDescent="0.3">
      <c r="A274" s="4"/>
      <c r="B274" s="4"/>
      <c r="C274" s="4"/>
      <c r="D274" s="4"/>
      <c r="E274" s="4"/>
      <c r="F274" s="4"/>
      <c r="G274" s="4"/>
      <c r="H274" s="4"/>
    </row>
    <row r="275" spans="1:8" x14ac:dyDescent="0.3">
      <c r="A275" s="4"/>
      <c r="B275" s="4"/>
      <c r="C275" s="4"/>
      <c r="D275" s="4"/>
      <c r="E275" s="4"/>
      <c r="F275" s="4"/>
      <c r="G275" s="4"/>
      <c r="H275" s="4"/>
    </row>
    <row r="276" spans="1:8" x14ac:dyDescent="0.3">
      <c r="A276" s="4"/>
      <c r="B276" s="4"/>
      <c r="C276" s="4"/>
      <c r="D276" s="4"/>
      <c r="E276" s="4"/>
      <c r="F276" s="4"/>
      <c r="G276" s="4"/>
      <c r="H276" s="4"/>
    </row>
    <row r="277" spans="1:8" x14ac:dyDescent="0.3">
      <c r="A277" s="4"/>
      <c r="B277" s="4"/>
      <c r="C277" s="4"/>
      <c r="D277" s="4"/>
      <c r="E277" s="4"/>
      <c r="F277" s="4"/>
      <c r="G277" s="4"/>
      <c r="H277" s="4"/>
    </row>
    <row r="278" spans="1:8" x14ac:dyDescent="0.3">
      <c r="A278" s="4"/>
      <c r="B278" s="4"/>
      <c r="C278" s="4"/>
      <c r="D278" s="4"/>
      <c r="E278" s="4"/>
      <c r="F278" s="4"/>
      <c r="G278" s="4"/>
      <c r="H278" s="4"/>
    </row>
    <row r="279" spans="1:8" x14ac:dyDescent="0.3">
      <c r="A279" s="4"/>
      <c r="B279" s="4"/>
      <c r="C279" s="4"/>
      <c r="D279" s="4"/>
      <c r="E279" s="4"/>
      <c r="F279" s="4"/>
      <c r="G279" s="4"/>
      <c r="H279" s="4"/>
    </row>
    <row r="280" spans="1:8" x14ac:dyDescent="0.3">
      <c r="A280" s="4"/>
      <c r="B280" s="4"/>
      <c r="C280" s="4"/>
      <c r="D280" s="4"/>
      <c r="E280" s="4"/>
      <c r="F280" s="4"/>
      <c r="G280" s="4"/>
      <c r="H280" s="4"/>
    </row>
    <row r="281" spans="1:8" x14ac:dyDescent="0.3">
      <c r="A281" s="4"/>
      <c r="B281" s="4"/>
      <c r="C281" s="4"/>
      <c r="D281" s="4"/>
      <c r="E281" s="4"/>
      <c r="F281" s="4"/>
      <c r="G281" s="4"/>
      <c r="H281" s="4"/>
    </row>
  </sheetData>
  <pageMargins left="0.7" right="0.7" top="0.75" bottom="0.75" header="0.3" footer="0.3"/>
  <pageSetup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opLeftCell="C1" workbookViewId="0">
      <selection activeCell="C25" sqref="C25"/>
    </sheetView>
  </sheetViews>
  <sheetFormatPr defaultRowHeight="15.6" x14ac:dyDescent="0.3"/>
  <cols>
    <col min="1" max="1" width="3.3984375" customWidth="1"/>
    <col min="2" max="2" width="1.59765625" customWidth="1"/>
    <col min="3" max="3" width="42.5" customWidth="1"/>
    <col min="4" max="4" width="1.5" customWidth="1"/>
    <col min="5" max="6" width="1.19921875" customWidth="1"/>
    <col min="7" max="7" width="7.3984375" customWidth="1"/>
    <col min="8" max="8" width="1.19921875" customWidth="1"/>
    <col min="9" max="9" width="12.5" customWidth="1"/>
    <col min="10" max="10" width="1.69921875" customWidth="1"/>
    <col min="11" max="11" width="9" customWidth="1"/>
    <col min="12" max="12" width="1.8984375" customWidth="1"/>
    <col min="13" max="13" width="7.19921875" customWidth="1"/>
    <col min="14" max="14" width="1.59765625" customWidth="1"/>
    <col min="15" max="15" width="11.09765625" customWidth="1"/>
  </cols>
  <sheetData>
    <row r="1" spans="1:15" x14ac:dyDescent="0.3">
      <c r="A1" t="s">
        <v>517</v>
      </c>
      <c r="K1" t="s">
        <v>554</v>
      </c>
      <c r="M1" s="16"/>
      <c r="N1" s="16"/>
      <c r="O1" s="16"/>
    </row>
    <row r="2" spans="1:15" x14ac:dyDescent="0.3">
      <c r="A2" t="s">
        <v>186</v>
      </c>
      <c r="K2" t="s">
        <v>567</v>
      </c>
      <c r="M2" s="16"/>
      <c r="N2" s="16"/>
      <c r="O2" s="16"/>
    </row>
    <row r="3" spans="1:15" x14ac:dyDescent="0.3">
      <c r="A3" t="s">
        <v>187</v>
      </c>
      <c r="K3" t="s">
        <v>541</v>
      </c>
      <c r="M3" s="16"/>
      <c r="N3" s="16"/>
      <c r="O3" s="16"/>
    </row>
    <row r="4" spans="1:15" x14ac:dyDescent="0.3">
      <c r="A4" t="s">
        <v>175</v>
      </c>
      <c r="M4" s="16"/>
      <c r="N4" s="16"/>
      <c r="O4" s="16"/>
    </row>
    <row r="5" spans="1:15" x14ac:dyDescent="0.3">
      <c r="A5" t="s">
        <v>188</v>
      </c>
      <c r="M5" s="16"/>
      <c r="N5" s="16"/>
      <c r="O5" s="16"/>
    </row>
    <row r="6" spans="1:15" x14ac:dyDescent="0.3">
      <c r="A6" s="16"/>
      <c r="B6" s="16"/>
      <c r="C6" s="16"/>
      <c r="D6" s="16"/>
      <c r="E6" s="16"/>
      <c r="F6" s="16"/>
      <c r="G6" s="16"/>
      <c r="H6" s="16"/>
      <c r="I6" s="16"/>
      <c r="J6" s="16"/>
      <c r="K6" s="16"/>
      <c r="L6" s="16"/>
      <c r="M6" s="16"/>
      <c r="N6" s="16"/>
      <c r="O6" s="16"/>
    </row>
    <row r="7" spans="1:15" x14ac:dyDescent="0.3">
      <c r="A7" s="16"/>
      <c r="B7" s="16"/>
      <c r="C7" s="16"/>
      <c r="D7" s="16"/>
      <c r="E7" s="16"/>
      <c r="F7" s="16"/>
      <c r="G7" s="16"/>
      <c r="H7" s="16"/>
      <c r="I7" s="16"/>
      <c r="J7" s="16"/>
      <c r="K7" s="16"/>
      <c r="L7" s="16"/>
      <c r="M7" s="16"/>
      <c r="N7" s="16"/>
      <c r="O7" s="16"/>
    </row>
    <row r="8" spans="1:15" x14ac:dyDescent="0.3">
      <c r="G8" s="1"/>
      <c r="H8" s="1"/>
      <c r="I8" s="1" t="s">
        <v>4</v>
      </c>
      <c r="J8" s="1"/>
      <c r="K8" s="1"/>
      <c r="L8" s="1"/>
      <c r="M8" s="1"/>
      <c r="N8" s="1"/>
      <c r="O8" s="1" t="s">
        <v>184</v>
      </c>
    </row>
    <row r="9" spans="1:15" x14ac:dyDescent="0.3">
      <c r="A9" s="4"/>
      <c r="C9" s="2" t="s">
        <v>1</v>
      </c>
      <c r="D9" s="4"/>
      <c r="E9" s="14"/>
      <c r="G9" s="10" t="s">
        <v>10</v>
      </c>
      <c r="H9" s="1"/>
      <c r="I9" s="10" t="s">
        <v>6</v>
      </c>
      <c r="J9" s="1"/>
      <c r="K9" s="10" t="s">
        <v>7</v>
      </c>
      <c r="L9" s="1"/>
      <c r="M9" s="11" t="s">
        <v>9</v>
      </c>
      <c r="N9" s="1"/>
      <c r="O9" s="10" t="s">
        <v>8</v>
      </c>
    </row>
    <row r="11" spans="1:15" x14ac:dyDescent="0.3">
      <c r="C11" s="3" t="s">
        <v>11</v>
      </c>
    </row>
    <row r="13" spans="1:15" x14ac:dyDescent="0.3">
      <c r="A13">
        <v>1</v>
      </c>
      <c r="C13" t="s">
        <v>153</v>
      </c>
      <c r="G13" s="52" t="s">
        <v>101</v>
      </c>
      <c r="I13" s="38">
        <f>I24</f>
        <v>-5813686.6645510467</v>
      </c>
      <c r="K13" s="1" t="s">
        <v>102</v>
      </c>
      <c r="L13" s="1"/>
      <c r="M13" s="1" t="s">
        <v>102</v>
      </c>
      <c r="O13" s="44">
        <f>EmployeeP4!F90</f>
        <v>-377634.80566549028</v>
      </c>
    </row>
    <row r="18" spans="1:15" x14ac:dyDescent="0.3">
      <c r="I18" s="44"/>
    </row>
    <row r="19" spans="1:15" x14ac:dyDescent="0.3">
      <c r="C19" s="3" t="s">
        <v>104</v>
      </c>
      <c r="I19" s="44"/>
    </row>
    <row r="20" spans="1:15" x14ac:dyDescent="0.3">
      <c r="A20" t="s">
        <v>105</v>
      </c>
      <c r="C20" s="4" t="s">
        <v>253</v>
      </c>
      <c r="D20" s="4"/>
      <c r="E20" s="4"/>
      <c r="F20" s="4"/>
      <c r="G20" s="4"/>
      <c r="H20" s="4"/>
      <c r="I20" s="47">
        <f>EmployeeP3!F18</f>
        <v>670907737</v>
      </c>
      <c r="J20" s="4"/>
      <c r="K20" s="4" t="s">
        <v>518</v>
      </c>
    </row>
    <row r="21" spans="1:15" x14ac:dyDescent="0.3">
      <c r="A21" t="s">
        <v>106</v>
      </c>
      <c r="C21" s="13" t="s">
        <v>172</v>
      </c>
      <c r="I21" s="78">
        <f>EmployeeP2!E34</f>
        <v>-1.24E-2</v>
      </c>
      <c r="K21" s="4" t="s">
        <v>519</v>
      </c>
    </row>
    <row r="22" spans="1:15" x14ac:dyDescent="0.3">
      <c r="A22" t="s">
        <v>107</v>
      </c>
      <c r="C22" s="18" t="s">
        <v>173</v>
      </c>
      <c r="I22" s="44">
        <f>ROUND(I20*I21,0)</f>
        <v>-8319256</v>
      </c>
      <c r="K22" s="4"/>
    </row>
    <row r="23" spans="1:15" x14ac:dyDescent="0.3">
      <c r="A23" s="4" t="s">
        <v>108</v>
      </c>
      <c r="B23" s="4"/>
      <c r="C23" s="18" t="s">
        <v>152</v>
      </c>
      <c r="D23" s="4"/>
      <c r="E23" s="4"/>
      <c r="F23" s="4"/>
      <c r="G23" s="4"/>
      <c r="H23" s="4"/>
      <c r="I23" s="78">
        <f>1-(211320424/701648396)</f>
        <v>0.69882290730698116</v>
      </c>
      <c r="K23" s="4" t="s">
        <v>518</v>
      </c>
    </row>
    <row r="24" spans="1:15" x14ac:dyDescent="0.3">
      <c r="A24" s="18" t="s">
        <v>109</v>
      </c>
      <c r="B24" s="4"/>
      <c r="C24" s="18" t="s">
        <v>153</v>
      </c>
      <c r="D24" s="4"/>
      <c r="E24" s="4"/>
      <c r="F24" s="4"/>
      <c r="G24" s="4"/>
      <c r="H24" s="4"/>
      <c r="I24" s="79">
        <f>I22*I23</f>
        <v>-5813686.6645510467</v>
      </c>
      <c r="J24" s="4"/>
      <c r="K24" s="4"/>
    </row>
    <row r="25" spans="1:15" x14ac:dyDescent="0.3">
      <c r="A25" s="4"/>
      <c r="B25" s="4"/>
      <c r="C25" s="18"/>
      <c r="D25" s="4"/>
      <c r="E25" s="4"/>
      <c r="F25" s="4"/>
      <c r="G25" s="4"/>
      <c r="H25" s="4"/>
      <c r="J25" s="4"/>
      <c r="K25" s="47"/>
      <c r="L25" s="4"/>
      <c r="M25" s="4"/>
    </row>
    <row r="26" spans="1:15" x14ac:dyDescent="0.3">
      <c r="A26" s="4"/>
      <c r="B26" s="4"/>
      <c r="L26" s="4"/>
      <c r="M26" s="4"/>
    </row>
    <row r="27" spans="1:15" x14ac:dyDescent="0.3">
      <c r="A27" s="4"/>
      <c r="B27" s="4"/>
      <c r="L27" s="4"/>
      <c r="M27" s="4"/>
    </row>
    <row r="28" spans="1:15" x14ac:dyDescent="0.3">
      <c r="A28" s="4"/>
      <c r="B28" s="4"/>
      <c r="C28" s="18"/>
      <c r="D28" s="4"/>
      <c r="E28" s="4"/>
      <c r="F28" s="4"/>
      <c r="G28" s="4"/>
      <c r="H28" s="4"/>
      <c r="I28" s="47"/>
      <c r="J28" s="4"/>
      <c r="K28" s="4"/>
      <c r="L28" s="4"/>
      <c r="M28" s="4"/>
    </row>
    <row r="29" spans="1:15" x14ac:dyDescent="0.3">
      <c r="C29" s="4"/>
      <c r="D29" s="4"/>
      <c r="E29" s="4"/>
      <c r="F29" s="4"/>
      <c r="G29" s="4"/>
      <c r="H29" s="4"/>
      <c r="I29" s="4"/>
      <c r="J29" s="4"/>
      <c r="K29" s="4"/>
      <c r="L29" s="4"/>
      <c r="M29" s="4"/>
    </row>
    <row r="31" spans="1:15" x14ac:dyDescent="0.3">
      <c r="C31" t="s">
        <v>103</v>
      </c>
    </row>
    <row r="32" spans="1:15" ht="15.75" customHeight="1" x14ac:dyDescent="0.3">
      <c r="C32" s="246" t="s">
        <v>261</v>
      </c>
      <c r="D32" s="247"/>
      <c r="E32" s="247"/>
      <c r="F32" s="247"/>
      <c r="G32" s="247"/>
      <c r="H32" s="247"/>
      <c r="I32" s="247"/>
      <c r="J32" s="247"/>
      <c r="K32" s="247"/>
      <c r="L32" s="247"/>
      <c r="M32" s="247"/>
      <c r="N32" s="247"/>
      <c r="O32" s="248"/>
    </row>
    <row r="33" spans="3:15" ht="15.75" customHeight="1" x14ac:dyDescent="0.3">
      <c r="C33" s="249"/>
      <c r="D33" s="250"/>
      <c r="E33" s="250"/>
      <c r="F33" s="250"/>
      <c r="G33" s="250"/>
      <c r="H33" s="250"/>
      <c r="I33" s="250"/>
      <c r="J33" s="250"/>
      <c r="K33" s="250"/>
      <c r="L33" s="250"/>
      <c r="M33" s="250"/>
      <c r="N33" s="250"/>
      <c r="O33" s="251"/>
    </row>
    <row r="34" spans="3:15" x14ac:dyDescent="0.3">
      <c r="C34" s="249"/>
      <c r="D34" s="250"/>
      <c r="E34" s="250"/>
      <c r="F34" s="250"/>
      <c r="G34" s="250"/>
      <c r="H34" s="250"/>
      <c r="I34" s="250"/>
      <c r="J34" s="250"/>
      <c r="K34" s="250"/>
      <c r="L34" s="250"/>
      <c r="M34" s="250"/>
      <c r="N34" s="250"/>
      <c r="O34" s="251"/>
    </row>
    <row r="35" spans="3:15" x14ac:dyDescent="0.3">
      <c r="C35" s="252"/>
      <c r="D35" s="253"/>
      <c r="E35" s="253"/>
      <c r="F35" s="253"/>
      <c r="G35" s="253"/>
      <c r="H35" s="253"/>
      <c r="I35" s="253"/>
      <c r="J35" s="253"/>
      <c r="K35" s="253"/>
      <c r="L35" s="253"/>
      <c r="M35" s="253"/>
      <c r="N35" s="253"/>
      <c r="O35" s="254"/>
    </row>
  </sheetData>
  <mergeCells count="1">
    <mergeCell ref="C32:O35"/>
  </mergeCells>
  <phoneticPr fontId="8" type="noConversion"/>
  <pageMargins left="0.75" right="0.75" top="1" bottom="1" header="0.5" footer="0.5"/>
  <pageSetup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workbookViewId="0">
      <selection activeCell="C25" sqref="C25"/>
    </sheetView>
  </sheetViews>
  <sheetFormatPr defaultRowHeight="15.6" x14ac:dyDescent="0.3"/>
  <cols>
    <col min="1" max="1" width="4.3984375" customWidth="1"/>
    <col min="2" max="2" width="1.09765625" customWidth="1"/>
    <col min="3" max="3" width="30.3984375" customWidth="1"/>
    <col min="4" max="4" width="10.09765625" customWidth="1"/>
    <col min="5" max="5" width="9.69921875" bestFit="1" customWidth="1"/>
    <col min="6" max="6" width="1.59765625" customWidth="1"/>
  </cols>
  <sheetData>
    <row r="1" spans="1:7" x14ac:dyDescent="0.3">
      <c r="A1" t="s">
        <v>520</v>
      </c>
      <c r="G1" t="s">
        <v>554</v>
      </c>
    </row>
    <row r="2" spans="1:7" x14ac:dyDescent="0.3">
      <c r="A2" t="s">
        <v>186</v>
      </c>
      <c r="G2" t="s">
        <v>567</v>
      </c>
    </row>
    <row r="3" spans="1:7" x14ac:dyDescent="0.3">
      <c r="A3" t="s">
        <v>187</v>
      </c>
      <c r="G3" t="s">
        <v>540</v>
      </c>
    </row>
    <row r="4" spans="1:7" x14ac:dyDescent="0.3">
      <c r="A4" t="s">
        <v>175</v>
      </c>
    </row>
    <row r="5" spans="1:7" x14ac:dyDescent="0.3">
      <c r="A5" t="s">
        <v>188</v>
      </c>
    </row>
    <row r="7" spans="1:7" x14ac:dyDescent="0.3">
      <c r="A7" t="s">
        <v>168</v>
      </c>
    </row>
    <row r="8" spans="1:7" x14ac:dyDescent="0.3">
      <c r="E8" t="s">
        <v>169</v>
      </c>
      <c r="G8" s="1" t="s">
        <v>174</v>
      </c>
    </row>
    <row r="9" spans="1:7" x14ac:dyDescent="0.3">
      <c r="A9" s="2" t="s">
        <v>0</v>
      </c>
      <c r="C9" s="87" t="s">
        <v>155</v>
      </c>
      <c r="E9" s="2" t="s">
        <v>170</v>
      </c>
      <c r="G9" s="10" t="s">
        <v>165</v>
      </c>
    </row>
    <row r="10" spans="1:7" x14ac:dyDescent="0.3">
      <c r="A10">
        <v>1</v>
      </c>
      <c r="C10" s="56">
        <v>41275</v>
      </c>
      <c r="E10" s="85">
        <v>5451</v>
      </c>
      <c r="G10" s="88"/>
    </row>
    <row r="11" spans="1:7" x14ac:dyDescent="0.3">
      <c r="A11">
        <v>2</v>
      </c>
      <c r="C11" s="56">
        <v>41306</v>
      </c>
      <c r="E11" s="85">
        <v>5448.5</v>
      </c>
      <c r="G11" s="88">
        <f t="shared" ref="G11:G15" si="0">E11-E10</f>
        <v>-2.5</v>
      </c>
    </row>
    <row r="12" spans="1:7" x14ac:dyDescent="0.3">
      <c r="A12">
        <v>3</v>
      </c>
      <c r="C12" s="56">
        <v>41334</v>
      </c>
      <c r="E12" s="85">
        <v>5420.5</v>
      </c>
      <c r="G12" s="88">
        <f t="shared" si="0"/>
        <v>-28</v>
      </c>
    </row>
    <row r="13" spans="1:7" x14ac:dyDescent="0.3">
      <c r="A13">
        <v>4</v>
      </c>
      <c r="C13" s="56">
        <v>41365</v>
      </c>
      <c r="E13" s="85">
        <v>5411.5</v>
      </c>
      <c r="G13" s="88">
        <f t="shared" si="0"/>
        <v>-9</v>
      </c>
    </row>
    <row r="14" spans="1:7" x14ac:dyDescent="0.3">
      <c r="A14">
        <v>5</v>
      </c>
      <c r="C14" s="56">
        <v>41395</v>
      </c>
      <c r="E14" s="85">
        <v>5383.5</v>
      </c>
      <c r="G14" s="88">
        <f t="shared" si="0"/>
        <v>-28</v>
      </c>
    </row>
    <row r="15" spans="1:7" x14ac:dyDescent="0.3">
      <c r="A15">
        <v>6</v>
      </c>
      <c r="C15" s="56">
        <v>41426</v>
      </c>
      <c r="E15" s="85">
        <v>5364.5</v>
      </c>
      <c r="G15" s="88">
        <f t="shared" si="0"/>
        <v>-19</v>
      </c>
    </row>
    <row r="16" spans="1:7" x14ac:dyDescent="0.3">
      <c r="A16">
        <v>7</v>
      </c>
      <c r="C16" s="56">
        <v>41456</v>
      </c>
      <c r="E16" s="85">
        <v>5347.5</v>
      </c>
      <c r="G16" s="88">
        <f>E16-E15</f>
        <v>-17</v>
      </c>
    </row>
    <row r="17" spans="1:7" x14ac:dyDescent="0.3">
      <c r="A17">
        <v>8</v>
      </c>
      <c r="C17" s="56">
        <v>41487</v>
      </c>
      <c r="E17" s="85">
        <v>5342</v>
      </c>
      <c r="G17" s="88">
        <f>E17-E16</f>
        <v>-5.5</v>
      </c>
    </row>
    <row r="18" spans="1:7" x14ac:dyDescent="0.3">
      <c r="A18">
        <v>9</v>
      </c>
      <c r="C18" s="56">
        <v>41518</v>
      </c>
      <c r="E18" s="85">
        <v>5332.5</v>
      </c>
      <c r="G18" s="88">
        <f t="shared" ref="G18:G27" si="1">E18-E17</f>
        <v>-9.5</v>
      </c>
    </row>
    <row r="19" spans="1:7" x14ac:dyDescent="0.3">
      <c r="A19">
        <v>10</v>
      </c>
      <c r="C19" s="56">
        <v>41548</v>
      </c>
      <c r="E19" s="85">
        <v>5335</v>
      </c>
      <c r="G19" s="88">
        <f t="shared" si="1"/>
        <v>2.5</v>
      </c>
    </row>
    <row r="20" spans="1:7" x14ac:dyDescent="0.3">
      <c r="A20">
        <v>11</v>
      </c>
      <c r="C20" s="56">
        <v>41579</v>
      </c>
      <c r="E20" s="86">
        <v>5333.5</v>
      </c>
      <c r="G20" s="88">
        <f t="shared" si="1"/>
        <v>-1.5</v>
      </c>
    </row>
    <row r="21" spans="1:7" x14ac:dyDescent="0.3">
      <c r="A21">
        <v>12</v>
      </c>
      <c r="C21" s="56">
        <v>41609</v>
      </c>
      <c r="E21" s="85">
        <v>5335.5</v>
      </c>
      <c r="G21" s="88">
        <f t="shared" si="1"/>
        <v>2</v>
      </c>
    </row>
    <row r="22" spans="1:7" x14ac:dyDescent="0.3">
      <c r="A22">
        <v>13</v>
      </c>
      <c r="C22" s="56">
        <v>41640</v>
      </c>
      <c r="E22" s="85">
        <v>5334.5</v>
      </c>
      <c r="G22" s="88">
        <f t="shared" si="1"/>
        <v>-1</v>
      </c>
    </row>
    <row r="23" spans="1:7" x14ac:dyDescent="0.3">
      <c r="A23">
        <v>14</v>
      </c>
      <c r="C23" s="56">
        <v>41671</v>
      </c>
      <c r="E23" s="85">
        <v>5327</v>
      </c>
      <c r="G23" s="88">
        <f t="shared" si="1"/>
        <v>-7.5</v>
      </c>
    </row>
    <row r="24" spans="1:7" x14ac:dyDescent="0.3">
      <c r="A24">
        <v>15</v>
      </c>
      <c r="C24" s="56">
        <v>41699</v>
      </c>
      <c r="E24" s="85">
        <v>5328</v>
      </c>
      <c r="G24" s="88">
        <f t="shared" si="1"/>
        <v>1</v>
      </c>
    </row>
    <row r="25" spans="1:7" x14ac:dyDescent="0.3">
      <c r="A25">
        <v>16</v>
      </c>
      <c r="C25" s="56">
        <v>41730</v>
      </c>
      <c r="E25" s="85">
        <v>5329</v>
      </c>
      <c r="G25" s="88">
        <f t="shared" si="1"/>
        <v>1</v>
      </c>
    </row>
    <row r="26" spans="1:7" x14ac:dyDescent="0.3">
      <c r="A26">
        <v>17</v>
      </c>
      <c r="C26" s="56">
        <v>41760</v>
      </c>
      <c r="E26" s="85">
        <v>5319</v>
      </c>
      <c r="G26" s="88">
        <f t="shared" si="1"/>
        <v>-10</v>
      </c>
    </row>
    <row r="27" spans="1:7" x14ac:dyDescent="0.3">
      <c r="A27">
        <v>18</v>
      </c>
      <c r="C27" s="56">
        <v>41791</v>
      </c>
      <c r="E27" s="85">
        <v>5308.5</v>
      </c>
      <c r="G27" s="88">
        <f t="shared" si="1"/>
        <v>-10.5</v>
      </c>
    </row>
    <row r="29" spans="1:7" x14ac:dyDescent="0.3">
      <c r="A29">
        <v>19</v>
      </c>
      <c r="C29" t="s">
        <v>497</v>
      </c>
      <c r="E29" s="88">
        <f>ROUND(AVERAGE(E10:E21),0)</f>
        <v>5375</v>
      </c>
      <c r="G29" t="s">
        <v>179</v>
      </c>
    </row>
    <row r="30" spans="1:7" x14ac:dyDescent="0.3">
      <c r="A30">
        <v>20</v>
      </c>
      <c r="C30" t="s">
        <v>254</v>
      </c>
      <c r="E30" s="89">
        <f>E27</f>
        <v>5308.5</v>
      </c>
      <c r="G30" t="s">
        <v>255</v>
      </c>
    </row>
    <row r="31" spans="1:7" ht="16.2" thickBot="1" x14ac:dyDescent="0.35">
      <c r="A31">
        <v>21</v>
      </c>
      <c r="C31" t="s">
        <v>498</v>
      </c>
      <c r="E31" s="90">
        <f>E30-E29</f>
        <v>-66.5</v>
      </c>
      <c r="G31" t="s">
        <v>256</v>
      </c>
    </row>
    <row r="32" spans="1:7" ht="16.2" thickTop="1" x14ac:dyDescent="0.3"/>
    <row r="33" spans="1:7" x14ac:dyDescent="0.3">
      <c r="A33">
        <v>2</v>
      </c>
      <c r="C33" t="s">
        <v>499</v>
      </c>
    </row>
    <row r="34" spans="1:7" ht="16.2" thickBot="1" x14ac:dyDescent="0.35">
      <c r="C34" t="s">
        <v>171</v>
      </c>
      <c r="E34" s="91">
        <f>ROUND(E31/E29,4)</f>
        <v>-1.24E-2</v>
      </c>
      <c r="G34" t="s">
        <v>257</v>
      </c>
    </row>
    <row r="35" spans="1:7" ht="16.2" thickTop="1" x14ac:dyDescent="0.3"/>
    <row r="36" spans="1:7" ht="16.2" thickBot="1" x14ac:dyDescent="0.35">
      <c r="A36">
        <v>23</v>
      </c>
      <c r="C36" t="s">
        <v>258</v>
      </c>
      <c r="E36" s="92">
        <f>E27-E10</f>
        <v>-142.5</v>
      </c>
      <c r="G36" t="s">
        <v>259</v>
      </c>
    </row>
    <row r="37" spans="1:7" ht="16.2" thickTop="1" x14ac:dyDescent="0.3"/>
    <row r="38" spans="1:7" x14ac:dyDescent="0.3">
      <c r="C38" s="3" t="s">
        <v>12</v>
      </c>
    </row>
    <row r="39" spans="1:7" x14ac:dyDescent="0.3">
      <c r="C39" t="s">
        <v>260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C25" sqref="C25"/>
    </sheetView>
  </sheetViews>
  <sheetFormatPr defaultRowHeight="15.6" x14ac:dyDescent="0.3"/>
  <cols>
    <col min="1" max="1" width="4" customWidth="1"/>
    <col min="2" max="2" width="1.09765625" customWidth="1"/>
    <col min="3" max="3" width="49.5" customWidth="1"/>
    <col min="5" max="5" width="3.59765625" customWidth="1"/>
    <col min="6" max="6" width="14.19921875" customWidth="1"/>
    <col min="7" max="7" width="9.3984375" customWidth="1"/>
  </cols>
  <sheetData>
    <row r="1" spans="1:11" x14ac:dyDescent="0.3">
      <c r="A1" t="s">
        <v>521</v>
      </c>
      <c r="F1" t="s">
        <v>553</v>
      </c>
    </row>
    <row r="2" spans="1:11" x14ac:dyDescent="0.3">
      <c r="A2" t="s">
        <v>186</v>
      </c>
      <c r="F2" t="s">
        <v>567</v>
      </c>
    </row>
    <row r="3" spans="1:11" x14ac:dyDescent="0.3">
      <c r="A3" t="s">
        <v>187</v>
      </c>
      <c r="F3" t="s">
        <v>539</v>
      </c>
    </row>
    <row r="4" spans="1:11" x14ac:dyDescent="0.3">
      <c r="A4" t="s">
        <v>175</v>
      </c>
      <c r="K4" s="5"/>
    </row>
    <row r="5" spans="1:11" x14ac:dyDescent="0.3">
      <c r="A5" t="s">
        <v>188</v>
      </c>
    </row>
    <row r="7" spans="1:11" x14ac:dyDescent="0.3">
      <c r="A7" t="s">
        <v>166</v>
      </c>
    </row>
    <row r="9" spans="1:11" x14ac:dyDescent="0.3">
      <c r="A9" t="s">
        <v>0</v>
      </c>
    </row>
    <row r="10" spans="1:11" x14ac:dyDescent="0.3">
      <c r="A10" s="2" t="s">
        <v>3</v>
      </c>
      <c r="C10" s="2" t="s">
        <v>1</v>
      </c>
      <c r="F10" s="10" t="s">
        <v>2</v>
      </c>
    </row>
    <row r="12" spans="1:11" x14ac:dyDescent="0.3">
      <c r="A12">
        <v>1</v>
      </c>
      <c r="C12" s="18" t="s">
        <v>246</v>
      </c>
      <c r="F12" s="84">
        <v>485146624</v>
      </c>
    </row>
    <row r="13" spans="1:11" x14ac:dyDescent="0.3">
      <c r="A13">
        <v>2</v>
      </c>
      <c r="C13" s="18" t="s">
        <v>247</v>
      </c>
      <c r="F13" s="44">
        <v>33656632</v>
      </c>
    </row>
    <row r="14" spans="1:11" x14ac:dyDescent="0.3">
      <c r="A14">
        <v>3</v>
      </c>
      <c r="C14" s="18" t="s">
        <v>248</v>
      </c>
      <c r="F14" s="44">
        <v>40843659</v>
      </c>
    </row>
    <row r="15" spans="1:11" x14ac:dyDescent="0.3">
      <c r="A15">
        <v>4</v>
      </c>
      <c r="C15" t="s">
        <v>249</v>
      </c>
      <c r="F15" s="44">
        <v>56560311</v>
      </c>
    </row>
    <row r="16" spans="1:11" x14ac:dyDescent="0.3">
      <c r="A16">
        <v>5</v>
      </c>
      <c r="C16" t="s">
        <v>250</v>
      </c>
      <c r="F16" s="44">
        <v>32696587</v>
      </c>
    </row>
    <row r="17" spans="1:6" x14ac:dyDescent="0.3">
      <c r="A17">
        <v>6</v>
      </c>
      <c r="C17" t="s">
        <v>251</v>
      </c>
      <c r="F17" s="45">
        <v>22003924</v>
      </c>
    </row>
    <row r="18" spans="1:6" ht="16.2" thickBot="1" x14ac:dyDescent="0.35">
      <c r="A18">
        <v>7</v>
      </c>
      <c r="C18" t="s">
        <v>167</v>
      </c>
      <c r="F18" s="81">
        <f>SUM(F12:F17)</f>
        <v>670907737</v>
      </c>
    </row>
    <row r="19" spans="1:6" ht="16.2" thickTop="1" x14ac:dyDescent="0.3">
      <c r="F19" s="44"/>
    </row>
    <row r="20" spans="1:6" x14ac:dyDescent="0.3">
      <c r="F20" s="44"/>
    </row>
    <row r="21" spans="1:6" x14ac:dyDescent="0.3">
      <c r="F21" s="44"/>
    </row>
    <row r="22" spans="1:6" x14ac:dyDescent="0.3">
      <c r="C22" s="3" t="s">
        <v>12</v>
      </c>
      <c r="F22" s="44"/>
    </row>
    <row r="23" spans="1:6" x14ac:dyDescent="0.3">
      <c r="C23" t="s">
        <v>500</v>
      </c>
      <c r="F23" s="44"/>
    </row>
    <row r="24" spans="1:6" x14ac:dyDescent="0.3">
      <c r="C24" t="s">
        <v>252</v>
      </c>
      <c r="F24" s="44"/>
    </row>
    <row r="25" spans="1:6" x14ac:dyDescent="0.3">
      <c r="F25" s="44"/>
    </row>
    <row r="26" spans="1:6" x14ac:dyDescent="0.3">
      <c r="F26" s="225"/>
    </row>
    <row r="27" spans="1:6" x14ac:dyDescent="0.3">
      <c r="F27" s="47"/>
    </row>
    <row r="28" spans="1:6" x14ac:dyDescent="0.3">
      <c r="F28" s="47"/>
    </row>
    <row r="29" spans="1:6" x14ac:dyDescent="0.3">
      <c r="F29" s="47"/>
    </row>
    <row r="30" spans="1:6" x14ac:dyDescent="0.3">
      <c r="F30" s="47"/>
    </row>
    <row r="31" spans="1:6" x14ac:dyDescent="0.3">
      <c r="F31" s="47"/>
    </row>
    <row r="32" spans="1:6" x14ac:dyDescent="0.3">
      <c r="F32" s="47"/>
    </row>
    <row r="33" spans="6:6" x14ac:dyDescent="0.3">
      <c r="F33" s="4"/>
    </row>
  </sheetData>
  <pageMargins left="0.7" right="0.7" top="0.75" bottom="0.75" header="0.3" footer="0.3"/>
  <pageSetup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2"/>
  <sheetViews>
    <sheetView workbookViewId="0">
      <selection activeCell="C25" sqref="C25"/>
    </sheetView>
  </sheetViews>
  <sheetFormatPr defaultColWidth="9" defaultRowHeight="15.6" x14ac:dyDescent="0.3"/>
  <cols>
    <col min="1" max="1" width="21.69921875" style="82" customWidth="1"/>
    <col min="2" max="2" width="15.5" style="82" customWidth="1"/>
    <col min="3" max="3" width="9.59765625" style="82" customWidth="1"/>
    <col min="4" max="4" width="12" style="82" customWidth="1"/>
    <col min="5" max="5" width="10.8984375" style="82" customWidth="1"/>
    <col min="6" max="6" width="12.09765625" style="82" customWidth="1"/>
    <col min="7" max="16384" width="9" style="82"/>
  </cols>
  <sheetData>
    <row r="1" spans="1:8" x14ac:dyDescent="0.3">
      <c r="A1" s="82" t="s">
        <v>522</v>
      </c>
      <c r="B1"/>
      <c r="C1"/>
      <c r="D1"/>
      <c r="E1" t="s">
        <v>554</v>
      </c>
    </row>
    <row r="2" spans="1:8" x14ac:dyDescent="0.3">
      <c r="A2" t="s">
        <v>186</v>
      </c>
      <c r="B2"/>
      <c r="C2"/>
      <c r="D2"/>
      <c r="E2" t="s">
        <v>567</v>
      </c>
    </row>
    <row r="3" spans="1:8" x14ac:dyDescent="0.3">
      <c r="A3" t="s">
        <v>187</v>
      </c>
      <c r="B3"/>
      <c r="C3"/>
      <c r="D3"/>
      <c r="E3" t="s">
        <v>538</v>
      </c>
    </row>
    <row r="4" spans="1:8" x14ac:dyDescent="0.3">
      <c r="A4" t="s">
        <v>175</v>
      </c>
      <c r="B4"/>
      <c r="C4"/>
      <c r="D4"/>
      <c r="E4"/>
    </row>
    <row r="5" spans="1:8" ht="15.75" customHeight="1" x14ac:dyDescent="0.3">
      <c r="A5" t="s">
        <v>188</v>
      </c>
      <c r="B5"/>
      <c r="C5"/>
      <c r="D5"/>
      <c r="E5"/>
      <c r="F5"/>
    </row>
    <row r="6" spans="1:8" x14ac:dyDescent="0.3">
      <c r="A6" s="122"/>
      <c r="B6" s="123" t="s">
        <v>64</v>
      </c>
      <c r="C6" s="124"/>
      <c r="D6" s="30" t="s">
        <v>231</v>
      </c>
      <c r="E6" s="30" t="s">
        <v>8</v>
      </c>
      <c r="F6" s="30" t="s">
        <v>184</v>
      </c>
    </row>
    <row r="7" spans="1:8" x14ac:dyDescent="0.3">
      <c r="A7" s="125" t="s">
        <v>99</v>
      </c>
      <c r="B7" s="126" t="s">
        <v>197</v>
      </c>
      <c r="C7" s="127" t="s">
        <v>8</v>
      </c>
      <c r="D7" s="128" t="s">
        <v>100</v>
      </c>
      <c r="E7" s="128" t="s">
        <v>96</v>
      </c>
      <c r="F7" s="128" t="s">
        <v>2</v>
      </c>
    </row>
    <row r="8" spans="1:8" x14ac:dyDescent="0.3">
      <c r="A8" s="136" t="s">
        <v>198</v>
      </c>
      <c r="B8" s="137">
        <v>72805758.877121493</v>
      </c>
      <c r="C8" s="138">
        <f>B8/$B$94</f>
        <v>0.10376387849359243</v>
      </c>
      <c r="D8" s="134">
        <f>C8*$D$94</f>
        <v>-863238.26874108985</v>
      </c>
      <c r="E8" s="152">
        <v>0</v>
      </c>
      <c r="F8" s="134">
        <f>D8*E8</f>
        <v>0</v>
      </c>
      <c r="G8" s="97"/>
      <c r="H8" s="97"/>
    </row>
    <row r="9" spans="1:8" x14ac:dyDescent="0.3">
      <c r="A9" s="136" t="s">
        <v>199</v>
      </c>
      <c r="B9" s="137">
        <v>5004257.3462908678</v>
      </c>
      <c r="C9" s="138">
        <f t="shared" ref="C9:C72" si="0">B9/$B$94</f>
        <v>7.1321439298171465E-3</v>
      </c>
      <c r="D9" s="134">
        <f t="shared" ref="D9:D72" si="1">C9*$D$94</f>
        <v>-59334.131180994875</v>
      </c>
      <c r="E9" s="152">
        <v>0.22953887558714423</v>
      </c>
      <c r="F9" s="134">
        <f t="shared" ref="F9:F72" si="2">D9*E9</f>
        <v>-13619.489755225677</v>
      </c>
      <c r="G9" s="97"/>
      <c r="H9" s="97"/>
    </row>
    <row r="10" spans="1:8" x14ac:dyDescent="0.3">
      <c r="A10" s="136" t="s">
        <v>66</v>
      </c>
      <c r="B10" s="137">
        <v>28134</v>
      </c>
      <c r="C10" s="138">
        <f t="shared" si="0"/>
        <v>4.0097006096259361E-5</v>
      </c>
      <c r="D10" s="134">
        <f t="shared" si="1"/>
        <v>-333.57725854834229</v>
      </c>
      <c r="E10" s="152">
        <v>7.9057273540331513E-2</v>
      </c>
      <c r="F10" s="134">
        <f t="shared" si="2"/>
        <v>-26.371708575890185</v>
      </c>
      <c r="G10" s="97"/>
      <c r="H10" s="97"/>
    </row>
    <row r="11" spans="1:8" x14ac:dyDescent="0.3">
      <c r="A11" s="139" t="s">
        <v>200</v>
      </c>
      <c r="B11" s="140">
        <v>1059194.5785257067</v>
      </c>
      <c r="C11" s="138">
        <f t="shared" si="0"/>
        <v>1.5095802755480956E-3</v>
      </c>
      <c r="D11" s="134">
        <f t="shared" si="1"/>
        <v>-12558.584764835148</v>
      </c>
      <c r="E11" s="152">
        <v>0</v>
      </c>
      <c r="F11" s="134">
        <f t="shared" si="2"/>
        <v>0</v>
      </c>
      <c r="G11" s="97"/>
      <c r="H11" s="97"/>
    </row>
    <row r="12" spans="1:8" x14ac:dyDescent="0.3">
      <c r="A12" s="136" t="s">
        <v>201</v>
      </c>
      <c r="B12" s="137">
        <v>657035.80752340809</v>
      </c>
      <c r="C12" s="138">
        <f t="shared" si="0"/>
        <v>9.3641745858131749E-4</v>
      </c>
      <c r="D12" s="134">
        <f t="shared" si="1"/>
        <v>-7790.2965608073773</v>
      </c>
      <c r="E12" s="152">
        <v>0.22612324164332259</v>
      </c>
      <c r="F12" s="134">
        <f t="shared" si="2"/>
        <v>-1761.5671116925914</v>
      </c>
      <c r="G12" s="97"/>
      <c r="H12" s="97"/>
    </row>
    <row r="13" spans="1:8" x14ac:dyDescent="0.3">
      <c r="A13" s="136" t="s">
        <v>67</v>
      </c>
      <c r="B13" s="137">
        <v>299330.17647259089</v>
      </c>
      <c r="C13" s="138">
        <f t="shared" si="0"/>
        <v>4.2660993498314732E-4</v>
      </c>
      <c r="D13" s="134">
        <f t="shared" si="1"/>
        <v>-3549.0772612681581</v>
      </c>
      <c r="E13" s="152">
        <v>7.5697931989234163E-2</v>
      </c>
      <c r="F13" s="134">
        <f t="shared" si="2"/>
        <v>-268.65780914801445</v>
      </c>
      <c r="G13" s="97"/>
      <c r="H13" s="97"/>
    </row>
    <row r="14" spans="1:8" x14ac:dyDescent="0.3">
      <c r="A14" s="136" t="s">
        <v>202</v>
      </c>
      <c r="B14" s="137">
        <v>3701.0899999999997</v>
      </c>
      <c r="C14" s="138">
        <f t="shared" si="0"/>
        <v>5.2748499428735527E-6</v>
      </c>
      <c r="D14" s="134">
        <f t="shared" si="1"/>
        <v>-43.882827036350463</v>
      </c>
      <c r="E14" s="152">
        <v>0.23084885646883446</v>
      </c>
      <c r="F14" s="134">
        <f t="shared" si="2"/>
        <v>-10.130300439961156</v>
      </c>
      <c r="G14" s="97"/>
      <c r="H14" s="97"/>
    </row>
    <row r="15" spans="1:8" x14ac:dyDescent="0.3">
      <c r="A15" s="136" t="s">
        <v>203</v>
      </c>
      <c r="B15" s="137">
        <v>29914945.100075848</v>
      </c>
      <c r="C15" s="138">
        <f t="shared" si="0"/>
        <v>4.2635236228300469E-2</v>
      </c>
      <c r="D15" s="134">
        <f t="shared" si="1"/>
        <v>-354693.44480370602</v>
      </c>
      <c r="E15" s="152">
        <v>0</v>
      </c>
      <c r="F15" s="134">
        <f t="shared" si="2"/>
        <v>0</v>
      </c>
      <c r="G15" s="97"/>
      <c r="H15" s="97"/>
    </row>
    <row r="16" spans="1:8" x14ac:dyDescent="0.3">
      <c r="A16" s="136" t="s">
        <v>204</v>
      </c>
      <c r="B16" s="137">
        <v>19827025.255018521</v>
      </c>
      <c r="C16" s="138">
        <f t="shared" si="0"/>
        <v>2.8257778933715998E-2</v>
      </c>
      <c r="D16" s="134">
        <f t="shared" si="1"/>
        <v>-235083.69694099043</v>
      </c>
      <c r="E16" s="152">
        <v>0.22953887558714423</v>
      </c>
      <c r="F16" s="134">
        <f t="shared" si="2"/>
        <v>-53960.847464703918</v>
      </c>
      <c r="G16" s="97"/>
      <c r="H16" s="97"/>
    </row>
    <row r="17" spans="1:8" x14ac:dyDescent="0.3">
      <c r="A17" s="136" t="s">
        <v>205</v>
      </c>
      <c r="B17" s="137">
        <v>-187198.16058377374</v>
      </c>
      <c r="C17" s="138">
        <f t="shared" si="0"/>
        <v>-2.6679767491775481E-4</v>
      </c>
      <c r="D17" s="134">
        <f t="shared" si="1"/>
        <v>2219.5581578455813</v>
      </c>
      <c r="E17" s="152">
        <v>0.23084885646883446</v>
      </c>
      <c r="F17" s="134">
        <f t="shared" si="2"/>
        <v>512.38246260472522</v>
      </c>
      <c r="G17" s="97"/>
      <c r="H17" s="97"/>
    </row>
    <row r="18" spans="1:8" x14ac:dyDescent="0.3">
      <c r="A18" s="136" t="s">
        <v>206</v>
      </c>
      <c r="B18" s="137">
        <v>6266650.0927001694</v>
      </c>
      <c r="C18" s="138">
        <f t="shared" si="0"/>
        <v>8.9313253348305595E-3</v>
      </c>
      <c r="D18" s="134">
        <f t="shared" si="1"/>
        <v>-74301.981879741143</v>
      </c>
      <c r="E18" s="152">
        <v>0</v>
      </c>
      <c r="F18" s="134">
        <f t="shared" si="2"/>
        <v>0</v>
      </c>
      <c r="G18" s="97"/>
      <c r="H18" s="97"/>
    </row>
    <row r="19" spans="1:8" x14ac:dyDescent="0.3">
      <c r="A19" s="136" t="s">
        <v>207</v>
      </c>
      <c r="B19" s="137">
        <v>8273337.0296269003</v>
      </c>
      <c r="C19" s="138">
        <f t="shared" si="0"/>
        <v>1.1791286177342651E-2</v>
      </c>
      <c r="D19" s="134">
        <f t="shared" si="1"/>
        <v>-98094.728278574912</v>
      </c>
      <c r="E19" s="152">
        <v>0.23084885646883446</v>
      </c>
      <c r="F19" s="134">
        <f t="shared" si="2"/>
        <v>-22645.055848730059</v>
      </c>
      <c r="G19" s="97"/>
      <c r="H19" s="97"/>
    </row>
    <row r="20" spans="1:8" x14ac:dyDescent="0.3">
      <c r="A20" s="136" t="s">
        <v>208</v>
      </c>
      <c r="B20" s="137">
        <v>3408722.215469243</v>
      </c>
      <c r="C20" s="138">
        <f t="shared" si="0"/>
        <v>4.858162915124936E-3</v>
      </c>
      <c r="D20" s="134">
        <f t="shared" si="1"/>
        <v>-40416.300980630615</v>
      </c>
      <c r="E20" s="152">
        <v>0.23084885646883446</v>
      </c>
      <c r="F20" s="134">
        <f t="shared" si="2"/>
        <v>-9330.0568640788097</v>
      </c>
      <c r="G20" s="97"/>
      <c r="H20" s="97"/>
    </row>
    <row r="21" spans="1:8" x14ac:dyDescent="0.3">
      <c r="A21" s="136" t="s">
        <v>209</v>
      </c>
      <c r="B21" s="137">
        <v>1239752.5874200864</v>
      </c>
      <c r="C21" s="138">
        <f t="shared" si="0"/>
        <v>1.766914304956157E-3</v>
      </c>
      <c r="D21" s="134">
        <f t="shared" si="1"/>
        <v>-14699.412432992338</v>
      </c>
      <c r="E21" s="152">
        <v>0</v>
      </c>
      <c r="F21" s="134">
        <f t="shared" si="2"/>
        <v>0</v>
      </c>
      <c r="G21" s="97"/>
      <c r="H21" s="97"/>
    </row>
    <row r="22" spans="1:8" x14ac:dyDescent="0.3">
      <c r="A22" s="136" t="s">
        <v>210</v>
      </c>
      <c r="B22" s="137">
        <v>4220655.6559829628</v>
      </c>
      <c r="C22" s="138">
        <f t="shared" si="0"/>
        <v>6.0153428438245683E-3</v>
      </c>
      <c r="D22" s="134">
        <f t="shared" si="1"/>
        <v>-50043.177045544602</v>
      </c>
      <c r="E22" s="152">
        <v>0</v>
      </c>
      <c r="F22" s="134">
        <f t="shared" si="2"/>
        <v>0</v>
      </c>
      <c r="G22" s="97"/>
      <c r="H22" s="97"/>
    </row>
    <row r="23" spans="1:8" x14ac:dyDescent="0.3">
      <c r="A23" s="136" t="s">
        <v>211</v>
      </c>
      <c r="B23" s="137">
        <v>1578131.5127310241</v>
      </c>
      <c r="C23" s="138">
        <f t="shared" si="0"/>
        <v>2.2491771126279545E-3</v>
      </c>
      <c r="D23" s="134">
        <f t="shared" si="1"/>
        <v>-18711.480189292786</v>
      </c>
      <c r="E23" s="152">
        <v>0.23084885646883446</v>
      </c>
      <c r="F23" s="134">
        <f t="shared" si="2"/>
        <v>-4319.5238045374899</v>
      </c>
      <c r="G23" s="97"/>
      <c r="H23" s="97"/>
    </row>
    <row r="24" spans="1:8" x14ac:dyDescent="0.3">
      <c r="A24" s="136" t="s">
        <v>212</v>
      </c>
      <c r="B24" s="137">
        <v>3463.0080643839146</v>
      </c>
      <c r="C24" s="138">
        <f t="shared" si="0"/>
        <v>4.9355319353450329E-6</v>
      </c>
      <c r="D24" s="134">
        <f t="shared" si="1"/>
        <v>-41.059953666310776</v>
      </c>
      <c r="E24" s="152">
        <v>0</v>
      </c>
      <c r="F24" s="134">
        <f t="shared" si="2"/>
        <v>0</v>
      </c>
      <c r="G24" s="97"/>
      <c r="H24" s="97"/>
    </row>
    <row r="25" spans="1:8" x14ac:dyDescent="0.3">
      <c r="A25" s="136" t="s">
        <v>68</v>
      </c>
      <c r="B25" s="137">
        <v>1950082.4103485716</v>
      </c>
      <c r="C25" s="138">
        <f t="shared" si="0"/>
        <v>2.7792872075053251E-3</v>
      </c>
      <c r="D25" s="134">
        <f t="shared" si="1"/>
        <v>-23121.60177676192</v>
      </c>
      <c r="E25" s="152">
        <v>7.9057273540331513E-2</v>
      </c>
      <c r="F25" s="134">
        <f t="shared" si="2"/>
        <v>-1827.9307963560823</v>
      </c>
      <c r="G25" s="97"/>
      <c r="H25" s="97"/>
    </row>
    <row r="26" spans="1:8" x14ac:dyDescent="0.3">
      <c r="A26" s="136" t="s">
        <v>213</v>
      </c>
      <c r="B26" s="137">
        <v>1390972.6413808805</v>
      </c>
      <c r="C26" s="138">
        <f t="shared" si="0"/>
        <v>1.9824354333254834E-3</v>
      </c>
      <c r="D26" s="134">
        <f t="shared" si="1"/>
        <v>-16492.387873305626</v>
      </c>
      <c r="E26" s="152">
        <v>0</v>
      </c>
      <c r="F26" s="134">
        <f t="shared" si="2"/>
        <v>0</v>
      </c>
      <c r="G26" s="97"/>
      <c r="H26" s="97"/>
    </row>
    <row r="27" spans="1:8" x14ac:dyDescent="0.3">
      <c r="A27" s="136" t="s">
        <v>214</v>
      </c>
      <c r="B27" s="137">
        <v>807494.00649469718</v>
      </c>
      <c r="C27" s="138">
        <f t="shared" si="0"/>
        <v>1.1508527795944681E-3</v>
      </c>
      <c r="D27" s="134">
        <f t="shared" si="1"/>
        <v>-9574.2388917579574</v>
      </c>
      <c r="E27" s="152">
        <v>0.23084885646883446</v>
      </c>
      <c r="F27" s="134">
        <f t="shared" si="2"/>
        <v>-2210.2020997217655</v>
      </c>
      <c r="G27" s="97"/>
      <c r="H27" s="97"/>
    </row>
    <row r="28" spans="1:8" x14ac:dyDescent="0.3">
      <c r="A28" s="136" t="s">
        <v>69</v>
      </c>
      <c r="B28" s="137">
        <v>26928953.147739861</v>
      </c>
      <c r="C28" s="138">
        <f t="shared" si="0"/>
        <v>3.837955493462742E-2</v>
      </c>
      <c r="D28" s="134">
        <f t="shared" si="1"/>
        <v>-319289.34266722878</v>
      </c>
      <c r="E28" s="152">
        <v>7.9057273540331513E-2</v>
      </c>
      <c r="F28" s="134">
        <f t="shared" si="2"/>
        <v>-25242.144901755746</v>
      </c>
      <c r="G28" s="97"/>
      <c r="H28" s="97"/>
    </row>
    <row r="29" spans="1:8" x14ac:dyDescent="0.3">
      <c r="A29" s="136" t="s">
        <v>215</v>
      </c>
      <c r="B29" s="137">
        <v>10104432.451182554</v>
      </c>
      <c r="C29" s="138">
        <f t="shared" si="0"/>
        <v>1.4400991312799736E-2</v>
      </c>
      <c r="D29" s="134">
        <f t="shared" si="1"/>
        <v>-119805.53338495707</v>
      </c>
      <c r="E29" s="152">
        <v>0</v>
      </c>
      <c r="F29" s="134">
        <f t="shared" si="2"/>
        <v>0</v>
      </c>
      <c r="G29" s="97"/>
      <c r="H29" s="97"/>
    </row>
    <row r="30" spans="1:8" x14ac:dyDescent="0.3">
      <c r="A30" s="136" t="s">
        <v>216</v>
      </c>
      <c r="B30" s="137">
        <v>141506.74922955746</v>
      </c>
      <c r="C30" s="138">
        <f t="shared" si="0"/>
        <v>2.0167757825120531E-4</v>
      </c>
      <c r="D30" s="134">
        <f t="shared" si="1"/>
        <v>-1677.8074029318093</v>
      </c>
      <c r="E30" s="152">
        <v>0.23084885646883446</v>
      </c>
      <c r="F30" s="134">
        <f t="shared" si="2"/>
        <v>-387.31992034175317</v>
      </c>
      <c r="G30" s="97"/>
      <c r="H30" s="97"/>
    </row>
    <row r="31" spans="1:8" x14ac:dyDescent="0.3">
      <c r="A31" s="136" t="s">
        <v>217</v>
      </c>
      <c r="B31" s="137">
        <v>1687548.9431406297</v>
      </c>
      <c r="C31" s="138">
        <f t="shared" si="0"/>
        <v>2.4051205040465581E-3</v>
      </c>
      <c r="D31" s="134">
        <f t="shared" si="1"/>
        <v>-20008.813184012353</v>
      </c>
      <c r="E31" s="152">
        <v>0.22953887558714423</v>
      </c>
      <c r="F31" s="134">
        <f t="shared" si="2"/>
        <v>-4592.8004800914223</v>
      </c>
      <c r="G31" s="97"/>
      <c r="H31" s="97"/>
    </row>
    <row r="32" spans="1:8" x14ac:dyDescent="0.3">
      <c r="A32" s="136" t="s">
        <v>218</v>
      </c>
      <c r="B32" s="137">
        <v>4197785.5916158678</v>
      </c>
      <c r="C32" s="138">
        <f t="shared" si="0"/>
        <v>5.9827480791146354E-3</v>
      </c>
      <c r="D32" s="134">
        <f t="shared" si="1"/>
        <v>-49772.012853662905</v>
      </c>
      <c r="E32" s="152">
        <v>0</v>
      </c>
      <c r="F32" s="134">
        <f t="shared" si="2"/>
        <v>0</v>
      </c>
      <c r="G32" s="97"/>
      <c r="H32" s="97"/>
    </row>
    <row r="33" spans="1:8" x14ac:dyDescent="0.3">
      <c r="A33" s="136" t="s">
        <v>219</v>
      </c>
      <c r="B33" s="137">
        <v>769065.97958879825</v>
      </c>
      <c r="C33" s="138">
        <f t="shared" si="0"/>
        <v>1.0960845692755286E-3</v>
      </c>
      <c r="D33" s="134">
        <f t="shared" si="1"/>
        <v>-9118.6081294528576</v>
      </c>
      <c r="E33" s="152">
        <v>0.23084885646883446</v>
      </c>
      <c r="F33" s="134">
        <f t="shared" si="2"/>
        <v>-2105.02025927161</v>
      </c>
      <c r="G33" s="97"/>
      <c r="H33" s="97"/>
    </row>
    <row r="34" spans="1:8" x14ac:dyDescent="0.3">
      <c r="A34" s="136" t="s">
        <v>70</v>
      </c>
      <c r="B34" s="137">
        <v>15700223.388632614</v>
      </c>
      <c r="C34" s="138">
        <f t="shared" si="0"/>
        <v>2.2376197942938641E-2</v>
      </c>
      <c r="D34" s="134">
        <f t="shared" si="1"/>
        <v>-186153.31899397995</v>
      </c>
      <c r="E34" s="152">
        <v>7.9057273540331513E-2</v>
      </c>
      <c r="F34" s="134">
        <f t="shared" si="2"/>
        <v>-14716.773860147663</v>
      </c>
      <c r="G34" s="97"/>
      <c r="H34" s="97"/>
    </row>
    <row r="35" spans="1:8" x14ac:dyDescent="0.3">
      <c r="A35" s="136" t="s">
        <v>220</v>
      </c>
      <c r="B35" s="137">
        <v>31739.500776958677</v>
      </c>
      <c r="C35" s="138">
        <f t="shared" si="0"/>
        <v>4.523562081985998E-5</v>
      </c>
      <c r="D35" s="134">
        <f t="shared" si="1"/>
        <v>-376.32670991934503</v>
      </c>
      <c r="E35" s="152">
        <v>0.22953887558714423</v>
      </c>
      <c r="F35" s="134">
        <f t="shared" si="2"/>
        <v>-86.381609848295852</v>
      </c>
      <c r="G35" s="97"/>
      <c r="H35" s="97"/>
    </row>
    <row r="36" spans="1:8" x14ac:dyDescent="0.3">
      <c r="A36" s="136" t="s">
        <v>221</v>
      </c>
      <c r="B36" s="137">
        <v>-873427.82166207838</v>
      </c>
      <c r="C36" s="138">
        <f t="shared" si="0"/>
        <v>-1.2448226590540588E-3</v>
      </c>
      <c r="D36" s="134">
        <f t="shared" si="1"/>
        <v>10355.998375271432</v>
      </c>
      <c r="E36" s="152">
        <v>0</v>
      </c>
      <c r="F36" s="134">
        <f t="shared" si="2"/>
        <v>0</v>
      </c>
      <c r="G36" s="97"/>
      <c r="H36" s="97"/>
    </row>
    <row r="37" spans="1:8" x14ac:dyDescent="0.3">
      <c r="A37" s="136" t="s">
        <v>222</v>
      </c>
      <c r="B37" s="137">
        <v>864073.98225386161</v>
      </c>
      <c r="C37" s="138">
        <f t="shared" si="0"/>
        <v>1.2314914243993812E-3</v>
      </c>
      <c r="D37" s="134">
        <f t="shared" si="1"/>
        <v>-10245.092421383099</v>
      </c>
      <c r="E37" s="152">
        <v>0.23084885646883446</v>
      </c>
      <c r="F37" s="134">
        <f t="shared" si="2"/>
        <v>-2365.0678698938104</v>
      </c>
      <c r="G37" s="97"/>
      <c r="H37" s="97"/>
    </row>
    <row r="38" spans="1:8" x14ac:dyDescent="0.3">
      <c r="A38" s="136" t="s">
        <v>223</v>
      </c>
      <c r="B38" s="137">
        <v>87786.425808280328</v>
      </c>
      <c r="C38" s="138">
        <f t="shared" si="0"/>
        <v>1.2511455359363887E-4</v>
      </c>
      <c r="D38" s="134">
        <f t="shared" si="1"/>
        <v>-1040.8600006712018</v>
      </c>
      <c r="E38" s="152">
        <v>0.22953887558714423</v>
      </c>
      <c r="F38" s="134">
        <f t="shared" si="2"/>
        <v>-238.91783419770184</v>
      </c>
      <c r="G38" s="97"/>
      <c r="H38" s="97"/>
    </row>
    <row r="39" spans="1:8" x14ac:dyDescent="0.3">
      <c r="A39" s="136" t="s">
        <v>71</v>
      </c>
      <c r="B39" s="137">
        <v>446033.26339732972</v>
      </c>
      <c r="C39" s="138">
        <f t="shared" si="0"/>
        <v>6.356934130083595E-4</v>
      </c>
      <c r="D39" s="134">
        <f t="shared" si="1"/>
        <v>-5288.4962403302725</v>
      </c>
      <c r="E39" s="152">
        <v>7.9057273540331513E-2</v>
      </c>
      <c r="F39" s="134">
        <f t="shared" si="2"/>
        <v>-418.09409388880516</v>
      </c>
      <c r="G39" s="97"/>
      <c r="H39" s="97"/>
    </row>
    <row r="40" spans="1:8" x14ac:dyDescent="0.3">
      <c r="A40" s="136" t="s">
        <v>156</v>
      </c>
      <c r="B40" s="137">
        <v>1421176.4645030841</v>
      </c>
      <c r="C40" s="138">
        <f t="shared" si="0"/>
        <v>2.0254823829189052E-3</v>
      </c>
      <c r="D40" s="134">
        <f t="shared" si="1"/>
        <v>-16850.5064669924</v>
      </c>
      <c r="E40" s="152">
        <v>0</v>
      </c>
      <c r="F40" s="134">
        <f t="shared" si="2"/>
        <v>0</v>
      </c>
      <c r="G40" s="97"/>
      <c r="H40" s="97"/>
    </row>
    <row r="41" spans="1:8" x14ac:dyDescent="0.3">
      <c r="A41" s="136" t="s">
        <v>143</v>
      </c>
      <c r="B41" s="137">
        <v>9308198.5839699395</v>
      </c>
      <c r="C41" s="138">
        <f t="shared" si="0"/>
        <v>1.3266186655528379E-2</v>
      </c>
      <c r="D41" s="134">
        <f t="shared" si="1"/>
        <v>-110364.8029311244</v>
      </c>
      <c r="E41" s="152">
        <v>0</v>
      </c>
      <c r="F41" s="134">
        <f t="shared" si="2"/>
        <v>0</v>
      </c>
      <c r="G41" s="97"/>
      <c r="H41" s="97"/>
    </row>
    <row r="42" spans="1:8" x14ac:dyDescent="0.3">
      <c r="A42" s="136" t="s">
        <v>72</v>
      </c>
      <c r="B42" s="137">
        <v>31486400.90512336</v>
      </c>
      <c r="C42" s="138">
        <f t="shared" si="0"/>
        <v>4.4874899020473362E-2</v>
      </c>
      <c r="D42" s="134">
        <f t="shared" si="1"/>
        <v>-373325.77292546711</v>
      </c>
      <c r="E42" s="152">
        <v>6.2803307592478125E-2</v>
      </c>
      <c r="F42" s="134">
        <f t="shared" si="2"/>
        <v>-23446.093349237752</v>
      </c>
      <c r="G42" s="97"/>
      <c r="H42" s="97"/>
    </row>
    <row r="43" spans="1:8" x14ac:dyDescent="0.3">
      <c r="A43" s="136" t="s">
        <v>157</v>
      </c>
      <c r="B43" s="137">
        <v>8995075.9886611123</v>
      </c>
      <c r="C43" s="138">
        <f t="shared" si="0"/>
        <v>1.2819919554761527E-2</v>
      </c>
      <c r="D43" s="134">
        <f t="shared" si="1"/>
        <v>-106652.19267546716</v>
      </c>
      <c r="E43" s="152">
        <v>0</v>
      </c>
      <c r="F43" s="134">
        <f t="shared" si="2"/>
        <v>0</v>
      </c>
      <c r="G43" s="97"/>
      <c r="H43" s="97"/>
    </row>
    <row r="44" spans="1:8" x14ac:dyDescent="0.3">
      <c r="A44" s="136" t="s">
        <v>144</v>
      </c>
      <c r="B44" s="137">
        <v>1906825.2606635569</v>
      </c>
      <c r="C44" s="138">
        <f t="shared" si="0"/>
        <v>2.7176364577140818E-3</v>
      </c>
      <c r="D44" s="134">
        <f t="shared" si="1"/>
        <v>-22608.713406656621</v>
      </c>
      <c r="E44" s="152">
        <v>1</v>
      </c>
      <c r="F44" s="134">
        <f t="shared" si="2"/>
        <v>-22608.713406656621</v>
      </c>
      <c r="G44" s="97"/>
      <c r="H44" s="97"/>
    </row>
    <row r="45" spans="1:8" x14ac:dyDescent="0.3">
      <c r="A45" s="136" t="s">
        <v>158</v>
      </c>
      <c r="B45" s="137">
        <v>2283017.6600456955</v>
      </c>
      <c r="C45" s="138">
        <f t="shared" si="0"/>
        <v>3.2537916056273558E-3</v>
      </c>
      <c r="D45" s="134">
        <f t="shared" si="1"/>
        <v>-27069.125337865014</v>
      </c>
      <c r="E45" s="152">
        <v>0</v>
      </c>
      <c r="F45" s="134">
        <f t="shared" si="2"/>
        <v>0</v>
      </c>
      <c r="G45" s="97"/>
      <c r="H45" s="97"/>
    </row>
    <row r="46" spans="1:8" x14ac:dyDescent="0.3">
      <c r="A46" s="136" t="s">
        <v>142</v>
      </c>
      <c r="B46" s="137">
        <v>847559.2442914343</v>
      </c>
      <c r="C46" s="138">
        <f t="shared" si="0"/>
        <v>1.2079543678572054E-3</v>
      </c>
      <c r="D46" s="134">
        <f t="shared" si="1"/>
        <v>-10049.281622522263</v>
      </c>
      <c r="E46" s="152">
        <v>0</v>
      </c>
      <c r="F46" s="134">
        <f t="shared" si="2"/>
        <v>0</v>
      </c>
      <c r="G46" s="97"/>
      <c r="H46" s="97"/>
    </row>
    <row r="47" spans="1:8" x14ac:dyDescent="0.3">
      <c r="A47" s="136" t="s">
        <v>159</v>
      </c>
      <c r="B47" s="137">
        <v>149500.18065220167</v>
      </c>
      <c r="C47" s="138">
        <f t="shared" si="0"/>
        <v>2.1306993868640102E-4</v>
      </c>
      <c r="D47" s="134">
        <f t="shared" si="1"/>
        <v>-1772.5833658364738</v>
      </c>
      <c r="E47" s="152">
        <v>0</v>
      </c>
      <c r="F47" s="134">
        <f t="shared" si="2"/>
        <v>0</v>
      </c>
      <c r="G47" s="97"/>
      <c r="H47" s="97"/>
    </row>
    <row r="48" spans="1:8" x14ac:dyDescent="0.3">
      <c r="A48" s="136" t="s">
        <v>73</v>
      </c>
      <c r="B48" s="137">
        <v>1676877.5348007174</v>
      </c>
      <c r="C48" s="138">
        <f t="shared" si="0"/>
        <v>2.3899114500456646E-3</v>
      </c>
      <c r="D48" s="134">
        <f t="shared" si="1"/>
        <v>-19882.285170261097</v>
      </c>
      <c r="E48" s="152">
        <v>0</v>
      </c>
      <c r="F48" s="134">
        <f t="shared" si="2"/>
        <v>0</v>
      </c>
      <c r="G48" s="97"/>
      <c r="H48" s="97"/>
    </row>
    <row r="49" spans="1:8" x14ac:dyDescent="0.3">
      <c r="A49" s="136" t="s">
        <v>79</v>
      </c>
      <c r="B49" s="137">
        <v>969677.11159521504</v>
      </c>
      <c r="C49" s="138">
        <f t="shared" si="0"/>
        <v>1.3819986157331521E-3</v>
      </c>
      <c r="D49" s="134">
        <f t="shared" si="1"/>
        <v>-11497.200275929721</v>
      </c>
      <c r="E49" s="152">
        <v>0</v>
      </c>
      <c r="F49" s="134">
        <f t="shared" si="2"/>
        <v>0</v>
      </c>
      <c r="G49" s="97"/>
      <c r="H49" s="97"/>
    </row>
    <row r="50" spans="1:8" x14ac:dyDescent="0.3">
      <c r="A50" s="136" t="s">
        <v>74</v>
      </c>
      <c r="B50" s="137">
        <v>11523387.808400126</v>
      </c>
      <c r="C50" s="138">
        <f t="shared" si="0"/>
        <v>1.6423308139723487E-2</v>
      </c>
      <c r="D50" s="134">
        <f t="shared" si="1"/>
        <v>-136629.70478124346</v>
      </c>
      <c r="E50" s="152">
        <v>0</v>
      </c>
      <c r="F50" s="134">
        <f t="shared" si="2"/>
        <v>0</v>
      </c>
      <c r="G50" s="97"/>
      <c r="H50" s="97"/>
    </row>
    <row r="51" spans="1:8" x14ac:dyDescent="0.3">
      <c r="A51" s="136" t="s">
        <v>75</v>
      </c>
      <c r="B51" s="137">
        <v>6168450.5395796224</v>
      </c>
      <c r="C51" s="138">
        <f t="shared" si="0"/>
        <v>8.7913698332977349E-3</v>
      </c>
      <c r="D51" s="134">
        <f t="shared" si="1"/>
        <v>-73137.656233881178</v>
      </c>
      <c r="E51" s="152">
        <v>6.2803307592478125E-2</v>
      </c>
      <c r="F51" s="134">
        <f t="shared" si="2"/>
        <v>-4593.286721049365</v>
      </c>
      <c r="G51" s="97"/>
      <c r="H51" s="97"/>
    </row>
    <row r="52" spans="1:8" x14ac:dyDescent="0.3">
      <c r="A52" s="136" t="s">
        <v>76</v>
      </c>
      <c r="B52" s="137">
        <v>17650695.958583944</v>
      </c>
      <c r="C52" s="138">
        <f t="shared" si="0"/>
        <v>2.5156041211863257E-2</v>
      </c>
      <c r="D52" s="134">
        <f t="shared" si="1"/>
        <v>-209279.54678804066</v>
      </c>
      <c r="E52" s="152">
        <v>0</v>
      </c>
      <c r="F52" s="134">
        <f t="shared" si="2"/>
        <v>0</v>
      </c>
      <c r="G52" s="97"/>
      <c r="H52" s="97"/>
    </row>
    <row r="53" spans="1:8" x14ac:dyDescent="0.3">
      <c r="A53" s="136" t="s">
        <v>77</v>
      </c>
      <c r="B53" s="137">
        <v>2415628.3387159351</v>
      </c>
      <c r="C53" s="138">
        <f t="shared" si="0"/>
        <v>3.4427903683724218E-3</v>
      </c>
      <c r="D53" s="134">
        <f t="shared" si="1"/>
        <v>-28641.45442882448</v>
      </c>
      <c r="E53" s="152">
        <v>1</v>
      </c>
      <c r="F53" s="134">
        <f t="shared" si="2"/>
        <v>-28641.45442882448</v>
      </c>
      <c r="G53" s="97"/>
      <c r="H53" s="97"/>
    </row>
    <row r="54" spans="1:8" x14ac:dyDescent="0.3">
      <c r="A54" s="136" t="s">
        <v>78</v>
      </c>
      <c r="B54" s="137">
        <v>3929219.3941368903</v>
      </c>
      <c r="C54" s="138">
        <f t="shared" si="0"/>
        <v>5.5999834364202526E-3</v>
      </c>
      <c r="D54" s="134">
        <f t="shared" si="1"/>
        <v>-46587.695803339804</v>
      </c>
      <c r="E54" s="152">
        <v>0</v>
      </c>
      <c r="F54" s="134">
        <f t="shared" si="2"/>
        <v>0</v>
      </c>
      <c r="G54" s="97"/>
      <c r="H54" s="97"/>
    </row>
    <row r="55" spans="1:8" x14ac:dyDescent="0.3">
      <c r="A55" s="136" t="s">
        <v>160</v>
      </c>
      <c r="B55" s="137">
        <v>2687345.1777996956</v>
      </c>
      <c r="C55" s="138">
        <f t="shared" si="0"/>
        <v>3.8300453535575316E-3</v>
      </c>
      <c r="D55" s="134">
        <f t="shared" si="1"/>
        <v>-31863.127787855617</v>
      </c>
      <c r="E55" s="152">
        <v>0</v>
      </c>
      <c r="F55" s="134">
        <f t="shared" si="2"/>
        <v>0</v>
      </c>
      <c r="G55" s="97"/>
      <c r="H55" s="97"/>
    </row>
    <row r="56" spans="1:8" x14ac:dyDescent="0.3">
      <c r="A56" s="136" t="s">
        <v>224</v>
      </c>
      <c r="B56" s="137">
        <v>1.2254531611688435E-8</v>
      </c>
      <c r="C56" s="138">
        <f t="shared" si="0"/>
        <v>1.7465345444681675E-17</v>
      </c>
      <c r="D56" s="134">
        <f t="shared" si="1"/>
        <v>-1.452986798827407E-10</v>
      </c>
      <c r="E56" s="152">
        <v>0</v>
      </c>
      <c r="F56" s="134">
        <f t="shared" si="2"/>
        <v>0</v>
      </c>
      <c r="G56" s="97"/>
      <c r="H56" s="97"/>
    </row>
    <row r="57" spans="1:8" x14ac:dyDescent="0.3">
      <c r="A57" s="136" t="s">
        <v>81</v>
      </c>
      <c r="B57" s="137">
        <v>35231804.061857961</v>
      </c>
      <c r="C57" s="138">
        <f t="shared" si="0"/>
        <v>5.0212904750498825E-2</v>
      </c>
      <c r="D57" s="134">
        <f t="shared" si="1"/>
        <v>-417734.00912301586</v>
      </c>
      <c r="E57" s="152">
        <v>6.9173575695716499E-2</v>
      </c>
      <c r="F57" s="134">
        <f t="shared" si="2"/>
        <v>-28896.155100746066</v>
      </c>
      <c r="G57" s="97"/>
      <c r="H57" s="97"/>
    </row>
    <row r="58" spans="1:8" x14ac:dyDescent="0.3">
      <c r="A58" s="136" t="s">
        <v>161</v>
      </c>
      <c r="B58" s="137">
        <v>1567422.7872020558</v>
      </c>
      <c r="C58" s="138">
        <f t="shared" si="0"/>
        <v>2.2339148735997963E-3</v>
      </c>
      <c r="D58" s="134">
        <f t="shared" si="1"/>
        <v>-18584.509715684348</v>
      </c>
      <c r="E58" s="152">
        <v>0</v>
      </c>
      <c r="F58" s="134">
        <f t="shared" si="2"/>
        <v>0</v>
      </c>
      <c r="G58" s="97"/>
      <c r="H58" s="97"/>
    </row>
    <row r="59" spans="1:8" x14ac:dyDescent="0.3">
      <c r="A59" s="136" t="s">
        <v>82</v>
      </c>
      <c r="B59" s="137">
        <v>9163492.8658836558</v>
      </c>
      <c r="C59" s="138">
        <f t="shared" si="0"/>
        <v>1.3059949858049553E-2</v>
      </c>
      <c r="D59" s="134">
        <f t="shared" si="1"/>
        <v>-108649.06621627789</v>
      </c>
      <c r="E59" s="152">
        <v>0</v>
      </c>
      <c r="F59" s="134">
        <f t="shared" si="2"/>
        <v>0</v>
      </c>
      <c r="G59" s="97"/>
      <c r="H59" s="97"/>
    </row>
    <row r="60" spans="1:8" x14ac:dyDescent="0.3">
      <c r="A60" s="136" t="s">
        <v>80</v>
      </c>
      <c r="B60" s="137">
        <v>934232.42413082847</v>
      </c>
      <c r="C60" s="138">
        <f t="shared" si="0"/>
        <v>1.3314823063089853E-3</v>
      </c>
      <c r="D60" s="134">
        <f t="shared" si="1"/>
        <v>-11076.942165654864</v>
      </c>
      <c r="E60" s="152">
        <v>0</v>
      </c>
      <c r="F60" s="134">
        <f t="shared" si="2"/>
        <v>0</v>
      </c>
      <c r="G60" s="97"/>
      <c r="H60" s="97"/>
    </row>
    <row r="61" spans="1:8" x14ac:dyDescent="0.3">
      <c r="A61" s="136" t="s">
        <v>83</v>
      </c>
      <c r="B61" s="137">
        <v>5661589.3204952721</v>
      </c>
      <c r="C61" s="138">
        <f t="shared" si="0"/>
        <v>8.0689834896714233E-3</v>
      </c>
      <c r="D61" s="134">
        <f t="shared" si="1"/>
        <v>-67127.939310349931</v>
      </c>
      <c r="E61" s="152">
        <v>0</v>
      </c>
      <c r="F61" s="134">
        <f t="shared" si="2"/>
        <v>0</v>
      </c>
      <c r="G61" s="97"/>
      <c r="H61" s="97"/>
    </row>
    <row r="62" spans="1:8" x14ac:dyDescent="0.3">
      <c r="A62" s="136" t="s">
        <v>84</v>
      </c>
      <c r="B62" s="137">
        <v>1183229.4582911038</v>
      </c>
      <c r="C62" s="138">
        <f t="shared" si="0"/>
        <v>1.6863566788360008E-3</v>
      </c>
      <c r="D62" s="134">
        <f t="shared" si="1"/>
        <v>-14029.232918546473</v>
      </c>
      <c r="E62" s="152">
        <v>1</v>
      </c>
      <c r="F62" s="134">
        <f t="shared" si="2"/>
        <v>-14029.232918546473</v>
      </c>
      <c r="G62" s="97"/>
      <c r="H62" s="97"/>
    </row>
    <row r="63" spans="1:8" x14ac:dyDescent="0.3">
      <c r="A63" s="136" t="s">
        <v>85</v>
      </c>
      <c r="B63" s="137">
        <v>1649963.3160652858</v>
      </c>
      <c r="C63" s="138">
        <f t="shared" si="0"/>
        <v>2.3515528948202915E-3</v>
      </c>
      <c r="D63" s="134">
        <f t="shared" si="1"/>
        <v>-19563.17052955108</v>
      </c>
      <c r="E63" s="152">
        <v>0</v>
      </c>
      <c r="F63" s="134">
        <f t="shared" si="2"/>
        <v>0</v>
      </c>
      <c r="G63" s="97"/>
      <c r="H63" s="97"/>
    </row>
    <row r="64" spans="1:8" x14ac:dyDescent="0.3">
      <c r="A64" s="136" t="s">
        <v>86</v>
      </c>
      <c r="B64" s="137">
        <v>191643.16232005667</v>
      </c>
      <c r="C64" s="138">
        <f t="shared" si="0"/>
        <v>2.7313275921851617E-4</v>
      </c>
      <c r="D64" s="134">
        <f t="shared" si="1"/>
        <v>-2272.2613459251961</v>
      </c>
      <c r="E64" s="152">
        <v>0</v>
      </c>
      <c r="F64" s="134">
        <f t="shared" si="2"/>
        <v>0</v>
      </c>
      <c r="G64" s="97"/>
      <c r="H64" s="97"/>
    </row>
    <row r="65" spans="1:8" x14ac:dyDescent="0.3">
      <c r="A65" s="136" t="s">
        <v>88</v>
      </c>
      <c r="B65" s="137">
        <v>2582865.8792576068</v>
      </c>
      <c r="C65" s="138">
        <f t="shared" si="0"/>
        <v>3.6811398630273886E-3</v>
      </c>
      <c r="D65" s="134">
        <f t="shared" si="1"/>
        <v>-30624.34489232978</v>
      </c>
      <c r="E65" s="152">
        <v>6.9173575695716499E-2</v>
      </c>
      <c r="F65" s="134">
        <f t="shared" si="2"/>
        <v>-2118.3954395413029</v>
      </c>
      <c r="G65" s="97"/>
      <c r="H65" s="97"/>
    </row>
    <row r="66" spans="1:8" x14ac:dyDescent="0.3">
      <c r="A66" s="136" t="s">
        <v>89</v>
      </c>
      <c r="B66" s="137">
        <v>1772661.6217189094</v>
      </c>
      <c r="C66" s="138">
        <f t="shared" si="0"/>
        <v>2.5264243922893336E-3</v>
      </c>
      <c r="D66" s="134">
        <f t="shared" si="1"/>
        <v>-21017.971284099393</v>
      </c>
      <c r="E66" s="152">
        <v>0</v>
      </c>
      <c r="F66" s="134">
        <f t="shared" si="2"/>
        <v>0</v>
      </c>
      <c r="G66" s="97"/>
      <c r="H66" s="97"/>
    </row>
    <row r="67" spans="1:8" x14ac:dyDescent="0.3">
      <c r="A67" s="139" t="s">
        <v>87</v>
      </c>
      <c r="B67" s="140">
        <v>40353.068910587172</v>
      </c>
      <c r="C67" s="138">
        <f t="shared" si="0"/>
        <v>5.7511809558206718E-5</v>
      </c>
      <c r="D67" s="134">
        <f t="shared" si="1"/>
        <v>-478.45546673796861</v>
      </c>
      <c r="E67" s="152">
        <v>0</v>
      </c>
      <c r="F67" s="134">
        <f t="shared" si="2"/>
        <v>0</v>
      </c>
      <c r="G67" s="97"/>
      <c r="H67" s="97"/>
    </row>
    <row r="68" spans="1:8" x14ac:dyDescent="0.3">
      <c r="A68" s="139" t="s">
        <v>162</v>
      </c>
      <c r="B68" s="140">
        <v>372042.14431110886</v>
      </c>
      <c r="C68" s="138">
        <f t="shared" si="0"/>
        <v>5.3024014105736606E-4</v>
      </c>
      <c r="D68" s="134">
        <f t="shared" si="1"/>
        <v>-4411.2034749323393</v>
      </c>
      <c r="E68" s="152">
        <v>0</v>
      </c>
      <c r="F68" s="134">
        <f t="shared" si="2"/>
        <v>0</v>
      </c>
      <c r="G68" s="97"/>
      <c r="H68" s="97"/>
    </row>
    <row r="69" spans="1:8" x14ac:dyDescent="0.3">
      <c r="A69" s="139" t="s">
        <v>90</v>
      </c>
      <c r="B69" s="140">
        <v>69094.113688911209</v>
      </c>
      <c r="C69" s="138">
        <f t="shared" si="0"/>
        <v>9.8473985135420129E-5</v>
      </c>
      <c r="D69" s="134">
        <f t="shared" si="1"/>
        <v>-819.23029168175469</v>
      </c>
      <c r="E69" s="152">
        <v>0</v>
      </c>
      <c r="F69" s="134">
        <f t="shared" si="2"/>
        <v>0</v>
      </c>
      <c r="G69" s="97"/>
      <c r="H69" s="97"/>
    </row>
    <row r="70" spans="1:8" x14ac:dyDescent="0.3">
      <c r="A70" s="139" t="s">
        <v>91</v>
      </c>
      <c r="B70" s="140">
        <v>2658040.5854745409</v>
      </c>
      <c r="C70" s="138">
        <f t="shared" si="0"/>
        <v>3.788280001417412E-3</v>
      </c>
      <c r="D70" s="134">
        <f t="shared" si="1"/>
        <v>-31515.671131471812</v>
      </c>
      <c r="E70" s="152">
        <v>0</v>
      </c>
      <c r="F70" s="134">
        <f t="shared" si="2"/>
        <v>0</v>
      </c>
      <c r="G70" s="97"/>
      <c r="H70" s="97"/>
    </row>
    <row r="71" spans="1:8" x14ac:dyDescent="0.3">
      <c r="A71" s="136" t="s">
        <v>145</v>
      </c>
      <c r="B71" s="137">
        <v>376860.8236422973</v>
      </c>
      <c r="C71" s="138">
        <f t="shared" si="0"/>
        <v>5.3710779636832718E-4</v>
      </c>
      <c r="D71" s="134">
        <f t="shared" si="1"/>
        <v>-4468.337257583984</v>
      </c>
      <c r="E71" s="152">
        <v>1</v>
      </c>
      <c r="F71" s="134">
        <f t="shared" si="2"/>
        <v>-4468.337257583984</v>
      </c>
      <c r="G71" s="97"/>
      <c r="H71" s="97"/>
    </row>
    <row r="72" spans="1:8" x14ac:dyDescent="0.3">
      <c r="A72" s="139" t="s">
        <v>92</v>
      </c>
      <c r="B72" s="140">
        <v>1157323.6911945147</v>
      </c>
      <c r="C72" s="138">
        <f t="shared" si="0"/>
        <v>1.6494353842742534E-3</v>
      </c>
      <c r="D72" s="134">
        <f t="shared" si="1"/>
        <v>-13722.075217235888</v>
      </c>
      <c r="E72" s="152">
        <v>0</v>
      </c>
      <c r="F72" s="134">
        <f t="shared" si="2"/>
        <v>0</v>
      </c>
      <c r="G72" s="97"/>
      <c r="H72" s="97"/>
    </row>
    <row r="73" spans="1:8" x14ac:dyDescent="0.3">
      <c r="A73" s="136" t="s">
        <v>146</v>
      </c>
      <c r="B73" s="137">
        <v>42701.409918321719</v>
      </c>
      <c r="C73" s="138">
        <f t="shared" ref="C73:C87" si="3">B73/$B$94</f>
        <v>6.0858700995728152E-5</v>
      </c>
      <c r="D73" s="134">
        <f t="shared" ref="D73:D87" si="4">C73*$D$94</f>
        <v>-506.29911341091741</v>
      </c>
      <c r="E73" s="152">
        <v>0</v>
      </c>
      <c r="F73" s="134">
        <f t="shared" ref="F73:F87" si="5">D73*E73</f>
        <v>0</v>
      </c>
      <c r="G73" s="97"/>
      <c r="H73" s="97"/>
    </row>
    <row r="74" spans="1:8" x14ac:dyDescent="0.3">
      <c r="A74" s="136" t="s">
        <v>147</v>
      </c>
      <c r="B74" s="137">
        <v>599152.74904484348</v>
      </c>
      <c r="C74" s="138">
        <f t="shared" si="3"/>
        <v>8.5392164040099677E-4</v>
      </c>
      <c r="D74" s="134">
        <f t="shared" si="4"/>
        <v>-7103.9927304358343</v>
      </c>
      <c r="E74" s="152">
        <v>0</v>
      </c>
      <c r="F74" s="134">
        <f t="shared" si="5"/>
        <v>0</v>
      </c>
      <c r="G74" s="97"/>
      <c r="H74" s="97"/>
    </row>
    <row r="75" spans="1:8" x14ac:dyDescent="0.3">
      <c r="A75" s="136" t="s">
        <v>93</v>
      </c>
      <c r="B75" s="137">
        <v>98580207.099001169</v>
      </c>
      <c r="C75" s="138">
        <f t="shared" si="3"/>
        <v>0.14049801539131157</v>
      </c>
      <c r="D75" s="134">
        <f t="shared" si="4"/>
        <v>-1168838.957532261</v>
      </c>
      <c r="E75" s="152">
        <v>6.8539355270203509E-2</v>
      </c>
      <c r="F75" s="134">
        <f t="shared" si="5"/>
        <v>-80111.468563957955</v>
      </c>
      <c r="G75" s="97"/>
      <c r="H75" s="97"/>
    </row>
    <row r="76" spans="1:8" x14ac:dyDescent="0.3">
      <c r="A76" s="136" t="s">
        <v>148</v>
      </c>
      <c r="B76" s="137">
        <v>888908.14456486097</v>
      </c>
      <c r="C76" s="138">
        <f t="shared" si="3"/>
        <v>1.266885451469106E-3</v>
      </c>
      <c r="D76" s="134">
        <f t="shared" si="4"/>
        <v>-10539.544393447068</v>
      </c>
      <c r="E76" s="152">
        <v>0</v>
      </c>
      <c r="F76" s="134">
        <f t="shared" si="5"/>
        <v>0</v>
      </c>
      <c r="G76" s="97"/>
      <c r="H76" s="97"/>
    </row>
    <row r="77" spans="1:8" x14ac:dyDescent="0.3">
      <c r="A77" s="136" t="s">
        <v>149</v>
      </c>
      <c r="B77" s="137">
        <v>585782.71361729526</v>
      </c>
      <c r="C77" s="138">
        <f t="shared" si="3"/>
        <v>8.3486646189649672E-4</v>
      </c>
      <c r="D77" s="134">
        <f t="shared" si="4"/>
        <v>-6945.4678223312021</v>
      </c>
      <c r="E77" s="152">
        <v>1</v>
      </c>
      <c r="F77" s="134">
        <f t="shared" si="5"/>
        <v>-6945.4678223312021</v>
      </c>
      <c r="G77" s="97"/>
      <c r="H77" s="97"/>
    </row>
    <row r="78" spans="1:8" x14ac:dyDescent="0.3">
      <c r="A78" s="136" t="s">
        <v>225</v>
      </c>
      <c r="B78" s="141">
        <v>164585.75113194375</v>
      </c>
      <c r="C78" s="138">
        <f t="shared" si="3"/>
        <v>2.3457012392460988E-4</v>
      </c>
      <c r="D78" s="134">
        <f t="shared" si="4"/>
        <v>-1951.4489108805544</v>
      </c>
      <c r="E78" s="152">
        <v>0</v>
      </c>
      <c r="F78" s="134">
        <f t="shared" si="5"/>
        <v>0</v>
      </c>
      <c r="G78" s="97"/>
      <c r="H78" s="97"/>
    </row>
    <row r="79" spans="1:8" x14ac:dyDescent="0.3">
      <c r="A79" s="136" t="s">
        <v>226</v>
      </c>
      <c r="B79" s="141">
        <v>177364.35304315062</v>
      </c>
      <c r="C79" s="138">
        <f t="shared" si="3"/>
        <v>2.5278238235694559E-4</v>
      </c>
      <c r="D79" s="134">
        <f t="shared" si="4"/>
        <v>-2102.9613511173138</v>
      </c>
      <c r="E79" s="152">
        <v>0</v>
      </c>
      <c r="F79" s="134">
        <f t="shared" si="5"/>
        <v>0</v>
      </c>
      <c r="G79" s="97"/>
      <c r="H79" s="97"/>
    </row>
    <row r="80" spans="1:8" x14ac:dyDescent="0.3">
      <c r="A80" s="136" t="s">
        <v>150</v>
      </c>
      <c r="B80" s="141">
        <v>-13684.671967230071</v>
      </c>
      <c r="C80" s="138">
        <f t="shared" si="3"/>
        <v>-1.9503603301888596E-5</v>
      </c>
      <c r="D80" s="134">
        <f t="shared" si="4"/>
        <v>162.25546879085653</v>
      </c>
      <c r="E80" s="152">
        <v>0</v>
      </c>
      <c r="F80" s="134">
        <f t="shared" si="5"/>
        <v>0</v>
      </c>
      <c r="G80" s="97"/>
      <c r="H80" s="97"/>
    </row>
    <row r="81" spans="1:8" x14ac:dyDescent="0.3">
      <c r="A81" s="136" t="s">
        <v>163</v>
      </c>
      <c r="B81" s="141">
        <v>-117.80689734841363</v>
      </c>
      <c r="C81" s="138">
        <f t="shared" si="3"/>
        <v>-1.6790018771453551E-7</v>
      </c>
      <c r="D81" s="134">
        <f t="shared" si="4"/>
        <v>1.3968046440452757</v>
      </c>
      <c r="E81" s="152">
        <v>0</v>
      </c>
      <c r="F81" s="134">
        <f t="shared" si="5"/>
        <v>0</v>
      </c>
      <c r="G81" s="97"/>
      <c r="H81" s="97"/>
    </row>
    <row r="82" spans="1:8" x14ac:dyDescent="0.3">
      <c r="A82" s="136" t="s">
        <v>94</v>
      </c>
      <c r="B82" s="141">
        <v>1625.6002820260478</v>
      </c>
      <c r="C82" s="138">
        <f t="shared" si="3"/>
        <v>2.3168303269524196E-6</v>
      </c>
      <c r="D82" s="134">
        <f t="shared" si="4"/>
        <v>-19.274304598480878</v>
      </c>
      <c r="E82" s="152">
        <v>0</v>
      </c>
      <c r="F82" s="134">
        <f t="shared" si="5"/>
        <v>0</v>
      </c>
      <c r="G82" s="97"/>
      <c r="H82" s="97"/>
    </row>
    <row r="83" spans="1:8" x14ac:dyDescent="0.3">
      <c r="A83" s="136" t="s">
        <v>95</v>
      </c>
      <c r="B83" s="141">
        <v>2653755.995605431</v>
      </c>
      <c r="C83" s="138">
        <f t="shared" si="3"/>
        <v>3.7821735385574675E-3</v>
      </c>
      <c r="D83" s="134">
        <f t="shared" si="4"/>
        <v>-31464.869903685441</v>
      </c>
      <c r="E83" s="152">
        <v>6.8539355270203509E-2</v>
      </c>
      <c r="F83" s="134">
        <f t="shared" si="5"/>
        <v>-2156.5818968594303</v>
      </c>
      <c r="G83" s="97"/>
      <c r="H83" s="97"/>
    </row>
    <row r="84" spans="1:8" x14ac:dyDescent="0.3">
      <c r="A84" s="136" t="s">
        <v>227</v>
      </c>
      <c r="B84" s="141">
        <v>-15150.291483841584</v>
      </c>
      <c r="C84" s="138">
        <f t="shared" si="3"/>
        <v>-2.159242660082826E-5</v>
      </c>
      <c r="D84" s="134">
        <f t="shared" si="4"/>
        <v>179.63292455350012</v>
      </c>
      <c r="E84" s="152">
        <v>0</v>
      </c>
      <c r="F84" s="134">
        <f t="shared" si="5"/>
        <v>0</v>
      </c>
      <c r="G84" s="97"/>
      <c r="H84" s="97"/>
    </row>
    <row r="85" spans="1:8" x14ac:dyDescent="0.3">
      <c r="A85" s="136" t="s">
        <v>113</v>
      </c>
      <c r="B85" s="141">
        <v>-29.786447771874577</v>
      </c>
      <c r="C85" s="138">
        <f t="shared" si="3"/>
        <v>-4.2452099875409322E-8</v>
      </c>
      <c r="D85" s="134">
        <f t="shared" si="4"/>
        <v>0.35316988660109827</v>
      </c>
      <c r="E85" s="152">
        <v>1</v>
      </c>
      <c r="F85" s="134">
        <f t="shared" si="5"/>
        <v>0.35316988660109827</v>
      </c>
      <c r="G85" s="97"/>
      <c r="H85" s="97"/>
    </row>
    <row r="86" spans="1:8" x14ac:dyDescent="0.3">
      <c r="A86" s="136" t="s">
        <v>228</v>
      </c>
      <c r="B86" s="141">
        <v>-6006.5372164366645</v>
      </c>
      <c r="C86" s="138">
        <f t="shared" si="3"/>
        <v>-8.5606084945215626E-6</v>
      </c>
      <c r="D86" s="134">
        <f t="shared" si="4"/>
        <v>71.217893581699471</v>
      </c>
      <c r="E86" s="152">
        <v>0</v>
      </c>
      <c r="F86" s="134">
        <f t="shared" si="5"/>
        <v>0</v>
      </c>
      <c r="G86" s="97"/>
      <c r="H86" s="97"/>
    </row>
    <row r="87" spans="1:8" x14ac:dyDescent="0.3">
      <c r="A87" s="136" t="s">
        <v>164</v>
      </c>
      <c r="B87" s="141">
        <v>54.674119627803975</v>
      </c>
      <c r="C87" s="138">
        <f t="shared" si="3"/>
        <v>7.7922389565069651E-8</v>
      </c>
      <c r="D87" s="134">
        <f t="shared" si="4"/>
        <v>-0.64825630692354308</v>
      </c>
      <c r="E87" s="152">
        <v>0</v>
      </c>
      <c r="F87" s="134">
        <f t="shared" si="5"/>
        <v>0</v>
      </c>
      <c r="G87" s="97"/>
      <c r="H87" s="97"/>
    </row>
    <row r="88" spans="1:8" ht="7.5" customHeight="1" x14ac:dyDescent="0.3">
      <c r="A88" s="136"/>
      <c r="B88" s="141"/>
      <c r="C88" s="142"/>
      <c r="D88" s="110"/>
      <c r="E88" s="130"/>
      <c r="F88" s="110"/>
      <c r="G88" s="97"/>
      <c r="H88" s="97"/>
    </row>
    <row r="89" spans="1:8" ht="7.5" customHeight="1" x14ac:dyDescent="0.3">
      <c r="A89" s="136"/>
      <c r="B89" s="143"/>
      <c r="C89" s="144"/>
      <c r="D89" s="110"/>
      <c r="E89" s="111"/>
      <c r="F89" s="110"/>
      <c r="G89" s="97"/>
      <c r="H89" s="97"/>
    </row>
    <row r="90" spans="1:8" x14ac:dyDescent="0.3">
      <c r="A90" s="145" t="s">
        <v>151</v>
      </c>
      <c r="B90" s="146">
        <f t="shared" ref="B90:D90" si="6">SUM(B8:B87)</f>
        <v>490327971.70465124</v>
      </c>
      <c r="C90" s="147">
        <f t="shared" si="6"/>
        <v>0.69882290718020446</v>
      </c>
      <c r="D90" s="146">
        <f t="shared" si="6"/>
        <v>-5813686.6634963611</v>
      </c>
      <c r="E90" s="111"/>
      <c r="F90" s="146">
        <f>SUM(F8:F89)</f>
        <v>-377634.80566549028</v>
      </c>
      <c r="G90" s="97"/>
      <c r="H90" s="97"/>
    </row>
    <row r="91" spans="1:8" ht="7.5" customHeight="1" x14ac:dyDescent="0.3">
      <c r="A91" s="136"/>
      <c r="B91" s="143"/>
      <c r="C91" s="144"/>
      <c r="D91" s="110"/>
      <c r="E91" s="111"/>
      <c r="F91" s="110"/>
      <c r="G91" s="97"/>
      <c r="H91" s="97"/>
    </row>
    <row r="92" spans="1:8" x14ac:dyDescent="0.3">
      <c r="A92" s="136" t="s">
        <v>229</v>
      </c>
      <c r="B92" s="140">
        <v>211320424</v>
      </c>
      <c r="C92" s="142">
        <f>B92/B94</f>
        <v>0.30117709281979499</v>
      </c>
      <c r="D92" s="134">
        <f t="shared" ref="D92" si="7">C92*$D$94</f>
        <v>-2505569.3365036366</v>
      </c>
      <c r="E92" s="111"/>
      <c r="F92" s="110"/>
      <c r="G92" s="97"/>
      <c r="H92" s="97"/>
    </row>
    <row r="93" spans="1:8" ht="6.75" customHeight="1" x14ac:dyDescent="0.3">
      <c r="A93" s="136"/>
      <c r="B93" s="143"/>
      <c r="C93" s="144"/>
      <c r="D93" s="110"/>
      <c r="E93" s="111"/>
      <c r="F93" s="110"/>
      <c r="G93" s="97"/>
      <c r="H93" s="97"/>
    </row>
    <row r="94" spans="1:8" x14ac:dyDescent="0.3">
      <c r="A94" s="148" t="s">
        <v>4</v>
      </c>
      <c r="B94" s="149">
        <f>B90+B92</f>
        <v>701648395.70465124</v>
      </c>
      <c r="C94" s="150">
        <f>C90+C92</f>
        <v>0.99999999999999944</v>
      </c>
      <c r="D94" s="149">
        <f>EmployeeRed!I22</f>
        <v>-8319256</v>
      </c>
      <c r="E94" s="111"/>
      <c r="F94" s="110"/>
      <c r="G94" s="97"/>
      <c r="H94" s="97"/>
    </row>
    <row r="95" spans="1:8" x14ac:dyDescent="0.3">
      <c r="A95" s="107"/>
      <c r="B95" s="108"/>
      <c r="C95" s="109"/>
      <c r="D95" s="110"/>
      <c r="E95" s="111"/>
      <c r="F95" s="110"/>
      <c r="G95" s="97"/>
      <c r="H95" s="97"/>
    </row>
    <row r="96" spans="1:8" x14ac:dyDescent="0.3">
      <c r="A96" s="107"/>
      <c r="B96" s="108"/>
      <c r="C96" s="109"/>
      <c r="D96" s="110"/>
      <c r="E96" s="111"/>
      <c r="F96" s="110"/>
      <c r="G96" s="97"/>
      <c r="H96" s="97"/>
    </row>
    <row r="97" spans="1:8" x14ac:dyDescent="0.3">
      <c r="A97" s="107"/>
      <c r="B97" s="108"/>
      <c r="C97" s="109"/>
      <c r="D97" s="110"/>
      <c r="E97" s="111"/>
      <c r="F97" s="110"/>
      <c r="G97" s="97"/>
      <c r="H97" s="97"/>
    </row>
    <row r="98" spans="1:8" x14ac:dyDescent="0.3">
      <c r="A98" s="107"/>
      <c r="B98" s="108"/>
      <c r="C98" s="109"/>
      <c r="D98" s="110"/>
      <c r="E98" s="111"/>
      <c r="F98" s="110"/>
      <c r="G98" s="97"/>
      <c r="H98" s="97"/>
    </row>
    <row r="99" spans="1:8" x14ac:dyDescent="0.3">
      <c r="A99" s="107"/>
      <c r="B99" s="108"/>
      <c r="C99" s="109"/>
      <c r="D99" s="110"/>
      <c r="E99" s="111"/>
      <c r="F99" s="110"/>
      <c r="G99" s="97"/>
      <c r="H99" s="97"/>
    </row>
    <row r="100" spans="1:8" x14ac:dyDescent="0.3">
      <c r="A100" s="107"/>
      <c r="B100" s="108"/>
      <c r="C100" s="109"/>
      <c r="D100" s="110"/>
      <c r="E100" s="111"/>
      <c r="F100" s="110"/>
      <c r="G100" s="97"/>
      <c r="H100" s="97"/>
    </row>
    <row r="101" spans="1:8" x14ac:dyDescent="0.3">
      <c r="A101" s="107"/>
      <c r="B101" s="108"/>
      <c r="C101" s="109"/>
      <c r="D101" s="110"/>
      <c r="E101" s="111"/>
      <c r="F101" s="110"/>
      <c r="G101" s="97"/>
      <c r="H101" s="97"/>
    </row>
    <row r="102" spans="1:8" x14ac:dyDescent="0.3">
      <c r="A102" s="107"/>
      <c r="B102" s="108"/>
      <c r="C102" s="109"/>
      <c r="D102" s="110"/>
      <c r="E102" s="111"/>
      <c r="F102" s="110"/>
      <c r="G102" s="97"/>
      <c r="H102" s="97"/>
    </row>
    <row r="103" spans="1:8" x14ac:dyDescent="0.3">
      <c r="A103" s="107"/>
      <c r="B103" s="108"/>
      <c r="C103" s="109"/>
      <c r="D103" s="110"/>
      <c r="E103" s="111"/>
      <c r="F103" s="110"/>
      <c r="G103" s="97"/>
      <c r="H103" s="97"/>
    </row>
    <row r="104" spans="1:8" x14ac:dyDescent="0.3">
      <c r="A104" s="107"/>
      <c r="B104" s="108"/>
      <c r="C104" s="109"/>
      <c r="D104" s="110"/>
      <c r="E104" s="111"/>
      <c r="F104" s="110"/>
      <c r="G104" s="97"/>
      <c r="H104" s="97"/>
    </row>
    <row r="105" spans="1:8" x14ac:dyDescent="0.3">
      <c r="A105" s="107"/>
      <c r="B105" s="108"/>
      <c r="C105" s="109"/>
      <c r="D105" s="110"/>
      <c r="E105" s="111"/>
      <c r="F105" s="110"/>
      <c r="G105" s="97"/>
      <c r="H105" s="97"/>
    </row>
    <row r="106" spans="1:8" x14ac:dyDescent="0.3">
      <c r="A106" s="107"/>
      <c r="B106" s="108"/>
      <c r="C106" s="109"/>
      <c r="D106" s="110"/>
      <c r="E106" s="111"/>
      <c r="F106" s="110"/>
      <c r="G106" s="97"/>
      <c r="H106" s="97"/>
    </row>
    <row r="107" spans="1:8" x14ac:dyDescent="0.3">
      <c r="A107" s="107"/>
      <c r="B107" s="108"/>
      <c r="C107" s="109"/>
      <c r="D107" s="110"/>
      <c r="E107" s="111"/>
      <c r="F107" s="110"/>
      <c r="G107" s="97"/>
      <c r="H107" s="97"/>
    </row>
    <row r="108" spans="1:8" x14ac:dyDescent="0.3">
      <c r="A108" s="107"/>
      <c r="B108" s="108"/>
      <c r="C108" s="109"/>
      <c r="D108" s="110"/>
      <c r="E108" s="111"/>
      <c r="F108" s="110"/>
      <c r="G108" s="97"/>
      <c r="H108" s="97"/>
    </row>
    <row r="109" spans="1:8" x14ac:dyDescent="0.3">
      <c r="A109" s="107"/>
      <c r="B109" s="108"/>
      <c r="C109" s="109"/>
      <c r="D109" s="110"/>
      <c r="E109" s="111"/>
      <c r="F109" s="110"/>
      <c r="G109" s="97"/>
      <c r="H109" s="97"/>
    </row>
    <row r="110" spans="1:8" x14ac:dyDescent="0.3">
      <c r="A110" s="107"/>
      <c r="B110" s="108"/>
      <c r="C110" s="109"/>
      <c r="D110" s="110"/>
      <c r="E110" s="111"/>
      <c r="F110" s="110"/>
      <c r="G110" s="97"/>
      <c r="H110" s="97"/>
    </row>
    <row r="111" spans="1:8" x14ac:dyDescent="0.3">
      <c r="A111" s="107"/>
      <c r="B111" s="108"/>
      <c r="C111" s="109"/>
      <c r="D111" s="110"/>
      <c r="E111" s="111"/>
      <c r="F111" s="110"/>
      <c r="G111" s="97"/>
      <c r="H111" s="97"/>
    </row>
    <row r="112" spans="1:8" x14ac:dyDescent="0.3">
      <c r="A112" s="107"/>
      <c r="B112" s="108"/>
      <c r="C112" s="109"/>
      <c r="D112" s="110"/>
      <c r="E112" s="111"/>
      <c r="F112" s="110"/>
      <c r="G112" s="97"/>
      <c r="H112" s="97"/>
    </row>
    <row r="113" spans="1:8" x14ac:dyDescent="0.3">
      <c r="A113" s="107"/>
      <c r="B113" s="108"/>
      <c r="C113" s="109"/>
      <c r="D113" s="110"/>
      <c r="E113" s="111"/>
      <c r="F113" s="110"/>
      <c r="G113" s="97"/>
      <c r="H113" s="97"/>
    </row>
    <row r="114" spans="1:8" x14ac:dyDescent="0.3">
      <c r="A114" s="107"/>
      <c r="B114" s="108"/>
      <c r="C114" s="109"/>
      <c r="D114" s="110"/>
      <c r="E114" s="111"/>
      <c r="F114" s="110"/>
      <c r="G114" s="97"/>
      <c r="H114" s="97"/>
    </row>
    <row r="115" spans="1:8" x14ac:dyDescent="0.3">
      <c r="A115" s="107"/>
      <c r="B115" s="108"/>
      <c r="C115" s="109"/>
      <c r="D115" s="110"/>
      <c r="E115" s="111"/>
      <c r="F115" s="110"/>
      <c r="G115" s="97"/>
      <c r="H115" s="97"/>
    </row>
    <row r="116" spans="1:8" x14ac:dyDescent="0.3">
      <c r="A116" s="107"/>
      <c r="B116" s="108"/>
      <c r="C116" s="109"/>
      <c r="D116" s="110"/>
      <c r="E116" s="111"/>
      <c r="F116" s="110"/>
      <c r="G116" s="97"/>
      <c r="H116" s="97"/>
    </row>
    <row r="117" spans="1:8" x14ac:dyDescent="0.3">
      <c r="A117" s="107"/>
      <c r="B117" s="108"/>
      <c r="C117" s="109"/>
      <c r="D117" s="110"/>
      <c r="E117" s="111"/>
      <c r="F117" s="110"/>
      <c r="G117" s="97"/>
      <c r="H117" s="97"/>
    </row>
    <row r="118" spans="1:8" x14ac:dyDescent="0.3">
      <c r="A118" s="107"/>
      <c r="B118" s="108"/>
      <c r="C118" s="109"/>
      <c r="D118" s="110"/>
      <c r="E118" s="111"/>
      <c r="F118" s="110"/>
      <c r="G118" s="97"/>
      <c r="H118" s="97"/>
    </row>
    <row r="119" spans="1:8" x14ac:dyDescent="0.3">
      <c r="A119" s="107"/>
      <c r="B119" s="108"/>
      <c r="C119" s="109"/>
      <c r="D119" s="110"/>
      <c r="E119" s="111"/>
      <c r="F119" s="110"/>
      <c r="G119" s="97"/>
      <c r="H119" s="97"/>
    </row>
    <row r="120" spans="1:8" x14ac:dyDescent="0.3">
      <c r="A120" s="107"/>
      <c r="B120" s="108"/>
      <c r="C120" s="109"/>
      <c r="D120" s="110"/>
      <c r="E120" s="111"/>
      <c r="F120" s="110"/>
      <c r="G120" s="97"/>
      <c r="H120" s="97"/>
    </row>
    <row r="121" spans="1:8" x14ac:dyDescent="0.3">
      <c r="A121" s="107"/>
      <c r="B121" s="108"/>
      <c r="C121" s="109"/>
      <c r="D121" s="110"/>
      <c r="E121" s="111"/>
      <c r="F121" s="110"/>
      <c r="G121" s="97"/>
      <c r="H121" s="97"/>
    </row>
    <row r="122" spans="1:8" x14ac:dyDescent="0.3">
      <c r="A122" s="107"/>
      <c r="B122" s="108"/>
      <c r="C122" s="109"/>
      <c r="D122" s="110"/>
      <c r="E122" s="111"/>
      <c r="F122" s="110"/>
      <c r="G122" s="97"/>
      <c r="H122" s="97"/>
    </row>
    <row r="123" spans="1:8" x14ac:dyDescent="0.3">
      <c r="A123" s="107"/>
      <c r="B123" s="108"/>
      <c r="C123" s="109"/>
      <c r="D123" s="110"/>
      <c r="E123" s="111"/>
      <c r="F123" s="110"/>
      <c r="G123" s="97"/>
      <c r="H123" s="97"/>
    </row>
    <row r="124" spans="1:8" x14ac:dyDescent="0.3">
      <c r="A124" s="107"/>
      <c r="B124" s="108"/>
      <c r="C124" s="109"/>
      <c r="D124" s="110"/>
      <c r="E124" s="111"/>
      <c r="F124" s="110"/>
      <c r="G124" s="97"/>
      <c r="H124" s="97"/>
    </row>
    <row r="125" spans="1:8" x14ac:dyDescent="0.3">
      <c r="A125" s="107"/>
      <c r="B125" s="108"/>
      <c r="C125" s="109"/>
      <c r="D125" s="110"/>
      <c r="E125" s="111"/>
      <c r="F125" s="110"/>
      <c r="G125" s="97"/>
      <c r="H125" s="97"/>
    </row>
    <row r="126" spans="1:8" x14ac:dyDescent="0.3">
      <c r="A126" s="107"/>
      <c r="B126" s="108"/>
      <c r="C126" s="109"/>
      <c r="D126" s="110"/>
      <c r="E126" s="111"/>
      <c r="F126" s="110"/>
      <c r="G126" s="97"/>
      <c r="H126" s="97"/>
    </row>
    <row r="127" spans="1:8" x14ac:dyDescent="0.3">
      <c r="A127" s="107"/>
      <c r="B127" s="108"/>
      <c r="C127" s="109"/>
      <c r="D127" s="110"/>
      <c r="E127" s="111"/>
      <c r="F127" s="110"/>
      <c r="G127" s="97"/>
      <c r="H127" s="97"/>
    </row>
    <row r="128" spans="1:8" x14ac:dyDescent="0.3">
      <c r="A128" s="107"/>
      <c r="B128" s="108"/>
      <c r="C128" s="109"/>
      <c r="D128" s="110"/>
      <c r="E128" s="111"/>
      <c r="F128" s="110"/>
      <c r="G128" s="97"/>
      <c r="H128" s="97"/>
    </row>
    <row r="129" spans="1:8" x14ac:dyDescent="0.3">
      <c r="A129" s="107"/>
      <c r="B129" s="108"/>
      <c r="C129" s="109"/>
      <c r="D129" s="110"/>
      <c r="E129" s="111"/>
      <c r="F129" s="110"/>
      <c r="G129" s="97"/>
      <c r="H129" s="97"/>
    </row>
    <row r="130" spans="1:8" x14ac:dyDescent="0.3">
      <c r="A130" s="107"/>
      <c r="B130" s="108"/>
      <c r="C130" s="109"/>
      <c r="D130" s="110"/>
      <c r="E130" s="111"/>
      <c r="F130" s="110"/>
      <c r="G130" s="97"/>
      <c r="H130" s="97"/>
    </row>
    <row r="131" spans="1:8" x14ac:dyDescent="0.3">
      <c r="A131" s="107"/>
      <c r="B131" s="108"/>
      <c r="C131" s="109"/>
      <c r="D131" s="110"/>
      <c r="E131" s="111"/>
      <c r="F131" s="110"/>
      <c r="G131" s="97"/>
      <c r="H131" s="97"/>
    </row>
    <row r="132" spans="1:8" x14ac:dyDescent="0.3">
      <c r="A132" s="107"/>
      <c r="B132" s="108"/>
      <c r="C132" s="109"/>
      <c r="D132" s="110"/>
      <c r="E132" s="111"/>
      <c r="F132" s="110"/>
      <c r="G132" s="97"/>
      <c r="H132" s="97"/>
    </row>
    <row r="133" spans="1:8" x14ac:dyDescent="0.3">
      <c r="A133" s="107"/>
      <c r="B133" s="108"/>
      <c r="C133" s="109"/>
      <c r="D133" s="110"/>
      <c r="E133" s="111"/>
      <c r="F133" s="110"/>
      <c r="G133" s="97"/>
      <c r="H133" s="97"/>
    </row>
    <row r="134" spans="1:8" x14ac:dyDescent="0.3">
      <c r="A134" s="107"/>
      <c r="B134" s="108"/>
      <c r="C134" s="109"/>
      <c r="D134" s="110"/>
      <c r="E134" s="111"/>
      <c r="F134" s="110"/>
      <c r="G134" s="97"/>
      <c r="H134" s="97"/>
    </row>
    <row r="135" spans="1:8" x14ac:dyDescent="0.3">
      <c r="A135" s="107"/>
      <c r="B135" s="108"/>
      <c r="C135" s="109"/>
      <c r="D135" s="110"/>
      <c r="E135" s="111"/>
      <c r="F135" s="110"/>
      <c r="G135" s="97"/>
      <c r="H135" s="97"/>
    </row>
    <row r="136" spans="1:8" x14ac:dyDescent="0.3">
      <c r="A136" s="107"/>
      <c r="B136" s="108"/>
      <c r="C136" s="109"/>
      <c r="D136" s="110"/>
      <c r="E136" s="111"/>
      <c r="F136" s="110"/>
      <c r="G136" s="97"/>
      <c r="H136" s="97"/>
    </row>
    <row r="137" spans="1:8" x14ac:dyDescent="0.3">
      <c r="A137" s="107"/>
      <c r="B137" s="108"/>
      <c r="C137" s="109"/>
      <c r="D137" s="110"/>
      <c r="E137" s="111"/>
      <c r="F137" s="110"/>
      <c r="G137" s="97"/>
      <c r="H137" s="97"/>
    </row>
    <row r="138" spans="1:8" x14ac:dyDescent="0.3">
      <c r="A138" s="107"/>
      <c r="B138" s="108"/>
      <c r="C138" s="109"/>
      <c r="D138" s="110"/>
      <c r="E138" s="111"/>
      <c r="F138" s="110"/>
      <c r="G138" s="97"/>
      <c r="H138" s="97"/>
    </row>
    <row r="139" spans="1:8" x14ac:dyDescent="0.3">
      <c r="A139" s="107"/>
      <c r="B139" s="108"/>
      <c r="C139" s="109"/>
      <c r="D139" s="110"/>
      <c r="E139" s="111"/>
      <c r="F139" s="110"/>
      <c r="G139" s="97"/>
      <c r="H139" s="97"/>
    </row>
    <row r="140" spans="1:8" x14ac:dyDescent="0.3">
      <c r="A140" s="107"/>
      <c r="B140" s="108"/>
      <c r="C140" s="109"/>
      <c r="D140" s="110"/>
      <c r="E140" s="111"/>
      <c r="F140" s="110"/>
      <c r="G140" s="97"/>
      <c r="H140" s="97"/>
    </row>
    <row r="141" spans="1:8" x14ac:dyDescent="0.3">
      <c r="A141" s="107"/>
      <c r="B141" s="108"/>
      <c r="C141" s="109"/>
      <c r="D141" s="110"/>
      <c r="E141" s="111"/>
      <c r="F141" s="110"/>
      <c r="G141" s="97"/>
      <c r="H141" s="97"/>
    </row>
    <row r="142" spans="1:8" x14ac:dyDescent="0.3">
      <c r="A142" s="107"/>
      <c r="B142" s="108"/>
      <c r="C142" s="109"/>
      <c r="D142" s="110"/>
      <c r="E142" s="111"/>
      <c r="F142" s="110"/>
      <c r="G142" s="97"/>
      <c r="H142" s="97"/>
    </row>
    <row r="143" spans="1:8" x14ac:dyDescent="0.3">
      <c r="A143" s="107"/>
      <c r="B143" s="108"/>
      <c r="C143" s="109"/>
      <c r="D143" s="110"/>
      <c r="E143" s="111"/>
      <c r="F143" s="110"/>
      <c r="G143" s="97"/>
      <c r="H143" s="97"/>
    </row>
    <row r="144" spans="1:8" x14ac:dyDescent="0.3">
      <c r="A144" s="107"/>
      <c r="B144" s="108"/>
      <c r="C144" s="109"/>
      <c r="D144" s="110"/>
      <c r="E144" s="111"/>
      <c r="F144" s="110"/>
      <c r="G144" s="97"/>
      <c r="H144" s="97"/>
    </row>
    <row r="145" spans="1:8" x14ac:dyDescent="0.3">
      <c r="A145" s="107"/>
      <c r="B145" s="108"/>
      <c r="C145" s="109"/>
      <c r="D145" s="110"/>
      <c r="E145" s="111"/>
      <c r="F145" s="110"/>
      <c r="G145" s="97"/>
      <c r="H145" s="97"/>
    </row>
    <row r="146" spans="1:8" x14ac:dyDescent="0.3">
      <c r="A146" s="107"/>
      <c r="B146" s="108"/>
      <c r="C146" s="109"/>
      <c r="D146" s="110"/>
      <c r="E146" s="111"/>
      <c r="F146" s="110"/>
      <c r="G146" s="97"/>
      <c r="H146" s="97"/>
    </row>
    <row r="147" spans="1:8" x14ac:dyDescent="0.3">
      <c r="A147" s="107"/>
      <c r="B147" s="108"/>
      <c r="C147" s="109"/>
      <c r="D147" s="110"/>
      <c r="E147" s="111"/>
      <c r="F147" s="110"/>
      <c r="G147" s="97"/>
      <c r="H147" s="97"/>
    </row>
    <row r="148" spans="1:8" x14ac:dyDescent="0.3">
      <c r="A148" s="107"/>
      <c r="B148" s="108"/>
      <c r="C148" s="109"/>
      <c r="D148" s="110"/>
      <c r="E148" s="111"/>
      <c r="F148" s="110"/>
      <c r="G148" s="97"/>
      <c r="H148" s="97"/>
    </row>
    <row r="149" spans="1:8" x14ac:dyDescent="0.3">
      <c r="A149" s="107"/>
      <c r="B149" s="108"/>
      <c r="C149" s="109"/>
      <c r="D149" s="110"/>
      <c r="E149" s="111"/>
      <c r="F149" s="110"/>
      <c r="G149" s="97"/>
      <c r="H149" s="97"/>
    </row>
    <row r="150" spans="1:8" x14ac:dyDescent="0.3">
      <c r="A150" s="107"/>
      <c r="B150" s="108"/>
      <c r="C150" s="109"/>
      <c r="D150" s="110"/>
      <c r="E150" s="111"/>
      <c r="F150" s="110"/>
      <c r="G150" s="97"/>
      <c r="H150" s="97"/>
    </row>
    <row r="151" spans="1:8" x14ac:dyDescent="0.3">
      <c r="A151" s="107"/>
      <c r="B151" s="108"/>
      <c r="C151" s="109"/>
      <c r="D151" s="110"/>
      <c r="E151" s="111"/>
      <c r="F151" s="110"/>
      <c r="G151" s="97"/>
      <c r="H151" s="97"/>
    </row>
    <row r="152" spans="1:8" x14ac:dyDescent="0.3">
      <c r="A152" s="107"/>
      <c r="B152" s="108"/>
      <c r="C152" s="109"/>
      <c r="D152" s="110"/>
      <c r="E152" s="111"/>
      <c r="F152" s="110"/>
      <c r="G152" s="97"/>
      <c r="H152" s="97"/>
    </row>
    <row r="153" spans="1:8" x14ac:dyDescent="0.3">
      <c r="A153" s="107"/>
      <c r="B153" s="108"/>
      <c r="C153" s="109"/>
      <c r="D153" s="110"/>
      <c r="E153" s="111"/>
      <c r="F153" s="110"/>
      <c r="G153" s="97"/>
      <c r="H153" s="97"/>
    </row>
    <row r="154" spans="1:8" x14ac:dyDescent="0.3">
      <c r="A154" s="107"/>
      <c r="B154" s="108"/>
      <c r="C154" s="109"/>
      <c r="D154" s="110"/>
      <c r="E154" s="111"/>
      <c r="F154" s="110"/>
      <c r="G154" s="97"/>
      <c r="H154" s="97"/>
    </row>
    <row r="155" spans="1:8" x14ac:dyDescent="0.3">
      <c r="A155" s="107"/>
      <c r="B155" s="108"/>
      <c r="C155" s="109"/>
      <c r="D155" s="110"/>
      <c r="E155" s="111"/>
      <c r="F155" s="110"/>
      <c r="G155" s="97"/>
      <c r="H155" s="97"/>
    </row>
    <row r="156" spans="1:8" x14ac:dyDescent="0.3">
      <c r="A156" s="107"/>
      <c r="B156" s="108"/>
      <c r="C156" s="109"/>
      <c r="D156" s="110"/>
      <c r="E156" s="111"/>
      <c r="F156" s="110"/>
      <c r="G156" s="97"/>
      <c r="H156" s="97"/>
    </row>
    <row r="157" spans="1:8" x14ac:dyDescent="0.3">
      <c r="A157" s="107"/>
      <c r="B157" s="108"/>
      <c r="C157" s="109"/>
      <c r="D157" s="110"/>
      <c r="E157" s="111"/>
      <c r="F157" s="110"/>
      <c r="G157" s="97"/>
      <c r="H157" s="97"/>
    </row>
    <row r="158" spans="1:8" x14ac:dyDescent="0.3">
      <c r="A158" s="107"/>
      <c r="B158" s="108"/>
      <c r="C158" s="109"/>
      <c r="D158" s="110"/>
      <c r="E158" s="111"/>
      <c r="F158" s="110"/>
      <c r="G158" s="97"/>
      <c r="H158" s="97"/>
    </row>
    <row r="159" spans="1:8" x14ac:dyDescent="0.3">
      <c r="A159" s="107"/>
      <c r="B159" s="108"/>
      <c r="C159" s="109"/>
      <c r="D159" s="110"/>
      <c r="E159" s="111"/>
      <c r="F159" s="110"/>
      <c r="G159" s="97"/>
      <c r="H159" s="97"/>
    </row>
    <row r="160" spans="1:8" x14ac:dyDescent="0.3">
      <c r="A160" s="107"/>
      <c r="B160" s="108"/>
      <c r="C160" s="109"/>
      <c r="D160" s="110"/>
      <c r="E160" s="111"/>
      <c r="F160" s="110"/>
      <c r="G160" s="97"/>
      <c r="H160" s="97"/>
    </row>
    <row r="161" spans="1:8" x14ac:dyDescent="0.3">
      <c r="A161" s="107"/>
      <c r="B161" s="108"/>
      <c r="C161" s="109"/>
      <c r="D161" s="110"/>
      <c r="E161" s="111"/>
      <c r="F161" s="110"/>
      <c r="G161" s="97"/>
      <c r="H161" s="97"/>
    </row>
    <row r="162" spans="1:8" x14ac:dyDescent="0.3">
      <c r="A162" s="107"/>
      <c r="B162" s="108"/>
      <c r="C162" s="109"/>
      <c r="D162" s="110"/>
      <c r="E162" s="111"/>
      <c r="F162" s="110"/>
      <c r="G162" s="97"/>
      <c r="H162" s="97"/>
    </row>
    <row r="163" spans="1:8" x14ac:dyDescent="0.3">
      <c r="A163" s="107"/>
      <c r="B163" s="108"/>
      <c r="C163" s="109"/>
      <c r="D163" s="110"/>
      <c r="E163" s="111"/>
      <c r="F163" s="110"/>
      <c r="G163" s="97"/>
      <c r="H163" s="97"/>
    </row>
    <row r="164" spans="1:8" x14ac:dyDescent="0.3">
      <c r="A164" s="107"/>
      <c r="B164" s="108"/>
      <c r="C164" s="109"/>
      <c r="D164" s="110"/>
      <c r="E164" s="111"/>
      <c r="F164" s="110"/>
      <c r="G164" s="97"/>
      <c r="H164" s="97"/>
    </row>
    <row r="165" spans="1:8" x14ac:dyDescent="0.3">
      <c r="A165" s="107"/>
      <c r="B165" s="108"/>
      <c r="C165" s="109"/>
      <c r="D165" s="110"/>
      <c r="E165" s="111"/>
      <c r="F165" s="110"/>
      <c r="G165" s="97"/>
      <c r="H165" s="97"/>
    </row>
    <row r="166" spans="1:8" x14ac:dyDescent="0.3">
      <c r="A166" s="107"/>
      <c r="B166" s="108"/>
      <c r="C166" s="109"/>
      <c r="D166" s="110"/>
      <c r="E166" s="111"/>
      <c r="F166" s="110"/>
      <c r="G166" s="97"/>
      <c r="H166" s="97"/>
    </row>
    <row r="167" spans="1:8" x14ac:dyDescent="0.3">
      <c r="A167" s="107"/>
      <c r="B167" s="108"/>
      <c r="C167" s="109"/>
      <c r="D167" s="110"/>
      <c r="E167" s="111"/>
      <c r="F167" s="110"/>
      <c r="G167" s="97"/>
      <c r="H167" s="97"/>
    </row>
    <row r="168" spans="1:8" x14ac:dyDescent="0.3">
      <c r="A168" s="107"/>
      <c r="B168" s="108"/>
      <c r="C168" s="109"/>
      <c r="D168" s="110"/>
      <c r="E168" s="111"/>
      <c r="F168" s="110"/>
      <c r="G168" s="97"/>
      <c r="H168" s="97"/>
    </row>
    <row r="169" spans="1:8" x14ac:dyDescent="0.3">
      <c r="A169" s="107"/>
      <c r="B169" s="108"/>
      <c r="C169" s="109"/>
      <c r="D169" s="110"/>
      <c r="E169" s="111"/>
      <c r="F169" s="110"/>
      <c r="G169" s="97"/>
      <c r="H169" s="97"/>
    </row>
    <row r="170" spans="1:8" x14ac:dyDescent="0.3">
      <c r="A170" s="107"/>
      <c r="B170" s="108"/>
      <c r="C170" s="109"/>
      <c r="D170" s="110"/>
      <c r="E170" s="111"/>
      <c r="F170" s="110"/>
      <c r="G170" s="97"/>
      <c r="H170" s="97"/>
    </row>
    <row r="171" spans="1:8" x14ac:dyDescent="0.3">
      <c r="A171" s="107"/>
      <c r="B171" s="108"/>
      <c r="C171" s="109"/>
      <c r="D171" s="110"/>
      <c r="E171" s="111"/>
      <c r="F171" s="110"/>
      <c r="G171" s="97"/>
      <c r="H171" s="97"/>
    </row>
    <row r="172" spans="1:8" x14ac:dyDescent="0.3">
      <c r="A172" s="107"/>
      <c r="B172" s="108"/>
      <c r="C172" s="109"/>
      <c r="D172" s="110"/>
      <c r="E172" s="111"/>
      <c r="F172" s="110"/>
      <c r="G172" s="97"/>
      <c r="H172" s="97"/>
    </row>
    <row r="173" spans="1:8" x14ac:dyDescent="0.3">
      <c r="A173" s="107"/>
      <c r="B173" s="108"/>
      <c r="C173" s="109"/>
      <c r="D173" s="110"/>
      <c r="E173" s="111"/>
      <c r="F173" s="110"/>
      <c r="G173" s="97"/>
      <c r="H173" s="97"/>
    </row>
    <row r="174" spans="1:8" x14ac:dyDescent="0.3">
      <c r="A174" s="107"/>
      <c r="B174" s="108"/>
      <c r="C174" s="109"/>
      <c r="D174" s="110"/>
      <c r="E174" s="111"/>
      <c r="F174" s="110"/>
      <c r="G174" s="97"/>
      <c r="H174" s="97"/>
    </row>
    <row r="175" spans="1:8" x14ac:dyDescent="0.3">
      <c r="A175" s="107"/>
      <c r="B175" s="108"/>
      <c r="C175" s="109"/>
      <c r="D175" s="110"/>
      <c r="E175" s="111"/>
      <c r="F175" s="110"/>
      <c r="G175" s="97"/>
      <c r="H175" s="97"/>
    </row>
    <row r="176" spans="1:8" x14ac:dyDescent="0.3">
      <c r="A176" s="107"/>
      <c r="B176" s="108"/>
      <c r="C176" s="109"/>
      <c r="D176" s="110"/>
      <c r="E176" s="111"/>
      <c r="F176" s="110"/>
      <c r="G176" s="97"/>
      <c r="H176" s="97"/>
    </row>
    <row r="177" spans="1:8" x14ac:dyDescent="0.3">
      <c r="A177" s="107"/>
      <c r="B177" s="108"/>
      <c r="C177" s="109"/>
      <c r="D177" s="110"/>
      <c r="E177" s="111"/>
      <c r="F177" s="110"/>
      <c r="G177" s="97"/>
      <c r="H177" s="97"/>
    </row>
    <row r="178" spans="1:8" x14ac:dyDescent="0.3">
      <c r="A178" s="107"/>
      <c r="B178" s="108"/>
      <c r="C178" s="109"/>
      <c r="D178" s="110"/>
      <c r="E178" s="111"/>
      <c r="F178" s="110"/>
      <c r="G178" s="97"/>
      <c r="H178" s="97"/>
    </row>
    <row r="179" spans="1:8" x14ac:dyDescent="0.3">
      <c r="A179" s="107"/>
      <c r="B179" s="108"/>
      <c r="C179" s="109"/>
      <c r="D179" s="110"/>
      <c r="E179" s="111"/>
      <c r="F179" s="110"/>
      <c r="G179" s="97"/>
      <c r="H179" s="97"/>
    </row>
    <row r="180" spans="1:8" x14ac:dyDescent="0.3">
      <c r="A180" s="107"/>
      <c r="B180" s="108"/>
      <c r="C180" s="109"/>
      <c r="D180" s="110"/>
      <c r="E180" s="111"/>
      <c r="F180" s="110"/>
      <c r="G180" s="97"/>
      <c r="H180" s="97"/>
    </row>
    <row r="181" spans="1:8" x14ac:dyDescent="0.3">
      <c r="A181" s="107"/>
      <c r="B181" s="108"/>
      <c r="C181" s="109"/>
      <c r="D181" s="110"/>
      <c r="E181" s="111"/>
      <c r="F181" s="110"/>
      <c r="G181" s="97"/>
      <c r="H181" s="97"/>
    </row>
    <row r="182" spans="1:8" x14ac:dyDescent="0.3">
      <c r="A182" s="107"/>
      <c r="B182" s="108"/>
      <c r="C182" s="109"/>
      <c r="D182" s="110"/>
      <c r="E182" s="111"/>
      <c r="F182" s="110"/>
      <c r="G182" s="97"/>
      <c r="H182" s="97"/>
    </row>
    <row r="183" spans="1:8" x14ac:dyDescent="0.3">
      <c r="A183" s="107"/>
      <c r="B183" s="108"/>
      <c r="C183" s="109"/>
      <c r="D183" s="110"/>
      <c r="E183" s="111"/>
      <c r="F183" s="110"/>
      <c r="G183" s="97"/>
      <c r="H183" s="97"/>
    </row>
    <row r="184" spans="1:8" x14ac:dyDescent="0.3">
      <c r="A184" s="107"/>
      <c r="B184" s="108"/>
      <c r="C184" s="109"/>
      <c r="D184" s="110"/>
      <c r="E184" s="111"/>
      <c r="F184" s="110"/>
      <c r="G184" s="97"/>
      <c r="H184" s="97"/>
    </row>
    <row r="185" spans="1:8" x14ac:dyDescent="0.3">
      <c r="A185" s="107"/>
      <c r="B185" s="108"/>
      <c r="C185" s="109"/>
      <c r="D185" s="110"/>
      <c r="E185" s="111"/>
      <c r="F185" s="110"/>
      <c r="G185" s="97"/>
      <c r="H185" s="97"/>
    </row>
    <row r="186" spans="1:8" x14ac:dyDescent="0.3">
      <c r="A186" s="107"/>
      <c r="B186" s="108"/>
      <c r="C186" s="109"/>
      <c r="D186" s="110"/>
      <c r="E186" s="111"/>
      <c r="F186" s="110"/>
      <c r="G186" s="97"/>
      <c r="H186" s="97"/>
    </row>
    <row r="187" spans="1:8" x14ac:dyDescent="0.3">
      <c r="A187" s="107"/>
      <c r="B187" s="108"/>
      <c r="C187" s="109"/>
      <c r="D187" s="110"/>
      <c r="E187" s="111"/>
      <c r="F187" s="110"/>
      <c r="G187" s="97"/>
      <c r="H187" s="97"/>
    </row>
    <row r="188" spans="1:8" x14ac:dyDescent="0.3">
      <c r="A188" s="107"/>
      <c r="B188" s="108"/>
      <c r="C188" s="109"/>
      <c r="D188" s="110"/>
      <c r="E188" s="111"/>
      <c r="F188" s="110"/>
      <c r="G188" s="97"/>
      <c r="H188" s="97"/>
    </row>
    <row r="189" spans="1:8" x14ac:dyDescent="0.3">
      <c r="A189" s="107"/>
      <c r="B189" s="108"/>
      <c r="C189" s="109"/>
      <c r="D189" s="110"/>
      <c r="E189" s="111"/>
      <c r="F189" s="110"/>
      <c r="G189" s="97"/>
      <c r="H189" s="97"/>
    </row>
    <row r="190" spans="1:8" x14ac:dyDescent="0.3">
      <c r="A190" s="107"/>
      <c r="B190" s="108"/>
      <c r="C190" s="109"/>
      <c r="D190" s="110"/>
      <c r="E190" s="111"/>
      <c r="F190" s="110"/>
      <c r="G190" s="97"/>
      <c r="H190" s="97"/>
    </row>
    <row r="191" spans="1:8" x14ac:dyDescent="0.3">
      <c r="A191" s="107"/>
      <c r="B191" s="108"/>
      <c r="C191" s="109"/>
      <c r="D191" s="110"/>
      <c r="E191" s="111"/>
      <c r="F191" s="110"/>
      <c r="G191" s="97"/>
      <c r="H191" s="97"/>
    </row>
    <row r="192" spans="1:8" x14ac:dyDescent="0.3">
      <c r="A192" s="107"/>
      <c r="B192" s="108"/>
      <c r="C192" s="109"/>
      <c r="D192" s="110"/>
      <c r="E192" s="111"/>
      <c r="F192" s="110"/>
      <c r="G192" s="97"/>
      <c r="H192" s="97"/>
    </row>
    <row r="193" spans="1:8" x14ac:dyDescent="0.3">
      <c r="A193" s="107"/>
      <c r="B193" s="108"/>
      <c r="C193" s="109"/>
      <c r="D193" s="110"/>
      <c r="E193" s="111"/>
      <c r="F193" s="110"/>
      <c r="G193" s="97"/>
      <c r="H193" s="97"/>
    </row>
    <row r="194" spans="1:8" x14ac:dyDescent="0.3">
      <c r="A194" s="107"/>
      <c r="B194" s="108"/>
      <c r="C194" s="109"/>
      <c r="D194" s="110"/>
      <c r="E194" s="111"/>
      <c r="F194" s="110"/>
      <c r="G194" s="97"/>
      <c r="H194" s="97"/>
    </row>
    <row r="195" spans="1:8" x14ac:dyDescent="0.3">
      <c r="A195" s="107"/>
      <c r="B195" s="108"/>
      <c r="C195" s="109"/>
      <c r="D195" s="110"/>
      <c r="E195" s="111"/>
      <c r="F195" s="110"/>
      <c r="G195" s="97"/>
      <c r="H195" s="97"/>
    </row>
    <row r="196" spans="1:8" x14ac:dyDescent="0.3">
      <c r="A196" s="107"/>
      <c r="B196" s="108"/>
      <c r="C196" s="109"/>
      <c r="D196" s="110"/>
      <c r="E196" s="111"/>
      <c r="F196" s="110"/>
      <c r="G196" s="97"/>
      <c r="H196" s="97"/>
    </row>
    <row r="197" spans="1:8" x14ac:dyDescent="0.3">
      <c r="A197" s="107"/>
      <c r="B197" s="108"/>
      <c r="C197" s="109"/>
      <c r="D197" s="110"/>
      <c r="E197" s="111"/>
      <c r="F197" s="110"/>
      <c r="G197" s="97"/>
      <c r="H197" s="97"/>
    </row>
    <row r="198" spans="1:8" x14ac:dyDescent="0.3">
      <c r="A198" s="107"/>
      <c r="B198" s="108"/>
      <c r="C198" s="109"/>
      <c r="D198" s="110"/>
      <c r="E198" s="111"/>
      <c r="F198" s="110"/>
      <c r="G198" s="97"/>
      <c r="H198" s="97"/>
    </row>
    <row r="199" spans="1:8" x14ac:dyDescent="0.3">
      <c r="A199" s="107"/>
      <c r="B199" s="108"/>
      <c r="C199" s="109"/>
      <c r="D199" s="110"/>
      <c r="E199" s="111"/>
      <c r="F199" s="110"/>
      <c r="G199" s="97"/>
      <c r="H199" s="97"/>
    </row>
    <row r="200" spans="1:8" x14ac:dyDescent="0.3">
      <c r="A200" s="107"/>
      <c r="B200" s="108"/>
      <c r="C200" s="109"/>
      <c r="D200" s="110"/>
      <c r="E200" s="111"/>
      <c r="F200" s="110"/>
      <c r="G200" s="97"/>
      <c r="H200" s="97"/>
    </row>
    <row r="201" spans="1:8" x14ac:dyDescent="0.3">
      <c r="A201" s="107"/>
      <c r="B201" s="108"/>
      <c r="C201" s="109"/>
      <c r="D201" s="110"/>
      <c r="E201" s="111"/>
      <c r="F201" s="110"/>
      <c r="G201" s="97"/>
      <c r="H201" s="97"/>
    </row>
    <row r="202" spans="1:8" x14ac:dyDescent="0.3">
      <c r="A202" s="107"/>
      <c r="B202" s="108"/>
      <c r="C202" s="109"/>
      <c r="D202" s="110"/>
      <c r="E202" s="111"/>
      <c r="F202" s="110"/>
      <c r="G202" s="97"/>
      <c r="H202" s="97"/>
    </row>
    <row r="203" spans="1:8" x14ac:dyDescent="0.3">
      <c r="A203" s="107"/>
      <c r="B203" s="108"/>
      <c r="C203" s="109"/>
      <c r="D203" s="110"/>
      <c r="E203" s="111"/>
      <c r="F203" s="110"/>
      <c r="G203" s="97"/>
      <c r="H203" s="97"/>
    </row>
    <row r="204" spans="1:8" x14ac:dyDescent="0.3">
      <c r="A204" s="107"/>
      <c r="B204" s="108"/>
      <c r="C204" s="109"/>
      <c r="D204" s="110"/>
      <c r="E204" s="111"/>
      <c r="F204" s="110"/>
      <c r="G204" s="97"/>
      <c r="H204" s="97"/>
    </row>
    <row r="205" spans="1:8" x14ac:dyDescent="0.3">
      <c r="A205" s="107"/>
      <c r="B205" s="108"/>
      <c r="C205" s="109"/>
      <c r="D205" s="110"/>
      <c r="E205" s="111"/>
      <c r="F205" s="110"/>
      <c r="G205" s="97"/>
      <c r="H205" s="97"/>
    </row>
    <row r="206" spans="1:8" x14ac:dyDescent="0.3">
      <c r="A206" s="107"/>
      <c r="B206" s="108"/>
      <c r="C206" s="109"/>
      <c r="D206" s="110"/>
      <c r="E206" s="111"/>
      <c r="F206" s="110"/>
      <c r="G206" s="97"/>
      <c r="H206" s="97"/>
    </row>
    <row r="207" spans="1:8" x14ac:dyDescent="0.3">
      <c r="A207" s="107"/>
      <c r="B207" s="108"/>
      <c r="C207" s="109"/>
      <c r="D207" s="110"/>
      <c r="E207" s="111"/>
      <c r="F207" s="110"/>
      <c r="G207" s="97"/>
      <c r="H207" s="97"/>
    </row>
    <row r="208" spans="1:8" x14ac:dyDescent="0.3">
      <c r="A208" s="107"/>
      <c r="B208" s="108"/>
      <c r="C208" s="109"/>
      <c r="D208" s="110"/>
      <c r="E208" s="111"/>
      <c r="F208" s="110"/>
      <c r="G208" s="97"/>
      <c r="H208" s="97"/>
    </row>
    <row r="209" spans="1:8" x14ac:dyDescent="0.3">
      <c r="A209" s="107"/>
      <c r="B209" s="108"/>
      <c r="C209" s="109"/>
      <c r="D209" s="110"/>
      <c r="E209" s="111"/>
      <c r="F209" s="110"/>
      <c r="G209" s="97"/>
      <c r="H209" s="97"/>
    </row>
    <row r="210" spans="1:8" x14ac:dyDescent="0.3">
      <c r="A210" s="107"/>
      <c r="B210" s="108"/>
      <c r="C210" s="109"/>
      <c r="D210" s="110"/>
      <c r="E210" s="111"/>
      <c r="F210" s="110"/>
      <c r="G210" s="97"/>
      <c r="H210" s="97"/>
    </row>
    <row r="211" spans="1:8" x14ac:dyDescent="0.3">
      <c r="A211" s="107"/>
      <c r="B211" s="108"/>
      <c r="C211" s="109"/>
      <c r="D211" s="110"/>
      <c r="E211" s="111"/>
      <c r="F211" s="110"/>
      <c r="G211" s="97"/>
      <c r="H211" s="97"/>
    </row>
    <row r="212" spans="1:8" x14ac:dyDescent="0.3">
      <c r="A212" s="107"/>
      <c r="B212" s="108"/>
      <c r="C212" s="109"/>
      <c r="D212" s="110"/>
      <c r="E212" s="111"/>
      <c r="F212" s="110"/>
      <c r="G212" s="97"/>
      <c r="H212" s="97"/>
    </row>
    <row r="213" spans="1:8" x14ac:dyDescent="0.3">
      <c r="A213" s="107"/>
      <c r="B213" s="108"/>
      <c r="C213" s="109"/>
      <c r="D213" s="110"/>
      <c r="E213" s="111"/>
      <c r="F213" s="110"/>
      <c r="G213" s="97"/>
      <c r="H213" s="97"/>
    </row>
    <row r="214" spans="1:8" x14ac:dyDescent="0.3">
      <c r="A214" s="107"/>
      <c r="B214" s="108"/>
      <c r="C214" s="109"/>
      <c r="D214" s="110"/>
      <c r="E214" s="111"/>
      <c r="F214" s="110"/>
      <c r="G214" s="97"/>
      <c r="H214" s="97"/>
    </row>
    <row r="215" spans="1:8" x14ac:dyDescent="0.3">
      <c r="A215" s="112"/>
      <c r="B215" s="113"/>
      <c r="C215" s="109"/>
      <c r="D215" s="110"/>
      <c r="E215" s="111"/>
      <c r="F215" s="110"/>
      <c r="G215" s="97"/>
      <c r="H215" s="97"/>
    </row>
    <row r="216" spans="1:8" x14ac:dyDescent="0.3">
      <c r="A216" s="107"/>
      <c r="B216" s="108"/>
      <c r="C216" s="109"/>
      <c r="D216" s="110"/>
      <c r="E216" s="111"/>
      <c r="F216" s="110"/>
      <c r="G216" s="97"/>
      <c r="H216" s="97"/>
    </row>
    <row r="217" spans="1:8" x14ac:dyDescent="0.3">
      <c r="A217" s="107"/>
      <c r="B217" s="108"/>
      <c r="C217" s="109"/>
      <c r="D217" s="110"/>
      <c r="E217" s="111"/>
      <c r="F217" s="110"/>
      <c r="G217" s="97"/>
      <c r="H217" s="97"/>
    </row>
    <row r="218" spans="1:8" x14ac:dyDescent="0.3">
      <c r="A218" s="107"/>
      <c r="B218" s="108"/>
      <c r="C218" s="109"/>
      <c r="D218" s="110"/>
      <c r="E218" s="111"/>
      <c r="F218" s="110"/>
      <c r="G218" s="97"/>
      <c r="H218" s="97"/>
    </row>
    <row r="219" spans="1:8" x14ac:dyDescent="0.3">
      <c r="A219" s="107"/>
      <c r="B219" s="108"/>
      <c r="C219" s="109"/>
      <c r="D219" s="110"/>
      <c r="E219" s="111"/>
      <c r="F219" s="110"/>
      <c r="G219" s="97"/>
      <c r="H219" s="97"/>
    </row>
    <row r="220" spans="1:8" x14ac:dyDescent="0.3">
      <c r="A220" s="107"/>
      <c r="B220" s="108"/>
      <c r="C220" s="109"/>
      <c r="D220" s="110"/>
      <c r="E220" s="111"/>
      <c r="F220" s="110"/>
      <c r="G220" s="97"/>
      <c r="H220" s="97"/>
    </row>
    <row r="221" spans="1:8" x14ac:dyDescent="0.3">
      <c r="A221" s="107"/>
      <c r="B221" s="108"/>
      <c r="C221" s="109"/>
      <c r="D221" s="110"/>
      <c r="E221" s="111"/>
      <c r="F221" s="110"/>
      <c r="G221" s="97"/>
      <c r="H221" s="97"/>
    </row>
    <row r="222" spans="1:8" x14ac:dyDescent="0.3">
      <c r="A222" s="107"/>
      <c r="B222" s="108"/>
      <c r="C222" s="114"/>
      <c r="D222" s="97"/>
      <c r="E222" s="115"/>
      <c r="F222" s="97"/>
      <c r="G222" s="97"/>
      <c r="H222" s="97"/>
    </row>
    <row r="223" spans="1:8" x14ac:dyDescent="0.3">
      <c r="A223" s="116"/>
      <c r="B223" s="156"/>
      <c r="C223" s="118"/>
      <c r="D223" s="156"/>
      <c r="E223" s="115"/>
      <c r="F223" s="156"/>
      <c r="G223" s="97"/>
      <c r="H223" s="97"/>
    </row>
    <row r="224" spans="1:8" x14ac:dyDescent="0.3">
      <c r="A224" s="119"/>
      <c r="B224" s="157"/>
      <c r="C224" s="114"/>
      <c r="D224" s="110"/>
      <c r="E224" s="115"/>
      <c r="F224" s="110"/>
      <c r="G224" s="97"/>
      <c r="H224" s="97"/>
    </row>
    <row r="225" spans="1:8" x14ac:dyDescent="0.3">
      <c r="A225" s="119"/>
      <c r="B225" s="113"/>
      <c r="C225" s="109"/>
      <c r="D225" s="121"/>
      <c r="E225" s="115"/>
      <c r="F225" s="110"/>
      <c r="G225" s="97"/>
      <c r="H225" s="97"/>
    </row>
    <row r="226" spans="1:8" x14ac:dyDescent="0.3">
      <c r="A226" s="119"/>
      <c r="B226" s="157"/>
      <c r="C226" s="114"/>
      <c r="D226" s="120"/>
      <c r="E226" s="115"/>
      <c r="F226" s="110"/>
      <c r="G226" s="97"/>
      <c r="H226" s="97"/>
    </row>
    <row r="227" spans="1:8" x14ac:dyDescent="0.3">
      <c r="A227" s="116"/>
      <c r="B227" s="156"/>
      <c r="C227" s="118"/>
      <c r="D227" s="117"/>
      <c r="E227" s="115"/>
      <c r="F227" s="110"/>
      <c r="G227" s="97"/>
      <c r="H227" s="97"/>
    </row>
    <row r="228" spans="1:8" x14ac:dyDescent="0.3">
      <c r="A228" s="119"/>
      <c r="B228" s="120"/>
      <c r="C228" s="114"/>
      <c r="D228" s="120"/>
      <c r="E228" s="115"/>
      <c r="F228" s="110"/>
      <c r="G228" s="97"/>
      <c r="H228" s="97"/>
    </row>
    <row r="229" spans="1:8" x14ac:dyDescent="0.3">
      <c r="A229" s="97"/>
      <c r="B229" s="97"/>
      <c r="C229" s="97"/>
      <c r="D229" s="97"/>
      <c r="E229" s="97"/>
      <c r="F229" s="97"/>
      <c r="G229" s="97"/>
      <c r="H229" s="97"/>
    </row>
    <row r="230" spans="1:8" x14ac:dyDescent="0.3">
      <c r="A230" s="97"/>
      <c r="B230" s="97"/>
      <c r="C230" s="97"/>
      <c r="D230" s="97"/>
      <c r="E230" s="97"/>
      <c r="F230" s="97"/>
      <c r="G230" s="97"/>
      <c r="H230" s="97"/>
    </row>
    <row r="231" spans="1:8" x14ac:dyDescent="0.3">
      <c r="A231" s="97"/>
      <c r="B231" s="97"/>
      <c r="C231" s="97"/>
      <c r="D231" s="97"/>
      <c r="E231" s="97"/>
      <c r="F231" s="97"/>
      <c r="G231" s="97"/>
      <c r="H231" s="97"/>
    </row>
    <row r="232" spans="1:8" x14ac:dyDescent="0.3">
      <c r="A232" s="97"/>
      <c r="B232" s="97"/>
      <c r="C232" s="97"/>
      <c r="D232" s="97"/>
      <c r="E232" s="97"/>
      <c r="F232" s="97"/>
      <c r="G232" s="97"/>
      <c r="H232" s="97"/>
    </row>
  </sheetData>
  <phoneticPr fontId="8" type="noConversion"/>
  <pageMargins left="0.75" right="0.75" top="1" bottom="1" header="0.5" footer="0.5"/>
  <pageSetup scale="4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4"/>
  <sheetViews>
    <sheetView workbookViewId="0">
      <selection activeCell="C25" sqref="C25"/>
    </sheetView>
  </sheetViews>
  <sheetFormatPr defaultRowHeight="15.6" x14ac:dyDescent="0.3"/>
  <cols>
    <col min="1" max="1" width="4.3984375" customWidth="1"/>
    <col min="2" max="2" width="1.59765625" customWidth="1"/>
    <col min="3" max="3" width="40.09765625" customWidth="1"/>
    <col min="4" max="4" width="1.5" customWidth="1"/>
    <col min="5" max="6" width="1.19921875" customWidth="1"/>
    <col min="7" max="7" width="7.69921875" customWidth="1"/>
    <col min="8" max="8" width="1.19921875" customWidth="1"/>
    <col min="9" max="9" width="15.3984375" customWidth="1"/>
    <col min="10" max="10" width="1.69921875" customWidth="1"/>
    <col min="11" max="11" width="10" customWidth="1"/>
    <col min="12" max="12" width="1.8984375" customWidth="1"/>
    <col min="13" max="13" width="7.3984375" customWidth="1"/>
    <col min="14" max="14" width="1.59765625" customWidth="1"/>
    <col min="15" max="15" width="11.5" customWidth="1"/>
  </cols>
  <sheetData>
    <row r="1" spans="1:15" x14ac:dyDescent="0.3">
      <c r="A1" t="s">
        <v>523</v>
      </c>
      <c r="K1" t="s">
        <v>554</v>
      </c>
      <c r="M1" s="16"/>
      <c r="N1" s="16"/>
      <c r="O1" s="16"/>
    </row>
    <row r="2" spans="1:15" x14ac:dyDescent="0.3">
      <c r="A2" t="s">
        <v>186</v>
      </c>
      <c r="K2" t="s">
        <v>567</v>
      </c>
      <c r="M2" s="16"/>
      <c r="N2" s="16"/>
      <c r="O2" s="16"/>
    </row>
    <row r="3" spans="1:15" x14ac:dyDescent="0.3">
      <c r="A3" t="s">
        <v>187</v>
      </c>
      <c r="K3" t="s">
        <v>537</v>
      </c>
      <c r="M3" s="16"/>
      <c r="N3" s="16"/>
      <c r="O3" s="16"/>
    </row>
    <row r="4" spans="1:15" x14ac:dyDescent="0.3">
      <c r="A4" t="s">
        <v>110</v>
      </c>
      <c r="K4" t="s">
        <v>568</v>
      </c>
      <c r="M4" s="16"/>
      <c r="N4" s="16"/>
      <c r="O4" s="16"/>
    </row>
    <row r="5" spans="1:15" x14ac:dyDescent="0.3">
      <c r="A5" t="s">
        <v>188</v>
      </c>
      <c r="M5" s="16"/>
      <c r="N5" s="16"/>
      <c r="O5" s="16"/>
    </row>
    <row r="6" spans="1:15" x14ac:dyDescent="0.3">
      <c r="A6" s="16"/>
      <c r="B6" s="16"/>
      <c r="C6" s="16"/>
      <c r="D6" s="16"/>
      <c r="E6" s="16"/>
      <c r="F6" s="16"/>
      <c r="G6" s="16"/>
      <c r="H6" s="16"/>
      <c r="I6" s="16"/>
      <c r="J6" s="16"/>
      <c r="K6" s="16"/>
      <c r="L6" s="16"/>
      <c r="M6" s="16"/>
      <c r="N6" s="16"/>
      <c r="O6" s="16"/>
    </row>
    <row r="7" spans="1:15" x14ac:dyDescent="0.3">
      <c r="A7" s="16"/>
      <c r="B7" s="16"/>
      <c r="C7" s="16"/>
      <c r="D7" s="16"/>
      <c r="E7" s="16"/>
      <c r="F7" s="16"/>
      <c r="G7" s="16"/>
      <c r="H7" s="16"/>
      <c r="I7" s="16"/>
      <c r="J7" s="16"/>
      <c r="K7" s="16"/>
      <c r="L7" s="16"/>
      <c r="M7" s="16"/>
      <c r="N7" s="16"/>
      <c r="O7" s="16"/>
    </row>
    <row r="8" spans="1:15" x14ac:dyDescent="0.3">
      <c r="G8" s="1"/>
      <c r="H8" s="1"/>
      <c r="I8" s="1" t="s">
        <v>4</v>
      </c>
      <c r="J8" s="1"/>
      <c r="K8" s="1"/>
      <c r="L8" s="1"/>
      <c r="M8" s="1"/>
      <c r="N8" s="1"/>
      <c r="O8" s="1" t="s">
        <v>184</v>
      </c>
    </row>
    <row r="9" spans="1:15" x14ac:dyDescent="0.3">
      <c r="A9" s="4"/>
      <c r="C9" s="2" t="s">
        <v>1</v>
      </c>
      <c r="D9" s="4"/>
      <c r="E9" s="14"/>
      <c r="G9" s="10" t="s">
        <v>10</v>
      </c>
      <c r="H9" s="1"/>
      <c r="I9" s="10" t="s">
        <v>6</v>
      </c>
      <c r="J9" s="1"/>
      <c r="K9" s="10" t="s">
        <v>7</v>
      </c>
      <c r="L9" s="1"/>
      <c r="M9" s="11" t="s">
        <v>9</v>
      </c>
      <c r="N9" s="1"/>
      <c r="O9" s="10" t="s">
        <v>8</v>
      </c>
    </row>
    <row r="11" spans="1:15" x14ac:dyDescent="0.3">
      <c r="C11" s="3" t="s">
        <v>11</v>
      </c>
    </row>
    <row r="13" spans="1:15" x14ac:dyDescent="0.3">
      <c r="A13">
        <v>1</v>
      </c>
      <c r="C13" t="s">
        <v>111</v>
      </c>
      <c r="G13" s="52" t="s">
        <v>101</v>
      </c>
      <c r="I13" s="44">
        <f>I22</f>
        <v>-11724012.151307762</v>
      </c>
      <c r="K13" s="1" t="s">
        <v>102</v>
      </c>
      <c r="L13" s="1"/>
      <c r="M13" s="1" t="s">
        <v>102</v>
      </c>
      <c r="O13" s="44">
        <f>PensionP2!F90</f>
        <v>-761546.89886797557</v>
      </c>
    </row>
    <row r="16" spans="1:15" x14ac:dyDescent="0.3">
      <c r="I16" s="44"/>
    </row>
    <row r="17" spans="1:15" x14ac:dyDescent="0.3">
      <c r="C17" s="3" t="s">
        <v>104</v>
      </c>
      <c r="I17" s="44"/>
    </row>
    <row r="18" spans="1:15" x14ac:dyDescent="0.3">
      <c r="A18" t="s">
        <v>105</v>
      </c>
      <c r="C18" s="18" t="s">
        <v>262</v>
      </c>
      <c r="D18" s="4"/>
      <c r="E18" s="4"/>
      <c r="F18" s="4"/>
      <c r="G18" s="4"/>
      <c r="H18" s="4"/>
      <c r="I18" s="47">
        <v>39131821</v>
      </c>
      <c r="J18" s="4"/>
      <c r="K18" t="s">
        <v>271</v>
      </c>
    </row>
    <row r="19" spans="1:15" x14ac:dyDescent="0.3">
      <c r="A19" t="s">
        <v>106</v>
      </c>
      <c r="C19" t="s">
        <v>263</v>
      </c>
      <c r="I19" s="233">
        <v>22355021</v>
      </c>
      <c r="K19" t="s">
        <v>563</v>
      </c>
    </row>
    <row r="20" spans="1:15" x14ac:dyDescent="0.3">
      <c r="A20" t="s">
        <v>107</v>
      </c>
      <c r="C20" t="s">
        <v>264</v>
      </c>
      <c r="I20" s="47">
        <f>I19-I18</f>
        <v>-16776800</v>
      </c>
      <c r="K20" t="s">
        <v>265</v>
      </c>
    </row>
    <row r="21" spans="1:15" x14ac:dyDescent="0.3">
      <c r="A21" s="4" t="s">
        <v>108</v>
      </c>
      <c r="B21" s="4"/>
      <c r="C21" s="18" t="s">
        <v>152</v>
      </c>
      <c r="D21" s="4"/>
      <c r="E21" s="4"/>
      <c r="F21" s="4"/>
      <c r="G21" s="4"/>
      <c r="H21" s="4"/>
      <c r="I21" s="78">
        <f>1-(211320424/701648396)</f>
        <v>0.69882290730698116</v>
      </c>
      <c r="J21" s="4"/>
    </row>
    <row r="22" spans="1:15" x14ac:dyDescent="0.3">
      <c r="A22" s="18" t="s">
        <v>109</v>
      </c>
      <c r="B22" s="4"/>
      <c r="C22" s="18" t="s">
        <v>560</v>
      </c>
      <c r="D22" s="4"/>
      <c r="E22" s="4"/>
      <c r="F22" s="4"/>
      <c r="G22" s="4"/>
      <c r="H22" s="4"/>
      <c r="I22" s="79">
        <f>I20*I21</f>
        <v>-11724012.151307762</v>
      </c>
      <c r="J22" s="4"/>
      <c r="O22" s="6"/>
    </row>
    <row r="23" spans="1:15" x14ac:dyDescent="0.3">
      <c r="A23" s="4"/>
      <c r="B23" s="4"/>
    </row>
    <row r="24" spans="1:15" x14ac:dyDescent="0.3">
      <c r="A24" s="4"/>
      <c r="B24" s="4"/>
      <c r="C24" s="18"/>
      <c r="D24" s="4"/>
      <c r="E24" s="4"/>
      <c r="F24" s="4"/>
      <c r="G24" s="4"/>
      <c r="H24" s="4"/>
      <c r="I24" s="47"/>
      <c r="J24" s="4"/>
      <c r="K24" s="4"/>
      <c r="L24" s="4"/>
      <c r="M24" s="4"/>
    </row>
    <row r="25" spans="1:15" x14ac:dyDescent="0.3">
      <c r="A25" s="4"/>
      <c r="B25" s="4"/>
      <c r="C25" s="18"/>
      <c r="D25" s="4"/>
      <c r="E25" s="4"/>
      <c r="F25" s="4"/>
      <c r="G25" s="4"/>
      <c r="H25" s="4"/>
      <c r="I25" s="20"/>
      <c r="J25" s="4"/>
      <c r="K25" s="4"/>
      <c r="L25" s="4"/>
      <c r="M25" s="4"/>
    </row>
    <row r="26" spans="1:15" x14ac:dyDescent="0.3">
      <c r="A26" s="4"/>
      <c r="B26" s="4"/>
      <c r="C26" s="18"/>
      <c r="D26" s="4"/>
      <c r="E26" s="4"/>
      <c r="F26" s="4"/>
      <c r="G26" s="4"/>
      <c r="H26" s="4"/>
      <c r="I26" s="47"/>
      <c r="J26" s="4"/>
      <c r="K26" s="4"/>
      <c r="L26" s="4"/>
      <c r="M26" s="4"/>
    </row>
    <row r="27" spans="1:15" x14ac:dyDescent="0.3">
      <c r="A27" s="4"/>
      <c r="B27" s="4"/>
      <c r="C27" s="4"/>
      <c r="D27" s="4"/>
      <c r="E27" s="4"/>
      <c r="F27" s="4"/>
      <c r="G27" s="4"/>
      <c r="H27" s="4"/>
      <c r="I27" s="47"/>
      <c r="J27" s="4"/>
      <c r="K27" s="4"/>
      <c r="L27" s="4"/>
      <c r="M27" s="4"/>
    </row>
    <row r="28" spans="1:15" x14ac:dyDescent="0.3">
      <c r="A28" s="4"/>
      <c r="B28" s="4"/>
      <c r="C28" s="4"/>
      <c r="D28" s="4"/>
      <c r="E28" s="4"/>
      <c r="F28" s="4"/>
      <c r="G28" s="4"/>
      <c r="H28" s="4"/>
      <c r="I28" s="4"/>
      <c r="J28" s="4"/>
      <c r="K28" s="4"/>
      <c r="L28" s="4"/>
      <c r="M28" s="4"/>
    </row>
    <row r="29" spans="1:15" x14ac:dyDescent="0.3">
      <c r="A29" s="4"/>
      <c r="B29" s="4"/>
      <c r="C29" s="4"/>
      <c r="D29" s="4"/>
      <c r="E29" s="4"/>
      <c r="F29" s="4"/>
      <c r="G29" s="4"/>
      <c r="H29" s="4"/>
      <c r="I29" s="4"/>
      <c r="J29" s="4"/>
      <c r="K29" s="4"/>
      <c r="L29" s="4"/>
      <c r="M29" s="4"/>
    </row>
    <row r="30" spans="1:15" x14ac:dyDescent="0.3">
      <c r="C30" t="s">
        <v>103</v>
      </c>
    </row>
    <row r="31" spans="1:15" x14ac:dyDescent="0.3">
      <c r="C31" s="246" t="s">
        <v>562</v>
      </c>
      <c r="D31" s="247"/>
      <c r="E31" s="247"/>
      <c r="F31" s="247"/>
      <c r="G31" s="247"/>
      <c r="H31" s="247"/>
      <c r="I31" s="247"/>
      <c r="J31" s="247"/>
      <c r="K31" s="247"/>
      <c r="L31" s="247"/>
      <c r="M31" s="247"/>
      <c r="N31" s="247"/>
      <c r="O31" s="248"/>
    </row>
    <row r="32" spans="1:15" x14ac:dyDescent="0.3">
      <c r="C32" s="249"/>
      <c r="D32" s="250"/>
      <c r="E32" s="250"/>
      <c r="F32" s="250"/>
      <c r="G32" s="250"/>
      <c r="H32" s="250"/>
      <c r="I32" s="250"/>
      <c r="J32" s="250"/>
      <c r="K32" s="250"/>
      <c r="L32" s="250"/>
      <c r="M32" s="250"/>
      <c r="N32" s="250"/>
      <c r="O32" s="251"/>
    </row>
    <row r="33" spans="3:15" x14ac:dyDescent="0.3">
      <c r="C33" s="249"/>
      <c r="D33" s="250"/>
      <c r="E33" s="250"/>
      <c r="F33" s="250"/>
      <c r="G33" s="250"/>
      <c r="H33" s="250"/>
      <c r="I33" s="250"/>
      <c r="J33" s="250"/>
      <c r="K33" s="250"/>
      <c r="L33" s="250"/>
      <c r="M33" s="250"/>
      <c r="N33" s="250"/>
      <c r="O33" s="251"/>
    </row>
    <row r="34" spans="3:15" x14ac:dyDescent="0.3">
      <c r="C34" s="252"/>
      <c r="D34" s="253"/>
      <c r="E34" s="253"/>
      <c r="F34" s="253"/>
      <c r="G34" s="253"/>
      <c r="H34" s="253"/>
      <c r="I34" s="253"/>
      <c r="J34" s="253"/>
      <c r="K34" s="253"/>
      <c r="L34" s="253"/>
      <c r="M34" s="253"/>
      <c r="N34" s="253"/>
      <c r="O34" s="254"/>
    </row>
  </sheetData>
  <mergeCells count="1">
    <mergeCell ref="C31:O34"/>
  </mergeCells>
  <phoneticPr fontId="8" type="noConversion"/>
  <pageMargins left="0.75" right="0.75" top="1" bottom="1" header="0.5" footer="0.5"/>
  <pageSetup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0"/>
  <sheetViews>
    <sheetView workbookViewId="0">
      <selection activeCell="C25" sqref="C25"/>
    </sheetView>
  </sheetViews>
  <sheetFormatPr defaultColWidth="9" defaultRowHeight="15.6" x14ac:dyDescent="0.3"/>
  <cols>
    <col min="1" max="1" width="17.59765625" style="82" customWidth="1"/>
    <col min="2" max="2" width="14.69921875" style="82" customWidth="1"/>
    <col min="3" max="3" width="9.59765625" style="82" customWidth="1"/>
    <col min="4" max="4" width="12" style="82" customWidth="1"/>
    <col min="5" max="5" width="10.8984375" style="82" customWidth="1"/>
    <col min="6" max="6" width="12.09765625" style="82" customWidth="1"/>
    <col min="7" max="16384" width="9" style="82"/>
  </cols>
  <sheetData>
    <row r="1" spans="1:10" x14ac:dyDescent="0.3">
      <c r="A1" s="82" t="s">
        <v>524</v>
      </c>
      <c r="B1"/>
      <c r="C1"/>
      <c r="D1"/>
      <c r="E1" t="s">
        <v>554</v>
      </c>
    </row>
    <row r="2" spans="1:10" x14ac:dyDescent="0.3">
      <c r="A2" t="s">
        <v>186</v>
      </c>
      <c r="B2"/>
      <c r="C2"/>
      <c r="D2"/>
      <c r="E2" t="s">
        <v>567</v>
      </c>
    </row>
    <row r="3" spans="1:10" x14ac:dyDescent="0.3">
      <c r="A3" t="s">
        <v>187</v>
      </c>
      <c r="B3"/>
      <c r="C3"/>
      <c r="D3"/>
      <c r="E3" t="s">
        <v>536</v>
      </c>
    </row>
    <row r="4" spans="1:10" x14ac:dyDescent="0.3">
      <c r="A4" t="s">
        <v>110</v>
      </c>
      <c r="B4"/>
      <c r="C4"/>
      <c r="D4"/>
      <c r="E4" t="s">
        <v>569</v>
      </c>
    </row>
    <row r="5" spans="1:10" ht="15" customHeight="1" x14ac:dyDescent="0.3">
      <c r="A5" t="s">
        <v>188</v>
      </c>
      <c r="B5"/>
      <c r="C5"/>
      <c r="D5"/>
      <c r="E5"/>
      <c r="F5"/>
      <c r="H5" s="97"/>
      <c r="I5" s="97"/>
      <c r="J5" s="97"/>
    </row>
    <row r="6" spans="1:10" x14ac:dyDescent="0.3">
      <c r="A6" s="122"/>
      <c r="B6" s="123" t="s">
        <v>64</v>
      </c>
      <c r="C6" s="124"/>
      <c r="D6" s="30" t="s">
        <v>231</v>
      </c>
      <c r="E6" s="30" t="s">
        <v>8</v>
      </c>
      <c r="F6" s="30" t="s">
        <v>184</v>
      </c>
      <c r="H6" s="97"/>
      <c r="I6" s="97"/>
      <c r="J6" s="97"/>
    </row>
    <row r="7" spans="1:10" x14ac:dyDescent="0.3">
      <c r="A7" s="125" t="s">
        <v>99</v>
      </c>
      <c r="B7" s="126" t="s">
        <v>197</v>
      </c>
      <c r="C7" s="127" t="s">
        <v>8</v>
      </c>
      <c r="D7" s="128" t="s">
        <v>100</v>
      </c>
      <c r="E7" s="128" t="s">
        <v>96</v>
      </c>
      <c r="F7" s="128" t="s">
        <v>2</v>
      </c>
      <c r="H7" s="97"/>
      <c r="I7" s="97"/>
      <c r="J7" s="97"/>
    </row>
    <row r="8" spans="1:10" x14ac:dyDescent="0.3">
      <c r="A8" s="136" t="s">
        <v>198</v>
      </c>
      <c r="B8" s="137">
        <v>72805758.877121493</v>
      </c>
      <c r="C8" s="138">
        <f>B8/$B$94</f>
        <v>0.10376387849359243</v>
      </c>
      <c r="D8" s="134">
        <f>C8*$D$94</f>
        <v>-1740825.8367113015</v>
      </c>
      <c r="E8" s="152">
        <v>0</v>
      </c>
      <c r="F8" s="134">
        <f>D8*E8</f>
        <v>0</v>
      </c>
      <c r="G8" s="97"/>
      <c r="H8" s="97"/>
      <c r="I8" s="97"/>
      <c r="J8" s="97"/>
    </row>
    <row r="9" spans="1:10" x14ac:dyDescent="0.3">
      <c r="A9" s="136" t="s">
        <v>199</v>
      </c>
      <c r="B9" s="137">
        <v>5004257.3462908678</v>
      </c>
      <c r="C9" s="138">
        <f t="shared" ref="C9:C72" si="0">B9/$B$94</f>
        <v>7.1321439298171465E-3</v>
      </c>
      <c r="D9" s="134">
        <f t="shared" ref="D9:D72" si="1">C9*$D$94</f>
        <v>-119654.5522817563</v>
      </c>
      <c r="E9" s="152">
        <v>0.22953887558714423</v>
      </c>
      <c r="F9" s="134">
        <f t="shared" ref="F9:F72" si="2">D9*E9</f>
        <v>-27465.371389637505</v>
      </c>
      <c r="G9" s="97"/>
      <c r="H9" s="97"/>
      <c r="I9" s="97"/>
      <c r="J9" s="97"/>
    </row>
    <row r="10" spans="1:10" x14ac:dyDescent="0.3">
      <c r="A10" s="136" t="s">
        <v>66</v>
      </c>
      <c r="B10" s="137">
        <v>28134</v>
      </c>
      <c r="C10" s="138">
        <f t="shared" si="0"/>
        <v>4.0097006096259361E-5</v>
      </c>
      <c r="D10" s="134">
        <f t="shared" si="1"/>
        <v>-672.69945187572409</v>
      </c>
      <c r="E10" s="152">
        <v>7.9057273540331513E-2</v>
      </c>
      <c r="F10" s="134">
        <f t="shared" si="2"/>
        <v>-53.181784577370195</v>
      </c>
      <c r="G10" s="97"/>
      <c r="H10" s="97"/>
      <c r="I10" s="97"/>
      <c r="J10" s="97"/>
    </row>
    <row r="11" spans="1:10" x14ac:dyDescent="0.3">
      <c r="A11" s="139" t="s">
        <v>200</v>
      </c>
      <c r="B11" s="140">
        <v>1059194.5785257067</v>
      </c>
      <c r="C11" s="138">
        <f t="shared" si="0"/>
        <v>1.5095802755480956E-3</v>
      </c>
      <c r="D11" s="134">
        <f t="shared" si="1"/>
        <v>-25325.926366815289</v>
      </c>
      <c r="E11" s="152">
        <v>0</v>
      </c>
      <c r="F11" s="134">
        <f t="shared" si="2"/>
        <v>0</v>
      </c>
      <c r="G11" s="97"/>
      <c r="H11" s="97"/>
      <c r="I11" s="97"/>
      <c r="J11" s="97"/>
    </row>
    <row r="12" spans="1:10" x14ac:dyDescent="0.3">
      <c r="A12" s="136" t="s">
        <v>201</v>
      </c>
      <c r="B12" s="137">
        <v>657035.80752340809</v>
      </c>
      <c r="C12" s="138">
        <f t="shared" si="0"/>
        <v>9.3641745858131749E-4</v>
      </c>
      <c r="D12" s="134">
        <f t="shared" si="1"/>
        <v>-15710.088419127047</v>
      </c>
      <c r="E12" s="152">
        <v>0.22612324164332259</v>
      </c>
      <c r="F12" s="134">
        <f t="shared" si="2"/>
        <v>-3552.416119836229</v>
      </c>
      <c r="G12" s="97"/>
      <c r="H12" s="97"/>
      <c r="I12" s="97"/>
      <c r="J12" s="97"/>
    </row>
    <row r="13" spans="1:10" x14ac:dyDescent="0.3">
      <c r="A13" s="136" t="s">
        <v>67</v>
      </c>
      <c r="B13" s="137">
        <v>299330.17647259089</v>
      </c>
      <c r="C13" s="138">
        <f t="shared" si="0"/>
        <v>4.2660993498314732E-4</v>
      </c>
      <c r="D13" s="134">
        <f t="shared" si="1"/>
        <v>-7157.1495572252661</v>
      </c>
      <c r="E13" s="152">
        <v>7.5697931989234163E-2</v>
      </c>
      <c r="F13" s="134">
        <f t="shared" si="2"/>
        <v>-541.78142041961564</v>
      </c>
      <c r="G13" s="97"/>
      <c r="H13" s="97"/>
      <c r="I13" s="97"/>
      <c r="J13" s="97"/>
    </row>
    <row r="14" spans="1:10" x14ac:dyDescent="0.3">
      <c r="A14" s="136" t="s">
        <v>202</v>
      </c>
      <c r="B14" s="137">
        <v>3701.0899999999997</v>
      </c>
      <c r="C14" s="138">
        <f t="shared" si="0"/>
        <v>5.2748499428735527E-6</v>
      </c>
      <c r="D14" s="134">
        <f t="shared" si="1"/>
        <v>-88.495102521601012</v>
      </c>
      <c r="E14" s="152">
        <v>0.23084885646883446</v>
      </c>
      <c r="F14" s="134">
        <f t="shared" si="2"/>
        <v>-20.428993220203864</v>
      </c>
      <c r="G14" s="97"/>
      <c r="H14" s="97"/>
      <c r="I14" s="97"/>
      <c r="J14" s="97"/>
    </row>
    <row r="15" spans="1:10" x14ac:dyDescent="0.3">
      <c r="A15" s="136" t="s">
        <v>203</v>
      </c>
      <c r="B15" s="137">
        <v>29914945.100075848</v>
      </c>
      <c r="C15" s="138">
        <f t="shared" si="0"/>
        <v>4.2635236228300469E-2</v>
      </c>
      <c r="D15" s="134">
        <f t="shared" si="1"/>
        <v>-715282.83115495136</v>
      </c>
      <c r="E15" s="152">
        <v>0</v>
      </c>
      <c r="F15" s="134">
        <f t="shared" si="2"/>
        <v>0</v>
      </c>
      <c r="G15" s="97"/>
      <c r="H15" s="97"/>
      <c r="I15" s="97"/>
      <c r="J15" s="97"/>
    </row>
    <row r="16" spans="1:10" x14ac:dyDescent="0.3">
      <c r="A16" s="136" t="s">
        <v>204</v>
      </c>
      <c r="B16" s="137">
        <v>19827025.255018521</v>
      </c>
      <c r="C16" s="138">
        <f t="shared" si="0"/>
        <v>2.8257778933715998E-2</v>
      </c>
      <c r="D16" s="134">
        <f t="shared" si="1"/>
        <v>-474075.10561516654</v>
      </c>
      <c r="E16" s="152">
        <v>0.22953887558714423</v>
      </c>
      <c r="F16" s="134">
        <f t="shared" si="2"/>
        <v>-108818.66668676196</v>
      </c>
      <c r="G16" s="97"/>
      <c r="H16" s="97"/>
      <c r="I16" s="97"/>
      <c r="J16" s="97"/>
    </row>
    <row r="17" spans="1:10" x14ac:dyDescent="0.3">
      <c r="A17" s="136" t="s">
        <v>205</v>
      </c>
      <c r="B17" s="137">
        <v>-187198.16058377374</v>
      </c>
      <c r="C17" s="138">
        <f t="shared" si="0"/>
        <v>-2.6679767491775481E-4</v>
      </c>
      <c r="D17" s="134">
        <f t="shared" si="1"/>
        <v>4476.0112325601885</v>
      </c>
      <c r="E17" s="152">
        <v>0.23084885646883446</v>
      </c>
      <c r="F17" s="134">
        <f t="shared" si="2"/>
        <v>1033.2820745781778</v>
      </c>
      <c r="G17" s="97"/>
      <c r="H17" s="97"/>
      <c r="I17" s="97"/>
      <c r="J17" s="97"/>
    </row>
    <row r="18" spans="1:10" x14ac:dyDescent="0.3">
      <c r="A18" s="136" t="s">
        <v>206</v>
      </c>
      <c r="B18" s="137">
        <v>6266650.0927001694</v>
      </c>
      <c r="C18" s="138">
        <f t="shared" si="0"/>
        <v>8.9313253348305595E-3</v>
      </c>
      <c r="D18" s="134">
        <f t="shared" si="1"/>
        <v>-149839.05887738534</v>
      </c>
      <c r="E18" s="152">
        <v>0</v>
      </c>
      <c r="F18" s="134">
        <f t="shared" si="2"/>
        <v>0</v>
      </c>
      <c r="G18" s="97"/>
      <c r="H18" s="97"/>
      <c r="I18" s="97"/>
      <c r="J18" s="97"/>
    </row>
    <row r="19" spans="1:10" x14ac:dyDescent="0.3">
      <c r="A19" s="136" t="s">
        <v>207</v>
      </c>
      <c r="B19" s="137">
        <v>8273337.0296269003</v>
      </c>
      <c r="C19" s="138">
        <f t="shared" si="0"/>
        <v>1.1791286177342651E-2</v>
      </c>
      <c r="D19" s="134">
        <f t="shared" si="1"/>
        <v>-197820.0499400422</v>
      </c>
      <c r="E19" s="152">
        <v>0.23084885646883446</v>
      </c>
      <c r="F19" s="134">
        <f t="shared" si="2"/>
        <v>-45666.532315266464</v>
      </c>
      <c r="G19" s="97"/>
      <c r="H19" s="97"/>
      <c r="I19" s="97"/>
      <c r="J19" s="97"/>
    </row>
    <row r="20" spans="1:10" x14ac:dyDescent="0.3">
      <c r="A20" s="136" t="s">
        <v>208</v>
      </c>
      <c r="B20" s="137">
        <v>3408722.215469243</v>
      </c>
      <c r="C20" s="138">
        <f t="shared" si="0"/>
        <v>4.858162915124936E-3</v>
      </c>
      <c r="D20" s="134">
        <f t="shared" si="1"/>
        <v>-81504.427594468027</v>
      </c>
      <c r="E20" s="152">
        <v>0.23084885646883446</v>
      </c>
      <c r="F20" s="134">
        <f t="shared" si="2"/>
        <v>-18815.203907329862</v>
      </c>
      <c r="G20" s="97"/>
      <c r="H20" s="97"/>
      <c r="I20" s="97"/>
      <c r="J20" s="97"/>
    </row>
    <row r="21" spans="1:10" x14ac:dyDescent="0.3">
      <c r="A21" s="136" t="s">
        <v>209</v>
      </c>
      <c r="B21" s="137">
        <v>1239752.5874200864</v>
      </c>
      <c r="C21" s="138">
        <f t="shared" si="0"/>
        <v>1.766914304956157E-3</v>
      </c>
      <c r="D21" s="134">
        <f t="shared" si="1"/>
        <v>-29643.167911388453</v>
      </c>
      <c r="E21" s="152">
        <v>0</v>
      </c>
      <c r="F21" s="134">
        <f t="shared" si="2"/>
        <v>0</v>
      </c>
      <c r="G21" s="97"/>
      <c r="H21" s="97"/>
      <c r="I21" s="97"/>
      <c r="J21" s="97"/>
    </row>
    <row r="22" spans="1:10" x14ac:dyDescent="0.3">
      <c r="A22" s="136" t="s">
        <v>210</v>
      </c>
      <c r="B22" s="137">
        <v>4220655.6559829628</v>
      </c>
      <c r="C22" s="138">
        <f t="shared" si="0"/>
        <v>6.0153428438245683E-3</v>
      </c>
      <c r="D22" s="134">
        <f t="shared" si="1"/>
        <v>-100918.20382227602</v>
      </c>
      <c r="E22" s="152">
        <v>0</v>
      </c>
      <c r="F22" s="134">
        <f t="shared" si="2"/>
        <v>0</v>
      </c>
      <c r="G22" s="97"/>
      <c r="H22" s="97"/>
      <c r="I22" s="97"/>
      <c r="J22" s="97"/>
    </row>
    <row r="23" spans="1:10" x14ac:dyDescent="0.3">
      <c r="A23" s="136" t="s">
        <v>211</v>
      </c>
      <c r="B23" s="137">
        <v>1578131.5127310241</v>
      </c>
      <c r="C23" s="138">
        <f t="shared" si="0"/>
        <v>2.2491771126279545E-3</v>
      </c>
      <c r="D23" s="134">
        <f t="shared" si="1"/>
        <v>-37733.994583136664</v>
      </c>
      <c r="E23" s="152">
        <v>0.23084885646883446</v>
      </c>
      <c r="F23" s="134">
        <f t="shared" si="2"/>
        <v>-8710.8494995182937</v>
      </c>
      <c r="G23" s="97"/>
      <c r="H23" s="97"/>
      <c r="I23" s="97"/>
      <c r="J23" s="97"/>
    </row>
    <row r="24" spans="1:10" x14ac:dyDescent="0.3">
      <c r="A24" s="136" t="s">
        <v>212</v>
      </c>
      <c r="B24" s="137">
        <v>3463.0080643839146</v>
      </c>
      <c r="C24" s="138">
        <f t="shared" si="0"/>
        <v>4.9355319353450329E-6</v>
      </c>
      <c r="D24" s="134">
        <f t="shared" si="1"/>
        <v>-82.802432172896545</v>
      </c>
      <c r="E24" s="152">
        <v>0</v>
      </c>
      <c r="F24" s="134">
        <f t="shared" si="2"/>
        <v>0</v>
      </c>
      <c r="G24" s="97"/>
      <c r="H24" s="97"/>
      <c r="I24" s="97"/>
      <c r="J24" s="97"/>
    </row>
    <row r="25" spans="1:10" x14ac:dyDescent="0.3">
      <c r="A25" s="136" t="s">
        <v>68</v>
      </c>
      <c r="B25" s="137">
        <v>1950082.4103485716</v>
      </c>
      <c r="C25" s="138">
        <f t="shared" si="0"/>
        <v>2.7792872075053251E-3</v>
      </c>
      <c r="D25" s="134">
        <f t="shared" si="1"/>
        <v>-46627.545622875339</v>
      </c>
      <c r="E25" s="152">
        <v>7.9057273540331513E-2</v>
      </c>
      <c r="F25" s="134">
        <f t="shared" si="2"/>
        <v>-3686.246628821943</v>
      </c>
      <c r="G25" s="97"/>
      <c r="H25" s="97"/>
      <c r="I25" s="97"/>
      <c r="J25" s="97"/>
    </row>
    <row r="26" spans="1:10" x14ac:dyDescent="0.3">
      <c r="A26" s="136" t="s">
        <v>213</v>
      </c>
      <c r="B26" s="137">
        <v>1390972.6413808805</v>
      </c>
      <c r="C26" s="138">
        <f t="shared" si="0"/>
        <v>1.9824354333254834E-3</v>
      </c>
      <c r="D26" s="134">
        <f t="shared" si="1"/>
        <v>-33258.922777814973</v>
      </c>
      <c r="E26" s="152">
        <v>0</v>
      </c>
      <c r="F26" s="134">
        <f t="shared" si="2"/>
        <v>0</v>
      </c>
      <c r="G26" s="97"/>
      <c r="H26" s="97"/>
      <c r="I26" s="97"/>
      <c r="J26" s="97"/>
    </row>
    <row r="27" spans="1:10" x14ac:dyDescent="0.3">
      <c r="A27" s="136" t="s">
        <v>214</v>
      </c>
      <c r="B27" s="137">
        <v>807494.00649469718</v>
      </c>
      <c r="C27" s="138">
        <f t="shared" si="0"/>
        <v>1.1508527795944681E-3</v>
      </c>
      <c r="D27" s="134">
        <f t="shared" si="1"/>
        <v>-19307.626912700474</v>
      </c>
      <c r="E27" s="152">
        <v>0.23084885646883446</v>
      </c>
      <c r="F27" s="134">
        <f t="shared" si="2"/>
        <v>-4457.1435939237972</v>
      </c>
      <c r="G27" s="97"/>
      <c r="H27" s="97"/>
      <c r="I27" s="97"/>
      <c r="J27" s="97"/>
    </row>
    <row r="28" spans="1:10" x14ac:dyDescent="0.3">
      <c r="A28" s="136" t="s">
        <v>69</v>
      </c>
      <c r="B28" s="137">
        <v>26928953.147739861</v>
      </c>
      <c r="C28" s="138">
        <f t="shared" si="0"/>
        <v>3.837955493462742E-2</v>
      </c>
      <c r="D28" s="134">
        <f t="shared" si="1"/>
        <v>-643886.11722725735</v>
      </c>
      <c r="E28" s="152">
        <v>7.9057273540331513E-2</v>
      </c>
      <c r="F28" s="134">
        <f t="shared" si="2"/>
        <v>-50903.880898457246</v>
      </c>
      <c r="G28" s="97"/>
      <c r="H28" s="97"/>
      <c r="I28" s="97"/>
      <c r="J28" s="97"/>
    </row>
    <row r="29" spans="1:10" x14ac:dyDescent="0.3">
      <c r="A29" s="136" t="s">
        <v>215</v>
      </c>
      <c r="B29" s="137">
        <v>10104432.451182554</v>
      </c>
      <c r="C29" s="138">
        <f t="shared" si="0"/>
        <v>1.4400991312799736E-2</v>
      </c>
      <c r="D29" s="134">
        <f t="shared" si="1"/>
        <v>-241602.55105657861</v>
      </c>
      <c r="E29" s="152">
        <v>0</v>
      </c>
      <c r="F29" s="134">
        <f t="shared" si="2"/>
        <v>0</v>
      </c>
      <c r="G29" s="97"/>
      <c r="H29" s="97"/>
      <c r="I29" s="97"/>
      <c r="J29" s="97"/>
    </row>
    <row r="30" spans="1:10" x14ac:dyDescent="0.3">
      <c r="A30" s="136" t="s">
        <v>216</v>
      </c>
      <c r="B30" s="137">
        <v>141506.74922955746</v>
      </c>
      <c r="C30" s="138">
        <f t="shared" si="0"/>
        <v>2.0167757825120531E-4</v>
      </c>
      <c r="D30" s="134">
        <f t="shared" si="1"/>
        <v>-3383.5043948048215</v>
      </c>
      <c r="E30" s="152">
        <v>0.23084885646883446</v>
      </c>
      <c r="F30" s="134">
        <f t="shared" si="2"/>
        <v>-781.07812039796886</v>
      </c>
      <c r="G30" s="97"/>
      <c r="H30" s="97"/>
      <c r="I30" s="97"/>
      <c r="J30" s="97"/>
    </row>
    <row r="31" spans="1:10" x14ac:dyDescent="0.3">
      <c r="A31" s="136" t="s">
        <v>217</v>
      </c>
      <c r="B31" s="137">
        <v>1687548.9431406297</v>
      </c>
      <c r="C31" s="138">
        <f t="shared" si="0"/>
        <v>2.4051205040465581E-3</v>
      </c>
      <c r="D31" s="134">
        <f t="shared" si="1"/>
        <v>-40350.225672288296</v>
      </c>
      <c r="E31" s="152">
        <v>0.22953887558714423</v>
      </c>
      <c r="F31" s="134">
        <f t="shared" si="2"/>
        <v>-9261.9454305045765</v>
      </c>
      <c r="G31" s="97"/>
      <c r="H31" s="97"/>
      <c r="I31" s="97"/>
      <c r="J31" s="97"/>
    </row>
    <row r="32" spans="1:10" x14ac:dyDescent="0.3">
      <c r="A32" s="136" t="s">
        <v>218</v>
      </c>
      <c r="B32" s="137">
        <v>4197785.5916158678</v>
      </c>
      <c r="C32" s="138">
        <f t="shared" si="0"/>
        <v>5.9827480791146354E-3</v>
      </c>
      <c r="D32" s="134">
        <f t="shared" si="1"/>
        <v>-100371.36797369042</v>
      </c>
      <c r="E32" s="152">
        <v>0</v>
      </c>
      <c r="F32" s="134">
        <f t="shared" si="2"/>
        <v>0</v>
      </c>
      <c r="G32" s="97"/>
      <c r="H32" s="97"/>
      <c r="I32" s="97"/>
      <c r="J32" s="97"/>
    </row>
    <row r="33" spans="1:10" x14ac:dyDescent="0.3">
      <c r="A33" s="136" t="s">
        <v>219</v>
      </c>
      <c r="B33" s="137">
        <v>769065.97958879825</v>
      </c>
      <c r="C33" s="138">
        <f t="shared" si="0"/>
        <v>1.0960845692755286E-3</v>
      </c>
      <c r="D33" s="134">
        <f t="shared" si="1"/>
        <v>-18388.791601821689</v>
      </c>
      <c r="E33" s="152">
        <v>0.23084885646883446</v>
      </c>
      <c r="F33" s="134">
        <f t="shared" si="2"/>
        <v>-4245.0315131242442</v>
      </c>
      <c r="G33" s="97"/>
      <c r="H33" s="97"/>
      <c r="I33" s="97"/>
      <c r="J33" s="97"/>
    </row>
    <row r="34" spans="1:10" x14ac:dyDescent="0.3">
      <c r="A34" s="136" t="s">
        <v>70</v>
      </c>
      <c r="B34" s="137">
        <v>15700223.388632614</v>
      </c>
      <c r="C34" s="138">
        <f t="shared" si="0"/>
        <v>2.2376197942938641E-2</v>
      </c>
      <c r="D34" s="134">
        <f t="shared" si="1"/>
        <v>-375400.99764909298</v>
      </c>
      <c r="E34" s="152">
        <v>7.9057273540331513E-2</v>
      </c>
      <c r="F34" s="134">
        <f t="shared" si="2"/>
        <v>-29678.179358457692</v>
      </c>
      <c r="G34" s="97"/>
      <c r="H34" s="97"/>
      <c r="I34" s="97"/>
      <c r="J34" s="97"/>
    </row>
    <row r="35" spans="1:10" x14ac:dyDescent="0.3">
      <c r="A35" s="136" t="s">
        <v>220</v>
      </c>
      <c r="B35" s="137">
        <v>31739.500776958677</v>
      </c>
      <c r="C35" s="138">
        <f t="shared" si="0"/>
        <v>4.523562081985998E-5</v>
      </c>
      <c r="D35" s="134">
        <f t="shared" si="1"/>
        <v>-758.90896337062691</v>
      </c>
      <c r="E35" s="152">
        <v>0.22953887558714423</v>
      </c>
      <c r="F35" s="134">
        <f t="shared" si="2"/>
        <v>-174.19911012509891</v>
      </c>
      <c r="G35" s="97"/>
      <c r="H35" s="97"/>
      <c r="I35" s="97"/>
      <c r="J35" s="97"/>
    </row>
    <row r="36" spans="1:10" x14ac:dyDescent="0.3">
      <c r="A36" s="136" t="s">
        <v>221</v>
      </c>
      <c r="B36" s="137">
        <v>-873427.82166207838</v>
      </c>
      <c r="C36" s="138">
        <f t="shared" si="0"/>
        <v>-1.2448226590540588E-3</v>
      </c>
      <c r="D36" s="134">
        <f t="shared" si="1"/>
        <v>20884.140786418135</v>
      </c>
      <c r="E36" s="152">
        <v>0</v>
      </c>
      <c r="F36" s="134">
        <f t="shared" si="2"/>
        <v>0</v>
      </c>
      <c r="G36" s="97"/>
      <c r="H36" s="97"/>
      <c r="I36" s="97"/>
      <c r="J36" s="97"/>
    </row>
    <row r="37" spans="1:10" x14ac:dyDescent="0.3">
      <c r="A37" s="136" t="s">
        <v>222</v>
      </c>
      <c r="B37" s="137">
        <v>864073.98225386161</v>
      </c>
      <c r="C37" s="138">
        <f t="shared" si="0"/>
        <v>1.2314914243993812E-3</v>
      </c>
      <c r="D37" s="134">
        <f t="shared" si="1"/>
        <v>-20660.485328863539</v>
      </c>
      <c r="E37" s="152">
        <v>0.23084885646883446</v>
      </c>
      <c r="F37" s="134">
        <f t="shared" si="2"/>
        <v>-4769.4494122592796</v>
      </c>
      <c r="G37" s="97"/>
      <c r="H37" s="97"/>
      <c r="I37" s="97"/>
      <c r="J37" s="97"/>
    </row>
    <row r="38" spans="1:10" x14ac:dyDescent="0.3">
      <c r="A38" s="136" t="s">
        <v>223</v>
      </c>
      <c r="B38" s="137">
        <v>87786.425808280328</v>
      </c>
      <c r="C38" s="138">
        <f t="shared" si="0"/>
        <v>1.2511455359363887E-4</v>
      </c>
      <c r="D38" s="134">
        <f t="shared" si="1"/>
        <v>-2099.0218427297605</v>
      </c>
      <c r="E38" s="152">
        <v>0.22953887558714423</v>
      </c>
      <c r="F38" s="134">
        <f t="shared" si="2"/>
        <v>-481.80711361304469</v>
      </c>
      <c r="G38" s="97"/>
      <c r="H38" s="97"/>
      <c r="I38" s="97"/>
      <c r="J38" s="97"/>
    </row>
    <row r="39" spans="1:10" x14ac:dyDescent="0.3">
      <c r="A39" s="136" t="s">
        <v>71</v>
      </c>
      <c r="B39" s="137">
        <v>446033.26339732972</v>
      </c>
      <c r="C39" s="138">
        <f t="shared" si="0"/>
        <v>6.356934130083595E-4</v>
      </c>
      <c r="D39" s="134">
        <f t="shared" si="1"/>
        <v>-10664.901251358646</v>
      </c>
      <c r="E39" s="152">
        <v>7.9057273540331513E-2</v>
      </c>
      <c r="F39" s="134">
        <f t="shared" si="2"/>
        <v>-843.13801550928429</v>
      </c>
      <c r="G39" s="97"/>
      <c r="H39" s="97"/>
      <c r="I39" s="97"/>
      <c r="J39" s="97"/>
    </row>
    <row r="40" spans="1:10" x14ac:dyDescent="0.3">
      <c r="A40" s="136" t="s">
        <v>156</v>
      </c>
      <c r="B40" s="137">
        <v>1421176.4645030841</v>
      </c>
      <c r="C40" s="138">
        <f t="shared" si="0"/>
        <v>2.0254823829189052E-3</v>
      </c>
      <c r="D40" s="134">
        <f t="shared" si="1"/>
        <v>-33981.112841753893</v>
      </c>
      <c r="E40" s="152">
        <v>0</v>
      </c>
      <c r="F40" s="134">
        <f t="shared" si="2"/>
        <v>0</v>
      </c>
      <c r="G40" s="97"/>
      <c r="H40" s="97"/>
      <c r="I40" s="97"/>
      <c r="J40" s="97"/>
    </row>
    <row r="41" spans="1:10" x14ac:dyDescent="0.3">
      <c r="A41" s="136" t="s">
        <v>143</v>
      </c>
      <c r="B41" s="137">
        <v>9308198.5839699395</v>
      </c>
      <c r="C41" s="138">
        <f t="shared" si="0"/>
        <v>1.3266186655528379E-2</v>
      </c>
      <c r="D41" s="134">
        <f t="shared" si="1"/>
        <v>-222564.16028246851</v>
      </c>
      <c r="E41" s="152">
        <v>0</v>
      </c>
      <c r="F41" s="134">
        <f t="shared" si="2"/>
        <v>0</v>
      </c>
      <c r="G41" s="97"/>
      <c r="H41" s="97"/>
      <c r="I41" s="97"/>
      <c r="J41" s="97"/>
    </row>
    <row r="42" spans="1:10" x14ac:dyDescent="0.3">
      <c r="A42" s="136" t="s">
        <v>72</v>
      </c>
      <c r="B42" s="137">
        <v>31486400.90512336</v>
      </c>
      <c r="C42" s="138">
        <f t="shared" si="0"/>
        <v>4.4874899020473362E-2</v>
      </c>
      <c r="D42" s="134">
        <f t="shared" si="1"/>
        <v>-752857.20588667749</v>
      </c>
      <c r="E42" s="152">
        <v>6.2803307592478125E-2</v>
      </c>
      <c r="F42" s="134">
        <f t="shared" si="2"/>
        <v>-47281.922674514637</v>
      </c>
      <c r="G42" s="97"/>
      <c r="H42" s="97"/>
      <c r="I42" s="97"/>
      <c r="J42" s="97"/>
    </row>
    <row r="43" spans="1:10" x14ac:dyDescent="0.3">
      <c r="A43" s="136" t="s">
        <v>157</v>
      </c>
      <c r="B43" s="137">
        <v>8995075.9886611123</v>
      </c>
      <c r="C43" s="138">
        <f t="shared" si="0"/>
        <v>1.2819919554761527E-2</v>
      </c>
      <c r="D43" s="134">
        <f t="shared" si="1"/>
        <v>-215077.22638632319</v>
      </c>
      <c r="E43" s="152">
        <v>0</v>
      </c>
      <c r="F43" s="134">
        <f t="shared" si="2"/>
        <v>0</v>
      </c>
      <c r="G43" s="97"/>
      <c r="H43" s="97"/>
      <c r="I43" s="97"/>
      <c r="J43" s="97"/>
    </row>
    <row r="44" spans="1:10" x14ac:dyDescent="0.3">
      <c r="A44" s="136" t="s">
        <v>144</v>
      </c>
      <c r="B44" s="137">
        <v>1906825.2606635569</v>
      </c>
      <c r="C44" s="138">
        <f t="shared" si="0"/>
        <v>2.7176364577140818E-3</v>
      </c>
      <c r="D44" s="134">
        <f t="shared" si="1"/>
        <v>-45593.243323777606</v>
      </c>
      <c r="E44" s="152">
        <v>1</v>
      </c>
      <c r="F44" s="134">
        <f t="shared" si="2"/>
        <v>-45593.243323777606</v>
      </c>
      <c r="G44" s="97"/>
      <c r="H44" s="97"/>
      <c r="I44" s="97"/>
      <c r="J44" s="97"/>
    </row>
    <row r="45" spans="1:10" x14ac:dyDescent="0.3">
      <c r="A45" s="136" t="s">
        <v>158</v>
      </c>
      <c r="B45" s="137">
        <v>2283017.6600456955</v>
      </c>
      <c r="C45" s="138">
        <f t="shared" si="0"/>
        <v>3.2537916056273558E-3</v>
      </c>
      <c r="D45" s="134">
        <f t="shared" si="1"/>
        <v>-54588.211009289022</v>
      </c>
      <c r="E45" s="152">
        <v>0</v>
      </c>
      <c r="F45" s="134">
        <f t="shared" si="2"/>
        <v>0</v>
      </c>
      <c r="G45" s="97"/>
      <c r="H45" s="97"/>
      <c r="I45" s="97"/>
      <c r="J45" s="97"/>
    </row>
    <row r="46" spans="1:10" x14ac:dyDescent="0.3">
      <c r="A46" s="136" t="s">
        <v>142</v>
      </c>
      <c r="B46" s="137">
        <v>847559.2442914343</v>
      </c>
      <c r="C46" s="138">
        <f t="shared" si="0"/>
        <v>1.2079543678572054E-3</v>
      </c>
      <c r="D46" s="134">
        <f t="shared" si="1"/>
        <v>-20265.608838666765</v>
      </c>
      <c r="E46" s="152">
        <v>0</v>
      </c>
      <c r="F46" s="134">
        <f t="shared" si="2"/>
        <v>0</v>
      </c>
      <c r="G46" s="97"/>
      <c r="H46" s="97"/>
      <c r="I46" s="97"/>
      <c r="J46" s="97"/>
    </row>
    <row r="47" spans="1:10" x14ac:dyDescent="0.3">
      <c r="A47" s="136" t="s">
        <v>159</v>
      </c>
      <c r="B47" s="137">
        <v>149500.18065220167</v>
      </c>
      <c r="C47" s="138">
        <f t="shared" si="0"/>
        <v>2.1306993868640102E-4</v>
      </c>
      <c r="D47" s="134">
        <f t="shared" si="1"/>
        <v>-3574.6317473540125</v>
      </c>
      <c r="E47" s="152">
        <v>0</v>
      </c>
      <c r="F47" s="134">
        <f t="shared" si="2"/>
        <v>0</v>
      </c>
      <c r="G47" s="97"/>
      <c r="H47" s="97"/>
      <c r="I47" s="97"/>
      <c r="J47" s="97"/>
    </row>
    <row r="48" spans="1:10" x14ac:dyDescent="0.3">
      <c r="A48" s="136" t="s">
        <v>73</v>
      </c>
      <c r="B48" s="137">
        <v>1676877.5348007174</v>
      </c>
      <c r="C48" s="138">
        <f t="shared" si="0"/>
        <v>2.3899114500456646E-3</v>
      </c>
      <c r="D48" s="134">
        <f t="shared" si="1"/>
        <v>-40095.066415126108</v>
      </c>
      <c r="E48" s="152">
        <v>0</v>
      </c>
      <c r="F48" s="134">
        <f t="shared" si="2"/>
        <v>0</v>
      </c>
      <c r="G48" s="97"/>
      <c r="H48" s="97"/>
      <c r="I48" s="97"/>
      <c r="J48" s="97"/>
    </row>
    <row r="49" spans="1:10" x14ac:dyDescent="0.3">
      <c r="A49" s="136" t="s">
        <v>79</v>
      </c>
      <c r="B49" s="137">
        <v>969677.11159521504</v>
      </c>
      <c r="C49" s="138">
        <f t="shared" si="0"/>
        <v>1.3819986157331521E-3</v>
      </c>
      <c r="D49" s="134">
        <f t="shared" si="1"/>
        <v>-23185.514376431947</v>
      </c>
      <c r="E49" s="152">
        <v>0</v>
      </c>
      <c r="F49" s="134">
        <f t="shared" si="2"/>
        <v>0</v>
      </c>
      <c r="G49" s="97"/>
      <c r="H49" s="97"/>
      <c r="I49" s="97"/>
      <c r="J49" s="97"/>
    </row>
    <row r="50" spans="1:10" x14ac:dyDescent="0.3">
      <c r="A50" s="136" t="s">
        <v>74</v>
      </c>
      <c r="B50" s="137">
        <v>11523387.808400126</v>
      </c>
      <c r="C50" s="138">
        <f t="shared" si="0"/>
        <v>1.6423308139723487E-2</v>
      </c>
      <c r="D50" s="134">
        <f t="shared" si="1"/>
        <v>-275530.55599851301</v>
      </c>
      <c r="E50" s="152">
        <v>0</v>
      </c>
      <c r="F50" s="134">
        <f t="shared" si="2"/>
        <v>0</v>
      </c>
      <c r="G50" s="97"/>
      <c r="H50" s="97"/>
      <c r="I50" s="97"/>
      <c r="J50" s="97"/>
    </row>
    <row r="51" spans="1:10" x14ac:dyDescent="0.3">
      <c r="A51" s="136" t="s">
        <v>75</v>
      </c>
      <c r="B51" s="137">
        <v>6168450.5395796224</v>
      </c>
      <c r="C51" s="138">
        <f t="shared" si="0"/>
        <v>8.7913698332977349E-3</v>
      </c>
      <c r="D51" s="134">
        <f t="shared" si="1"/>
        <v>-147491.05341926945</v>
      </c>
      <c r="E51" s="152">
        <v>6.2803307592478125E-2</v>
      </c>
      <c r="F51" s="134">
        <f t="shared" si="2"/>
        <v>-9262.9259950290016</v>
      </c>
      <c r="G51" s="97"/>
      <c r="H51" s="97"/>
      <c r="I51" s="97"/>
      <c r="J51" s="97"/>
    </row>
    <row r="52" spans="1:10" x14ac:dyDescent="0.3">
      <c r="A52" s="136" t="s">
        <v>76</v>
      </c>
      <c r="B52" s="137">
        <v>17650695.958583944</v>
      </c>
      <c r="C52" s="138">
        <f t="shared" si="0"/>
        <v>2.5156041211863257E-2</v>
      </c>
      <c r="D52" s="134">
        <f t="shared" si="1"/>
        <v>-422037.87220318749</v>
      </c>
      <c r="E52" s="152">
        <v>0</v>
      </c>
      <c r="F52" s="134">
        <f t="shared" si="2"/>
        <v>0</v>
      </c>
      <c r="G52" s="97"/>
      <c r="H52" s="97"/>
      <c r="I52" s="97"/>
      <c r="J52" s="97"/>
    </row>
    <row r="53" spans="1:10" x14ac:dyDescent="0.3">
      <c r="A53" s="136" t="s">
        <v>77</v>
      </c>
      <c r="B53" s="137">
        <v>2415628.3387159351</v>
      </c>
      <c r="C53" s="138">
        <f t="shared" si="0"/>
        <v>3.4427903683724218E-3</v>
      </c>
      <c r="D53" s="134">
        <f t="shared" si="1"/>
        <v>-57759.005452110447</v>
      </c>
      <c r="E53" s="152">
        <v>1</v>
      </c>
      <c r="F53" s="134">
        <f t="shared" si="2"/>
        <v>-57759.005452110447</v>
      </c>
      <c r="G53" s="97"/>
      <c r="H53" s="97"/>
      <c r="I53" s="97"/>
      <c r="J53" s="97"/>
    </row>
    <row r="54" spans="1:10" x14ac:dyDescent="0.3">
      <c r="A54" s="136" t="s">
        <v>78</v>
      </c>
      <c r="B54" s="137">
        <v>3929219.3941368903</v>
      </c>
      <c r="C54" s="138">
        <f t="shared" si="0"/>
        <v>5.5999834364202526E-3</v>
      </c>
      <c r="D54" s="134">
        <f t="shared" si="1"/>
        <v>-93949.802116135295</v>
      </c>
      <c r="E54" s="152">
        <v>0</v>
      </c>
      <c r="F54" s="134">
        <f t="shared" si="2"/>
        <v>0</v>
      </c>
      <c r="G54" s="97"/>
      <c r="H54" s="97"/>
      <c r="I54" s="97"/>
      <c r="J54" s="97"/>
    </row>
    <row r="55" spans="1:10" x14ac:dyDescent="0.3">
      <c r="A55" s="136" t="s">
        <v>160</v>
      </c>
      <c r="B55" s="137">
        <v>2687345.1777996956</v>
      </c>
      <c r="C55" s="138">
        <f t="shared" si="0"/>
        <v>3.8300453535575316E-3</v>
      </c>
      <c r="D55" s="134">
        <f t="shared" si="1"/>
        <v>-64255.904887563993</v>
      </c>
      <c r="E55" s="152">
        <v>0</v>
      </c>
      <c r="F55" s="134">
        <f t="shared" si="2"/>
        <v>0</v>
      </c>
      <c r="G55" s="97"/>
      <c r="H55" s="97"/>
      <c r="I55" s="97"/>
      <c r="J55" s="97"/>
    </row>
    <row r="56" spans="1:10" x14ac:dyDescent="0.3">
      <c r="A56" s="136" t="s">
        <v>224</v>
      </c>
      <c r="B56" s="137">
        <v>1.2254531611688435E-8</v>
      </c>
      <c r="C56" s="138">
        <f t="shared" si="0"/>
        <v>1.7465345444681675E-17</v>
      </c>
      <c r="D56" s="134">
        <f t="shared" si="1"/>
        <v>-2.9301260745633555E-10</v>
      </c>
      <c r="E56" s="152">
        <v>0</v>
      </c>
      <c r="F56" s="134">
        <f t="shared" si="2"/>
        <v>0</v>
      </c>
      <c r="G56" s="97"/>
      <c r="H56" s="97"/>
      <c r="I56" s="97"/>
      <c r="J56" s="97"/>
    </row>
    <row r="57" spans="1:10" x14ac:dyDescent="0.3">
      <c r="A57" s="136" t="s">
        <v>81</v>
      </c>
      <c r="B57" s="137">
        <v>35231804.061857961</v>
      </c>
      <c r="C57" s="138">
        <f t="shared" si="0"/>
        <v>5.0212904750498825E-2</v>
      </c>
      <c r="D57" s="134">
        <f t="shared" si="1"/>
        <v>-842411.86041816871</v>
      </c>
      <c r="E57" s="152">
        <v>6.9173575695716499E-2</v>
      </c>
      <c r="F57" s="134">
        <f t="shared" si="2"/>
        <v>-58272.640593605553</v>
      </c>
      <c r="G57" s="97"/>
      <c r="H57" s="97"/>
      <c r="I57" s="97"/>
      <c r="J57" s="97"/>
    </row>
    <row r="58" spans="1:10" x14ac:dyDescent="0.3">
      <c r="A58" s="136" t="s">
        <v>161</v>
      </c>
      <c r="B58" s="137">
        <v>1567422.7872020558</v>
      </c>
      <c r="C58" s="138">
        <f t="shared" si="0"/>
        <v>2.2339148735997963E-3</v>
      </c>
      <c r="D58" s="134">
        <f t="shared" si="1"/>
        <v>-37477.943051409064</v>
      </c>
      <c r="E58" s="152">
        <v>0</v>
      </c>
      <c r="F58" s="134">
        <f t="shared" si="2"/>
        <v>0</v>
      </c>
      <c r="G58" s="97"/>
      <c r="H58" s="97"/>
      <c r="I58" s="97"/>
      <c r="J58" s="97"/>
    </row>
    <row r="59" spans="1:10" x14ac:dyDescent="0.3">
      <c r="A59" s="136" t="s">
        <v>82</v>
      </c>
      <c r="B59" s="137">
        <v>9163492.8658836558</v>
      </c>
      <c r="C59" s="138">
        <f t="shared" si="0"/>
        <v>1.3059949858049553E-2</v>
      </c>
      <c r="D59" s="134">
        <f t="shared" si="1"/>
        <v>-219104.16677852575</v>
      </c>
      <c r="E59" s="152">
        <v>0</v>
      </c>
      <c r="F59" s="134">
        <f t="shared" si="2"/>
        <v>0</v>
      </c>
      <c r="G59" s="97"/>
      <c r="H59" s="97"/>
      <c r="I59" s="97"/>
      <c r="J59" s="97"/>
    </row>
    <row r="60" spans="1:10" x14ac:dyDescent="0.3">
      <c r="A60" s="136" t="s">
        <v>80</v>
      </c>
      <c r="B60" s="137">
        <v>934232.42413082847</v>
      </c>
      <c r="C60" s="138">
        <f t="shared" si="0"/>
        <v>1.3314823063089853E-3</v>
      </c>
      <c r="D60" s="134">
        <f t="shared" si="1"/>
        <v>-22338.012356484585</v>
      </c>
      <c r="E60" s="152">
        <v>0</v>
      </c>
      <c r="F60" s="134">
        <f t="shared" si="2"/>
        <v>0</v>
      </c>
      <c r="G60" s="97"/>
      <c r="H60" s="97"/>
      <c r="I60" s="97"/>
      <c r="J60" s="97"/>
    </row>
    <row r="61" spans="1:10" x14ac:dyDescent="0.3">
      <c r="A61" s="136" t="s">
        <v>83</v>
      </c>
      <c r="B61" s="137">
        <v>5661589.3204952721</v>
      </c>
      <c r="C61" s="138">
        <f t="shared" si="0"/>
        <v>8.0689834896714233E-3</v>
      </c>
      <c r="D61" s="134">
        <f t="shared" si="1"/>
        <v>-135371.72220951953</v>
      </c>
      <c r="E61" s="152">
        <v>0</v>
      </c>
      <c r="F61" s="134">
        <f t="shared" si="2"/>
        <v>0</v>
      </c>
      <c r="G61" s="97"/>
      <c r="H61" s="97"/>
      <c r="I61" s="97"/>
      <c r="J61" s="97"/>
    </row>
    <row r="62" spans="1:10" x14ac:dyDescent="0.3">
      <c r="A62" s="136" t="s">
        <v>84</v>
      </c>
      <c r="B62" s="137">
        <v>1183229.4582911038</v>
      </c>
      <c r="C62" s="138">
        <f t="shared" si="0"/>
        <v>1.6863566788360008E-3</v>
      </c>
      <c r="D62" s="134">
        <f t="shared" si="1"/>
        <v>-28291.668729495817</v>
      </c>
      <c r="E62" s="152">
        <v>1</v>
      </c>
      <c r="F62" s="134">
        <f t="shared" si="2"/>
        <v>-28291.668729495817</v>
      </c>
      <c r="G62" s="97"/>
      <c r="H62" s="97"/>
      <c r="I62" s="97"/>
      <c r="J62" s="97"/>
    </row>
    <row r="63" spans="1:10" x14ac:dyDescent="0.3">
      <c r="A63" s="136" t="s">
        <v>85</v>
      </c>
      <c r="B63" s="137">
        <v>1649963.3160652858</v>
      </c>
      <c r="C63" s="138">
        <f t="shared" si="0"/>
        <v>2.3515528948202915E-3</v>
      </c>
      <c r="D63" s="134">
        <f t="shared" si="1"/>
        <v>-39451.532605821063</v>
      </c>
      <c r="E63" s="152">
        <v>0</v>
      </c>
      <c r="F63" s="134">
        <f t="shared" si="2"/>
        <v>0</v>
      </c>
      <c r="G63" s="97"/>
      <c r="H63" s="97"/>
      <c r="I63" s="97"/>
      <c r="J63" s="97"/>
    </row>
    <row r="64" spans="1:10" x14ac:dyDescent="0.3">
      <c r="A64" s="136" t="s">
        <v>86</v>
      </c>
      <c r="B64" s="137">
        <v>191643.16232005667</v>
      </c>
      <c r="C64" s="138">
        <f t="shared" si="0"/>
        <v>2.7313275921851617E-4</v>
      </c>
      <c r="D64" s="134">
        <f t="shared" si="1"/>
        <v>-4582.2936748572019</v>
      </c>
      <c r="E64" s="152">
        <v>0</v>
      </c>
      <c r="F64" s="134">
        <f t="shared" si="2"/>
        <v>0</v>
      </c>
      <c r="G64" s="97"/>
      <c r="H64" s="97"/>
      <c r="I64" s="97"/>
      <c r="J64" s="97"/>
    </row>
    <row r="65" spans="1:10" x14ac:dyDescent="0.3">
      <c r="A65" s="136" t="s">
        <v>88</v>
      </c>
      <c r="B65" s="137">
        <v>2582865.8792576068</v>
      </c>
      <c r="C65" s="138">
        <f t="shared" si="0"/>
        <v>3.6811398630273886E-3</v>
      </c>
      <c r="D65" s="134">
        <f t="shared" si="1"/>
        <v>-61757.747254037895</v>
      </c>
      <c r="E65" s="152">
        <v>6.9173575695716499E-2</v>
      </c>
      <c r="F65" s="134">
        <f t="shared" si="2"/>
        <v>-4272.0042044741185</v>
      </c>
      <c r="G65" s="97"/>
      <c r="H65" s="97"/>
      <c r="I65" s="97"/>
      <c r="J65" s="97"/>
    </row>
    <row r="66" spans="1:10" x14ac:dyDescent="0.3">
      <c r="A66" s="136" t="s">
        <v>89</v>
      </c>
      <c r="B66" s="137">
        <v>1772661.6217189094</v>
      </c>
      <c r="C66" s="138">
        <f t="shared" si="0"/>
        <v>2.5264243922893336E-3</v>
      </c>
      <c r="D66" s="134">
        <f t="shared" si="1"/>
        <v>-42385.316744559692</v>
      </c>
      <c r="E66" s="152">
        <v>0</v>
      </c>
      <c r="F66" s="134">
        <f t="shared" si="2"/>
        <v>0</v>
      </c>
      <c r="G66" s="97"/>
      <c r="H66" s="97"/>
      <c r="I66" s="97"/>
      <c r="J66" s="97"/>
    </row>
    <row r="67" spans="1:10" x14ac:dyDescent="0.3">
      <c r="A67" s="139" t="s">
        <v>87</v>
      </c>
      <c r="B67" s="140">
        <v>40353.068910587172</v>
      </c>
      <c r="C67" s="138">
        <f t="shared" si="0"/>
        <v>5.7511809558206718E-5</v>
      </c>
      <c r="D67" s="134">
        <f t="shared" si="1"/>
        <v>-964.86412659612245</v>
      </c>
      <c r="E67" s="152">
        <v>0</v>
      </c>
      <c r="F67" s="134">
        <f t="shared" si="2"/>
        <v>0</v>
      </c>
      <c r="G67" s="97"/>
      <c r="H67" s="97"/>
      <c r="I67" s="97"/>
      <c r="J67" s="97"/>
    </row>
    <row r="68" spans="1:10" x14ac:dyDescent="0.3">
      <c r="A68" s="139" t="s">
        <v>162</v>
      </c>
      <c r="B68" s="140">
        <v>372042.14431110886</v>
      </c>
      <c r="C68" s="138">
        <f t="shared" si="0"/>
        <v>5.3024014105736606E-4</v>
      </c>
      <c r="D68" s="134">
        <f t="shared" si="1"/>
        <v>-8895.732798491219</v>
      </c>
      <c r="E68" s="152">
        <v>0</v>
      </c>
      <c r="F68" s="134">
        <f t="shared" si="2"/>
        <v>0</v>
      </c>
      <c r="G68" s="97"/>
      <c r="H68" s="97"/>
      <c r="I68" s="97"/>
      <c r="J68" s="97"/>
    </row>
    <row r="69" spans="1:10" x14ac:dyDescent="0.3">
      <c r="A69" s="139" t="s">
        <v>90</v>
      </c>
      <c r="B69" s="140">
        <v>69094.113688911209</v>
      </c>
      <c r="C69" s="138">
        <f t="shared" si="0"/>
        <v>9.8473985135420129E-5</v>
      </c>
      <c r="D69" s="134">
        <f t="shared" si="1"/>
        <v>-1652.0783538199164</v>
      </c>
      <c r="E69" s="152">
        <v>0</v>
      </c>
      <c r="F69" s="134">
        <f t="shared" si="2"/>
        <v>0</v>
      </c>
      <c r="G69" s="97"/>
      <c r="H69" s="97"/>
      <c r="I69" s="97"/>
      <c r="J69" s="97"/>
    </row>
    <row r="70" spans="1:10" x14ac:dyDescent="0.3">
      <c r="A70" s="139" t="s">
        <v>91</v>
      </c>
      <c r="B70" s="140">
        <v>2658040.5854745409</v>
      </c>
      <c r="C70" s="138">
        <f t="shared" si="0"/>
        <v>3.788280001417412E-3</v>
      </c>
      <c r="D70" s="134">
        <f t="shared" si="1"/>
        <v>-63555.215927779638</v>
      </c>
      <c r="E70" s="152">
        <v>0</v>
      </c>
      <c r="F70" s="134">
        <f t="shared" si="2"/>
        <v>0</v>
      </c>
      <c r="G70" s="97"/>
      <c r="H70" s="97"/>
      <c r="I70" s="97"/>
      <c r="J70" s="97"/>
    </row>
    <row r="71" spans="1:10" x14ac:dyDescent="0.3">
      <c r="A71" s="136" t="s">
        <v>145</v>
      </c>
      <c r="B71" s="137">
        <v>376860.8236422973</v>
      </c>
      <c r="C71" s="138">
        <f t="shared" si="0"/>
        <v>5.3710779636832718E-4</v>
      </c>
      <c r="D71" s="134">
        <f t="shared" si="1"/>
        <v>-9010.9500781121515</v>
      </c>
      <c r="E71" s="152">
        <v>1</v>
      </c>
      <c r="F71" s="134">
        <f t="shared" si="2"/>
        <v>-9010.9500781121515</v>
      </c>
      <c r="G71" s="97"/>
      <c r="H71" s="97"/>
      <c r="I71" s="97"/>
      <c r="J71" s="97"/>
    </row>
    <row r="72" spans="1:10" x14ac:dyDescent="0.3">
      <c r="A72" s="139" t="s">
        <v>92</v>
      </c>
      <c r="B72" s="140">
        <v>1157323.6911945147</v>
      </c>
      <c r="C72" s="138">
        <f t="shared" si="0"/>
        <v>1.6494353842742534E-3</v>
      </c>
      <c r="D72" s="134">
        <f t="shared" si="1"/>
        <v>-27672.247554892292</v>
      </c>
      <c r="E72" s="152">
        <v>0</v>
      </c>
      <c r="F72" s="134">
        <f t="shared" si="2"/>
        <v>0</v>
      </c>
      <c r="G72" s="97"/>
      <c r="H72" s="97"/>
      <c r="I72" s="97"/>
      <c r="J72" s="97"/>
    </row>
    <row r="73" spans="1:10" x14ac:dyDescent="0.3">
      <c r="A73" s="136" t="s">
        <v>146</v>
      </c>
      <c r="B73" s="137">
        <v>42701.409918321719</v>
      </c>
      <c r="C73" s="138">
        <f t="shared" ref="C73:C87" si="3">B73/$B$94</f>
        <v>6.0858700995728152E-5</v>
      </c>
      <c r="D73" s="134">
        <f t="shared" ref="D73:D87" si="4">C73*$D$94</f>
        <v>-1021.0142548651321</v>
      </c>
      <c r="E73" s="152">
        <v>0</v>
      </c>
      <c r="F73" s="134">
        <f t="shared" ref="F73:F87" si="5">D73*E73</f>
        <v>0</v>
      </c>
      <c r="G73" s="97"/>
      <c r="H73" s="97"/>
      <c r="I73" s="97"/>
      <c r="J73" s="97"/>
    </row>
    <row r="74" spans="1:10" x14ac:dyDescent="0.3">
      <c r="A74" s="136" t="s">
        <v>147</v>
      </c>
      <c r="B74" s="137">
        <v>599152.74904484348</v>
      </c>
      <c r="C74" s="138">
        <f t="shared" si="3"/>
        <v>8.5392164040099677E-4</v>
      </c>
      <c r="D74" s="134">
        <f t="shared" si="4"/>
        <v>-14326.072576679442</v>
      </c>
      <c r="E74" s="152">
        <v>0</v>
      </c>
      <c r="F74" s="134">
        <f t="shared" si="5"/>
        <v>0</v>
      </c>
      <c r="G74" s="97"/>
      <c r="H74" s="97"/>
      <c r="I74" s="97"/>
      <c r="J74" s="97"/>
    </row>
    <row r="75" spans="1:10" x14ac:dyDescent="0.3">
      <c r="A75" s="136" t="s">
        <v>93</v>
      </c>
      <c r="B75" s="137">
        <v>98580207.099001169</v>
      </c>
      <c r="C75" s="138">
        <f t="shared" si="3"/>
        <v>0.14049801539131157</v>
      </c>
      <c r="D75" s="134">
        <f t="shared" si="4"/>
        <v>-2357107.1046169559</v>
      </c>
      <c r="E75" s="152">
        <v>6.8539355270203509E-2</v>
      </c>
      <c r="F75" s="134">
        <f t="shared" si="5"/>
        <v>-161554.60125326228</v>
      </c>
      <c r="G75" s="97"/>
      <c r="H75" s="97"/>
      <c r="I75" s="97"/>
      <c r="J75" s="97"/>
    </row>
    <row r="76" spans="1:10" x14ac:dyDescent="0.3">
      <c r="A76" s="136" t="s">
        <v>148</v>
      </c>
      <c r="B76" s="137">
        <v>888908.14456486097</v>
      </c>
      <c r="C76" s="138">
        <f t="shared" si="3"/>
        <v>1.266885451469106E-3</v>
      </c>
      <c r="D76" s="134">
        <f t="shared" si="4"/>
        <v>-21254.283842206896</v>
      </c>
      <c r="E76" s="152">
        <v>0</v>
      </c>
      <c r="F76" s="134">
        <f t="shared" si="5"/>
        <v>0</v>
      </c>
      <c r="G76" s="97"/>
      <c r="H76" s="97"/>
      <c r="I76" s="97"/>
      <c r="J76" s="97"/>
    </row>
    <row r="77" spans="1:10" x14ac:dyDescent="0.3">
      <c r="A77" s="136" t="s">
        <v>149</v>
      </c>
      <c r="B77" s="137">
        <v>585782.71361729526</v>
      </c>
      <c r="C77" s="138">
        <f t="shared" si="3"/>
        <v>8.3486646189649672E-4</v>
      </c>
      <c r="D77" s="134">
        <f t="shared" si="4"/>
        <v>-14006.387657945146</v>
      </c>
      <c r="E77" s="152">
        <v>1</v>
      </c>
      <c r="F77" s="134">
        <f t="shared" si="5"/>
        <v>-14006.387657945146</v>
      </c>
      <c r="G77" s="97"/>
      <c r="H77" s="97"/>
      <c r="I77" s="97"/>
      <c r="J77" s="97"/>
    </row>
    <row r="78" spans="1:10" x14ac:dyDescent="0.3">
      <c r="A78" s="136" t="s">
        <v>225</v>
      </c>
      <c r="B78" s="141">
        <v>164585.75113194375</v>
      </c>
      <c r="C78" s="138">
        <f t="shared" si="3"/>
        <v>2.3457012392460988E-4</v>
      </c>
      <c r="D78" s="134">
        <f t="shared" si="4"/>
        <v>-3935.3360550583952</v>
      </c>
      <c r="E78" s="152">
        <v>0</v>
      </c>
      <c r="F78" s="134">
        <f t="shared" si="5"/>
        <v>0</v>
      </c>
      <c r="G78" s="97"/>
      <c r="H78" s="97"/>
      <c r="I78" s="97"/>
      <c r="J78" s="97"/>
    </row>
    <row r="79" spans="1:10" x14ac:dyDescent="0.3">
      <c r="A79" s="136" t="s">
        <v>226</v>
      </c>
      <c r="B79" s="141">
        <v>177364.35304315062</v>
      </c>
      <c r="C79" s="138">
        <f t="shared" si="3"/>
        <v>2.5278238235694559E-4</v>
      </c>
      <c r="D79" s="134">
        <f t="shared" si="4"/>
        <v>-4240.8794723260044</v>
      </c>
      <c r="E79" s="152">
        <v>0</v>
      </c>
      <c r="F79" s="134">
        <f t="shared" si="5"/>
        <v>0</v>
      </c>
      <c r="G79" s="97"/>
      <c r="H79" s="97"/>
      <c r="I79" s="97"/>
      <c r="J79" s="97"/>
    </row>
    <row r="80" spans="1:10" x14ac:dyDescent="0.3">
      <c r="A80" s="136" t="s">
        <v>150</v>
      </c>
      <c r="B80" s="141">
        <v>-13684.671967230071</v>
      </c>
      <c r="C80" s="138">
        <f t="shared" si="3"/>
        <v>-1.9503603301888596E-5</v>
      </c>
      <c r="D80" s="134">
        <f t="shared" si="4"/>
        <v>327.20805187512462</v>
      </c>
      <c r="E80" s="152">
        <v>0</v>
      </c>
      <c r="F80" s="134">
        <f t="shared" si="5"/>
        <v>0</v>
      </c>
      <c r="G80" s="97"/>
      <c r="H80" s="97"/>
      <c r="I80" s="97"/>
      <c r="J80" s="97"/>
    </row>
    <row r="81" spans="1:10" x14ac:dyDescent="0.3">
      <c r="A81" s="136" t="s">
        <v>163</v>
      </c>
      <c r="B81" s="141">
        <v>-117.80689734841363</v>
      </c>
      <c r="C81" s="138">
        <f t="shared" si="3"/>
        <v>-1.6790018771453551E-7</v>
      </c>
      <c r="D81" s="134">
        <f t="shared" si="4"/>
        <v>2.8168278692492192</v>
      </c>
      <c r="E81" s="152">
        <v>0</v>
      </c>
      <c r="F81" s="134">
        <f t="shared" si="5"/>
        <v>0</v>
      </c>
      <c r="G81" s="97"/>
      <c r="H81" s="97"/>
      <c r="I81" s="97"/>
      <c r="J81" s="97"/>
    </row>
    <row r="82" spans="1:10" x14ac:dyDescent="0.3">
      <c r="A82" s="136" t="s">
        <v>94</v>
      </c>
      <c r="B82" s="141">
        <v>1625.6002820260478</v>
      </c>
      <c r="C82" s="138">
        <f t="shared" si="3"/>
        <v>2.3168303269524196E-6</v>
      </c>
      <c r="D82" s="134">
        <f t="shared" si="4"/>
        <v>-38.868999029215352</v>
      </c>
      <c r="E82" s="152">
        <v>0</v>
      </c>
      <c r="F82" s="134">
        <f t="shared" si="5"/>
        <v>0</v>
      </c>
      <c r="G82" s="97"/>
      <c r="H82" s="97"/>
      <c r="I82" s="97"/>
      <c r="J82" s="97"/>
    </row>
    <row r="83" spans="1:10" x14ac:dyDescent="0.3">
      <c r="A83" s="136" t="s">
        <v>95</v>
      </c>
      <c r="B83" s="141">
        <v>2653755.995605431</v>
      </c>
      <c r="C83" s="138">
        <f t="shared" si="3"/>
        <v>3.7821735385574675E-3</v>
      </c>
      <c r="D83" s="134">
        <f t="shared" si="4"/>
        <v>-63452.769021670923</v>
      </c>
      <c r="E83" s="152">
        <v>6.8539355270203509E-2</v>
      </c>
      <c r="F83" s="134">
        <f t="shared" si="5"/>
        <v>-4349.0118788544669</v>
      </c>
      <c r="G83" s="97"/>
      <c r="H83" s="97"/>
      <c r="I83" s="97"/>
      <c r="J83" s="97"/>
    </row>
    <row r="84" spans="1:10" x14ac:dyDescent="0.3">
      <c r="A84" s="136" t="s">
        <v>227</v>
      </c>
      <c r="B84" s="141">
        <v>-15150.291483841584</v>
      </c>
      <c r="C84" s="138">
        <f t="shared" si="3"/>
        <v>-2.159242660082826E-5</v>
      </c>
      <c r="D84" s="134">
        <f t="shared" si="4"/>
        <v>362.25182259677558</v>
      </c>
      <c r="E84" s="152">
        <v>0</v>
      </c>
      <c r="F84" s="134">
        <f t="shared" si="5"/>
        <v>0</v>
      </c>
      <c r="G84" s="97"/>
      <c r="H84" s="97"/>
      <c r="I84" s="97"/>
      <c r="J84" s="97"/>
    </row>
    <row r="85" spans="1:10" x14ac:dyDescent="0.3">
      <c r="A85" s="136" t="s">
        <v>113</v>
      </c>
      <c r="B85" s="141">
        <v>-29.786447771874577</v>
      </c>
      <c r="C85" s="138">
        <f t="shared" si="3"/>
        <v>-4.2452099875409322E-8</v>
      </c>
      <c r="D85" s="134">
        <f t="shared" si="4"/>
        <v>0.71221038918976709</v>
      </c>
      <c r="E85" s="152">
        <v>1</v>
      </c>
      <c r="F85" s="134">
        <f t="shared" si="5"/>
        <v>0.71221038918976709</v>
      </c>
      <c r="G85" s="97"/>
      <c r="H85" s="97"/>
      <c r="I85" s="97"/>
      <c r="J85" s="97"/>
    </row>
    <row r="86" spans="1:10" x14ac:dyDescent="0.3">
      <c r="A86" s="136" t="s">
        <v>228</v>
      </c>
      <c r="B86" s="141">
        <v>-6006.5372164366645</v>
      </c>
      <c r="C86" s="138">
        <f t="shared" si="3"/>
        <v>-8.5606084945215626E-6</v>
      </c>
      <c r="D86" s="134">
        <f t="shared" si="4"/>
        <v>143.61961659088936</v>
      </c>
      <c r="E86" s="152">
        <v>0</v>
      </c>
      <c r="F86" s="134">
        <f t="shared" si="5"/>
        <v>0</v>
      </c>
      <c r="G86" s="97"/>
      <c r="H86" s="97"/>
      <c r="I86" s="97"/>
      <c r="J86" s="97"/>
    </row>
    <row r="87" spans="1:10" x14ac:dyDescent="0.3">
      <c r="A87" s="136" t="s">
        <v>164</v>
      </c>
      <c r="B87" s="141">
        <v>54.674119627803975</v>
      </c>
      <c r="C87" s="138">
        <f t="shared" si="3"/>
        <v>7.7922389565069651E-8</v>
      </c>
      <c r="D87" s="134">
        <f t="shared" si="4"/>
        <v>-1.3072883452552606</v>
      </c>
      <c r="E87" s="152">
        <v>0</v>
      </c>
      <c r="F87" s="134">
        <f t="shared" si="5"/>
        <v>0</v>
      </c>
      <c r="G87" s="97"/>
      <c r="H87" s="97"/>
      <c r="I87" s="97"/>
      <c r="J87" s="97"/>
    </row>
    <row r="88" spans="1:10" ht="5.25" customHeight="1" x14ac:dyDescent="0.3">
      <c r="A88" s="136"/>
      <c r="B88" s="141"/>
      <c r="C88" s="142"/>
      <c r="D88" s="110"/>
      <c r="E88" s="130"/>
      <c r="F88" s="110"/>
      <c r="G88" s="97"/>
      <c r="H88" s="97"/>
      <c r="I88" s="97"/>
      <c r="J88" s="97"/>
    </row>
    <row r="89" spans="1:10" ht="6.75" customHeight="1" x14ac:dyDescent="0.3">
      <c r="A89" s="136"/>
      <c r="B89" s="143"/>
      <c r="C89" s="144"/>
      <c r="D89" s="110"/>
      <c r="E89" s="111"/>
      <c r="F89" s="110"/>
      <c r="G89" s="97"/>
      <c r="H89" s="97"/>
      <c r="I89" s="97"/>
      <c r="J89" s="97"/>
    </row>
    <row r="90" spans="1:10" x14ac:dyDescent="0.3">
      <c r="A90" s="145" t="s">
        <v>151</v>
      </c>
      <c r="B90" s="146">
        <f t="shared" ref="B90:D90" si="6">SUM(B8:B87)</f>
        <v>490327971.70465124</v>
      </c>
      <c r="C90" s="147">
        <f t="shared" si="6"/>
        <v>0.69882290718020446</v>
      </c>
      <c r="D90" s="146">
        <f t="shared" si="6"/>
        <v>-11724012.149180861</v>
      </c>
      <c r="E90" s="111"/>
      <c r="F90" s="146">
        <f>SUM(F8:F89)</f>
        <v>-761546.89886797557</v>
      </c>
      <c r="G90" s="97"/>
      <c r="H90" s="97"/>
      <c r="I90" s="97"/>
      <c r="J90" s="97"/>
    </row>
    <row r="91" spans="1:10" ht="8.25" customHeight="1" x14ac:dyDescent="0.3">
      <c r="A91" s="136"/>
      <c r="B91" s="143"/>
      <c r="C91" s="144"/>
      <c r="D91" s="110"/>
      <c r="E91" s="111"/>
      <c r="F91" s="110"/>
      <c r="G91" s="97"/>
      <c r="H91" s="97"/>
      <c r="I91" s="97"/>
      <c r="J91" s="97"/>
    </row>
    <row r="92" spans="1:10" x14ac:dyDescent="0.3">
      <c r="A92" s="136" t="s">
        <v>229</v>
      </c>
      <c r="B92" s="140">
        <v>211320424</v>
      </c>
      <c r="C92" s="142">
        <f>B92/B94</f>
        <v>0.30117709281979499</v>
      </c>
      <c r="D92" s="134">
        <f t="shared" ref="D92" si="7">C92*$D$94</f>
        <v>-5052787.8508191369</v>
      </c>
      <c r="E92" s="111"/>
      <c r="F92" s="110"/>
      <c r="G92" s="97"/>
      <c r="H92" s="97"/>
      <c r="I92" s="97"/>
      <c r="J92" s="97"/>
    </row>
    <row r="93" spans="1:10" ht="4.5" customHeight="1" x14ac:dyDescent="0.3">
      <c r="A93" s="136"/>
      <c r="B93" s="143"/>
      <c r="C93" s="144"/>
      <c r="D93" s="110"/>
      <c r="E93" s="111"/>
      <c r="F93" s="110"/>
      <c r="G93" s="97"/>
      <c r="H93" s="97"/>
      <c r="I93" s="97"/>
      <c r="J93" s="97"/>
    </row>
    <row r="94" spans="1:10" x14ac:dyDescent="0.3">
      <c r="A94" s="148" t="s">
        <v>4</v>
      </c>
      <c r="B94" s="149">
        <f>B90+B92</f>
        <v>701648395.70465124</v>
      </c>
      <c r="C94" s="150">
        <f>C90+C92</f>
        <v>0.99999999999999944</v>
      </c>
      <c r="D94" s="149">
        <f>PensionP1!I20</f>
        <v>-16776800</v>
      </c>
      <c r="E94" s="111"/>
      <c r="F94" s="110"/>
      <c r="G94" s="97"/>
      <c r="H94" s="97"/>
      <c r="I94" s="97"/>
      <c r="J94" s="97"/>
    </row>
    <row r="95" spans="1:10" x14ac:dyDescent="0.3">
      <c r="A95" s="107"/>
      <c r="B95" s="108"/>
      <c r="C95" s="109"/>
      <c r="D95" s="110"/>
      <c r="E95" s="111"/>
      <c r="F95" s="110"/>
      <c r="G95" s="97"/>
      <c r="H95" s="97"/>
      <c r="I95" s="97"/>
      <c r="J95" s="97"/>
    </row>
    <row r="96" spans="1:10" x14ac:dyDescent="0.3">
      <c r="A96" s="107"/>
      <c r="B96" s="108"/>
      <c r="C96" s="109"/>
      <c r="D96" s="110"/>
      <c r="E96" s="111"/>
      <c r="F96" s="110"/>
      <c r="G96" s="97"/>
      <c r="H96" s="97"/>
      <c r="I96" s="97"/>
      <c r="J96" s="97"/>
    </row>
    <row r="97" spans="1:10" x14ac:dyDescent="0.3">
      <c r="A97" s="107"/>
      <c r="B97" s="108"/>
      <c r="C97" s="109"/>
      <c r="D97" s="110"/>
      <c r="E97" s="111"/>
      <c r="F97" s="110"/>
      <c r="G97" s="97"/>
      <c r="H97" s="97"/>
      <c r="I97" s="97"/>
      <c r="J97" s="97"/>
    </row>
    <row r="98" spans="1:10" x14ac:dyDescent="0.3">
      <c r="A98" s="107"/>
      <c r="B98" s="108"/>
      <c r="C98" s="109"/>
      <c r="D98" s="110"/>
      <c r="E98" s="111"/>
      <c r="F98" s="110"/>
      <c r="G98" s="97"/>
      <c r="H98" s="97"/>
      <c r="I98" s="97"/>
      <c r="J98" s="97"/>
    </row>
    <row r="99" spans="1:10" x14ac:dyDescent="0.3">
      <c r="A99" s="107"/>
      <c r="B99" s="108"/>
      <c r="C99" s="109"/>
      <c r="D99" s="110"/>
      <c r="E99" s="111"/>
      <c r="F99" s="110"/>
      <c r="G99" s="97"/>
      <c r="H99" s="97"/>
      <c r="I99" s="97"/>
      <c r="J99" s="97"/>
    </row>
    <row r="100" spans="1:10" x14ac:dyDescent="0.3">
      <c r="A100" s="107"/>
      <c r="B100" s="108"/>
      <c r="C100" s="109"/>
      <c r="D100" s="110"/>
      <c r="E100" s="111"/>
      <c r="F100" s="110"/>
      <c r="G100" s="97"/>
      <c r="H100" s="97"/>
      <c r="I100" s="97"/>
      <c r="J100" s="97"/>
    </row>
    <row r="101" spans="1:10" x14ac:dyDescent="0.3">
      <c r="A101" s="107"/>
      <c r="B101" s="108"/>
      <c r="C101" s="109"/>
      <c r="D101" s="110"/>
      <c r="E101" s="111"/>
      <c r="F101" s="110"/>
      <c r="G101" s="97"/>
      <c r="H101" s="97"/>
      <c r="I101" s="97"/>
      <c r="J101" s="97"/>
    </row>
    <row r="102" spans="1:10" x14ac:dyDescent="0.3">
      <c r="A102" s="107"/>
      <c r="B102" s="108"/>
      <c r="C102" s="109"/>
      <c r="D102" s="110"/>
      <c r="E102" s="111"/>
      <c r="F102" s="110"/>
      <c r="G102" s="97"/>
      <c r="H102" s="97"/>
      <c r="I102" s="97"/>
      <c r="J102" s="97"/>
    </row>
    <row r="103" spans="1:10" x14ac:dyDescent="0.3">
      <c r="A103" s="107"/>
      <c r="B103" s="108"/>
      <c r="C103" s="109"/>
      <c r="D103" s="110"/>
      <c r="E103" s="111"/>
      <c r="F103" s="110"/>
      <c r="G103" s="97"/>
      <c r="H103" s="97"/>
      <c r="I103" s="97"/>
      <c r="J103" s="97"/>
    </row>
    <row r="104" spans="1:10" x14ac:dyDescent="0.3">
      <c r="A104" s="107"/>
      <c r="B104" s="108"/>
      <c r="C104" s="109"/>
      <c r="D104" s="110"/>
      <c r="E104" s="111"/>
      <c r="F104" s="110"/>
      <c r="G104" s="97"/>
      <c r="H104" s="97"/>
      <c r="I104" s="97"/>
      <c r="J104" s="97"/>
    </row>
    <row r="105" spans="1:10" x14ac:dyDescent="0.3">
      <c r="A105" s="107"/>
      <c r="B105" s="108"/>
      <c r="C105" s="109"/>
      <c r="D105" s="110"/>
      <c r="E105" s="111"/>
      <c r="F105" s="110"/>
      <c r="G105" s="97"/>
      <c r="H105" s="97"/>
      <c r="I105" s="97"/>
      <c r="J105" s="97"/>
    </row>
    <row r="106" spans="1:10" x14ac:dyDescent="0.3">
      <c r="A106" s="107"/>
      <c r="B106" s="108"/>
      <c r="C106" s="109"/>
      <c r="D106" s="110"/>
      <c r="E106" s="111"/>
      <c r="F106" s="110"/>
      <c r="G106" s="97"/>
      <c r="H106" s="97"/>
      <c r="I106" s="97"/>
      <c r="J106" s="97"/>
    </row>
    <row r="107" spans="1:10" x14ac:dyDescent="0.3">
      <c r="A107" s="107"/>
      <c r="B107" s="108"/>
      <c r="C107" s="109"/>
      <c r="D107" s="110"/>
      <c r="E107" s="111"/>
      <c r="F107" s="110"/>
      <c r="G107" s="97"/>
      <c r="H107" s="97"/>
      <c r="I107" s="97"/>
      <c r="J107" s="97"/>
    </row>
    <row r="108" spans="1:10" x14ac:dyDescent="0.3">
      <c r="A108" s="107"/>
      <c r="B108" s="108"/>
      <c r="C108" s="109"/>
      <c r="D108" s="110"/>
      <c r="E108" s="111"/>
      <c r="F108" s="110"/>
      <c r="G108" s="97"/>
      <c r="H108" s="97"/>
      <c r="I108" s="97"/>
      <c r="J108" s="97"/>
    </row>
    <row r="109" spans="1:10" x14ac:dyDescent="0.3">
      <c r="A109" s="107"/>
      <c r="B109" s="108"/>
      <c r="C109" s="109"/>
      <c r="D109" s="110"/>
      <c r="E109" s="111"/>
      <c r="F109" s="110"/>
      <c r="G109" s="97"/>
      <c r="H109" s="97"/>
      <c r="I109" s="97"/>
      <c r="J109" s="97"/>
    </row>
    <row r="110" spans="1:10" x14ac:dyDescent="0.3">
      <c r="A110" s="107"/>
      <c r="B110" s="108"/>
      <c r="C110" s="109"/>
      <c r="D110" s="110"/>
      <c r="E110" s="111"/>
      <c r="F110" s="110"/>
      <c r="G110" s="97"/>
      <c r="H110" s="97"/>
      <c r="I110" s="97"/>
      <c r="J110" s="97"/>
    </row>
    <row r="111" spans="1:10" x14ac:dyDescent="0.3">
      <c r="A111" s="107"/>
      <c r="B111" s="108"/>
      <c r="C111" s="109"/>
      <c r="D111" s="110"/>
      <c r="E111" s="111"/>
      <c r="F111" s="110"/>
      <c r="G111" s="97"/>
      <c r="H111" s="97"/>
      <c r="I111" s="97"/>
      <c r="J111" s="97"/>
    </row>
    <row r="112" spans="1:10" x14ac:dyDescent="0.3">
      <c r="A112" s="107"/>
      <c r="B112" s="108"/>
      <c r="C112" s="109"/>
      <c r="D112" s="110"/>
      <c r="E112" s="111"/>
      <c r="F112" s="110"/>
      <c r="G112" s="97"/>
      <c r="H112" s="97"/>
      <c r="I112" s="97"/>
      <c r="J112" s="97"/>
    </row>
    <row r="113" spans="1:10" x14ac:dyDescent="0.3">
      <c r="A113" s="107"/>
      <c r="B113" s="108"/>
      <c r="C113" s="109"/>
      <c r="D113" s="110"/>
      <c r="E113" s="111"/>
      <c r="F113" s="110"/>
      <c r="G113" s="97"/>
      <c r="H113" s="97"/>
      <c r="I113" s="97"/>
      <c r="J113" s="97"/>
    </row>
    <row r="114" spans="1:10" x14ac:dyDescent="0.3">
      <c r="A114" s="107"/>
      <c r="B114" s="108"/>
      <c r="C114" s="109"/>
      <c r="D114" s="110"/>
      <c r="E114" s="111"/>
      <c r="F114" s="110"/>
      <c r="G114" s="97"/>
      <c r="H114" s="97"/>
      <c r="I114" s="97"/>
      <c r="J114" s="97"/>
    </row>
    <row r="115" spans="1:10" x14ac:dyDescent="0.3">
      <c r="A115" s="107"/>
      <c r="B115" s="108"/>
      <c r="C115" s="109"/>
      <c r="D115" s="110"/>
      <c r="E115" s="111"/>
      <c r="F115" s="110"/>
      <c r="G115" s="97"/>
      <c r="H115" s="97"/>
      <c r="I115" s="97"/>
      <c r="J115" s="97"/>
    </row>
    <row r="116" spans="1:10" x14ac:dyDescent="0.3">
      <c r="A116" s="107"/>
      <c r="B116" s="108"/>
      <c r="C116" s="109"/>
      <c r="D116" s="110"/>
      <c r="E116" s="111"/>
      <c r="F116" s="110"/>
      <c r="G116" s="97"/>
      <c r="H116" s="97"/>
      <c r="I116" s="97"/>
      <c r="J116" s="97"/>
    </row>
    <row r="117" spans="1:10" x14ac:dyDescent="0.3">
      <c r="A117" s="107"/>
      <c r="B117" s="108"/>
      <c r="C117" s="109"/>
      <c r="D117" s="110"/>
      <c r="E117" s="111"/>
      <c r="F117" s="110"/>
      <c r="G117" s="97"/>
      <c r="H117" s="97"/>
      <c r="I117" s="97"/>
      <c r="J117" s="97"/>
    </row>
    <row r="118" spans="1:10" x14ac:dyDescent="0.3">
      <c r="A118" s="107"/>
      <c r="B118" s="108"/>
      <c r="C118" s="109"/>
      <c r="D118" s="110"/>
      <c r="E118" s="111"/>
      <c r="F118" s="110"/>
      <c r="G118" s="97"/>
      <c r="H118" s="97"/>
      <c r="I118" s="97"/>
      <c r="J118" s="97"/>
    </row>
    <row r="119" spans="1:10" x14ac:dyDescent="0.3">
      <c r="A119" s="107"/>
      <c r="B119" s="108"/>
      <c r="C119" s="109"/>
      <c r="D119" s="110"/>
      <c r="E119" s="111"/>
      <c r="F119" s="110"/>
      <c r="G119" s="97"/>
      <c r="H119" s="97"/>
      <c r="I119" s="97"/>
      <c r="J119" s="97"/>
    </row>
    <row r="120" spans="1:10" x14ac:dyDescent="0.3">
      <c r="A120" s="107"/>
      <c r="B120" s="108"/>
      <c r="C120" s="109"/>
      <c r="D120" s="110"/>
      <c r="E120" s="111"/>
      <c r="F120" s="110"/>
      <c r="G120" s="97"/>
      <c r="H120" s="97"/>
      <c r="I120" s="97"/>
      <c r="J120" s="97"/>
    </row>
    <row r="121" spans="1:10" x14ac:dyDescent="0.3">
      <c r="A121" s="107"/>
      <c r="B121" s="108"/>
      <c r="C121" s="109"/>
      <c r="D121" s="110"/>
      <c r="E121" s="111"/>
      <c r="F121" s="110"/>
      <c r="G121" s="97"/>
      <c r="H121" s="97"/>
      <c r="I121" s="97"/>
      <c r="J121" s="97"/>
    </row>
    <row r="122" spans="1:10" x14ac:dyDescent="0.3">
      <c r="A122" s="107"/>
      <c r="B122" s="108"/>
      <c r="C122" s="109"/>
      <c r="D122" s="110"/>
      <c r="E122" s="111"/>
      <c r="F122" s="110"/>
      <c r="G122" s="97"/>
      <c r="H122" s="97"/>
      <c r="I122" s="97"/>
      <c r="J122" s="97"/>
    </row>
    <row r="123" spans="1:10" x14ac:dyDescent="0.3">
      <c r="A123" s="107"/>
      <c r="B123" s="108"/>
      <c r="C123" s="109"/>
      <c r="D123" s="110"/>
      <c r="E123" s="111"/>
      <c r="F123" s="110"/>
      <c r="G123" s="97"/>
      <c r="H123" s="97"/>
      <c r="I123" s="97"/>
      <c r="J123" s="97"/>
    </row>
    <row r="124" spans="1:10" x14ac:dyDescent="0.3">
      <c r="A124" s="107"/>
      <c r="B124" s="108"/>
      <c r="C124" s="109"/>
      <c r="D124" s="110"/>
      <c r="E124" s="111"/>
      <c r="F124" s="110"/>
      <c r="G124" s="97"/>
      <c r="H124" s="97"/>
      <c r="I124" s="97"/>
      <c r="J124" s="97"/>
    </row>
    <row r="125" spans="1:10" x14ac:dyDescent="0.3">
      <c r="A125" s="107"/>
      <c r="B125" s="108"/>
      <c r="C125" s="109"/>
      <c r="D125" s="110"/>
      <c r="E125" s="111"/>
      <c r="F125" s="110"/>
      <c r="G125" s="97"/>
      <c r="H125" s="97"/>
      <c r="I125" s="97"/>
      <c r="J125" s="97"/>
    </row>
    <row r="126" spans="1:10" x14ac:dyDescent="0.3">
      <c r="A126" s="107"/>
      <c r="B126" s="108"/>
      <c r="C126" s="109"/>
      <c r="D126" s="110"/>
      <c r="E126" s="111"/>
      <c r="F126" s="110"/>
      <c r="G126" s="97"/>
      <c r="H126" s="97"/>
      <c r="I126" s="97"/>
      <c r="J126" s="97"/>
    </row>
    <row r="127" spans="1:10" x14ac:dyDescent="0.3">
      <c r="A127" s="107"/>
      <c r="B127" s="108"/>
      <c r="C127" s="109"/>
      <c r="D127" s="110"/>
      <c r="E127" s="111"/>
      <c r="F127" s="110"/>
      <c r="G127" s="97"/>
      <c r="H127" s="97"/>
      <c r="I127" s="97"/>
      <c r="J127" s="97"/>
    </row>
    <row r="128" spans="1:10" x14ac:dyDescent="0.3">
      <c r="A128" s="107"/>
      <c r="B128" s="108"/>
      <c r="C128" s="109"/>
      <c r="D128" s="110"/>
      <c r="E128" s="111"/>
      <c r="F128" s="110"/>
      <c r="G128" s="97"/>
      <c r="H128" s="97"/>
      <c r="I128" s="97"/>
      <c r="J128" s="97"/>
    </row>
    <row r="129" spans="1:10" x14ac:dyDescent="0.3">
      <c r="A129" s="107"/>
      <c r="B129" s="108"/>
      <c r="C129" s="109"/>
      <c r="D129" s="110"/>
      <c r="E129" s="111"/>
      <c r="F129" s="110"/>
      <c r="G129" s="97"/>
      <c r="H129" s="97"/>
      <c r="I129" s="97"/>
      <c r="J129" s="97"/>
    </row>
    <row r="130" spans="1:10" x14ac:dyDescent="0.3">
      <c r="A130" s="107"/>
      <c r="B130" s="108"/>
      <c r="C130" s="109"/>
      <c r="D130" s="110"/>
      <c r="E130" s="111"/>
      <c r="F130" s="110"/>
      <c r="G130" s="97"/>
      <c r="H130" s="97"/>
      <c r="I130" s="97"/>
      <c r="J130" s="97"/>
    </row>
    <row r="131" spans="1:10" x14ac:dyDescent="0.3">
      <c r="A131" s="107"/>
      <c r="B131" s="108"/>
      <c r="C131" s="109"/>
      <c r="D131" s="110"/>
      <c r="E131" s="111"/>
      <c r="F131" s="110"/>
      <c r="G131" s="97"/>
      <c r="H131" s="97"/>
      <c r="I131" s="97"/>
      <c r="J131" s="97"/>
    </row>
    <row r="132" spans="1:10" x14ac:dyDescent="0.3">
      <c r="A132" s="107"/>
      <c r="B132" s="108"/>
      <c r="C132" s="109"/>
      <c r="D132" s="110"/>
      <c r="E132" s="111"/>
      <c r="F132" s="110"/>
      <c r="G132" s="97"/>
      <c r="H132" s="97"/>
      <c r="I132" s="97"/>
      <c r="J132" s="97"/>
    </row>
    <row r="133" spans="1:10" x14ac:dyDescent="0.3">
      <c r="A133" s="107"/>
      <c r="B133" s="108"/>
      <c r="C133" s="109"/>
      <c r="D133" s="110"/>
      <c r="E133" s="111"/>
      <c r="F133" s="110"/>
      <c r="G133" s="97"/>
      <c r="H133" s="97"/>
      <c r="I133" s="97"/>
      <c r="J133" s="97"/>
    </row>
    <row r="134" spans="1:10" x14ac:dyDescent="0.3">
      <c r="A134" s="107"/>
      <c r="B134" s="108"/>
      <c r="C134" s="109"/>
      <c r="D134" s="110"/>
      <c r="E134" s="111"/>
      <c r="F134" s="110"/>
      <c r="G134" s="97"/>
      <c r="H134" s="97"/>
      <c r="I134" s="97"/>
      <c r="J134" s="97"/>
    </row>
    <row r="135" spans="1:10" x14ac:dyDescent="0.3">
      <c r="A135" s="107"/>
      <c r="B135" s="108"/>
      <c r="C135" s="109"/>
      <c r="D135" s="110"/>
      <c r="E135" s="111"/>
      <c r="F135" s="110"/>
      <c r="G135" s="97"/>
      <c r="H135" s="97"/>
      <c r="I135" s="97"/>
      <c r="J135" s="97"/>
    </row>
    <row r="136" spans="1:10" x14ac:dyDescent="0.3">
      <c r="A136" s="107"/>
      <c r="B136" s="108"/>
      <c r="C136" s="109"/>
      <c r="D136" s="110"/>
      <c r="E136" s="111"/>
      <c r="F136" s="110"/>
      <c r="G136" s="97"/>
      <c r="H136" s="97"/>
      <c r="I136" s="97"/>
      <c r="J136" s="97"/>
    </row>
    <row r="137" spans="1:10" x14ac:dyDescent="0.3">
      <c r="A137" s="107"/>
      <c r="B137" s="108"/>
      <c r="C137" s="109"/>
      <c r="D137" s="110"/>
      <c r="E137" s="111"/>
      <c r="F137" s="110"/>
      <c r="G137" s="97"/>
      <c r="H137" s="97"/>
      <c r="I137" s="97"/>
      <c r="J137" s="97"/>
    </row>
    <row r="138" spans="1:10" x14ac:dyDescent="0.3">
      <c r="A138" s="107"/>
      <c r="B138" s="108"/>
      <c r="C138" s="109"/>
      <c r="D138" s="110"/>
      <c r="E138" s="111"/>
      <c r="F138" s="110"/>
      <c r="G138" s="97"/>
      <c r="H138" s="97"/>
      <c r="I138" s="97"/>
      <c r="J138" s="97"/>
    </row>
    <row r="139" spans="1:10" x14ac:dyDescent="0.3">
      <c r="A139" s="107"/>
      <c r="B139" s="108"/>
      <c r="C139" s="109"/>
      <c r="D139" s="110"/>
      <c r="E139" s="111"/>
      <c r="F139" s="110"/>
      <c r="G139" s="97"/>
      <c r="H139" s="97"/>
      <c r="I139" s="97"/>
      <c r="J139" s="97"/>
    </row>
    <row r="140" spans="1:10" x14ac:dyDescent="0.3">
      <c r="A140" s="107"/>
      <c r="B140" s="108"/>
      <c r="C140" s="109"/>
      <c r="D140" s="110"/>
      <c r="E140" s="111"/>
      <c r="F140" s="110"/>
      <c r="G140" s="97"/>
      <c r="H140" s="97"/>
      <c r="I140" s="97"/>
      <c r="J140" s="97"/>
    </row>
    <row r="141" spans="1:10" x14ac:dyDescent="0.3">
      <c r="A141" s="107"/>
      <c r="B141" s="108"/>
      <c r="C141" s="109"/>
      <c r="D141" s="110"/>
      <c r="E141" s="111"/>
      <c r="F141" s="110"/>
      <c r="G141" s="97"/>
      <c r="H141" s="97"/>
      <c r="I141" s="97"/>
      <c r="J141" s="97"/>
    </row>
    <row r="142" spans="1:10" x14ac:dyDescent="0.3">
      <c r="A142" s="107"/>
      <c r="B142" s="108"/>
      <c r="C142" s="109"/>
      <c r="D142" s="110"/>
      <c r="E142" s="111"/>
      <c r="F142" s="110"/>
      <c r="G142" s="97"/>
      <c r="H142" s="97"/>
      <c r="I142" s="97"/>
      <c r="J142" s="97"/>
    </row>
    <row r="143" spans="1:10" x14ac:dyDescent="0.3">
      <c r="A143" s="107"/>
      <c r="B143" s="108"/>
      <c r="C143" s="109"/>
      <c r="D143" s="110"/>
      <c r="E143" s="111"/>
      <c r="F143" s="110"/>
      <c r="G143" s="97"/>
      <c r="H143" s="97"/>
      <c r="I143" s="97"/>
      <c r="J143" s="97"/>
    </row>
    <row r="144" spans="1:10" x14ac:dyDescent="0.3">
      <c r="A144" s="107"/>
      <c r="B144" s="108"/>
      <c r="C144" s="109"/>
      <c r="D144" s="110"/>
      <c r="E144" s="111"/>
      <c r="F144" s="110"/>
      <c r="G144" s="97"/>
      <c r="H144" s="97"/>
      <c r="I144" s="97"/>
      <c r="J144" s="97"/>
    </row>
    <row r="145" spans="1:10" x14ac:dyDescent="0.3">
      <c r="A145" s="107"/>
      <c r="B145" s="108"/>
      <c r="C145" s="109"/>
      <c r="D145" s="110"/>
      <c r="E145" s="111"/>
      <c r="F145" s="110"/>
      <c r="G145" s="97"/>
      <c r="H145" s="97"/>
      <c r="I145" s="97"/>
      <c r="J145" s="97"/>
    </row>
    <row r="146" spans="1:10" x14ac:dyDescent="0.3">
      <c r="A146" s="107"/>
      <c r="B146" s="108"/>
      <c r="C146" s="109"/>
      <c r="D146" s="110"/>
      <c r="E146" s="111"/>
      <c r="F146" s="110"/>
      <c r="G146" s="97"/>
      <c r="H146" s="97"/>
      <c r="I146" s="97"/>
      <c r="J146" s="97"/>
    </row>
    <row r="147" spans="1:10" x14ac:dyDescent="0.3">
      <c r="A147" s="107"/>
      <c r="B147" s="108"/>
      <c r="C147" s="109"/>
      <c r="D147" s="110"/>
      <c r="E147" s="111"/>
      <c r="F147" s="110"/>
      <c r="G147" s="97"/>
      <c r="H147" s="97"/>
      <c r="I147" s="97"/>
      <c r="J147" s="97"/>
    </row>
    <row r="148" spans="1:10" x14ac:dyDescent="0.3">
      <c r="A148" s="107"/>
      <c r="B148" s="108"/>
      <c r="C148" s="109"/>
      <c r="D148" s="110"/>
      <c r="E148" s="111"/>
      <c r="F148" s="110"/>
      <c r="G148" s="97"/>
      <c r="H148" s="97"/>
      <c r="I148" s="97"/>
      <c r="J148" s="97"/>
    </row>
    <row r="149" spans="1:10" x14ac:dyDescent="0.3">
      <c r="A149" s="107"/>
      <c r="B149" s="108"/>
      <c r="C149" s="109"/>
      <c r="D149" s="110"/>
      <c r="E149" s="111"/>
      <c r="F149" s="110"/>
      <c r="G149" s="97"/>
      <c r="H149" s="97"/>
      <c r="I149" s="97"/>
      <c r="J149" s="97"/>
    </row>
    <row r="150" spans="1:10" x14ac:dyDescent="0.3">
      <c r="A150" s="107"/>
      <c r="B150" s="108"/>
      <c r="C150" s="109"/>
      <c r="D150" s="110"/>
      <c r="E150" s="111"/>
      <c r="F150" s="110"/>
      <c r="G150" s="97"/>
      <c r="H150" s="97"/>
      <c r="I150" s="97"/>
      <c r="J150" s="97"/>
    </row>
    <row r="151" spans="1:10" x14ac:dyDescent="0.3">
      <c r="A151" s="107"/>
      <c r="B151" s="108"/>
      <c r="C151" s="109"/>
      <c r="D151" s="110"/>
      <c r="E151" s="111"/>
      <c r="F151" s="110"/>
      <c r="G151" s="97"/>
      <c r="H151" s="97"/>
      <c r="I151" s="97"/>
      <c r="J151" s="97"/>
    </row>
    <row r="152" spans="1:10" x14ac:dyDescent="0.3">
      <c r="A152" s="107"/>
      <c r="B152" s="108"/>
      <c r="C152" s="109"/>
      <c r="D152" s="110"/>
      <c r="E152" s="111"/>
      <c r="F152" s="110"/>
      <c r="G152" s="97"/>
      <c r="H152" s="97"/>
      <c r="I152" s="97"/>
      <c r="J152" s="97"/>
    </row>
    <row r="153" spans="1:10" x14ac:dyDescent="0.3">
      <c r="A153" s="107"/>
      <c r="B153" s="108"/>
      <c r="C153" s="109"/>
      <c r="D153" s="110"/>
      <c r="E153" s="111"/>
      <c r="F153" s="110"/>
      <c r="G153" s="97"/>
      <c r="H153" s="97"/>
      <c r="I153" s="97"/>
      <c r="J153" s="97"/>
    </row>
    <row r="154" spans="1:10" x14ac:dyDescent="0.3">
      <c r="A154" s="107"/>
      <c r="B154" s="108"/>
      <c r="C154" s="109"/>
      <c r="D154" s="110"/>
      <c r="E154" s="111"/>
      <c r="F154" s="110"/>
      <c r="G154" s="97"/>
      <c r="H154" s="97"/>
      <c r="I154" s="97"/>
      <c r="J154" s="97"/>
    </row>
    <row r="155" spans="1:10" x14ac:dyDescent="0.3">
      <c r="A155" s="107"/>
      <c r="B155" s="108"/>
      <c r="C155" s="109"/>
      <c r="D155" s="110"/>
      <c r="E155" s="111"/>
      <c r="F155" s="110"/>
      <c r="G155" s="97"/>
      <c r="H155" s="97"/>
      <c r="I155" s="97"/>
      <c r="J155" s="97"/>
    </row>
    <row r="156" spans="1:10" x14ac:dyDescent="0.3">
      <c r="A156" s="107"/>
      <c r="B156" s="108"/>
      <c r="C156" s="109"/>
      <c r="D156" s="110"/>
      <c r="E156" s="111"/>
      <c r="F156" s="110"/>
      <c r="G156" s="97"/>
      <c r="H156" s="97"/>
      <c r="I156" s="97"/>
      <c r="J156" s="97"/>
    </row>
    <row r="157" spans="1:10" x14ac:dyDescent="0.3">
      <c r="A157" s="107"/>
      <c r="B157" s="108"/>
      <c r="C157" s="109"/>
      <c r="D157" s="110"/>
      <c r="E157" s="111"/>
      <c r="F157" s="110"/>
      <c r="G157" s="97"/>
      <c r="H157" s="97"/>
      <c r="I157" s="97"/>
      <c r="J157" s="97"/>
    </row>
    <row r="158" spans="1:10" x14ac:dyDescent="0.3">
      <c r="A158" s="107"/>
      <c r="B158" s="108"/>
      <c r="C158" s="109"/>
      <c r="D158" s="110"/>
      <c r="E158" s="111"/>
      <c r="F158" s="110"/>
      <c r="G158" s="97"/>
      <c r="H158" s="97"/>
      <c r="I158" s="97"/>
      <c r="J158" s="97"/>
    </row>
    <row r="159" spans="1:10" x14ac:dyDescent="0.3">
      <c r="A159" s="107"/>
      <c r="B159" s="108"/>
      <c r="C159" s="109"/>
      <c r="D159" s="110"/>
      <c r="E159" s="111"/>
      <c r="F159" s="110"/>
      <c r="G159" s="97"/>
      <c r="H159" s="97"/>
      <c r="I159" s="97"/>
      <c r="J159" s="97"/>
    </row>
    <row r="160" spans="1:10" x14ac:dyDescent="0.3">
      <c r="A160" s="107"/>
      <c r="B160" s="108"/>
      <c r="C160" s="109"/>
      <c r="D160" s="110"/>
      <c r="E160" s="111"/>
      <c r="F160" s="110"/>
      <c r="G160" s="97"/>
      <c r="H160" s="97"/>
      <c r="I160" s="97"/>
      <c r="J160" s="97"/>
    </row>
    <row r="161" spans="1:10" x14ac:dyDescent="0.3">
      <c r="A161" s="107"/>
      <c r="B161" s="108"/>
      <c r="C161" s="109"/>
      <c r="D161" s="110"/>
      <c r="E161" s="111"/>
      <c r="F161" s="110"/>
      <c r="G161" s="97"/>
      <c r="H161" s="97"/>
      <c r="I161" s="97"/>
      <c r="J161" s="97"/>
    </row>
    <row r="162" spans="1:10" x14ac:dyDescent="0.3">
      <c r="A162" s="107"/>
      <c r="B162" s="108"/>
      <c r="C162" s="109"/>
      <c r="D162" s="110"/>
      <c r="E162" s="111"/>
      <c r="F162" s="110"/>
      <c r="G162" s="97"/>
      <c r="H162" s="97"/>
      <c r="I162" s="97"/>
      <c r="J162" s="97"/>
    </row>
    <row r="163" spans="1:10" x14ac:dyDescent="0.3">
      <c r="A163" s="107"/>
      <c r="B163" s="108"/>
      <c r="C163" s="109"/>
      <c r="D163" s="110"/>
      <c r="E163" s="111"/>
      <c r="F163" s="110"/>
      <c r="G163" s="97"/>
      <c r="H163" s="97"/>
      <c r="I163" s="97"/>
      <c r="J163" s="97"/>
    </row>
    <row r="164" spans="1:10" x14ac:dyDescent="0.3">
      <c r="A164" s="107"/>
      <c r="B164" s="108"/>
      <c r="C164" s="109"/>
      <c r="D164" s="110"/>
      <c r="E164" s="111"/>
      <c r="F164" s="110"/>
      <c r="G164" s="97"/>
      <c r="H164" s="97"/>
      <c r="I164" s="97"/>
      <c r="J164" s="97"/>
    </row>
    <row r="165" spans="1:10" x14ac:dyDescent="0.3">
      <c r="A165" s="107"/>
      <c r="B165" s="108"/>
      <c r="C165" s="109"/>
      <c r="D165" s="110"/>
      <c r="E165" s="111"/>
      <c r="F165" s="110"/>
      <c r="G165" s="97"/>
      <c r="H165" s="97"/>
      <c r="I165" s="97"/>
      <c r="J165" s="97"/>
    </row>
    <row r="166" spans="1:10" x14ac:dyDescent="0.3">
      <c r="A166" s="107"/>
      <c r="B166" s="108"/>
      <c r="C166" s="109"/>
      <c r="D166" s="110"/>
      <c r="E166" s="111"/>
      <c r="F166" s="110"/>
      <c r="G166" s="97"/>
      <c r="H166" s="97"/>
      <c r="I166" s="97"/>
      <c r="J166" s="97"/>
    </row>
    <row r="167" spans="1:10" x14ac:dyDescent="0.3">
      <c r="A167" s="107"/>
      <c r="B167" s="108"/>
      <c r="C167" s="109"/>
      <c r="D167" s="110"/>
      <c r="E167" s="111"/>
      <c r="F167" s="110"/>
      <c r="G167" s="97"/>
      <c r="H167" s="97"/>
      <c r="I167" s="97"/>
      <c r="J167" s="97"/>
    </row>
    <row r="168" spans="1:10" x14ac:dyDescent="0.3">
      <c r="A168" s="107"/>
      <c r="B168" s="108"/>
      <c r="C168" s="109"/>
      <c r="D168" s="110"/>
      <c r="E168" s="111"/>
      <c r="F168" s="110"/>
      <c r="G168" s="97"/>
      <c r="H168" s="97"/>
      <c r="I168" s="97"/>
      <c r="J168" s="97"/>
    </row>
    <row r="169" spans="1:10" x14ac:dyDescent="0.3">
      <c r="A169" s="107"/>
      <c r="B169" s="108"/>
      <c r="C169" s="109"/>
      <c r="D169" s="110"/>
      <c r="E169" s="111"/>
      <c r="F169" s="110"/>
      <c r="G169" s="97"/>
      <c r="H169" s="97"/>
      <c r="I169" s="97"/>
      <c r="J169" s="97"/>
    </row>
    <row r="170" spans="1:10" x14ac:dyDescent="0.3">
      <c r="A170" s="107"/>
      <c r="B170" s="108"/>
      <c r="C170" s="109"/>
      <c r="D170" s="110"/>
      <c r="E170" s="111"/>
      <c r="F170" s="110"/>
      <c r="G170" s="97"/>
      <c r="H170" s="97"/>
      <c r="I170" s="97"/>
      <c r="J170" s="97"/>
    </row>
    <row r="171" spans="1:10" x14ac:dyDescent="0.3">
      <c r="A171" s="107"/>
      <c r="B171" s="108"/>
      <c r="C171" s="109"/>
      <c r="D171" s="110"/>
      <c r="E171" s="111"/>
      <c r="F171" s="110"/>
      <c r="G171" s="97"/>
      <c r="H171" s="97"/>
      <c r="I171" s="97"/>
      <c r="J171" s="97"/>
    </row>
    <row r="172" spans="1:10" x14ac:dyDescent="0.3">
      <c r="A172" s="107"/>
      <c r="B172" s="108"/>
      <c r="C172" s="109"/>
      <c r="D172" s="110"/>
      <c r="E172" s="111"/>
      <c r="F172" s="110"/>
      <c r="G172" s="97"/>
      <c r="H172" s="97"/>
      <c r="I172" s="97"/>
      <c r="J172" s="97"/>
    </row>
    <row r="173" spans="1:10" x14ac:dyDescent="0.3">
      <c r="A173" s="107"/>
      <c r="B173" s="108"/>
      <c r="C173" s="109"/>
      <c r="D173" s="110"/>
      <c r="E173" s="111"/>
      <c r="F173" s="110"/>
      <c r="G173" s="97"/>
      <c r="H173" s="97"/>
      <c r="I173" s="97"/>
      <c r="J173" s="97"/>
    </row>
    <row r="174" spans="1:10" x14ac:dyDescent="0.3">
      <c r="A174" s="107"/>
      <c r="B174" s="108"/>
      <c r="C174" s="109"/>
      <c r="D174" s="110"/>
      <c r="E174" s="111"/>
      <c r="F174" s="110"/>
      <c r="G174" s="97"/>
      <c r="H174" s="97"/>
      <c r="I174" s="97"/>
      <c r="J174" s="97"/>
    </row>
    <row r="175" spans="1:10" x14ac:dyDescent="0.3">
      <c r="A175" s="107"/>
      <c r="B175" s="108"/>
      <c r="C175" s="109"/>
      <c r="D175" s="110"/>
      <c r="E175" s="111"/>
      <c r="F175" s="110"/>
      <c r="G175" s="97"/>
      <c r="H175" s="97"/>
      <c r="I175" s="97"/>
      <c r="J175" s="97"/>
    </row>
    <row r="176" spans="1:10" x14ac:dyDescent="0.3">
      <c r="A176" s="107"/>
      <c r="B176" s="108"/>
      <c r="C176" s="109"/>
      <c r="D176" s="110"/>
      <c r="E176" s="111"/>
      <c r="F176" s="110"/>
      <c r="G176" s="97"/>
      <c r="H176" s="97"/>
      <c r="I176" s="97"/>
      <c r="J176" s="97"/>
    </row>
    <row r="177" spans="1:10" x14ac:dyDescent="0.3">
      <c r="A177" s="107"/>
      <c r="B177" s="108"/>
      <c r="C177" s="109"/>
      <c r="D177" s="110"/>
      <c r="E177" s="111"/>
      <c r="F177" s="110"/>
      <c r="G177" s="97"/>
      <c r="H177" s="97"/>
      <c r="I177" s="97"/>
      <c r="J177" s="97"/>
    </row>
    <row r="178" spans="1:10" x14ac:dyDescent="0.3">
      <c r="A178" s="107"/>
      <c r="B178" s="108"/>
      <c r="C178" s="109"/>
      <c r="D178" s="110"/>
      <c r="E178" s="111"/>
      <c r="F178" s="110"/>
      <c r="G178" s="97"/>
      <c r="H178" s="97"/>
      <c r="I178" s="97"/>
      <c r="J178" s="97"/>
    </row>
    <row r="179" spans="1:10" x14ac:dyDescent="0.3">
      <c r="A179" s="107"/>
      <c r="B179" s="108"/>
      <c r="C179" s="109"/>
      <c r="D179" s="110"/>
      <c r="E179" s="111"/>
      <c r="F179" s="110"/>
      <c r="G179" s="97"/>
      <c r="H179" s="97"/>
      <c r="I179" s="97"/>
      <c r="J179" s="97"/>
    </row>
    <row r="180" spans="1:10" x14ac:dyDescent="0.3">
      <c r="A180" s="107"/>
      <c r="B180" s="108"/>
      <c r="C180" s="109"/>
      <c r="D180" s="110"/>
      <c r="E180" s="111"/>
      <c r="F180" s="110"/>
      <c r="G180" s="97"/>
      <c r="H180" s="97"/>
      <c r="I180" s="97"/>
      <c r="J180" s="97"/>
    </row>
    <row r="181" spans="1:10" x14ac:dyDescent="0.3">
      <c r="A181" s="107"/>
      <c r="B181" s="108"/>
      <c r="C181" s="109"/>
      <c r="D181" s="110"/>
      <c r="E181" s="111"/>
      <c r="F181" s="110"/>
      <c r="G181" s="97"/>
      <c r="H181" s="97"/>
      <c r="I181" s="97"/>
      <c r="J181" s="97"/>
    </row>
    <row r="182" spans="1:10" x14ac:dyDescent="0.3">
      <c r="A182" s="107"/>
      <c r="B182" s="108"/>
      <c r="C182" s="109"/>
      <c r="D182" s="110"/>
      <c r="E182" s="111"/>
      <c r="F182" s="110"/>
      <c r="G182" s="97"/>
      <c r="H182" s="97"/>
      <c r="I182" s="97"/>
      <c r="J182" s="97"/>
    </row>
    <row r="183" spans="1:10" x14ac:dyDescent="0.3">
      <c r="A183" s="107"/>
      <c r="B183" s="108"/>
      <c r="C183" s="109"/>
      <c r="D183" s="110"/>
      <c r="E183" s="111"/>
      <c r="F183" s="110"/>
      <c r="G183" s="97"/>
      <c r="H183" s="97"/>
      <c r="I183" s="97"/>
      <c r="J183" s="97"/>
    </row>
    <row r="184" spans="1:10" x14ac:dyDescent="0.3">
      <c r="A184" s="107"/>
      <c r="B184" s="108"/>
      <c r="C184" s="109"/>
      <c r="D184" s="110"/>
      <c r="E184" s="111"/>
      <c r="F184" s="110"/>
      <c r="G184" s="97"/>
      <c r="H184" s="97"/>
      <c r="I184" s="97"/>
      <c r="J184" s="97"/>
    </row>
    <row r="185" spans="1:10" x14ac:dyDescent="0.3">
      <c r="A185" s="107"/>
      <c r="B185" s="108"/>
      <c r="C185" s="109"/>
      <c r="D185" s="110"/>
      <c r="E185" s="111"/>
      <c r="F185" s="110"/>
      <c r="G185" s="97"/>
      <c r="H185" s="97"/>
      <c r="I185" s="97"/>
      <c r="J185" s="97"/>
    </row>
    <row r="186" spans="1:10" x14ac:dyDescent="0.3">
      <c r="A186" s="107"/>
      <c r="B186" s="108"/>
      <c r="C186" s="109"/>
      <c r="D186" s="110"/>
      <c r="E186" s="111"/>
      <c r="F186" s="110"/>
      <c r="G186" s="97"/>
      <c r="H186" s="97"/>
      <c r="I186" s="97"/>
      <c r="J186" s="97"/>
    </row>
    <row r="187" spans="1:10" x14ac:dyDescent="0.3">
      <c r="A187" s="107"/>
      <c r="B187" s="108"/>
      <c r="C187" s="109"/>
      <c r="D187" s="110"/>
      <c r="E187" s="111"/>
      <c r="F187" s="110"/>
      <c r="G187" s="97"/>
      <c r="H187" s="97"/>
      <c r="I187" s="97"/>
      <c r="J187" s="97"/>
    </row>
    <row r="188" spans="1:10" x14ac:dyDescent="0.3">
      <c r="A188" s="107"/>
      <c r="B188" s="108"/>
      <c r="C188" s="109"/>
      <c r="D188" s="110"/>
      <c r="E188" s="111"/>
      <c r="F188" s="110"/>
      <c r="G188" s="97"/>
      <c r="H188" s="97"/>
      <c r="I188" s="97"/>
      <c r="J188" s="97"/>
    </row>
    <row r="189" spans="1:10" x14ac:dyDescent="0.3">
      <c r="A189" s="107"/>
      <c r="B189" s="108"/>
      <c r="C189" s="109"/>
      <c r="D189" s="110"/>
      <c r="E189" s="111"/>
      <c r="F189" s="110"/>
      <c r="G189" s="97"/>
      <c r="H189" s="97"/>
      <c r="I189" s="97"/>
      <c r="J189" s="97"/>
    </row>
    <row r="190" spans="1:10" x14ac:dyDescent="0.3">
      <c r="A190" s="107"/>
      <c r="B190" s="108"/>
      <c r="C190" s="109"/>
      <c r="D190" s="110"/>
      <c r="E190" s="111"/>
      <c r="F190" s="110"/>
      <c r="G190" s="97"/>
      <c r="H190" s="97"/>
      <c r="I190" s="97"/>
      <c r="J190" s="97"/>
    </row>
    <row r="191" spans="1:10" x14ac:dyDescent="0.3">
      <c r="A191" s="107"/>
      <c r="B191" s="108"/>
      <c r="C191" s="109"/>
      <c r="D191" s="110"/>
      <c r="E191" s="111"/>
      <c r="F191" s="110"/>
      <c r="G191" s="97"/>
      <c r="H191" s="97"/>
      <c r="I191" s="97"/>
      <c r="J191" s="97"/>
    </row>
    <row r="192" spans="1:10" x14ac:dyDescent="0.3">
      <c r="A192" s="107"/>
      <c r="B192" s="108"/>
      <c r="C192" s="109"/>
      <c r="D192" s="110"/>
      <c r="E192" s="111"/>
      <c r="F192" s="110"/>
      <c r="G192" s="97"/>
      <c r="H192" s="97"/>
      <c r="I192" s="97"/>
      <c r="J192" s="97"/>
    </row>
    <row r="193" spans="1:10" x14ac:dyDescent="0.3">
      <c r="A193" s="107"/>
      <c r="B193" s="108"/>
      <c r="C193" s="109"/>
      <c r="D193" s="110"/>
      <c r="E193" s="111"/>
      <c r="F193" s="110"/>
      <c r="G193" s="97"/>
      <c r="H193" s="97"/>
      <c r="I193" s="97"/>
      <c r="J193" s="97"/>
    </row>
    <row r="194" spans="1:10" x14ac:dyDescent="0.3">
      <c r="A194" s="107"/>
      <c r="B194" s="108"/>
      <c r="C194" s="109"/>
      <c r="D194" s="110"/>
      <c r="E194" s="111"/>
      <c r="F194" s="110"/>
      <c r="G194" s="97"/>
      <c r="H194" s="97"/>
      <c r="I194" s="97"/>
      <c r="J194" s="97"/>
    </row>
    <row r="195" spans="1:10" x14ac:dyDescent="0.3">
      <c r="A195" s="107"/>
      <c r="B195" s="108"/>
      <c r="C195" s="109"/>
      <c r="D195" s="110"/>
      <c r="E195" s="111"/>
      <c r="F195" s="110"/>
      <c r="G195" s="97"/>
      <c r="H195" s="97"/>
      <c r="I195" s="97"/>
      <c r="J195" s="97"/>
    </row>
    <row r="196" spans="1:10" x14ac:dyDescent="0.3">
      <c r="A196" s="107"/>
      <c r="B196" s="108"/>
      <c r="C196" s="109"/>
      <c r="D196" s="110"/>
      <c r="E196" s="111"/>
      <c r="F196" s="110"/>
      <c r="G196" s="97"/>
      <c r="H196" s="97"/>
      <c r="I196" s="97"/>
      <c r="J196" s="97"/>
    </row>
    <row r="197" spans="1:10" x14ac:dyDescent="0.3">
      <c r="A197" s="107"/>
      <c r="B197" s="108"/>
      <c r="C197" s="109"/>
      <c r="D197" s="110"/>
      <c r="E197" s="111"/>
      <c r="F197" s="110"/>
      <c r="G197" s="97"/>
      <c r="H197" s="97"/>
      <c r="I197" s="97"/>
      <c r="J197" s="97"/>
    </row>
    <row r="198" spans="1:10" x14ac:dyDescent="0.3">
      <c r="A198" s="107"/>
      <c r="B198" s="108"/>
      <c r="C198" s="109"/>
      <c r="D198" s="110"/>
      <c r="E198" s="111"/>
      <c r="F198" s="110"/>
      <c r="G198" s="97"/>
      <c r="H198" s="97"/>
      <c r="I198" s="97"/>
      <c r="J198" s="97"/>
    </row>
    <row r="199" spans="1:10" x14ac:dyDescent="0.3">
      <c r="A199" s="107"/>
      <c r="B199" s="108"/>
      <c r="C199" s="109"/>
      <c r="D199" s="110"/>
      <c r="E199" s="111"/>
      <c r="F199" s="110"/>
      <c r="G199" s="97"/>
      <c r="H199" s="97"/>
      <c r="I199" s="97"/>
      <c r="J199" s="97"/>
    </row>
    <row r="200" spans="1:10" x14ac:dyDescent="0.3">
      <c r="A200" s="107"/>
      <c r="B200" s="108"/>
      <c r="C200" s="109"/>
      <c r="D200" s="110"/>
      <c r="E200" s="111"/>
      <c r="F200" s="110"/>
      <c r="G200" s="97"/>
      <c r="H200" s="97"/>
      <c r="I200" s="97"/>
      <c r="J200" s="97"/>
    </row>
    <row r="201" spans="1:10" x14ac:dyDescent="0.3">
      <c r="A201" s="107"/>
      <c r="B201" s="108"/>
      <c r="C201" s="109"/>
      <c r="D201" s="110"/>
      <c r="E201" s="111"/>
      <c r="F201" s="110"/>
      <c r="G201" s="97"/>
      <c r="H201" s="97"/>
      <c r="I201" s="97"/>
      <c r="J201" s="97"/>
    </row>
    <row r="202" spans="1:10" x14ac:dyDescent="0.3">
      <c r="A202" s="107"/>
      <c r="B202" s="108"/>
      <c r="C202" s="109"/>
      <c r="D202" s="110"/>
      <c r="E202" s="111"/>
      <c r="F202" s="110"/>
      <c r="G202" s="97"/>
      <c r="H202" s="97"/>
      <c r="I202" s="97"/>
      <c r="J202" s="97"/>
    </row>
    <row r="203" spans="1:10" x14ac:dyDescent="0.3">
      <c r="A203" s="107"/>
      <c r="B203" s="108"/>
      <c r="C203" s="109"/>
      <c r="D203" s="110"/>
      <c r="E203" s="111"/>
      <c r="F203" s="110"/>
      <c r="G203" s="97"/>
      <c r="H203" s="97"/>
      <c r="I203" s="97"/>
      <c r="J203" s="97"/>
    </row>
    <row r="204" spans="1:10" x14ac:dyDescent="0.3">
      <c r="A204" s="107"/>
      <c r="B204" s="108"/>
      <c r="C204" s="109"/>
      <c r="D204" s="110"/>
      <c r="E204" s="111"/>
      <c r="F204" s="110"/>
      <c r="G204" s="97"/>
      <c r="H204" s="97"/>
      <c r="I204" s="97"/>
      <c r="J204" s="97"/>
    </row>
    <row r="205" spans="1:10" x14ac:dyDescent="0.3">
      <c r="A205" s="107"/>
      <c r="B205" s="108"/>
      <c r="C205" s="109"/>
      <c r="D205" s="110"/>
      <c r="E205" s="111"/>
      <c r="F205" s="110"/>
      <c r="G205" s="97"/>
      <c r="H205" s="97"/>
      <c r="I205" s="97"/>
      <c r="J205" s="97"/>
    </row>
    <row r="206" spans="1:10" x14ac:dyDescent="0.3">
      <c r="A206" s="107"/>
      <c r="B206" s="108"/>
      <c r="C206" s="109"/>
      <c r="D206" s="110"/>
      <c r="E206" s="111"/>
      <c r="F206" s="110"/>
      <c r="G206" s="97"/>
      <c r="H206" s="97"/>
      <c r="I206" s="97"/>
      <c r="J206" s="97"/>
    </row>
    <row r="207" spans="1:10" x14ac:dyDescent="0.3">
      <c r="A207" s="107"/>
      <c r="B207" s="108"/>
      <c r="C207" s="109"/>
      <c r="D207" s="110"/>
      <c r="E207" s="111"/>
      <c r="F207" s="110"/>
      <c r="G207" s="97"/>
      <c r="H207" s="97"/>
      <c r="I207" s="97"/>
      <c r="J207" s="97"/>
    </row>
    <row r="208" spans="1:10" x14ac:dyDescent="0.3">
      <c r="A208" s="107"/>
      <c r="B208" s="108"/>
      <c r="C208" s="109"/>
      <c r="D208" s="110"/>
      <c r="E208" s="111"/>
      <c r="F208" s="110"/>
      <c r="G208" s="97"/>
      <c r="H208" s="97"/>
      <c r="I208" s="97"/>
      <c r="J208" s="97"/>
    </row>
    <row r="209" spans="1:10" x14ac:dyDescent="0.3">
      <c r="A209" s="107"/>
      <c r="B209" s="108"/>
      <c r="C209" s="109"/>
      <c r="D209" s="110"/>
      <c r="E209" s="111"/>
      <c r="F209" s="110"/>
      <c r="G209" s="97"/>
      <c r="H209" s="97"/>
      <c r="I209" s="97"/>
      <c r="J209" s="97"/>
    </row>
    <row r="210" spans="1:10" x14ac:dyDescent="0.3">
      <c r="A210" s="107"/>
      <c r="B210" s="108"/>
      <c r="C210" s="109"/>
      <c r="D210" s="110"/>
      <c r="E210" s="111"/>
      <c r="F210" s="110"/>
      <c r="G210" s="97"/>
      <c r="H210" s="97"/>
      <c r="I210" s="97"/>
      <c r="J210" s="97"/>
    </row>
    <row r="211" spans="1:10" x14ac:dyDescent="0.3">
      <c r="A211" s="107"/>
      <c r="B211" s="108"/>
      <c r="C211" s="109"/>
      <c r="D211" s="110"/>
      <c r="E211" s="111"/>
      <c r="F211" s="110"/>
      <c r="G211" s="97"/>
      <c r="H211" s="97"/>
      <c r="I211" s="97"/>
      <c r="J211" s="97"/>
    </row>
    <row r="212" spans="1:10" x14ac:dyDescent="0.3">
      <c r="A212" s="107"/>
      <c r="B212" s="108"/>
      <c r="C212" s="109"/>
      <c r="D212" s="110"/>
      <c r="E212" s="111"/>
      <c r="F212" s="110"/>
      <c r="G212" s="97"/>
      <c r="H212" s="97"/>
      <c r="I212" s="97"/>
      <c r="J212" s="97"/>
    </row>
    <row r="213" spans="1:10" x14ac:dyDescent="0.3">
      <c r="A213" s="107"/>
      <c r="B213" s="108"/>
      <c r="C213" s="109"/>
      <c r="D213" s="110"/>
      <c r="E213" s="111"/>
      <c r="F213" s="110"/>
      <c r="G213" s="97"/>
      <c r="H213" s="97"/>
      <c r="I213" s="97"/>
      <c r="J213" s="97"/>
    </row>
    <row r="214" spans="1:10" x14ac:dyDescent="0.3">
      <c r="A214" s="107"/>
      <c r="B214" s="108"/>
      <c r="C214" s="109"/>
      <c r="D214" s="110"/>
      <c r="E214" s="111"/>
      <c r="F214" s="110"/>
      <c r="G214" s="97"/>
      <c r="H214" s="97"/>
      <c r="I214" s="97"/>
      <c r="J214" s="97"/>
    </row>
    <row r="215" spans="1:10" x14ac:dyDescent="0.3">
      <c r="A215" s="112"/>
      <c r="B215" s="113"/>
      <c r="C215" s="109"/>
      <c r="D215" s="110"/>
      <c r="E215" s="111"/>
      <c r="F215" s="110"/>
      <c r="G215" s="97"/>
      <c r="H215" s="97"/>
      <c r="I215" s="97"/>
      <c r="J215" s="97"/>
    </row>
    <row r="216" spans="1:10" x14ac:dyDescent="0.3">
      <c r="A216" s="107"/>
      <c r="B216" s="108"/>
      <c r="C216" s="109"/>
      <c r="D216" s="110"/>
      <c r="E216" s="111"/>
      <c r="F216" s="110"/>
      <c r="G216" s="97"/>
      <c r="H216" s="97"/>
      <c r="I216" s="97"/>
      <c r="J216" s="97"/>
    </row>
    <row r="217" spans="1:10" x14ac:dyDescent="0.3">
      <c r="A217" s="107"/>
      <c r="B217" s="108"/>
      <c r="C217" s="109"/>
      <c r="D217" s="110"/>
      <c r="E217" s="111"/>
      <c r="F217" s="110"/>
      <c r="G217" s="97"/>
      <c r="H217" s="97"/>
      <c r="I217" s="97"/>
      <c r="J217" s="97"/>
    </row>
    <row r="218" spans="1:10" x14ac:dyDescent="0.3">
      <c r="A218" s="107"/>
      <c r="B218" s="108"/>
      <c r="C218" s="109"/>
      <c r="D218" s="110"/>
      <c r="E218" s="111"/>
      <c r="F218" s="110"/>
      <c r="G218" s="97"/>
      <c r="H218" s="97"/>
      <c r="I218" s="97"/>
      <c r="J218" s="97"/>
    </row>
    <row r="219" spans="1:10" x14ac:dyDescent="0.3">
      <c r="A219" s="107"/>
      <c r="B219" s="108"/>
      <c r="C219" s="109"/>
      <c r="D219" s="110"/>
      <c r="E219" s="111"/>
      <c r="F219" s="110"/>
      <c r="G219" s="97"/>
      <c r="H219" s="97"/>
      <c r="I219" s="97"/>
      <c r="J219" s="97"/>
    </row>
    <row r="220" spans="1:10" x14ac:dyDescent="0.3">
      <c r="A220" s="107"/>
      <c r="B220" s="108"/>
      <c r="C220" s="109"/>
      <c r="D220" s="110"/>
      <c r="E220" s="111"/>
      <c r="F220" s="110"/>
      <c r="G220" s="97"/>
      <c r="H220" s="97"/>
      <c r="I220" s="97"/>
      <c r="J220" s="97"/>
    </row>
    <row r="221" spans="1:10" x14ac:dyDescent="0.3">
      <c r="A221" s="107"/>
      <c r="B221" s="108"/>
      <c r="C221" s="109"/>
      <c r="D221" s="110"/>
      <c r="E221" s="111"/>
      <c r="F221" s="110"/>
      <c r="G221" s="97"/>
      <c r="H221" s="97"/>
      <c r="I221" s="97"/>
      <c r="J221" s="97"/>
    </row>
    <row r="222" spans="1:10" x14ac:dyDescent="0.3">
      <c r="A222" s="107"/>
      <c r="B222" s="114"/>
      <c r="C222" s="114"/>
      <c r="D222" s="97"/>
      <c r="E222" s="115"/>
      <c r="F222" s="97"/>
      <c r="G222" s="97"/>
      <c r="H222" s="97"/>
      <c r="I222" s="97"/>
      <c r="J222" s="97"/>
    </row>
    <row r="223" spans="1:10" x14ac:dyDescent="0.3">
      <c r="A223" s="116"/>
      <c r="B223" s="117"/>
      <c r="C223" s="118"/>
      <c r="D223" s="117"/>
      <c r="E223" s="115"/>
      <c r="F223" s="117"/>
      <c r="G223" s="97"/>
      <c r="H223" s="97"/>
      <c r="I223" s="97"/>
      <c r="J223" s="97"/>
    </row>
    <row r="224" spans="1:10" x14ac:dyDescent="0.3">
      <c r="A224" s="119"/>
      <c r="B224" s="120"/>
      <c r="C224" s="114"/>
      <c r="D224" s="110"/>
      <c r="E224" s="115"/>
      <c r="F224" s="110"/>
      <c r="G224" s="97"/>
      <c r="H224" s="97"/>
      <c r="I224" s="97"/>
      <c r="J224" s="97"/>
    </row>
    <row r="225" spans="1:10" x14ac:dyDescent="0.3">
      <c r="A225" s="119"/>
      <c r="B225" s="113"/>
      <c r="C225" s="109"/>
      <c r="D225" s="121"/>
      <c r="E225" s="115"/>
      <c r="F225" s="110"/>
      <c r="G225" s="97"/>
      <c r="H225" s="97"/>
      <c r="I225" s="97"/>
      <c r="J225" s="97"/>
    </row>
    <row r="226" spans="1:10" x14ac:dyDescent="0.3">
      <c r="A226" s="119"/>
      <c r="B226" s="120"/>
      <c r="C226" s="114"/>
      <c r="D226" s="120"/>
      <c r="E226" s="115"/>
      <c r="F226" s="110"/>
      <c r="G226" s="97"/>
      <c r="H226" s="97"/>
      <c r="I226" s="97"/>
      <c r="J226" s="97"/>
    </row>
    <row r="227" spans="1:10" x14ac:dyDescent="0.3">
      <c r="A227" s="116"/>
      <c r="B227" s="117"/>
      <c r="C227" s="118"/>
      <c r="D227" s="117"/>
      <c r="E227" s="115"/>
      <c r="F227" s="110"/>
      <c r="G227" s="97"/>
      <c r="H227" s="97"/>
      <c r="I227" s="97"/>
      <c r="J227" s="97"/>
    </row>
    <row r="228" spans="1:10" x14ac:dyDescent="0.3">
      <c r="A228" s="119"/>
      <c r="B228" s="97"/>
      <c r="C228" s="97"/>
      <c r="D228" s="97"/>
      <c r="E228" s="97"/>
      <c r="F228" s="97"/>
      <c r="G228" s="97"/>
      <c r="H228" s="97"/>
      <c r="I228" s="97"/>
      <c r="J228" s="97"/>
    </row>
    <row r="229" spans="1:10" x14ac:dyDescent="0.3">
      <c r="A229" s="97"/>
      <c r="B229" s="97"/>
      <c r="C229" s="97"/>
      <c r="D229" s="97"/>
      <c r="E229" s="97"/>
      <c r="F229" s="97"/>
      <c r="G229" s="97"/>
      <c r="H229" s="97"/>
      <c r="I229" s="97"/>
      <c r="J229" s="97"/>
    </row>
    <row r="230" spans="1:10" x14ac:dyDescent="0.3">
      <c r="A230" s="97"/>
      <c r="B230" s="97"/>
      <c r="C230" s="97"/>
      <c r="D230" s="97"/>
      <c r="E230" s="97"/>
      <c r="F230" s="97"/>
      <c r="G230" s="97"/>
      <c r="H230" s="97"/>
      <c r="I230" s="97"/>
      <c r="J230" s="97"/>
    </row>
  </sheetData>
  <phoneticPr fontId="8" type="noConversion"/>
  <pageMargins left="0.75" right="0.75" top="1" bottom="1" header="0.5" footer="0.5"/>
  <pageSetup scale="4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C25" sqref="C25"/>
    </sheetView>
  </sheetViews>
  <sheetFormatPr defaultRowHeight="15.6" x14ac:dyDescent="0.3"/>
  <cols>
    <col min="1" max="1" width="4.3984375" customWidth="1"/>
    <col min="2" max="2" width="1.59765625" customWidth="1"/>
    <col min="3" max="3" width="40.09765625" customWidth="1"/>
    <col min="4" max="4" width="1.5" customWidth="1"/>
    <col min="5" max="6" width="1.19921875" customWidth="1"/>
    <col min="7" max="7" width="7.69921875" customWidth="1"/>
    <col min="8" max="8" width="1.19921875" customWidth="1"/>
    <col min="9" max="9" width="15.3984375" customWidth="1"/>
    <col min="10" max="10" width="1.69921875" customWidth="1"/>
    <col min="11" max="11" width="10" customWidth="1"/>
    <col min="12" max="12" width="1.8984375" customWidth="1"/>
    <col min="13" max="13" width="7.3984375" customWidth="1"/>
    <col min="14" max="14" width="1.59765625" customWidth="1"/>
    <col min="15" max="15" width="11.5" customWidth="1"/>
  </cols>
  <sheetData>
    <row r="1" spans="1:15" x14ac:dyDescent="0.3">
      <c r="A1" t="s">
        <v>525</v>
      </c>
      <c r="K1" t="s">
        <v>554</v>
      </c>
      <c r="M1" s="16"/>
      <c r="N1" s="16"/>
      <c r="O1" s="16"/>
    </row>
    <row r="2" spans="1:15" x14ac:dyDescent="0.3">
      <c r="A2" t="s">
        <v>186</v>
      </c>
      <c r="K2" t="s">
        <v>567</v>
      </c>
      <c r="M2" s="16"/>
      <c r="N2" s="16"/>
      <c r="O2" s="16"/>
    </row>
    <row r="3" spans="1:15" x14ac:dyDescent="0.3">
      <c r="A3" t="s">
        <v>187</v>
      </c>
      <c r="K3" t="s">
        <v>535</v>
      </c>
      <c r="M3" s="16"/>
      <c r="N3" s="16"/>
      <c r="O3" s="16"/>
    </row>
    <row r="4" spans="1:15" x14ac:dyDescent="0.3">
      <c r="A4" t="s">
        <v>266</v>
      </c>
      <c r="M4" s="16"/>
      <c r="N4" s="16"/>
      <c r="O4" s="16"/>
    </row>
    <row r="5" spans="1:15" x14ac:dyDescent="0.3">
      <c r="A5" t="s">
        <v>188</v>
      </c>
      <c r="M5" s="16"/>
      <c r="N5" s="16"/>
      <c r="O5" s="16"/>
    </row>
    <row r="6" spans="1:15" x14ac:dyDescent="0.3">
      <c r="A6" s="16"/>
      <c r="B6" s="16"/>
      <c r="C6" s="16"/>
      <c r="D6" s="16"/>
      <c r="E6" s="16"/>
      <c r="F6" s="16"/>
      <c r="G6" s="16"/>
      <c r="H6" s="16"/>
      <c r="I6" s="16"/>
      <c r="J6" s="16"/>
      <c r="K6" s="16"/>
      <c r="L6" s="16"/>
      <c r="M6" s="16"/>
      <c r="N6" s="16"/>
      <c r="O6" s="16"/>
    </row>
    <row r="7" spans="1:15" x14ac:dyDescent="0.3">
      <c r="A7" s="16"/>
      <c r="B7" s="16"/>
      <c r="C7" s="16"/>
      <c r="D7" s="16"/>
      <c r="E7" s="16"/>
      <c r="F7" s="16"/>
      <c r="G7" s="16"/>
      <c r="H7" s="16"/>
      <c r="I7" s="16"/>
      <c r="J7" s="16"/>
      <c r="K7" s="16"/>
      <c r="L7" s="16"/>
      <c r="M7" s="16"/>
      <c r="N7" s="16"/>
      <c r="O7" s="16"/>
    </row>
    <row r="8" spans="1:15" x14ac:dyDescent="0.3">
      <c r="G8" s="1"/>
      <c r="H8" s="1"/>
      <c r="I8" s="1" t="s">
        <v>4</v>
      </c>
      <c r="J8" s="1"/>
      <c r="K8" s="1"/>
      <c r="L8" s="1"/>
      <c r="M8" s="1"/>
      <c r="N8" s="1"/>
      <c r="O8" s="1" t="s">
        <v>184</v>
      </c>
    </row>
    <row r="9" spans="1:15" x14ac:dyDescent="0.3">
      <c r="A9" s="4"/>
      <c r="C9" s="2" t="s">
        <v>1</v>
      </c>
      <c r="D9" s="4"/>
      <c r="E9" s="14"/>
      <c r="G9" s="10" t="s">
        <v>10</v>
      </c>
      <c r="H9" s="1"/>
      <c r="I9" s="10" t="s">
        <v>6</v>
      </c>
      <c r="J9" s="1"/>
      <c r="K9" s="10" t="s">
        <v>7</v>
      </c>
      <c r="L9" s="1"/>
      <c r="M9" s="11" t="s">
        <v>9</v>
      </c>
      <c r="N9" s="1"/>
      <c r="O9" s="10" t="s">
        <v>8</v>
      </c>
    </row>
    <row r="11" spans="1:15" x14ac:dyDescent="0.3">
      <c r="C11" s="3" t="s">
        <v>11</v>
      </c>
    </row>
    <row r="13" spans="1:15" x14ac:dyDescent="0.3">
      <c r="A13">
        <v>1</v>
      </c>
      <c r="C13" t="s">
        <v>267</v>
      </c>
      <c r="G13" s="52" t="s">
        <v>101</v>
      </c>
      <c r="I13" s="44">
        <f>I22</f>
        <v>-1550063.9824579661</v>
      </c>
      <c r="K13" s="1" t="s">
        <v>102</v>
      </c>
      <c r="L13" s="1"/>
      <c r="M13" s="1" t="s">
        <v>102</v>
      </c>
      <c r="O13" s="44">
        <f>OPEBp2!F90</f>
        <v>-100686.21591765704</v>
      </c>
    </row>
    <row r="16" spans="1:15" x14ac:dyDescent="0.3">
      <c r="I16" s="44"/>
    </row>
    <row r="17" spans="1:15" x14ac:dyDescent="0.3">
      <c r="C17" s="3" t="s">
        <v>104</v>
      </c>
      <c r="I17" s="44"/>
    </row>
    <row r="18" spans="1:15" x14ac:dyDescent="0.3">
      <c r="A18" t="s">
        <v>105</v>
      </c>
      <c r="C18" s="18" t="s">
        <v>268</v>
      </c>
      <c r="D18" s="4"/>
      <c r="E18" s="4"/>
      <c r="F18" s="4"/>
      <c r="G18" s="4"/>
      <c r="H18" s="4"/>
      <c r="I18" s="47">
        <v>2703322</v>
      </c>
      <c r="J18" s="4"/>
      <c r="K18" t="s">
        <v>271</v>
      </c>
    </row>
    <row r="19" spans="1:15" x14ac:dyDescent="0.3">
      <c r="A19" t="s">
        <v>106</v>
      </c>
      <c r="C19" t="s">
        <v>269</v>
      </c>
      <c r="I19" s="45">
        <v>485215</v>
      </c>
      <c r="K19" t="s">
        <v>272</v>
      </c>
    </row>
    <row r="20" spans="1:15" x14ac:dyDescent="0.3">
      <c r="A20" t="s">
        <v>107</v>
      </c>
      <c r="C20" t="s">
        <v>270</v>
      </c>
      <c r="I20" s="47">
        <f>I19-I18</f>
        <v>-2218107</v>
      </c>
      <c r="K20" t="s">
        <v>265</v>
      </c>
    </row>
    <row r="21" spans="1:15" x14ac:dyDescent="0.3">
      <c r="A21" s="4" t="s">
        <v>108</v>
      </c>
      <c r="B21" s="4"/>
      <c r="C21" s="18" t="s">
        <v>152</v>
      </c>
      <c r="D21" s="4"/>
      <c r="E21" s="4"/>
      <c r="F21" s="4"/>
      <c r="G21" s="4"/>
      <c r="H21" s="4"/>
      <c r="I21" s="78">
        <f>1-(211320424/701648396)</f>
        <v>0.69882290730698116</v>
      </c>
      <c r="J21" s="4"/>
    </row>
    <row r="22" spans="1:15" x14ac:dyDescent="0.3">
      <c r="A22" s="18" t="s">
        <v>109</v>
      </c>
      <c r="B22" s="4"/>
      <c r="C22" s="18" t="s">
        <v>267</v>
      </c>
      <c r="D22" s="4"/>
      <c r="E22" s="4"/>
      <c r="F22" s="4"/>
      <c r="G22" s="4"/>
      <c r="H22" s="4"/>
      <c r="I22" s="79">
        <f>I20*I21</f>
        <v>-1550063.9824579661</v>
      </c>
      <c r="J22" s="4"/>
    </row>
    <row r="23" spans="1:15" x14ac:dyDescent="0.3">
      <c r="A23" s="4"/>
      <c r="B23" s="4"/>
    </row>
    <row r="24" spans="1:15" x14ac:dyDescent="0.3">
      <c r="A24" s="4"/>
      <c r="B24" s="4"/>
      <c r="C24" s="18"/>
      <c r="D24" s="4"/>
      <c r="E24" s="4"/>
      <c r="F24" s="4"/>
      <c r="G24" s="4"/>
      <c r="H24" s="4"/>
      <c r="I24" s="47"/>
      <c r="J24" s="4"/>
      <c r="K24" s="4"/>
      <c r="L24" s="4"/>
      <c r="M24" s="4"/>
    </row>
    <row r="25" spans="1:15" x14ac:dyDescent="0.3">
      <c r="A25" s="4"/>
      <c r="B25" s="4"/>
      <c r="C25" s="18"/>
      <c r="D25" s="4"/>
      <c r="E25" s="4"/>
      <c r="F25" s="4"/>
      <c r="G25" s="4"/>
      <c r="H25" s="4"/>
      <c r="I25" s="20"/>
      <c r="J25" s="4"/>
      <c r="K25" s="4"/>
      <c r="L25" s="4"/>
      <c r="M25" s="4"/>
    </row>
    <row r="26" spans="1:15" x14ac:dyDescent="0.3">
      <c r="A26" s="4"/>
      <c r="B26" s="4"/>
      <c r="C26" s="18"/>
      <c r="D26" s="4"/>
      <c r="E26" s="4"/>
      <c r="F26" s="4"/>
      <c r="G26" s="4"/>
      <c r="H26" s="4"/>
      <c r="I26" s="47"/>
      <c r="J26" s="4"/>
      <c r="K26" s="4"/>
      <c r="L26" s="4"/>
      <c r="M26" s="4"/>
    </row>
    <row r="27" spans="1:15" x14ac:dyDescent="0.3">
      <c r="A27" s="4"/>
      <c r="B27" s="4"/>
      <c r="C27" s="4"/>
      <c r="D27" s="4"/>
      <c r="E27" s="4"/>
      <c r="F27" s="4"/>
      <c r="G27" s="4"/>
      <c r="H27" s="4"/>
      <c r="I27" s="47"/>
      <c r="J27" s="4"/>
      <c r="K27" s="4"/>
      <c r="L27" s="4"/>
      <c r="M27" s="4"/>
    </row>
    <row r="28" spans="1:15" x14ac:dyDescent="0.3">
      <c r="A28" s="4"/>
      <c r="B28" s="4"/>
      <c r="C28" s="4"/>
      <c r="D28" s="4"/>
      <c r="E28" s="4"/>
      <c r="F28" s="4"/>
      <c r="G28" s="4"/>
      <c r="H28" s="4"/>
      <c r="I28" s="4"/>
      <c r="J28" s="4"/>
      <c r="K28" s="4"/>
      <c r="L28" s="4"/>
      <c r="M28" s="4"/>
    </row>
    <row r="29" spans="1:15" x14ac:dyDescent="0.3">
      <c r="A29" s="4"/>
      <c r="B29" s="4"/>
      <c r="C29" s="4"/>
      <c r="D29" s="4"/>
      <c r="E29" s="4"/>
      <c r="F29" s="4"/>
      <c r="G29" s="4"/>
      <c r="H29" s="4"/>
      <c r="I29" s="4"/>
      <c r="J29" s="4"/>
      <c r="K29" s="4"/>
      <c r="L29" s="4"/>
      <c r="M29" s="4"/>
    </row>
    <row r="30" spans="1:15" x14ac:dyDescent="0.3">
      <c r="C30" t="s">
        <v>103</v>
      </c>
    </row>
    <row r="31" spans="1:15" ht="15.75" customHeight="1" x14ac:dyDescent="0.3">
      <c r="C31" s="246" t="s">
        <v>273</v>
      </c>
      <c r="D31" s="247"/>
      <c r="E31" s="247"/>
      <c r="F31" s="247"/>
      <c r="G31" s="247"/>
      <c r="H31" s="247"/>
      <c r="I31" s="247"/>
      <c r="J31" s="247"/>
      <c r="K31" s="247"/>
      <c r="L31" s="247"/>
      <c r="M31" s="247"/>
      <c r="N31" s="247"/>
      <c r="O31" s="248"/>
    </row>
    <row r="32" spans="1:15" ht="15.75" customHeight="1" x14ac:dyDescent="0.3">
      <c r="C32" s="249"/>
      <c r="D32" s="250"/>
      <c r="E32" s="250"/>
      <c r="F32" s="250"/>
      <c r="G32" s="250"/>
      <c r="H32" s="250"/>
      <c r="I32" s="250"/>
      <c r="J32" s="250"/>
      <c r="K32" s="250"/>
      <c r="L32" s="250"/>
      <c r="M32" s="250"/>
      <c r="N32" s="250"/>
      <c r="O32" s="251"/>
    </row>
    <row r="33" spans="3:15" x14ac:dyDescent="0.3">
      <c r="C33" s="249"/>
      <c r="D33" s="250"/>
      <c r="E33" s="250"/>
      <c r="F33" s="250"/>
      <c r="G33" s="250"/>
      <c r="H33" s="250"/>
      <c r="I33" s="250"/>
      <c r="J33" s="250"/>
      <c r="K33" s="250"/>
      <c r="L33" s="250"/>
      <c r="M33" s="250"/>
      <c r="N33" s="250"/>
      <c r="O33" s="251"/>
    </row>
    <row r="34" spans="3:15" ht="15.75" customHeight="1" x14ac:dyDescent="0.3">
      <c r="C34" s="252"/>
      <c r="D34" s="253"/>
      <c r="E34" s="253"/>
      <c r="F34" s="253"/>
      <c r="G34" s="253"/>
      <c r="H34" s="253"/>
      <c r="I34" s="253"/>
      <c r="J34" s="253"/>
      <c r="K34" s="253"/>
      <c r="L34" s="253"/>
      <c r="M34" s="253"/>
      <c r="N34" s="253"/>
      <c r="O34" s="254"/>
    </row>
  </sheetData>
  <mergeCells count="1">
    <mergeCell ref="C31:O34"/>
  </mergeCells>
  <pageMargins left="0.7" right="0.7" top="0.75" bottom="0.75" header="0.3" footer="0.3"/>
  <pageSetup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6"/>
  <sheetViews>
    <sheetView workbookViewId="0">
      <selection activeCell="C25" sqref="C25"/>
    </sheetView>
  </sheetViews>
  <sheetFormatPr defaultColWidth="9" defaultRowHeight="15.6" x14ac:dyDescent="0.3"/>
  <cols>
    <col min="1" max="1" width="17.59765625" style="82" customWidth="1"/>
    <col min="2" max="2" width="14.69921875" style="82" customWidth="1"/>
    <col min="3" max="3" width="9.59765625" style="82" customWidth="1"/>
    <col min="4" max="4" width="12" style="82" customWidth="1"/>
    <col min="5" max="5" width="10.8984375" style="82" customWidth="1"/>
    <col min="6" max="6" width="12.09765625" style="82" customWidth="1"/>
    <col min="7" max="16384" width="9" style="82"/>
  </cols>
  <sheetData>
    <row r="1" spans="1:7" x14ac:dyDescent="0.3">
      <c r="A1" s="82" t="s">
        <v>526</v>
      </c>
      <c r="B1"/>
      <c r="C1"/>
      <c r="D1"/>
      <c r="E1" t="s">
        <v>554</v>
      </c>
    </row>
    <row r="2" spans="1:7" x14ac:dyDescent="0.3">
      <c r="A2" t="s">
        <v>186</v>
      </c>
      <c r="B2"/>
      <c r="C2"/>
      <c r="D2"/>
      <c r="E2" t="s">
        <v>567</v>
      </c>
    </row>
    <row r="3" spans="1:7" x14ac:dyDescent="0.3">
      <c r="A3" t="s">
        <v>187</v>
      </c>
      <c r="B3"/>
      <c r="C3"/>
      <c r="D3"/>
      <c r="E3" t="s">
        <v>534</v>
      </c>
    </row>
    <row r="4" spans="1:7" x14ac:dyDescent="0.3">
      <c r="A4" t="s">
        <v>110</v>
      </c>
      <c r="B4"/>
      <c r="C4"/>
      <c r="D4"/>
      <c r="E4"/>
    </row>
    <row r="5" spans="1:7" ht="15" customHeight="1" x14ac:dyDescent="0.3">
      <c r="A5" t="s">
        <v>188</v>
      </c>
      <c r="B5"/>
      <c r="C5"/>
      <c r="D5"/>
      <c r="E5"/>
      <c r="F5"/>
    </row>
    <row r="6" spans="1:7" x14ac:dyDescent="0.3">
      <c r="A6" s="122"/>
      <c r="B6" s="123" t="s">
        <v>64</v>
      </c>
      <c r="C6" s="124"/>
      <c r="D6" s="30" t="s">
        <v>231</v>
      </c>
      <c r="E6" s="30" t="s">
        <v>8</v>
      </c>
      <c r="F6" s="30" t="s">
        <v>184</v>
      </c>
    </row>
    <row r="7" spans="1:7" x14ac:dyDescent="0.3">
      <c r="A7" s="125" t="s">
        <v>99</v>
      </c>
      <c r="B7" s="126" t="s">
        <v>197</v>
      </c>
      <c r="C7" s="127" t="s">
        <v>8</v>
      </c>
      <c r="D7" s="128" t="s">
        <v>100</v>
      </c>
      <c r="E7" s="128" t="s">
        <v>96</v>
      </c>
      <c r="F7" s="128" t="s">
        <v>2</v>
      </c>
    </row>
    <row r="8" spans="1:7" x14ac:dyDescent="0.3">
      <c r="A8" s="136" t="s">
        <v>198</v>
      </c>
      <c r="B8" s="137">
        <v>72805758.877121493</v>
      </c>
      <c r="C8" s="138">
        <f>B8/$B$94</f>
        <v>0.10376387849359243</v>
      </c>
      <c r="D8" s="134">
        <f>C8*$D$94</f>
        <v>-230159.38523378683</v>
      </c>
      <c r="E8" s="152">
        <v>0</v>
      </c>
      <c r="F8" s="134">
        <f>D8*E8</f>
        <v>0</v>
      </c>
      <c r="G8" s="97"/>
    </row>
    <row r="9" spans="1:7" x14ac:dyDescent="0.3">
      <c r="A9" s="136" t="s">
        <v>199</v>
      </c>
      <c r="B9" s="137">
        <v>5004257.3462908678</v>
      </c>
      <c r="C9" s="138">
        <f t="shared" ref="C9:C72" si="0">B9/$B$94</f>
        <v>7.1321439298171465E-3</v>
      </c>
      <c r="D9" s="134">
        <f t="shared" ref="D9:D72" si="1">C9*$D$94</f>
        <v>-15819.858375734921</v>
      </c>
      <c r="E9" s="152">
        <v>0.22953887558714423</v>
      </c>
      <c r="F9" s="134">
        <f t="shared" ref="F9:F72" si="2">D9*E9</f>
        <v>-3631.2725035140593</v>
      </c>
      <c r="G9" s="97"/>
    </row>
    <row r="10" spans="1:7" x14ac:dyDescent="0.3">
      <c r="A10" s="136" t="s">
        <v>66</v>
      </c>
      <c r="B10" s="137">
        <v>28134</v>
      </c>
      <c r="C10" s="138">
        <f t="shared" si="0"/>
        <v>4.0097006096259361E-5</v>
      </c>
      <c r="D10" s="134">
        <f t="shared" si="1"/>
        <v>-88.939449901155555</v>
      </c>
      <c r="E10" s="152">
        <v>7.9057273540331513E-2</v>
      </c>
      <c r="F10" s="134">
        <f t="shared" si="2"/>
        <v>-7.0313104193622653</v>
      </c>
      <c r="G10" s="97"/>
    </row>
    <row r="11" spans="1:7" x14ac:dyDescent="0.3">
      <c r="A11" s="139" t="s">
        <v>200</v>
      </c>
      <c r="B11" s="140">
        <v>1059194.5785257067</v>
      </c>
      <c r="C11" s="138">
        <f t="shared" si="0"/>
        <v>1.5095802755480956E-3</v>
      </c>
      <c r="D11" s="134">
        <f t="shared" si="1"/>
        <v>-3348.4105762551594</v>
      </c>
      <c r="E11" s="152">
        <v>0</v>
      </c>
      <c r="F11" s="134">
        <f t="shared" si="2"/>
        <v>0</v>
      </c>
      <c r="G11" s="97"/>
    </row>
    <row r="12" spans="1:7" x14ac:dyDescent="0.3">
      <c r="A12" s="136" t="s">
        <v>201</v>
      </c>
      <c r="B12" s="137">
        <v>657035.80752340809</v>
      </c>
      <c r="C12" s="138">
        <f t="shared" si="0"/>
        <v>9.3641745858131749E-4</v>
      </c>
      <c r="D12" s="134">
        <f t="shared" si="1"/>
        <v>-2077.0741198014302</v>
      </c>
      <c r="E12" s="152">
        <v>0.22612324164332259</v>
      </c>
      <c r="F12" s="134">
        <f t="shared" si="2"/>
        <v>-469.67473310295037</v>
      </c>
      <c r="G12" s="97"/>
    </row>
    <row r="13" spans="1:7" x14ac:dyDescent="0.3">
      <c r="A13" s="136" t="s">
        <v>67</v>
      </c>
      <c r="B13" s="137">
        <v>299330.17647259089</v>
      </c>
      <c r="C13" s="138">
        <f t="shared" si="0"/>
        <v>4.2660993498314732E-4</v>
      </c>
      <c r="D13" s="134">
        <f t="shared" si="1"/>
        <v>-946.26648305566391</v>
      </c>
      <c r="E13" s="152">
        <v>7.5697931989234163E-2</v>
      </c>
      <c r="F13" s="134">
        <f t="shared" si="2"/>
        <v>-71.630415878039443</v>
      </c>
      <c r="G13" s="97"/>
    </row>
    <row r="14" spans="1:7" x14ac:dyDescent="0.3">
      <c r="A14" s="136" t="s">
        <v>202</v>
      </c>
      <c r="B14" s="137">
        <v>3701.0899999999997</v>
      </c>
      <c r="C14" s="138">
        <f t="shared" si="0"/>
        <v>5.2748499428735527E-6</v>
      </c>
      <c r="D14" s="134">
        <f t="shared" si="1"/>
        <v>-11.700181582237427</v>
      </c>
      <c r="E14" s="152">
        <v>0.23084885646883446</v>
      </c>
      <c r="F14" s="134">
        <f t="shared" si="2"/>
        <v>-2.7009735387372285</v>
      </c>
      <c r="G14" s="97"/>
    </row>
    <row r="15" spans="1:7" x14ac:dyDescent="0.3">
      <c r="A15" s="136" t="s">
        <v>203</v>
      </c>
      <c r="B15" s="137">
        <v>29914945.100075848</v>
      </c>
      <c r="C15" s="138">
        <f t="shared" si="0"/>
        <v>4.2635236228300469E-2</v>
      </c>
      <c r="D15" s="134">
        <f t="shared" si="1"/>
        <v>-94569.515924646868</v>
      </c>
      <c r="E15" s="152">
        <v>0</v>
      </c>
      <c r="F15" s="134">
        <f t="shared" si="2"/>
        <v>0</v>
      </c>
      <c r="G15" s="97"/>
    </row>
    <row r="16" spans="1:7" x14ac:dyDescent="0.3">
      <c r="A16" s="136" t="s">
        <v>204</v>
      </c>
      <c r="B16" s="137">
        <v>19827025.255018521</v>
      </c>
      <c r="C16" s="138">
        <f t="shared" si="0"/>
        <v>2.8257778933715998E-2</v>
      </c>
      <c r="D16" s="134">
        <f t="shared" si="1"/>
        <v>-62678.777257327987</v>
      </c>
      <c r="E16" s="152">
        <v>0.22953887558714423</v>
      </c>
      <c r="F16" s="134">
        <f t="shared" si="2"/>
        <v>-14387.216054824134</v>
      </c>
      <c r="G16" s="97"/>
    </row>
    <row r="17" spans="1:7" x14ac:dyDescent="0.3">
      <c r="A17" s="136" t="s">
        <v>205</v>
      </c>
      <c r="B17" s="137">
        <v>-187198.16058377374</v>
      </c>
      <c r="C17" s="138">
        <f t="shared" si="0"/>
        <v>-2.6679767491775481E-4</v>
      </c>
      <c r="D17" s="134">
        <f t="shared" si="1"/>
        <v>591.78579031879633</v>
      </c>
      <c r="E17" s="152">
        <v>0.23084885646883446</v>
      </c>
      <c r="F17" s="134">
        <f t="shared" si="2"/>
        <v>136.61307296959959</v>
      </c>
      <c r="G17" s="97"/>
    </row>
    <row r="18" spans="1:7" x14ac:dyDescent="0.3">
      <c r="A18" s="136" t="s">
        <v>206</v>
      </c>
      <c r="B18" s="137">
        <v>6266650.0927001694</v>
      </c>
      <c r="C18" s="138">
        <f t="shared" si="0"/>
        <v>8.9313253348305595E-3</v>
      </c>
      <c r="D18" s="134">
        <f t="shared" si="1"/>
        <v>-19810.635244465007</v>
      </c>
      <c r="E18" s="152">
        <v>0</v>
      </c>
      <c r="F18" s="134">
        <f t="shared" si="2"/>
        <v>0</v>
      </c>
      <c r="G18" s="97"/>
    </row>
    <row r="19" spans="1:7" x14ac:dyDescent="0.3">
      <c r="A19" s="136" t="s">
        <v>207</v>
      </c>
      <c r="B19" s="137">
        <v>8273337.0296269003</v>
      </c>
      <c r="C19" s="138">
        <f t="shared" si="0"/>
        <v>1.1791286177342651E-2</v>
      </c>
      <c r="D19" s="134">
        <f t="shared" si="1"/>
        <v>-26154.334408966974</v>
      </c>
      <c r="E19" s="152">
        <v>0.23084885646883446</v>
      </c>
      <c r="F19" s="134">
        <f t="shared" si="2"/>
        <v>-6037.6981900135152</v>
      </c>
      <c r="G19" s="97"/>
    </row>
    <row r="20" spans="1:7" x14ac:dyDescent="0.3">
      <c r="A20" s="136" t="s">
        <v>208</v>
      </c>
      <c r="B20" s="137">
        <v>3408722.215469243</v>
      </c>
      <c r="C20" s="138">
        <f t="shared" si="0"/>
        <v>4.858162915124936E-3</v>
      </c>
      <c r="D20" s="134">
        <f t="shared" si="1"/>
        <v>-10775.925169179027</v>
      </c>
      <c r="E20" s="152">
        <v>0.23084885646883446</v>
      </c>
      <c r="F20" s="134">
        <f t="shared" si="2"/>
        <v>-2487.6100026987101</v>
      </c>
      <c r="G20" s="97"/>
    </row>
    <row r="21" spans="1:7" x14ac:dyDescent="0.3">
      <c r="A21" s="136" t="s">
        <v>209</v>
      </c>
      <c r="B21" s="137">
        <v>1239752.5874200864</v>
      </c>
      <c r="C21" s="138">
        <f t="shared" si="0"/>
        <v>1.766914304956157E-3</v>
      </c>
      <c r="D21" s="134">
        <f t="shared" si="1"/>
        <v>-3919.2049882233864</v>
      </c>
      <c r="E21" s="152">
        <v>0</v>
      </c>
      <c r="F21" s="134">
        <f t="shared" si="2"/>
        <v>0</v>
      </c>
      <c r="G21" s="97"/>
    </row>
    <row r="22" spans="1:7" x14ac:dyDescent="0.3">
      <c r="A22" s="136" t="s">
        <v>210</v>
      </c>
      <c r="B22" s="137">
        <v>4220655.6559829628</v>
      </c>
      <c r="C22" s="138">
        <f t="shared" si="0"/>
        <v>6.0153428438245683E-3</v>
      </c>
      <c r="D22" s="134">
        <f t="shared" si="1"/>
        <v>-13342.674069287181</v>
      </c>
      <c r="E22" s="152">
        <v>0</v>
      </c>
      <c r="F22" s="134">
        <f t="shared" si="2"/>
        <v>0</v>
      </c>
      <c r="G22" s="97"/>
    </row>
    <row r="23" spans="1:7" x14ac:dyDescent="0.3">
      <c r="A23" s="136" t="s">
        <v>211</v>
      </c>
      <c r="B23" s="137">
        <v>1578131.5127310241</v>
      </c>
      <c r="C23" s="138">
        <f t="shared" si="0"/>
        <v>2.2491771126279545E-3</v>
      </c>
      <c r="D23" s="134">
        <f t="shared" si="1"/>
        <v>-4988.9154977598546</v>
      </c>
      <c r="E23" s="152">
        <v>0.23084885646883446</v>
      </c>
      <c r="F23" s="134">
        <f t="shared" si="2"/>
        <v>-1151.6854376775086</v>
      </c>
      <c r="G23" s="97"/>
    </row>
    <row r="24" spans="1:7" x14ac:dyDescent="0.3">
      <c r="A24" s="136" t="s">
        <v>212</v>
      </c>
      <c r="B24" s="137">
        <v>3463.0080643839146</v>
      </c>
      <c r="C24" s="138">
        <f t="shared" si="0"/>
        <v>4.9355319353450329E-6</v>
      </c>
      <c r="D24" s="134">
        <f t="shared" si="1"/>
        <v>-10.947537934512365</v>
      </c>
      <c r="E24" s="152">
        <v>0</v>
      </c>
      <c r="F24" s="134">
        <f t="shared" si="2"/>
        <v>0</v>
      </c>
      <c r="G24" s="97"/>
    </row>
    <row r="25" spans="1:7" x14ac:dyDescent="0.3">
      <c r="A25" s="136" t="s">
        <v>68</v>
      </c>
      <c r="B25" s="137">
        <v>1950082.4103485716</v>
      </c>
      <c r="C25" s="138">
        <f t="shared" si="0"/>
        <v>2.7792872075053251E-3</v>
      </c>
      <c r="D25" s="134">
        <f t="shared" si="1"/>
        <v>-6164.7564099780138</v>
      </c>
      <c r="E25" s="152">
        <v>7.9057273540331513E-2</v>
      </c>
      <c r="F25" s="134">
        <f t="shared" si="2"/>
        <v>-487.36883381314391</v>
      </c>
      <c r="G25" s="97"/>
    </row>
    <row r="26" spans="1:7" x14ac:dyDescent="0.3">
      <c r="A26" s="136" t="s">
        <v>213</v>
      </c>
      <c r="B26" s="137">
        <v>1390972.6413808805</v>
      </c>
      <c r="C26" s="138">
        <f t="shared" si="0"/>
        <v>1.9824354333254834E-3</v>
      </c>
      <c r="D26" s="134">
        <f t="shared" si="1"/>
        <v>-4397.2539117072884</v>
      </c>
      <c r="E26" s="152">
        <v>0</v>
      </c>
      <c r="F26" s="134">
        <f t="shared" si="2"/>
        <v>0</v>
      </c>
      <c r="G26" s="97"/>
    </row>
    <row r="27" spans="1:7" x14ac:dyDescent="0.3">
      <c r="A27" s="136" t="s">
        <v>214</v>
      </c>
      <c r="B27" s="137">
        <v>807494.00649469718</v>
      </c>
      <c r="C27" s="138">
        <f t="shared" si="0"/>
        <v>1.1508527795944681E-3</v>
      </c>
      <c r="D27" s="134">
        <f t="shared" si="1"/>
        <v>-2552.7146063879468</v>
      </c>
      <c r="E27" s="152">
        <v>0.23084885646883446</v>
      </c>
      <c r="F27" s="134">
        <f t="shared" si="2"/>
        <v>-589.29124777594836</v>
      </c>
      <c r="G27" s="97"/>
    </row>
    <row r="28" spans="1:7" x14ac:dyDescent="0.3">
      <c r="A28" s="136" t="s">
        <v>69</v>
      </c>
      <c r="B28" s="137">
        <v>26928953.147739861</v>
      </c>
      <c r="C28" s="138">
        <f t="shared" si="0"/>
        <v>3.837955493462742E-2</v>
      </c>
      <c r="D28" s="134">
        <f t="shared" si="1"/>
        <v>-85129.959457381628</v>
      </c>
      <c r="E28" s="152">
        <v>7.9057273540331513E-2</v>
      </c>
      <c r="F28" s="134">
        <f t="shared" si="2"/>
        <v>-6730.1424912995508</v>
      </c>
      <c r="G28" s="97"/>
    </row>
    <row r="29" spans="1:7" x14ac:dyDescent="0.3">
      <c r="A29" s="136" t="s">
        <v>215</v>
      </c>
      <c r="B29" s="137">
        <v>10104432.451182554</v>
      </c>
      <c r="C29" s="138">
        <f t="shared" si="0"/>
        <v>1.4400991312799736E-2</v>
      </c>
      <c r="D29" s="134">
        <f t="shared" si="1"/>
        <v>-31942.939637860283</v>
      </c>
      <c r="E29" s="152">
        <v>0</v>
      </c>
      <c r="F29" s="134">
        <f t="shared" si="2"/>
        <v>0</v>
      </c>
      <c r="G29" s="97"/>
    </row>
    <row r="30" spans="1:7" x14ac:dyDescent="0.3">
      <c r="A30" s="136" t="s">
        <v>216</v>
      </c>
      <c r="B30" s="137">
        <v>141506.74922955746</v>
      </c>
      <c r="C30" s="138">
        <f t="shared" si="0"/>
        <v>2.0167757825120531E-4</v>
      </c>
      <c r="D30" s="134">
        <f t="shared" si="1"/>
        <v>-447.34244806204629</v>
      </c>
      <c r="E30" s="152">
        <v>0.23084885646883446</v>
      </c>
      <c r="F30" s="134">
        <f t="shared" si="2"/>
        <v>-103.26849258509236</v>
      </c>
      <c r="G30" s="97"/>
    </row>
    <row r="31" spans="1:7" x14ac:dyDescent="0.3">
      <c r="A31" s="136" t="s">
        <v>217</v>
      </c>
      <c r="B31" s="137">
        <v>1687548.9431406297</v>
      </c>
      <c r="C31" s="138">
        <f t="shared" si="0"/>
        <v>2.4051205040465581E-3</v>
      </c>
      <c r="D31" s="134">
        <f t="shared" si="1"/>
        <v>-5334.8146258691986</v>
      </c>
      <c r="E31" s="152">
        <v>0.22953887558714423</v>
      </c>
      <c r="F31" s="134">
        <f t="shared" si="2"/>
        <v>-1224.5473506878673</v>
      </c>
      <c r="G31" s="97"/>
    </row>
    <row r="32" spans="1:7" x14ac:dyDescent="0.3">
      <c r="A32" s="136" t="s">
        <v>218</v>
      </c>
      <c r="B32" s="137">
        <v>4197785.5916158678</v>
      </c>
      <c r="C32" s="138">
        <f t="shared" si="0"/>
        <v>5.9827480791146354E-3</v>
      </c>
      <c r="D32" s="134">
        <f t="shared" si="1"/>
        <v>-13270.375393520726</v>
      </c>
      <c r="E32" s="152">
        <v>0</v>
      </c>
      <c r="F32" s="134">
        <f t="shared" si="2"/>
        <v>0</v>
      </c>
      <c r="G32" s="97"/>
    </row>
    <row r="33" spans="1:7" x14ac:dyDescent="0.3">
      <c r="A33" s="136" t="s">
        <v>219</v>
      </c>
      <c r="B33" s="137">
        <v>769065.97958879825</v>
      </c>
      <c r="C33" s="138">
        <f t="shared" si="0"/>
        <v>1.0960845692755286E-3</v>
      </c>
      <c r="D33" s="134">
        <f t="shared" si="1"/>
        <v>-2431.2328557020351</v>
      </c>
      <c r="E33" s="152">
        <v>0.23084885646883446</v>
      </c>
      <c r="F33" s="134">
        <f t="shared" si="2"/>
        <v>-561.24732454827358</v>
      </c>
      <c r="G33" s="97"/>
    </row>
    <row r="34" spans="1:7" x14ac:dyDescent="0.3">
      <c r="A34" s="136" t="s">
        <v>70</v>
      </c>
      <c r="B34" s="137">
        <v>15700223.388632614</v>
      </c>
      <c r="C34" s="138">
        <f t="shared" si="0"/>
        <v>2.2376197942938641E-2</v>
      </c>
      <c r="D34" s="134">
        <f t="shared" si="1"/>
        <v>-49632.801290617797</v>
      </c>
      <c r="E34" s="152">
        <v>7.9057273540331513E-2</v>
      </c>
      <c r="F34" s="134">
        <f t="shared" si="2"/>
        <v>-3923.8339482052902</v>
      </c>
      <c r="G34" s="97"/>
    </row>
    <row r="35" spans="1:7" x14ac:dyDescent="0.3">
      <c r="A35" s="136" t="s">
        <v>220</v>
      </c>
      <c r="B35" s="137">
        <v>31739.500776958677</v>
      </c>
      <c r="C35" s="138">
        <f t="shared" si="0"/>
        <v>4.523562081985998E-5</v>
      </c>
      <c r="D35" s="134">
        <f t="shared" si="1"/>
        <v>-100.33744718987717</v>
      </c>
      <c r="E35" s="152">
        <v>0.22953887558714423</v>
      </c>
      <c r="F35" s="134">
        <f t="shared" si="2"/>
        <v>-23.031344807248868</v>
      </c>
      <c r="G35" s="97"/>
    </row>
    <row r="36" spans="1:7" x14ac:dyDescent="0.3">
      <c r="A36" s="136" t="s">
        <v>221</v>
      </c>
      <c r="B36" s="137">
        <v>-873427.82166207838</v>
      </c>
      <c r="C36" s="138">
        <f t="shared" si="0"/>
        <v>-1.2448226590540588E-3</v>
      </c>
      <c r="D36" s="134">
        <f t="shared" si="1"/>
        <v>2761.1498538064211</v>
      </c>
      <c r="E36" s="152">
        <v>0</v>
      </c>
      <c r="F36" s="134">
        <f t="shared" si="2"/>
        <v>0</v>
      </c>
      <c r="G36" s="97"/>
    </row>
    <row r="37" spans="1:7" x14ac:dyDescent="0.3">
      <c r="A37" s="136" t="s">
        <v>222</v>
      </c>
      <c r="B37" s="137">
        <v>864073.98225386161</v>
      </c>
      <c r="C37" s="138">
        <f t="shared" si="0"/>
        <v>1.2314914243993812E-3</v>
      </c>
      <c r="D37" s="134">
        <f t="shared" si="1"/>
        <v>-2731.5797489002384</v>
      </c>
      <c r="E37" s="152">
        <v>0.23084885646883446</v>
      </c>
      <c r="F37" s="134">
        <f t="shared" si="2"/>
        <v>-630.582061387046</v>
      </c>
      <c r="G37" s="97"/>
    </row>
    <row r="38" spans="1:7" x14ac:dyDescent="0.3">
      <c r="A38" s="136" t="s">
        <v>223</v>
      </c>
      <c r="B38" s="137">
        <v>87786.425808280328</v>
      </c>
      <c r="C38" s="138">
        <f t="shared" si="0"/>
        <v>1.2511455359363887E-4</v>
      </c>
      <c r="D38" s="134">
        <f t="shared" si="1"/>
        <v>-277.51746712792556</v>
      </c>
      <c r="E38" s="152">
        <v>0.22953887558714423</v>
      </c>
      <c r="F38" s="134">
        <f t="shared" si="2"/>
        <v>-63.70104736033629</v>
      </c>
      <c r="G38" s="97"/>
    </row>
    <row r="39" spans="1:7" x14ac:dyDescent="0.3">
      <c r="A39" s="136" t="s">
        <v>71</v>
      </c>
      <c r="B39" s="137">
        <v>446033.26339732972</v>
      </c>
      <c r="C39" s="138">
        <f t="shared" si="0"/>
        <v>6.356934130083595E-4</v>
      </c>
      <c r="D39" s="134">
        <f t="shared" si="1"/>
        <v>-1410.0360092477333</v>
      </c>
      <c r="E39" s="152">
        <v>7.9057273540331513E-2</v>
      </c>
      <c r="F39" s="134">
        <f t="shared" si="2"/>
        <v>-111.47360248481547</v>
      </c>
      <c r="G39" s="97"/>
    </row>
    <row r="40" spans="1:7" x14ac:dyDescent="0.3">
      <c r="A40" s="136" t="s">
        <v>156</v>
      </c>
      <c r="B40" s="137">
        <v>1421176.4645030841</v>
      </c>
      <c r="C40" s="138">
        <f t="shared" si="0"/>
        <v>2.0254823829189052E-3</v>
      </c>
      <c r="D40" s="134">
        <f t="shared" si="1"/>
        <v>-4492.7366519291045</v>
      </c>
      <c r="E40" s="152">
        <v>0</v>
      </c>
      <c r="F40" s="134">
        <f t="shared" si="2"/>
        <v>0</v>
      </c>
      <c r="G40" s="97"/>
    </row>
    <row r="41" spans="1:7" x14ac:dyDescent="0.3">
      <c r="A41" s="136" t="s">
        <v>143</v>
      </c>
      <c r="B41" s="137">
        <v>9308198.5839699395</v>
      </c>
      <c r="C41" s="138">
        <f t="shared" si="0"/>
        <v>1.3266186655528379E-2</v>
      </c>
      <c r="D41" s="134">
        <f t="shared" si="1"/>
        <v>-29425.821483934087</v>
      </c>
      <c r="E41" s="152">
        <v>0</v>
      </c>
      <c r="F41" s="134">
        <f t="shared" si="2"/>
        <v>0</v>
      </c>
      <c r="G41" s="97"/>
    </row>
    <row r="42" spans="1:7" x14ac:dyDescent="0.3">
      <c r="A42" s="136" t="s">
        <v>72</v>
      </c>
      <c r="B42" s="137">
        <v>31486400.90512336</v>
      </c>
      <c r="C42" s="138">
        <f t="shared" si="0"/>
        <v>4.4874899020473362E-2</v>
      </c>
      <c r="D42" s="134">
        <f t="shared" si="1"/>
        <v>-99537.327641605109</v>
      </c>
      <c r="E42" s="152">
        <v>6.2803307592478125E-2</v>
      </c>
      <c r="F42" s="134">
        <f t="shared" si="2"/>
        <v>-6251.2734048090006</v>
      </c>
      <c r="G42" s="97"/>
    </row>
    <row r="43" spans="1:7" x14ac:dyDescent="0.3">
      <c r="A43" s="136" t="s">
        <v>157</v>
      </c>
      <c r="B43" s="137">
        <v>8995075.9886611123</v>
      </c>
      <c r="C43" s="138">
        <f t="shared" si="0"/>
        <v>1.2819919554761527E-2</v>
      </c>
      <c r="D43" s="134">
        <f t="shared" si="1"/>
        <v>-28435.953303853428</v>
      </c>
      <c r="E43" s="152">
        <v>0</v>
      </c>
      <c r="F43" s="134">
        <f t="shared" si="2"/>
        <v>0</v>
      </c>
      <c r="G43" s="97"/>
    </row>
    <row r="44" spans="1:7" x14ac:dyDescent="0.3">
      <c r="A44" s="136" t="s">
        <v>144</v>
      </c>
      <c r="B44" s="137">
        <v>1906825.2606635569</v>
      </c>
      <c r="C44" s="138">
        <f t="shared" si="0"/>
        <v>2.7176364577140818E-3</v>
      </c>
      <c r="D44" s="134">
        <f t="shared" si="1"/>
        <v>-6028.0084503108092</v>
      </c>
      <c r="E44" s="152">
        <v>1</v>
      </c>
      <c r="F44" s="134">
        <f t="shared" si="2"/>
        <v>-6028.0084503108092</v>
      </c>
      <c r="G44" s="97"/>
    </row>
    <row r="45" spans="1:7" x14ac:dyDescent="0.3">
      <c r="A45" s="136" t="s">
        <v>158</v>
      </c>
      <c r="B45" s="137">
        <v>2283017.6600456955</v>
      </c>
      <c r="C45" s="138">
        <f t="shared" si="0"/>
        <v>3.2537916056273558E-3</v>
      </c>
      <c r="D45" s="134">
        <f t="shared" si="1"/>
        <v>-7217.2579369832774</v>
      </c>
      <c r="E45" s="152">
        <v>0</v>
      </c>
      <c r="F45" s="134">
        <f t="shared" si="2"/>
        <v>0</v>
      </c>
      <c r="G45" s="97"/>
    </row>
    <row r="46" spans="1:7" x14ac:dyDescent="0.3">
      <c r="A46" s="136" t="s">
        <v>142</v>
      </c>
      <c r="B46" s="137">
        <v>847559.2442914343</v>
      </c>
      <c r="C46" s="138">
        <f t="shared" si="0"/>
        <v>1.2079543678572054E-3</v>
      </c>
      <c r="D46" s="134">
        <f t="shared" si="1"/>
        <v>-2679.3720390246422</v>
      </c>
      <c r="E46" s="152">
        <v>0</v>
      </c>
      <c r="F46" s="134">
        <f t="shared" si="2"/>
        <v>0</v>
      </c>
      <c r="G46" s="97"/>
    </row>
    <row r="47" spans="1:7" x14ac:dyDescent="0.3">
      <c r="A47" s="136" t="s">
        <v>159</v>
      </c>
      <c r="B47" s="137">
        <v>149500.18065220167</v>
      </c>
      <c r="C47" s="138">
        <f t="shared" si="0"/>
        <v>2.1306993868640102E-4</v>
      </c>
      <c r="D47" s="134">
        <f t="shared" si="1"/>
        <v>-472.61192248987692</v>
      </c>
      <c r="E47" s="152">
        <v>0</v>
      </c>
      <c r="F47" s="134">
        <f t="shared" si="2"/>
        <v>0</v>
      </c>
      <c r="G47" s="97"/>
    </row>
    <row r="48" spans="1:7" x14ac:dyDescent="0.3">
      <c r="A48" s="136" t="s">
        <v>73</v>
      </c>
      <c r="B48" s="137">
        <v>1676877.5348007174</v>
      </c>
      <c r="C48" s="138">
        <f t="shared" si="0"/>
        <v>2.3899114500456646E-3</v>
      </c>
      <c r="D48" s="134">
        <f t="shared" si="1"/>
        <v>-5301.0793167264392</v>
      </c>
      <c r="E48" s="152">
        <v>0</v>
      </c>
      <c r="F48" s="134">
        <f t="shared" si="2"/>
        <v>0</v>
      </c>
      <c r="G48" s="97"/>
    </row>
    <row r="49" spans="1:7" x14ac:dyDescent="0.3">
      <c r="A49" s="136" t="s">
        <v>79</v>
      </c>
      <c r="B49" s="137">
        <v>969677.11159521504</v>
      </c>
      <c r="C49" s="138">
        <f t="shared" si="0"/>
        <v>1.3819986157331521E-3</v>
      </c>
      <c r="D49" s="134">
        <f t="shared" si="1"/>
        <v>-3065.4208035480151</v>
      </c>
      <c r="E49" s="152">
        <v>0</v>
      </c>
      <c r="F49" s="134">
        <f t="shared" si="2"/>
        <v>0</v>
      </c>
      <c r="G49" s="97"/>
    </row>
    <row r="50" spans="1:7" x14ac:dyDescent="0.3">
      <c r="A50" s="136" t="s">
        <v>74</v>
      </c>
      <c r="B50" s="137">
        <v>11523387.808400126</v>
      </c>
      <c r="C50" s="138">
        <f t="shared" si="0"/>
        <v>1.6423308139723487E-2</v>
      </c>
      <c r="D50" s="134">
        <f t="shared" si="1"/>
        <v>-36428.654747877648</v>
      </c>
      <c r="E50" s="152">
        <v>0</v>
      </c>
      <c r="F50" s="134">
        <f t="shared" si="2"/>
        <v>0</v>
      </c>
      <c r="G50" s="97"/>
    </row>
    <row r="51" spans="1:7" x14ac:dyDescent="0.3">
      <c r="A51" s="136" t="s">
        <v>75</v>
      </c>
      <c r="B51" s="137">
        <v>6168450.5395796224</v>
      </c>
      <c r="C51" s="138">
        <f t="shared" si="0"/>
        <v>8.7913698332977349E-3</v>
      </c>
      <c r="D51" s="134">
        <f t="shared" si="1"/>
        <v>-19500.198966826538</v>
      </c>
      <c r="E51" s="152">
        <v>6.2803307592478125E-2</v>
      </c>
      <c r="F51" s="134">
        <f t="shared" si="2"/>
        <v>-1224.6769938281311</v>
      </c>
      <c r="G51" s="97"/>
    </row>
    <row r="52" spans="1:7" x14ac:dyDescent="0.3">
      <c r="A52" s="136" t="s">
        <v>76</v>
      </c>
      <c r="B52" s="137">
        <v>17650695.958583944</v>
      </c>
      <c r="C52" s="138">
        <f t="shared" si="0"/>
        <v>2.5156041211863257E-2</v>
      </c>
      <c r="D52" s="134">
        <f t="shared" si="1"/>
        <v>-55798.791104322372</v>
      </c>
      <c r="E52" s="152">
        <v>0</v>
      </c>
      <c r="F52" s="134">
        <f t="shared" si="2"/>
        <v>0</v>
      </c>
      <c r="G52" s="97"/>
    </row>
    <row r="53" spans="1:7" x14ac:dyDescent="0.3">
      <c r="A53" s="136" t="s">
        <v>77</v>
      </c>
      <c r="B53" s="137">
        <v>2415628.3387159351</v>
      </c>
      <c r="C53" s="138">
        <f t="shared" si="0"/>
        <v>3.4427903683724218E-3</v>
      </c>
      <c r="D53" s="134">
        <f t="shared" si="1"/>
        <v>-7636.4774156194471</v>
      </c>
      <c r="E53" s="152">
        <v>1</v>
      </c>
      <c r="F53" s="134">
        <f t="shared" si="2"/>
        <v>-7636.4774156194471</v>
      </c>
      <c r="G53" s="97"/>
    </row>
    <row r="54" spans="1:7" x14ac:dyDescent="0.3">
      <c r="A54" s="136" t="s">
        <v>78</v>
      </c>
      <c r="B54" s="137">
        <v>3929219.3941368903</v>
      </c>
      <c r="C54" s="138">
        <f t="shared" si="0"/>
        <v>5.5999834364202526E-3</v>
      </c>
      <c r="D54" s="134">
        <f t="shared" si="1"/>
        <v>-12421.362460207818</v>
      </c>
      <c r="E54" s="152">
        <v>0</v>
      </c>
      <c r="F54" s="134">
        <f t="shared" si="2"/>
        <v>0</v>
      </c>
      <c r="G54" s="97"/>
    </row>
    <row r="55" spans="1:7" x14ac:dyDescent="0.3">
      <c r="A55" s="136" t="s">
        <v>160</v>
      </c>
      <c r="B55" s="137">
        <v>2687345.1777996956</v>
      </c>
      <c r="C55" s="138">
        <f t="shared" si="0"/>
        <v>3.8300453535575316E-3</v>
      </c>
      <c r="D55" s="134">
        <f t="shared" si="1"/>
        <v>-8495.4504090434366</v>
      </c>
      <c r="E55" s="152">
        <v>0</v>
      </c>
      <c r="F55" s="134">
        <f t="shared" si="2"/>
        <v>0</v>
      </c>
      <c r="G55" s="97"/>
    </row>
    <row r="56" spans="1:7" x14ac:dyDescent="0.3">
      <c r="A56" s="136" t="s">
        <v>224</v>
      </c>
      <c r="B56" s="137">
        <v>1.2254531611688435E-8</v>
      </c>
      <c r="C56" s="138">
        <f t="shared" si="0"/>
        <v>1.7465345444681675E-17</v>
      </c>
      <c r="D56" s="134">
        <f t="shared" si="1"/>
        <v>-3.8740004988266536E-11</v>
      </c>
      <c r="E56" s="152">
        <v>0</v>
      </c>
      <c r="F56" s="134">
        <f t="shared" si="2"/>
        <v>0</v>
      </c>
      <c r="G56" s="97"/>
    </row>
    <row r="57" spans="1:7" x14ac:dyDescent="0.3">
      <c r="A57" s="136" t="s">
        <v>81</v>
      </c>
      <c r="B57" s="137">
        <v>35231804.061857961</v>
      </c>
      <c r="C57" s="138">
        <f t="shared" si="0"/>
        <v>5.0212904750498825E-2</v>
      </c>
      <c r="D57" s="134">
        <f t="shared" si="1"/>
        <v>-111377.59551741469</v>
      </c>
      <c r="E57" s="152">
        <v>6.9173575695716499E-2</v>
      </c>
      <c r="F57" s="134">
        <f t="shared" si="2"/>
        <v>-7704.3865343307798</v>
      </c>
      <c r="G57" s="97"/>
    </row>
    <row r="58" spans="1:7" x14ac:dyDescent="0.3">
      <c r="A58" s="136" t="s">
        <v>161</v>
      </c>
      <c r="B58" s="137">
        <v>1567422.7872020558</v>
      </c>
      <c r="C58" s="138">
        <f t="shared" si="0"/>
        <v>2.2339148735997963E-3</v>
      </c>
      <c r="D58" s="134">
        <f t="shared" si="1"/>
        <v>-4955.0622185358234</v>
      </c>
      <c r="E58" s="152">
        <v>0</v>
      </c>
      <c r="F58" s="134">
        <f t="shared" si="2"/>
        <v>0</v>
      </c>
      <c r="G58" s="97"/>
    </row>
    <row r="59" spans="1:7" x14ac:dyDescent="0.3">
      <c r="A59" s="136" t="s">
        <v>82</v>
      </c>
      <c r="B59" s="137">
        <v>9163492.8658836558</v>
      </c>
      <c r="C59" s="138">
        <f t="shared" si="0"/>
        <v>1.3059949858049553E-2</v>
      </c>
      <c r="D59" s="134">
        <f t="shared" si="1"/>
        <v>-28968.366199788721</v>
      </c>
      <c r="E59" s="152">
        <v>0</v>
      </c>
      <c r="F59" s="134">
        <f t="shared" si="2"/>
        <v>0</v>
      </c>
      <c r="G59" s="97"/>
    </row>
    <row r="60" spans="1:7" x14ac:dyDescent="0.3">
      <c r="A60" s="136" t="s">
        <v>80</v>
      </c>
      <c r="B60" s="137">
        <v>934232.42413082847</v>
      </c>
      <c r="C60" s="138">
        <f t="shared" si="0"/>
        <v>1.3314823063089853E-3</v>
      </c>
      <c r="D60" s="134">
        <f t="shared" si="1"/>
        <v>-2953.3702240001044</v>
      </c>
      <c r="E60" s="152">
        <v>0</v>
      </c>
      <c r="F60" s="134">
        <f t="shared" si="2"/>
        <v>0</v>
      </c>
      <c r="G60" s="97"/>
    </row>
    <row r="61" spans="1:7" x14ac:dyDescent="0.3">
      <c r="A61" s="136" t="s">
        <v>83</v>
      </c>
      <c r="B61" s="137">
        <v>5661589.3204952721</v>
      </c>
      <c r="C61" s="138">
        <f t="shared" si="0"/>
        <v>8.0689834896714233E-3</v>
      </c>
      <c r="D61" s="134">
        <f t="shared" si="1"/>
        <v>-17897.868761324611</v>
      </c>
      <c r="E61" s="152">
        <v>0</v>
      </c>
      <c r="F61" s="134">
        <f t="shared" si="2"/>
        <v>0</v>
      </c>
      <c r="G61" s="97"/>
    </row>
    <row r="62" spans="1:7" x14ac:dyDescent="0.3">
      <c r="A62" s="136" t="s">
        <v>84</v>
      </c>
      <c r="B62" s="137">
        <v>1183229.4582911038</v>
      </c>
      <c r="C62" s="138">
        <f t="shared" si="0"/>
        <v>1.6863566788360008E-3</v>
      </c>
      <c r="D62" s="134">
        <f t="shared" si="1"/>
        <v>-3740.5195538228854</v>
      </c>
      <c r="E62" s="152">
        <v>1</v>
      </c>
      <c r="F62" s="134">
        <f t="shared" si="2"/>
        <v>-3740.5195538228854</v>
      </c>
      <c r="G62" s="97"/>
    </row>
    <row r="63" spans="1:7" x14ac:dyDescent="0.3">
      <c r="A63" s="136" t="s">
        <v>85</v>
      </c>
      <c r="B63" s="137">
        <v>1649963.3160652858</v>
      </c>
      <c r="C63" s="138">
        <f t="shared" si="0"/>
        <v>2.3515528948202915E-3</v>
      </c>
      <c r="D63" s="134">
        <f t="shared" si="1"/>
        <v>-5215.9959368711525</v>
      </c>
      <c r="E63" s="152">
        <v>0</v>
      </c>
      <c r="F63" s="134">
        <f t="shared" si="2"/>
        <v>0</v>
      </c>
      <c r="G63" s="97"/>
    </row>
    <row r="64" spans="1:7" x14ac:dyDescent="0.3">
      <c r="A64" s="136" t="s">
        <v>86</v>
      </c>
      <c r="B64" s="137">
        <v>191643.16232005667</v>
      </c>
      <c r="C64" s="138">
        <f t="shared" si="0"/>
        <v>2.7313275921851617E-4</v>
      </c>
      <c r="D64" s="134">
        <f t="shared" si="1"/>
        <v>-605.83768515190525</v>
      </c>
      <c r="E64" s="152">
        <v>0</v>
      </c>
      <c r="F64" s="134">
        <f t="shared" si="2"/>
        <v>0</v>
      </c>
      <c r="G64" s="97"/>
    </row>
    <row r="65" spans="1:7" x14ac:dyDescent="0.3">
      <c r="A65" s="136" t="s">
        <v>88</v>
      </c>
      <c r="B65" s="137">
        <v>2582865.8792576068</v>
      </c>
      <c r="C65" s="138">
        <f t="shared" si="0"/>
        <v>3.6811398630273886E-3</v>
      </c>
      <c r="D65" s="134">
        <f t="shared" si="1"/>
        <v>-8165.1620981600918</v>
      </c>
      <c r="E65" s="152">
        <v>6.9173575695716499E-2</v>
      </c>
      <c r="F65" s="134">
        <f t="shared" si="2"/>
        <v>-564.8134584648725</v>
      </c>
      <c r="G65" s="97"/>
    </row>
    <row r="66" spans="1:7" x14ac:dyDescent="0.3">
      <c r="A66" s="136" t="s">
        <v>89</v>
      </c>
      <c r="B66" s="137">
        <v>1772661.6217189094</v>
      </c>
      <c r="C66" s="138">
        <f t="shared" si="0"/>
        <v>2.5264243922893336E-3</v>
      </c>
      <c r="D66" s="134">
        <f t="shared" si="1"/>
        <v>-5603.8796295077173</v>
      </c>
      <c r="E66" s="152">
        <v>0</v>
      </c>
      <c r="F66" s="134">
        <f t="shared" si="2"/>
        <v>0</v>
      </c>
      <c r="G66" s="97"/>
    </row>
    <row r="67" spans="1:7" x14ac:dyDescent="0.3">
      <c r="A67" s="139" t="s">
        <v>87</v>
      </c>
      <c r="B67" s="140">
        <v>40353.068910587172</v>
      </c>
      <c r="C67" s="138">
        <f t="shared" si="0"/>
        <v>5.7511809558206718E-5</v>
      </c>
      <c r="D67" s="134">
        <f t="shared" si="1"/>
        <v>-127.56734736372523</v>
      </c>
      <c r="E67" s="152">
        <v>0</v>
      </c>
      <c r="F67" s="134">
        <f t="shared" si="2"/>
        <v>0</v>
      </c>
      <c r="G67" s="97"/>
    </row>
    <row r="68" spans="1:7" x14ac:dyDescent="0.3">
      <c r="A68" s="139" t="s">
        <v>162</v>
      </c>
      <c r="B68" s="140">
        <v>372042.14431110886</v>
      </c>
      <c r="C68" s="138">
        <f t="shared" si="0"/>
        <v>5.3024014105736606E-4</v>
      </c>
      <c r="D68" s="134">
        <f t="shared" si="1"/>
        <v>-1176.1293685603312</v>
      </c>
      <c r="E68" s="152">
        <v>0</v>
      </c>
      <c r="F68" s="134">
        <f t="shared" si="2"/>
        <v>0</v>
      </c>
      <c r="G68" s="97"/>
    </row>
    <row r="69" spans="1:7" x14ac:dyDescent="0.3">
      <c r="A69" s="139" t="s">
        <v>90</v>
      </c>
      <c r="B69" s="140">
        <v>69094.113688911209</v>
      </c>
      <c r="C69" s="138">
        <f t="shared" si="0"/>
        <v>9.8473985135420129E-5</v>
      </c>
      <c r="D69" s="134">
        <f t="shared" si="1"/>
        <v>-218.42583574677133</v>
      </c>
      <c r="E69" s="152">
        <v>0</v>
      </c>
      <c r="F69" s="134">
        <f t="shared" si="2"/>
        <v>0</v>
      </c>
      <c r="G69" s="97"/>
    </row>
    <row r="70" spans="1:7" x14ac:dyDescent="0.3">
      <c r="A70" s="139" t="s">
        <v>91</v>
      </c>
      <c r="B70" s="140">
        <v>2658040.5854745409</v>
      </c>
      <c r="C70" s="138">
        <f t="shared" si="0"/>
        <v>3.788280001417412E-3</v>
      </c>
      <c r="D70" s="134">
        <f t="shared" si="1"/>
        <v>-8402.8103891039718</v>
      </c>
      <c r="E70" s="152">
        <v>0</v>
      </c>
      <c r="F70" s="134">
        <f t="shared" si="2"/>
        <v>0</v>
      </c>
      <c r="G70" s="97"/>
    </row>
    <row r="71" spans="1:7" x14ac:dyDescent="0.3">
      <c r="A71" s="136" t="s">
        <v>145</v>
      </c>
      <c r="B71" s="137">
        <v>376860.8236422973</v>
      </c>
      <c r="C71" s="138">
        <f t="shared" si="0"/>
        <v>5.3710779636832718E-4</v>
      </c>
      <c r="D71" s="134">
        <f t="shared" si="1"/>
        <v>-1191.362562879161</v>
      </c>
      <c r="E71" s="152">
        <v>1</v>
      </c>
      <c r="F71" s="134">
        <f t="shared" si="2"/>
        <v>-1191.362562879161</v>
      </c>
      <c r="G71" s="97"/>
    </row>
    <row r="72" spans="1:7" x14ac:dyDescent="0.3">
      <c r="A72" s="139" t="s">
        <v>92</v>
      </c>
      <c r="B72" s="140">
        <v>1157323.6911945147</v>
      </c>
      <c r="C72" s="138">
        <f t="shared" si="0"/>
        <v>1.6494353842742534E-3</v>
      </c>
      <c r="D72" s="134">
        <f t="shared" si="1"/>
        <v>-3658.6241719064114</v>
      </c>
      <c r="E72" s="152">
        <v>0</v>
      </c>
      <c r="F72" s="134">
        <f t="shared" si="2"/>
        <v>0</v>
      </c>
      <c r="G72" s="97"/>
    </row>
    <row r="73" spans="1:7" x14ac:dyDescent="0.3">
      <c r="A73" s="136" t="s">
        <v>146</v>
      </c>
      <c r="B73" s="137">
        <v>42701.409918321719</v>
      </c>
      <c r="C73" s="138">
        <f t="shared" ref="C73:C87" si="3">B73/$B$94</f>
        <v>6.0858700995728152E-5</v>
      </c>
      <c r="D73" s="134">
        <f t="shared" ref="D73:D87" si="4">C73*$D$94</f>
        <v>-134.99111068953158</v>
      </c>
      <c r="E73" s="152">
        <v>0</v>
      </c>
      <c r="F73" s="134">
        <f t="shared" ref="F73:F87" si="5">D73*E73</f>
        <v>0</v>
      </c>
      <c r="G73" s="97"/>
    </row>
    <row r="74" spans="1:7" x14ac:dyDescent="0.3">
      <c r="A74" s="136" t="s">
        <v>147</v>
      </c>
      <c r="B74" s="137">
        <v>599152.74904484348</v>
      </c>
      <c r="C74" s="138">
        <f t="shared" si="3"/>
        <v>8.5392164040099677E-4</v>
      </c>
      <c r="D74" s="134">
        <f t="shared" si="4"/>
        <v>-1894.0895680249337</v>
      </c>
      <c r="E74" s="152">
        <v>0</v>
      </c>
      <c r="F74" s="134">
        <f t="shared" si="5"/>
        <v>0</v>
      </c>
      <c r="G74" s="97"/>
    </row>
    <row r="75" spans="1:7" x14ac:dyDescent="0.3">
      <c r="A75" s="136" t="s">
        <v>93</v>
      </c>
      <c r="B75" s="137">
        <v>98580207.099001169</v>
      </c>
      <c r="C75" s="138">
        <f t="shared" si="3"/>
        <v>0.14049801539131157</v>
      </c>
      <c r="D75" s="134">
        <f t="shared" si="4"/>
        <v>-311639.63142557594</v>
      </c>
      <c r="E75" s="152">
        <v>6.8539355270203509E-2</v>
      </c>
      <c r="F75" s="134">
        <f t="shared" si="5"/>
        <v>-21359.579414552827</v>
      </c>
      <c r="G75" s="97"/>
    </row>
    <row r="76" spans="1:7" x14ac:dyDescent="0.3">
      <c r="A76" s="136" t="s">
        <v>148</v>
      </c>
      <c r="B76" s="137">
        <v>888908.14456486097</v>
      </c>
      <c r="C76" s="138">
        <f t="shared" si="3"/>
        <v>1.266885451469106E-3</v>
      </c>
      <c r="D76" s="134">
        <f t="shared" si="4"/>
        <v>-2810.0874881017844</v>
      </c>
      <c r="E76" s="152">
        <v>0</v>
      </c>
      <c r="F76" s="134">
        <f t="shared" si="5"/>
        <v>0</v>
      </c>
      <c r="G76" s="97"/>
    </row>
    <row r="77" spans="1:7" x14ac:dyDescent="0.3">
      <c r="A77" s="136" t="s">
        <v>149</v>
      </c>
      <c r="B77" s="137">
        <v>585782.71361729526</v>
      </c>
      <c r="C77" s="138">
        <f t="shared" si="3"/>
        <v>8.3486646189649672E-4</v>
      </c>
      <c r="D77" s="134">
        <f t="shared" si="4"/>
        <v>-1851.8231431978527</v>
      </c>
      <c r="E77" s="152">
        <v>1</v>
      </c>
      <c r="F77" s="134">
        <f t="shared" si="5"/>
        <v>-1851.8231431978527</v>
      </c>
      <c r="G77" s="97"/>
    </row>
    <row r="78" spans="1:7" x14ac:dyDescent="0.3">
      <c r="A78" s="136" t="s">
        <v>225</v>
      </c>
      <c r="B78" s="141">
        <v>164585.75113194375</v>
      </c>
      <c r="C78" s="138">
        <f t="shared" si="3"/>
        <v>2.3457012392460988E-4</v>
      </c>
      <c r="D78" s="134">
        <f t="shared" si="4"/>
        <v>-520.30163386804463</v>
      </c>
      <c r="E78" s="152">
        <v>0</v>
      </c>
      <c r="F78" s="134">
        <f t="shared" si="5"/>
        <v>0</v>
      </c>
      <c r="G78" s="97"/>
    </row>
    <row r="79" spans="1:7" x14ac:dyDescent="0.3">
      <c r="A79" s="136" t="s">
        <v>226</v>
      </c>
      <c r="B79" s="141">
        <v>177364.35304315062</v>
      </c>
      <c r="C79" s="138">
        <f t="shared" si="3"/>
        <v>2.5278238235694559E-4</v>
      </c>
      <c r="D79" s="134">
        <f t="shared" si="4"/>
        <v>-560.69837178261753</v>
      </c>
      <c r="E79" s="152">
        <v>0</v>
      </c>
      <c r="F79" s="134">
        <f t="shared" si="5"/>
        <v>0</v>
      </c>
      <c r="G79" s="97"/>
    </row>
    <row r="80" spans="1:7" x14ac:dyDescent="0.3">
      <c r="A80" s="136" t="s">
        <v>150</v>
      </c>
      <c r="B80" s="141">
        <v>-13684.671967230071</v>
      </c>
      <c r="C80" s="138">
        <f t="shared" si="3"/>
        <v>-1.9503603301888596E-5</v>
      </c>
      <c r="D80" s="134">
        <f t="shared" si="4"/>
        <v>43.261079009142207</v>
      </c>
      <c r="E80" s="152">
        <v>0</v>
      </c>
      <c r="F80" s="134">
        <f t="shared" si="5"/>
        <v>0</v>
      </c>
      <c r="G80" s="97"/>
    </row>
    <row r="81" spans="1:7" x14ac:dyDescent="0.3">
      <c r="A81" s="136" t="s">
        <v>163</v>
      </c>
      <c r="B81" s="141">
        <v>-117.80689734841363</v>
      </c>
      <c r="C81" s="138">
        <f t="shared" si="3"/>
        <v>-1.6790018771453551E-7</v>
      </c>
      <c r="D81" s="134">
        <f t="shared" si="4"/>
        <v>0.37242058167092523</v>
      </c>
      <c r="E81" s="152">
        <v>0</v>
      </c>
      <c r="F81" s="134">
        <f t="shared" si="5"/>
        <v>0</v>
      </c>
      <c r="G81" s="97"/>
    </row>
    <row r="82" spans="1:7" x14ac:dyDescent="0.3">
      <c r="A82" s="136" t="s">
        <v>94</v>
      </c>
      <c r="B82" s="141">
        <v>1625.6002820260478</v>
      </c>
      <c r="C82" s="138">
        <f t="shared" si="3"/>
        <v>2.3168303269524196E-6</v>
      </c>
      <c r="D82" s="134">
        <f t="shared" si="4"/>
        <v>-5.1389775660254502</v>
      </c>
      <c r="E82" s="152">
        <v>0</v>
      </c>
      <c r="F82" s="134">
        <f t="shared" si="5"/>
        <v>0</v>
      </c>
      <c r="G82" s="97"/>
    </row>
    <row r="83" spans="1:7" x14ac:dyDescent="0.3">
      <c r="A83" s="136" t="s">
        <v>95</v>
      </c>
      <c r="B83" s="141">
        <v>2653755.995605431</v>
      </c>
      <c r="C83" s="138">
        <f t="shared" si="3"/>
        <v>3.7821735385574675E-3</v>
      </c>
      <c r="D83" s="134">
        <f t="shared" si="4"/>
        <v>-8389.2656010890878</v>
      </c>
      <c r="E83" s="152">
        <v>6.8539355270203509E-2</v>
      </c>
      <c r="F83" s="134">
        <f t="shared" si="5"/>
        <v>-574.99485548914242</v>
      </c>
      <c r="G83" s="97"/>
    </row>
    <row r="84" spans="1:7" x14ac:dyDescent="0.3">
      <c r="A84" s="136" t="s">
        <v>227</v>
      </c>
      <c r="B84" s="141">
        <v>-15150.291483841584</v>
      </c>
      <c r="C84" s="138">
        <f t="shared" si="3"/>
        <v>-2.159242660082826E-5</v>
      </c>
      <c r="D84" s="134">
        <f t="shared" si="4"/>
        <v>47.89431259028337</v>
      </c>
      <c r="E84" s="152">
        <v>0</v>
      </c>
      <c r="F84" s="134">
        <f t="shared" si="5"/>
        <v>0</v>
      </c>
      <c r="G84" s="97"/>
    </row>
    <row r="85" spans="1:7" x14ac:dyDescent="0.3">
      <c r="A85" s="136" t="s">
        <v>113</v>
      </c>
      <c r="B85" s="141">
        <v>-29.786447771874577</v>
      </c>
      <c r="C85" s="138">
        <f t="shared" si="3"/>
        <v>-4.2452099875409322E-8</v>
      </c>
      <c r="D85" s="134">
        <f t="shared" si="4"/>
        <v>9.4163299898344544E-2</v>
      </c>
      <c r="E85" s="152">
        <v>1</v>
      </c>
      <c r="F85" s="134">
        <f t="shared" si="5"/>
        <v>9.4163299898344544E-2</v>
      </c>
      <c r="G85" s="97"/>
    </row>
    <row r="86" spans="1:7" x14ac:dyDescent="0.3">
      <c r="A86" s="136" t="s">
        <v>228</v>
      </c>
      <c r="B86" s="141">
        <v>-6006.5372164366645</v>
      </c>
      <c r="C86" s="138">
        <f t="shared" si="3"/>
        <v>-8.5606084945215626E-6</v>
      </c>
      <c r="D86" s="134">
        <f t="shared" si="4"/>
        <v>18.988345625957738</v>
      </c>
      <c r="E86" s="152">
        <v>0</v>
      </c>
      <c r="F86" s="134">
        <f t="shared" si="5"/>
        <v>0</v>
      </c>
      <c r="G86" s="97"/>
    </row>
    <row r="87" spans="1:7" x14ac:dyDescent="0.3">
      <c r="A87" s="136" t="s">
        <v>164</v>
      </c>
      <c r="B87" s="141">
        <v>54.674119627803975</v>
      </c>
      <c r="C87" s="138">
        <f t="shared" si="3"/>
        <v>7.7922389565069651E-8</v>
      </c>
      <c r="D87" s="134">
        <f t="shared" si="4"/>
        <v>-0.17284019775100795</v>
      </c>
      <c r="E87" s="152">
        <v>0</v>
      </c>
      <c r="F87" s="134">
        <f t="shared" si="5"/>
        <v>0</v>
      </c>
      <c r="G87" s="97"/>
    </row>
    <row r="88" spans="1:7" ht="6.75" customHeight="1" x14ac:dyDescent="0.3">
      <c r="A88" s="136"/>
      <c r="B88" s="141"/>
      <c r="C88" s="142"/>
      <c r="D88" s="110"/>
      <c r="E88" s="130"/>
      <c r="F88" s="110"/>
      <c r="G88" s="97"/>
    </row>
    <row r="89" spans="1:7" ht="6.75" customHeight="1" x14ac:dyDescent="0.3">
      <c r="A89" s="136"/>
      <c r="B89" s="143"/>
      <c r="C89" s="144"/>
      <c r="D89" s="110"/>
      <c r="E89" s="111"/>
      <c r="F89" s="110"/>
      <c r="G89" s="97"/>
    </row>
    <row r="90" spans="1:7" x14ac:dyDescent="0.3">
      <c r="A90" s="145" t="s">
        <v>151</v>
      </c>
      <c r="B90" s="146">
        <f t="shared" ref="B90:D90" si="6">SUM(B8:B87)</f>
        <v>490327971.70465124</v>
      </c>
      <c r="C90" s="147">
        <f t="shared" si="6"/>
        <v>0.69882290718020446</v>
      </c>
      <c r="D90" s="146">
        <f t="shared" si="6"/>
        <v>-1550063.9821767621</v>
      </c>
      <c r="E90" s="111"/>
      <c r="F90" s="146">
        <f>SUM(F8:F89)</f>
        <v>-100686.21591765704</v>
      </c>
      <c r="G90" s="97"/>
    </row>
    <row r="91" spans="1:7" ht="8.25" customHeight="1" x14ac:dyDescent="0.3">
      <c r="A91" s="136"/>
      <c r="B91" s="143"/>
      <c r="C91" s="144"/>
      <c r="D91" s="110"/>
      <c r="E91" s="111"/>
      <c r="F91" s="110"/>
      <c r="G91" s="97"/>
    </row>
    <row r="92" spans="1:7" x14ac:dyDescent="0.3">
      <c r="A92" s="136" t="s">
        <v>229</v>
      </c>
      <c r="B92" s="140">
        <v>211320424</v>
      </c>
      <c r="C92" s="142">
        <f>B92/B94</f>
        <v>0.30117709281979499</v>
      </c>
      <c r="D92" s="134">
        <f t="shared" ref="D92" si="7">C92*$D$94</f>
        <v>-668043.01782323699</v>
      </c>
      <c r="E92" s="111"/>
      <c r="F92" s="110"/>
      <c r="G92" s="97"/>
    </row>
    <row r="93" spans="1:7" ht="7.5" customHeight="1" x14ac:dyDescent="0.3">
      <c r="A93" s="136"/>
      <c r="B93" s="143"/>
      <c r="C93" s="144"/>
      <c r="D93" s="110"/>
      <c r="E93" s="111"/>
      <c r="F93" s="110"/>
      <c r="G93" s="97"/>
    </row>
    <row r="94" spans="1:7" x14ac:dyDescent="0.3">
      <c r="A94" s="148" t="s">
        <v>4</v>
      </c>
      <c r="B94" s="149">
        <f>B90+B92</f>
        <v>701648395.70465124</v>
      </c>
      <c r="C94" s="150">
        <f>C90+C92</f>
        <v>0.99999999999999944</v>
      </c>
      <c r="D94" s="149">
        <f>OPEBp1!I20</f>
        <v>-2218107</v>
      </c>
      <c r="E94" s="111"/>
      <c r="F94" s="110"/>
      <c r="G94" s="97"/>
    </row>
    <row r="95" spans="1:7" x14ac:dyDescent="0.3">
      <c r="A95" s="107"/>
      <c r="B95" s="108"/>
      <c r="C95" s="109"/>
      <c r="D95" s="110"/>
      <c r="E95" s="111"/>
      <c r="F95" s="110"/>
      <c r="G95" s="97"/>
    </row>
    <row r="96" spans="1:7" x14ac:dyDescent="0.3">
      <c r="A96" s="107"/>
      <c r="B96" s="108"/>
      <c r="C96" s="109"/>
      <c r="D96" s="110"/>
      <c r="E96" s="111"/>
      <c r="F96" s="110"/>
      <c r="G96" s="97"/>
    </row>
    <row r="97" spans="1:7" x14ac:dyDescent="0.3">
      <c r="A97" s="107"/>
      <c r="B97" s="108"/>
      <c r="C97" s="109"/>
      <c r="D97" s="110"/>
      <c r="E97" s="111"/>
      <c r="F97" s="110"/>
      <c r="G97" s="97"/>
    </row>
    <row r="98" spans="1:7" x14ac:dyDescent="0.3">
      <c r="A98" s="107"/>
      <c r="B98" s="108"/>
      <c r="C98" s="109"/>
      <c r="D98" s="110"/>
      <c r="E98" s="111"/>
      <c r="F98" s="110"/>
      <c r="G98" s="97"/>
    </row>
    <row r="99" spans="1:7" x14ac:dyDescent="0.3">
      <c r="A99" s="107"/>
      <c r="B99" s="108"/>
      <c r="C99" s="109"/>
      <c r="D99" s="110"/>
      <c r="E99" s="111"/>
      <c r="F99" s="110"/>
      <c r="G99" s="97"/>
    </row>
    <row r="100" spans="1:7" x14ac:dyDescent="0.3">
      <c r="A100" s="107"/>
      <c r="B100" s="108"/>
      <c r="C100" s="109"/>
      <c r="D100" s="110"/>
      <c r="E100" s="111"/>
      <c r="F100" s="110"/>
      <c r="G100" s="97"/>
    </row>
    <row r="101" spans="1:7" x14ac:dyDescent="0.3">
      <c r="A101" s="107"/>
      <c r="B101" s="108"/>
      <c r="C101" s="109"/>
      <c r="D101" s="110"/>
      <c r="E101" s="111"/>
      <c r="F101" s="110"/>
      <c r="G101" s="97"/>
    </row>
    <row r="102" spans="1:7" x14ac:dyDescent="0.3">
      <c r="A102" s="107"/>
      <c r="B102" s="108"/>
      <c r="C102" s="109"/>
      <c r="D102" s="110"/>
      <c r="E102" s="111"/>
      <c r="F102" s="110"/>
      <c r="G102" s="97"/>
    </row>
    <row r="103" spans="1:7" x14ac:dyDescent="0.3">
      <c r="A103" s="107"/>
      <c r="B103" s="108"/>
      <c r="C103" s="109"/>
      <c r="D103" s="110"/>
      <c r="E103" s="111"/>
      <c r="F103" s="110"/>
      <c r="G103" s="97"/>
    </row>
    <row r="104" spans="1:7" x14ac:dyDescent="0.3">
      <c r="A104" s="107"/>
      <c r="B104" s="108"/>
      <c r="C104" s="109"/>
      <c r="D104" s="110"/>
      <c r="E104" s="111"/>
      <c r="F104" s="110"/>
      <c r="G104" s="97"/>
    </row>
    <row r="105" spans="1:7" x14ac:dyDescent="0.3">
      <c r="A105" s="107"/>
      <c r="B105" s="108"/>
      <c r="C105" s="109"/>
      <c r="D105" s="110"/>
      <c r="E105" s="111"/>
      <c r="F105" s="110"/>
      <c r="G105" s="97"/>
    </row>
    <row r="106" spans="1:7" x14ac:dyDescent="0.3">
      <c r="A106" s="107"/>
      <c r="B106" s="108"/>
      <c r="C106" s="109"/>
      <c r="D106" s="110"/>
      <c r="E106" s="111"/>
      <c r="F106" s="110"/>
      <c r="G106" s="97"/>
    </row>
    <row r="107" spans="1:7" x14ac:dyDescent="0.3">
      <c r="A107" s="107"/>
      <c r="B107" s="108"/>
      <c r="C107" s="109"/>
      <c r="D107" s="110"/>
      <c r="E107" s="111"/>
      <c r="F107" s="110"/>
      <c r="G107" s="97"/>
    </row>
    <row r="108" spans="1:7" x14ac:dyDescent="0.3">
      <c r="A108" s="107"/>
      <c r="B108" s="108"/>
      <c r="C108" s="109"/>
      <c r="D108" s="110"/>
      <c r="E108" s="111"/>
      <c r="F108" s="110"/>
      <c r="G108" s="97"/>
    </row>
    <row r="109" spans="1:7" x14ac:dyDescent="0.3">
      <c r="A109" s="107"/>
      <c r="B109" s="108"/>
      <c r="C109" s="109"/>
      <c r="D109" s="110"/>
      <c r="E109" s="111"/>
      <c r="F109" s="110"/>
      <c r="G109" s="97"/>
    </row>
    <row r="110" spans="1:7" x14ac:dyDescent="0.3">
      <c r="A110" s="107"/>
      <c r="B110" s="108"/>
      <c r="C110" s="109"/>
      <c r="D110" s="110"/>
      <c r="E110" s="111"/>
      <c r="F110" s="110"/>
      <c r="G110" s="97"/>
    </row>
    <row r="111" spans="1:7" x14ac:dyDescent="0.3">
      <c r="A111" s="107"/>
      <c r="B111" s="108"/>
      <c r="C111" s="109"/>
      <c r="D111" s="110"/>
      <c r="E111" s="111"/>
      <c r="F111" s="110"/>
      <c r="G111" s="97"/>
    </row>
    <row r="112" spans="1:7" x14ac:dyDescent="0.3">
      <c r="A112" s="107"/>
      <c r="B112" s="108"/>
      <c r="C112" s="109"/>
      <c r="D112" s="110"/>
      <c r="E112" s="111"/>
      <c r="F112" s="110"/>
      <c r="G112" s="97"/>
    </row>
    <row r="113" spans="1:7" x14ac:dyDescent="0.3">
      <c r="A113" s="107"/>
      <c r="B113" s="108"/>
      <c r="C113" s="109"/>
      <c r="D113" s="110"/>
      <c r="E113" s="111"/>
      <c r="F113" s="110"/>
      <c r="G113" s="97"/>
    </row>
    <row r="114" spans="1:7" x14ac:dyDescent="0.3">
      <c r="A114" s="107"/>
      <c r="B114" s="108"/>
      <c r="C114" s="109"/>
      <c r="D114" s="110"/>
      <c r="E114" s="111"/>
      <c r="F114" s="110"/>
      <c r="G114" s="97"/>
    </row>
    <row r="115" spans="1:7" x14ac:dyDescent="0.3">
      <c r="A115" s="107"/>
      <c r="B115" s="108"/>
      <c r="C115" s="109"/>
      <c r="D115" s="110"/>
      <c r="E115" s="111"/>
      <c r="F115" s="110"/>
      <c r="G115" s="97"/>
    </row>
    <row r="116" spans="1:7" x14ac:dyDescent="0.3">
      <c r="A116" s="107"/>
      <c r="B116" s="108"/>
      <c r="C116" s="109"/>
      <c r="D116" s="110"/>
      <c r="E116" s="111"/>
      <c r="F116" s="110"/>
      <c r="G116" s="97"/>
    </row>
    <row r="117" spans="1:7" x14ac:dyDescent="0.3">
      <c r="A117" s="107"/>
      <c r="B117" s="108"/>
      <c r="C117" s="109"/>
      <c r="D117" s="110"/>
      <c r="E117" s="111"/>
      <c r="F117" s="110"/>
      <c r="G117" s="97"/>
    </row>
    <row r="118" spans="1:7" x14ac:dyDescent="0.3">
      <c r="A118" s="107"/>
      <c r="B118" s="108"/>
      <c r="C118" s="109"/>
      <c r="D118" s="110"/>
      <c r="E118" s="111"/>
      <c r="F118" s="110"/>
      <c r="G118" s="97"/>
    </row>
    <row r="119" spans="1:7" x14ac:dyDescent="0.3">
      <c r="A119" s="107"/>
      <c r="B119" s="108"/>
      <c r="C119" s="109"/>
      <c r="D119" s="110"/>
      <c r="E119" s="111"/>
      <c r="F119" s="110"/>
      <c r="G119" s="97"/>
    </row>
    <row r="120" spans="1:7" x14ac:dyDescent="0.3">
      <c r="A120" s="107"/>
      <c r="B120" s="108"/>
      <c r="C120" s="109"/>
      <c r="D120" s="110"/>
      <c r="E120" s="111"/>
      <c r="F120" s="110"/>
      <c r="G120" s="97"/>
    </row>
    <row r="121" spans="1:7" x14ac:dyDescent="0.3">
      <c r="A121" s="107"/>
      <c r="B121" s="108"/>
      <c r="C121" s="109"/>
      <c r="D121" s="110"/>
      <c r="E121" s="111"/>
      <c r="F121" s="110"/>
      <c r="G121" s="97"/>
    </row>
    <row r="122" spans="1:7" x14ac:dyDescent="0.3">
      <c r="A122" s="107"/>
      <c r="B122" s="108"/>
      <c r="C122" s="109"/>
      <c r="D122" s="110"/>
      <c r="E122" s="111"/>
      <c r="F122" s="110"/>
      <c r="G122" s="97"/>
    </row>
    <row r="123" spans="1:7" x14ac:dyDescent="0.3">
      <c r="A123" s="107"/>
      <c r="B123" s="108"/>
      <c r="C123" s="109"/>
      <c r="D123" s="110"/>
      <c r="E123" s="111"/>
      <c r="F123" s="110"/>
      <c r="G123" s="97"/>
    </row>
    <row r="124" spans="1:7" x14ac:dyDescent="0.3">
      <c r="A124" s="107"/>
      <c r="B124" s="108"/>
      <c r="C124" s="109"/>
      <c r="D124" s="110"/>
      <c r="E124" s="111"/>
      <c r="F124" s="110"/>
      <c r="G124" s="97"/>
    </row>
    <row r="125" spans="1:7" x14ac:dyDescent="0.3">
      <c r="A125" s="107"/>
      <c r="B125" s="108"/>
      <c r="C125" s="109"/>
      <c r="D125" s="110"/>
      <c r="E125" s="111"/>
      <c r="F125" s="110"/>
      <c r="G125" s="97"/>
    </row>
    <row r="126" spans="1:7" x14ac:dyDescent="0.3">
      <c r="A126" s="107"/>
      <c r="B126" s="108"/>
      <c r="C126" s="109"/>
      <c r="D126" s="110"/>
      <c r="E126" s="111"/>
      <c r="F126" s="110"/>
      <c r="G126" s="97"/>
    </row>
    <row r="127" spans="1:7" x14ac:dyDescent="0.3">
      <c r="A127" s="107"/>
      <c r="B127" s="108"/>
      <c r="C127" s="109"/>
      <c r="D127" s="110"/>
      <c r="E127" s="111"/>
      <c r="F127" s="110"/>
      <c r="G127" s="97"/>
    </row>
    <row r="128" spans="1:7" x14ac:dyDescent="0.3">
      <c r="A128" s="107"/>
      <c r="B128" s="108"/>
      <c r="C128" s="109"/>
      <c r="D128" s="110"/>
      <c r="E128" s="111"/>
      <c r="F128" s="110"/>
      <c r="G128" s="97"/>
    </row>
    <row r="129" spans="1:7" x14ac:dyDescent="0.3">
      <c r="A129" s="107"/>
      <c r="B129" s="108"/>
      <c r="C129" s="109"/>
      <c r="D129" s="110"/>
      <c r="E129" s="111"/>
      <c r="F129" s="110"/>
      <c r="G129" s="97"/>
    </row>
    <row r="130" spans="1:7" x14ac:dyDescent="0.3">
      <c r="A130" s="107"/>
      <c r="B130" s="108"/>
      <c r="C130" s="109"/>
      <c r="D130" s="110"/>
      <c r="E130" s="111"/>
      <c r="F130" s="110"/>
      <c r="G130" s="97"/>
    </row>
    <row r="131" spans="1:7" x14ac:dyDescent="0.3">
      <c r="A131" s="107"/>
      <c r="B131" s="108"/>
      <c r="C131" s="109"/>
      <c r="D131" s="110"/>
      <c r="E131" s="111"/>
      <c r="F131" s="110"/>
      <c r="G131" s="97"/>
    </row>
    <row r="132" spans="1:7" x14ac:dyDescent="0.3">
      <c r="A132" s="107"/>
      <c r="B132" s="108"/>
      <c r="C132" s="109"/>
      <c r="D132" s="110"/>
      <c r="E132" s="111"/>
      <c r="F132" s="110"/>
      <c r="G132" s="97"/>
    </row>
    <row r="133" spans="1:7" x14ac:dyDescent="0.3">
      <c r="A133" s="107"/>
      <c r="B133" s="108"/>
      <c r="C133" s="109"/>
      <c r="D133" s="110"/>
      <c r="E133" s="111"/>
      <c r="F133" s="110"/>
      <c r="G133" s="97"/>
    </row>
    <row r="134" spans="1:7" x14ac:dyDescent="0.3">
      <c r="A134" s="107"/>
      <c r="B134" s="108"/>
      <c r="C134" s="109"/>
      <c r="D134" s="110"/>
      <c r="E134" s="111"/>
      <c r="F134" s="110"/>
      <c r="G134" s="97"/>
    </row>
    <row r="135" spans="1:7" x14ac:dyDescent="0.3">
      <c r="A135" s="107"/>
      <c r="B135" s="108"/>
      <c r="C135" s="109"/>
      <c r="D135" s="110"/>
      <c r="E135" s="111"/>
      <c r="F135" s="110"/>
      <c r="G135" s="97"/>
    </row>
    <row r="136" spans="1:7" x14ac:dyDescent="0.3">
      <c r="A136" s="107"/>
      <c r="B136" s="108"/>
      <c r="C136" s="109"/>
      <c r="D136" s="110"/>
      <c r="E136" s="111"/>
      <c r="F136" s="110"/>
      <c r="G136" s="97"/>
    </row>
    <row r="137" spans="1:7" x14ac:dyDescent="0.3">
      <c r="A137" s="107"/>
      <c r="B137" s="108"/>
      <c r="C137" s="109"/>
      <c r="D137" s="110"/>
      <c r="E137" s="111"/>
      <c r="F137" s="110"/>
      <c r="G137" s="97"/>
    </row>
    <row r="138" spans="1:7" x14ac:dyDescent="0.3">
      <c r="A138" s="107"/>
      <c r="B138" s="108"/>
      <c r="C138" s="109"/>
      <c r="D138" s="110"/>
      <c r="E138" s="111"/>
      <c r="F138" s="110"/>
      <c r="G138" s="97"/>
    </row>
    <row r="139" spans="1:7" x14ac:dyDescent="0.3">
      <c r="A139" s="107"/>
      <c r="B139" s="108"/>
      <c r="C139" s="109"/>
      <c r="D139" s="110"/>
      <c r="E139" s="111"/>
      <c r="F139" s="110"/>
      <c r="G139" s="97"/>
    </row>
    <row r="140" spans="1:7" x14ac:dyDescent="0.3">
      <c r="A140" s="107"/>
      <c r="B140" s="108"/>
      <c r="C140" s="109"/>
      <c r="D140" s="110"/>
      <c r="E140" s="111"/>
      <c r="F140" s="110"/>
      <c r="G140" s="97"/>
    </row>
    <row r="141" spans="1:7" x14ac:dyDescent="0.3">
      <c r="A141" s="107"/>
      <c r="B141" s="108"/>
      <c r="C141" s="109"/>
      <c r="D141" s="110"/>
      <c r="E141" s="111"/>
      <c r="F141" s="110"/>
      <c r="G141" s="97"/>
    </row>
    <row r="142" spans="1:7" x14ac:dyDescent="0.3">
      <c r="A142" s="107"/>
      <c r="B142" s="108"/>
      <c r="C142" s="109"/>
      <c r="D142" s="110"/>
      <c r="E142" s="111"/>
      <c r="F142" s="110"/>
      <c r="G142" s="97"/>
    </row>
    <row r="143" spans="1:7" x14ac:dyDescent="0.3">
      <c r="A143" s="107"/>
      <c r="B143" s="108"/>
      <c r="C143" s="109"/>
      <c r="D143" s="110"/>
      <c r="E143" s="111"/>
      <c r="F143" s="110"/>
      <c r="G143" s="97"/>
    </row>
    <row r="144" spans="1:7" x14ac:dyDescent="0.3">
      <c r="A144" s="107"/>
      <c r="B144" s="108"/>
      <c r="C144" s="109"/>
      <c r="D144" s="110"/>
      <c r="E144" s="111"/>
      <c r="F144" s="110"/>
      <c r="G144" s="97"/>
    </row>
    <row r="145" spans="1:7" x14ac:dyDescent="0.3">
      <c r="A145" s="107"/>
      <c r="B145" s="108"/>
      <c r="C145" s="109"/>
      <c r="D145" s="110"/>
      <c r="E145" s="111"/>
      <c r="F145" s="110"/>
      <c r="G145" s="97"/>
    </row>
    <row r="146" spans="1:7" x14ac:dyDescent="0.3">
      <c r="A146" s="107"/>
      <c r="B146" s="108"/>
      <c r="C146" s="109"/>
      <c r="D146" s="110"/>
      <c r="E146" s="111"/>
      <c r="F146" s="110"/>
      <c r="G146" s="97"/>
    </row>
    <row r="147" spans="1:7" x14ac:dyDescent="0.3">
      <c r="A147" s="107"/>
      <c r="B147" s="108"/>
      <c r="C147" s="109"/>
      <c r="D147" s="110"/>
      <c r="E147" s="111"/>
      <c r="F147" s="110"/>
      <c r="G147" s="97"/>
    </row>
    <row r="148" spans="1:7" x14ac:dyDescent="0.3">
      <c r="A148" s="107"/>
      <c r="B148" s="108"/>
      <c r="C148" s="109"/>
      <c r="D148" s="110"/>
      <c r="E148" s="111"/>
      <c r="F148" s="110"/>
      <c r="G148" s="97"/>
    </row>
    <row r="149" spans="1:7" x14ac:dyDescent="0.3">
      <c r="A149" s="107"/>
      <c r="B149" s="108"/>
      <c r="C149" s="109"/>
      <c r="D149" s="110"/>
      <c r="E149" s="111"/>
      <c r="F149" s="110"/>
      <c r="G149" s="97"/>
    </row>
    <row r="150" spans="1:7" x14ac:dyDescent="0.3">
      <c r="A150" s="107"/>
      <c r="B150" s="108"/>
      <c r="C150" s="109"/>
      <c r="D150" s="110"/>
      <c r="E150" s="111"/>
      <c r="F150" s="110"/>
      <c r="G150" s="97"/>
    </row>
    <row r="151" spans="1:7" x14ac:dyDescent="0.3">
      <c r="A151" s="107"/>
      <c r="B151" s="108"/>
      <c r="C151" s="109"/>
      <c r="D151" s="110"/>
      <c r="E151" s="111"/>
      <c r="F151" s="110"/>
      <c r="G151" s="97"/>
    </row>
    <row r="152" spans="1:7" x14ac:dyDescent="0.3">
      <c r="A152" s="107"/>
      <c r="B152" s="108"/>
      <c r="C152" s="109"/>
      <c r="D152" s="110"/>
      <c r="E152" s="111"/>
      <c r="F152" s="110"/>
      <c r="G152" s="97"/>
    </row>
    <row r="153" spans="1:7" x14ac:dyDescent="0.3">
      <c r="A153" s="107"/>
      <c r="B153" s="108"/>
      <c r="C153" s="109"/>
      <c r="D153" s="110"/>
      <c r="E153" s="111"/>
      <c r="F153" s="110"/>
      <c r="G153" s="97"/>
    </row>
    <row r="154" spans="1:7" x14ac:dyDescent="0.3">
      <c r="A154" s="107"/>
      <c r="B154" s="108"/>
      <c r="C154" s="109"/>
      <c r="D154" s="110"/>
      <c r="E154" s="111"/>
      <c r="F154" s="110"/>
      <c r="G154" s="97"/>
    </row>
    <row r="155" spans="1:7" x14ac:dyDescent="0.3">
      <c r="A155" s="107"/>
      <c r="B155" s="108"/>
      <c r="C155" s="109"/>
      <c r="D155" s="110"/>
      <c r="E155" s="111"/>
      <c r="F155" s="110"/>
      <c r="G155" s="97"/>
    </row>
    <row r="156" spans="1:7" x14ac:dyDescent="0.3">
      <c r="A156" s="107"/>
      <c r="B156" s="108"/>
      <c r="C156" s="109"/>
      <c r="D156" s="110"/>
      <c r="E156" s="111"/>
      <c r="F156" s="110"/>
      <c r="G156" s="97"/>
    </row>
    <row r="157" spans="1:7" x14ac:dyDescent="0.3">
      <c r="A157" s="107"/>
      <c r="B157" s="108"/>
      <c r="C157" s="109"/>
      <c r="D157" s="110"/>
      <c r="E157" s="111"/>
      <c r="F157" s="110"/>
      <c r="G157" s="97"/>
    </row>
    <row r="158" spans="1:7" x14ac:dyDescent="0.3">
      <c r="A158" s="107"/>
      <c r="B158" s="108"/>
      <c r="C158" s="109"/>
      <c r="D158" s="110"/>
      <c r="E158" s="111"/>
      <c r="F158" s="110"/>
      <c r="G158" s="97"/>
    </row>
    <row r="159" spans="1:7" x14ac:dyDescent="0.3">
      <c r="A159" s="107"/>
      <c r="B159" s="108"/>
      <c r="C159" s="109"/>
      <c r="D159" s="110"/>
      <c r="E159" s="111"/>
      <c r="F159" s="110"/>
      <c r="G159" s="97"/>
    </row>
    <row r="160" spans="1:7" x14ac:dyDescent="0.3">
      <c r="A160" s="107"/>
      <c r="B160" s="108"/>
      <c r="C160" s="109"/>
      <c r="D160" s="110"/>
      <c r="E160" s="111"/>
      <c r="F160" s="110"/>
      <c r="G160" s="97"/>
    </row>
    <row r="161" spans="1:7" x14ac:dyDescent="0.3">
      <c r="A161" s="107"/>
      <c r="B161" s="108"/>
      <c r="C161" s="109"/>
      <c r="D161" s="110"/>
      <c r="E161" s="111"/>
      <c r="F161" s="110"/>
      <c r="G161" s="97"/>
    </row>
    <row r="162" spans="1:7" x14ac:dyDescent="0.3">
      <c r="A162" s="107"/>
      <c r="B162" s="108"/>
      <c r="C162" s="109"/>
      <c r="D162" s="110"/>
      <c r="E162" s="111"/>
      <c r="F162" s="110"/>
      <c r="G162" s="97"/>
    </row>
    <row r="163" spans="1:7" x14ac:dyDescent="0.3">
      <c r="A163" s="107"/>
      <c r="B163" s="108"/>
      <c r="C163" s="109"/>
      <c r="D163" s="110"/>
      <c r="E163" s="111"/>
      <c r="F163" s="110"/>
      <c r="G163" s="97"/>
    </row>
    <row r="164" spans="1:7" x14ac:dyDescent="0.3">
      <c r="A164" s="107"/>
      <c r="B164" s="108"/>
      <c r="C164" s="109"/>
      <c r="D164" s="110"/>
      <c r="E164" s="111"/>
      <c r="F164" s="110"/>
      <c r="G164" s="97"/>
    </row>
    <row r="165" spans="1:7" x14ac:dyDescent="0.3">
      <c r="A165" s="107"/>
      <c r="B165" s="108"/>
      <c r="C165" s="109"/>
      <c r="D165" s="110"/>
      <c r="E165" s="111"/>
      <c r="F165" s="110"/>
      <c r="G165" s="97"/>
    </row>
    <row r="166" spans="1:7" x14ac:dyDescent="0.3">
      <c r="A166" s="107"/>
      <c r="B166" s="108"/>
      <c r="C166" s="109"/>
      <c r="D166" s="110"/>
      <c r="E166" s="111"/>
      <c r="F166" s="110"/>
      <c r="G166" s="97"/>
    </row>
    <row r="167" spans="1:7" x14ac:dyDescent="0.3">
      <c r="A167" s="107"/>
      <c r="B167" s="108"/>
      <c r="C167" s="109"/>
      <c r="D167" s="110"/>
      <c r="E167" s="111"/>
      <c r="F167" s="110"/>
      <c r="G167" s="97"/>
    </row>
    <row r="168" spans="1:7" x14ac:dyDescent="0.3">
      <c r="A168" s="107"/>
      <c r="B168" s="108"/>
      <c r="C168" s="109"/>
      <c r="D168" s="110"/>
      <c r="E168" s="111"/>
      <c r="F168" s="110"/>
      <c r="G168" s="97"/>
    </row>
    <row r="169" spans="1:7" x14ac:dyDescent="0.3">
      <c r="A169" s="107"/>
      <c r="B169" s="108"/>
      <c r="C169" s="109"/>
      <c r="D169" s="110"/>
      <c r="E169" s="111"/>
      <c r="F169" s="110"/>
      <c r="G169" s="97"/>
    </row>
    <row r="170" spans="1:7" x14ac:dyDescent="0.3">
      <c r="A170" s="107"/>
      <c r="B170" s="108"/>
      <c r="C170" s="109"/>
      <c r="D170" s="110"/>
      <c r="E170" s="111"/>
      <c r="F170" s="110"/>
      <c r="G170" s="97"/>
    </row>
    <row r="171" spans="1:7" x14ac:dyDescent="0.3">
      <c r="A171" s="107"/>
      <c r="B171" s="108"/>
      <c r="C171" s="109"/>
      <c r="D171" s="110"/>
      <c r="E171" s="111"/>
      <c r="F171" s="110"/>
      <c r="G171" s="97"/>
    </row>
    <row r="172" spans="1:7" x14ac:dyDescent="0.3">
      <c r="A172" s="107"/>
      <c r="B172" s="108"/>
      <c r="C172" s="109"/>
      <c r="D172" s="110"/>
      <c r="E172" s="111"/>
      <c r="F172" s="110"/>
      <c r="G172" s="97"/>
    </row>
    <row r="173" spans="1:7" x14ac:dyDescent="0.3">
      <c r="A173" s="107"/>
      <c r="B173" s="108"/>
      <c r="C173" s="109"/>
      <c r="D173" s="110"/>
      <c r="E173" s="111"/>
      <c r="F173" s="110"/>
      <c r="G173" s="97"/>
    </row>
    <row r="174" spans="1:7" x14ac:dyDescent="0.3">
      <c r="A174" s="107"/>
      <c r="B174" s="108"/>
      <c r="C174" s="109"/>
      <c r="D174" s="110"/>
      <c r="E174" s="111"/>
      <c r="F174" s="110"/>
      <c r="G174" s="97"/>
    </row>
    <row r="175" spans="1:7" x14ac:dyDescent="0.3">
      <c r="A175" s="107"/>
      <c r="B175" s="108"/>
      <c r="C175" s="109"/>
      <c r="D175" s="110"/>
      <c r="E175" s="111"/>
      <c r="F175" s="110"/>
      <c r="G175" s="97"/>
    </row>
    <row r="176" spans="1:7" x14ac:dyDescent="0.3">
      <c r="A176" s="107"/>
      <c r="B176" s="108"/>
      <c r="C176" s="109"/>
      <c r="D176" s="110"/>
      <c r="E176" s="111"/>
      <c r="F176" s="110"/>
      <c r="G176" s="97"/>
    </row>
    <row r="177" spans="1:7" x14ac:dyDescent="0.3">
      <c r="A177" s="107"/>
      <c r="B177" s="108"/>
      <c r="C177" s="109"/>
      <c r="D177" s="110"/>
      <c r="E177" s="111"/>
      <c r="F177" s="110"/>
      <c r="G177" s="97"/>
    </row>
    <row r="178" spans="1:7" x14ac:dyDescent="0.3">
      <c r="A178" s="107"/>
      <c r="B178" s="108"/>
      <c r="C178" s="109"/>
      <c r="D178" s="110"/>
      <c r="E178" s="111"/>
      <c r="F178" s="110"/>
      <c r="G178" s="97"/>
    </row>
    <row r="179" spans="1:7" x14ac:dyDescent="0.3">
      <c r="A179" s="107"/>
      <c r="B179" s="108"/>
      <c r="C179" s="109"/>
      <c r="D179" s="110"/>
      <c r="E179" s="111"/>
      <c r="F179" s="110"/>
      <c r="G179" s="97"/>
    </row>
    <row r="180" spans="1:7" x14ac:dyDescent="0.3">
      <c r="A180" s="107"/>
      <c r="B180" s="108"/>
      <c r="C180" s="109"/>
      <c r="D180" s="110"/>
      <c r="E180" s="111"/>
      <c r="F180" s="110"/>
      <c r="G180" s="97"/>
    </row>
    <row r="181" spans="1:7" x14ac:dyDescent="0.3">
      <c r="A181" s="107"/>
      <c r="B181" s="108"/>
      <c r="C181" s="109"/>
      <c r="D181" s="110"/>
      <c r="E181" s="111"/>
      <c r="F181" s="110"/>
      <c r="G181" s="97"/>
    </row>
    <row r="182" spans="1:7" x14ac:dyDescent="0.3">
      <c r="A182" s="107"/>
      <c r="B182" s="108"/>
      <c r="C182" s="109"/>
      <c r="D182" s="110"/>
      <c r="E182" s="111"/>
      <c r="F182" s="110"/>
      <c r="G182" s="97"/>
    </row>
    <row r="183" spans="1:7" x14ac:dyDescent="0.3">
      <c r="A183" s="107"/>
      <c r="B183" s="108"/>
      <c r="C183" s="109"/>
      <c r="D183" s="110"/>
      <c r="E183" s="111"/>
      <c r="F183" s="110"/>
      <c r="G183" s="97"/>
    </row>
    <row r="184" spans="1:7" x14ac:dyDescent="0.3">
      <c r="A184" s="107"/>
      <c r="B184" s="108"/>
      <c r="C184" s="109"/>
      <c r="D184" s="110"/>
      <c r="E184" s="111"/>
      <c r="F184" s="110"/>
      <c r="G184" s="97"/>
    </row>
    <row r="185" spans="1:7" x14ac:dyDescent="0.3">
      <c r="A185" s="107"/>
      <c r="B185" s="108"/>
      <c r="C185" s="109"/>
      <c r="D185" s="110"/>
      <c r="E185" s="111"/>
      <c r="F185" s="110"/>
      <c r="G185" s="97"/>
    </row>
    <row r="186" spans="1:7" x14ac:dyDescent="0.3">
      <c r="A186" s="107"/>
      <c r="B186" s="108"/>
      <c r="C186" s="109"/>
      <c r="D186" s="110"/>
      <c r="E186" s="111"/>
      <c r="F186" s="110"/>
      <c r="G186" s="97"/>
    </row>
    <row r="187" spans="1:7" x14ac:dyDescent="0.3">
      <c r="A187" s="107"/>
      <c r="B187" s="108"/>
      <c r="C187" s="109"/>
      <c r="D187" s="110"/>
      <c r="E187" s="111"/>
      <c r="F187" s="110"/>
      <c r="G187" s="97"/>
    </row>
    <row r="188" spans="1:7" x14ac:dyDescent="0.3">
      <c r="A188" s="107"/>
      <c r="B188" s="108"/>
      <c r="C188" s="109"/>
      <c r="D188" s="110"/>
      <c r="E188" s="111"/>
      <c r="F188" s="110"/>
      <c r="G188" s="97"/>
    </row>
    <row r="189" spans="1:7" x14ac:dyDescent="0.3">
      <c r="A189" s="107"/>
      <c r="B189" s="108"/>
      <c r="C189" s="109"/>
      <c r="D189" s="110"/>
      <c r="E189" s="111"/>
      <c r="F189" s="110"/>
      <c r="G189" s="97"/>
    </row>
    <row r="190" spans="1:7" x14ac:dyDescent="0.3">
      <c r="A190" s="107"/>
      <c r="B190" s="108"/>
      <c r="C190" s="109"/>
      <c r="D190" s="110"/>
      <c r="E190" s="111"/>
      <c r="F190" s="110"/>
      <c r="G190" s="97"/>
    </row>
    <row r="191" spans="1:7" x14ac:dyDescent="0.3">
      <c r="A191" s="107"/>
      <c r="B191" s="108"/>
      <c r="C191" s="109"/>
      <c r="D191" s="110"/>
      <c r="E191" s="111"/>
      <c r="F191" s="110"/>
      <c r="G191" s="97"/>
    </row>
    <row r="192" spans="1:7" x14ac:dyDescent="0.3">
      <c r="A192" s="107"/>
      <c r="B192" s="108"/>
      <c r="C192" s="109"/>
      <c r="D192" s="110"/>
      <c r="E192" s="111"/>
      <c r="F192" s="110"/>
      <c r="G192" s="97"/>
    </row>
    <row r="193" spans="1:7" x14ac:dyDescent="0.3">
      <c r="A193" s="107"/>
      <c r="B193" s="108"/>
      <c r="C193" s="109"/>
      <c r="D193" s="110"/>
      <c r="E193" s="111"/>
      <c r="F193" s="110"/>
      <c r="G193" s="97"/>
    </row>
    <row r="194" spans="1:7" x14ac:dyDescent="0.3">
      <c r="A194" s="107"/>
      <c r="B194" s="108"/>
      <c r="C194" s="109"/>
      <c r="D194" s="110"/>
      <c r="E194" s="111"/>
      <c r="F194" s="110"/>
      <c r="G194" s="97"/>
    </row>
    <row r="195" spans="1:7" x14ac:dyDescent="0.3">
      <c r="A195" s="107"/>
      <c r="B195" s="108"/>
      <c r="C195" s="109"/>
      <c r="D195" s="110"/>
      <c r="E195" s="111"/>
      <c r="F195" s="110"/>
      <c r="G195" s="97"/>
    </row>
    <row r="196" spans="1:7" x14ac:dyDescent="0.3">
      <c r="A196" s="107"/>
      <c r="B196" s="108"/>
      <c r="C196" s="109"/>
      <c r="D196" s="110"/>
      <c r="E196" s="111"/>
      <c r="F196" s="110"/>
      <c r="G196" s="97"/>
    </row>
    <row r="197" spans="1:7" x14ac:dyDescent="0.3">
      <c r="A197" s="107"/>
      <c r="B197" s="108"/>
      <c r="C197" s="109"/>
      <c r="D197" s="110"/>
      <c r="E197" s="111"/>
      <c r="F197" s="110"/>
      <c r="G197" s="97"/>
    </row>
    <row r="198" spans="1:7" x14ac:dyDescent="0.3">
      <c r="A198" s="107"/>
      <c r="B198" s="108"/>
      <c r="C198" s="109"/>
      <c r="D198" s="110"/>
      <c r="E198" s="111"/>
      <c r="F198" s="110"/>
      <c r="G198" s="97"/>
    </row>
    <row r="199" spans="1:7" x14ac:dyDescent="0.3">
      <c r="A199" s="107"/>
      <c r="B199" s="108"/>
      <c r="C199" s="109"/>
      <c r="D199" s="110"/>
      <c r="E199" s="111"/>
      <c r="F199" s="110"/>
      <c r="G199" s="97"/>
    </row>
    <row r="200" spans="1:7" x14ac:dyDescent="0.3">
      <c r="A200" s="107"/>
      <c r="B200" s="108"/>
      <c r="C200" s="109"/>
      <c r="D200" s="110"/>
      <c r="E200" s="111"/>
      <c r="F200" s="110"/>
      <c r="G200" s="97"/>
    </row>
    <row r="201" spans="1:7" x14ac:dyDescent="0.3">
      <c r="A201" s="107"/>
      <c r="B201" s="108"/>
      <c r="C201" s="109"/>
      <c r="D201" s="110"/>
      <c r="E201" s="111"/>
      <c r="F201" s="110"/>
      <c r="G201" s="97"/>
    </row>
    <row r="202" spans="1:7" x14ac:dyDescent="0.3">
      <c r="A202" s="107"/>
      <c r="B202" s="108"/>
      <c r="C202" s="109"/>
      <c r="D202" s="110"/>
      <c r="E202" s="111"/>
      <c r="F202" s="110"/>
      <c r="G202" s="97"/>
    </row>
    <row r="203" spans="1:7" x14ac:dyDescent="0.3">
      <c r="A203" s="107"/>
      <c r="B203" s="108"/>
      <c r="C203" s="109"/>
      <c r="D203" s="110"/>
      <c r="E203" s="111"/>
      <c r="F203" s="110"/>
      <c r="G203" s="97"/>
    </row>
    <row r="204" spans="1:7" x14ac:dyDescent="0.3">
      <c r="A204" s="107"/>
      <c r="B204" s="108"/>
      <c r="C204" s="109"/>
      <c r="D204" s="110"/>
      <c r="E204" s="111"/>
      <c r="F204" s="110"/>
      <c r="G204" s="97"/>
    </row>
    <row r="205" spans="1:7" x14ac:dyDescent="0.3">
      <c r="A205" s="107"/>
      <c r="B205" s="108"/>
      <c r="C205" s="109"/>
      <c r="D205" s="110"/>
      <c r="E205" s="111"/>
      <c r="F205" s="110"/>
      <c r="G205" s="97"/>
    </row>
    <row r="206" spans="1:7" x14ac:dyDescent="0.3">
      <c r="A206" s="107"/>
      <c r="B206" s="108"/>
      <c r="C206" s="109"/>
      <c r="D206" s="110"/>
      <c r="E206" s="111"/>
      <c r="F206" s="110"/>
      <c r="G206" s="97"/>
    </row>
    <row r="207" spans="1:7" x14ac:dyDescent="0.3">
      <c r="A207" s="107"/>
      <c r="B207" s="108"/>
      <c r="C207" s="109"/>
      <c r="D207" s="110"/>
      <c r="E207" s="111"/>
      <c r="F207" s="110"/>
      <c r="G207" s="97"/>
    </row>
    <row r="208" spans="1:7" x14ac:dyDescent="0.3">
      <c r="A208" s="107"/>
      <c r="B208" s="108"/>
      <c r="C208" s="109"/>
      <c r="D208" s="110"/>
      <c r="E208" s="111"/>
      <c r="F208" s="110"/>
      <c r="G208" s="97"/>
    </row>
    <row r="209" spans="1:7" x14ac:dyDescent="0.3">
      <c r="A209" s="107"/>
      <c r="B209" s="108"/>
      <c r="C209" s="109"/>
      <c r="D209" s="110"/>
      <c r="E209" s="111"/>
      <c r="F209" s="110"/>
      <c r="G209" s="97"/>
    </row>
    <row r="210" spans="1:7" x14ac:dyDescent="0.3">
      <c r="A210" s="107"/>
      <c r="B210" s="108"/>
      <c r="C210" s="109"/>
      <c r="D210" s="110"/>
      <c r="E210" s="111"/>
      <c r="F210" s="110"/>
      <c r="G210" s="97"/>
    </row>
    <row r="211" spans="1:7" x14ac:dyDescent="0.3">
      <c r="A211" s="107"/>
      <c r="B211" s="108"/>
      <c r="C211" s="109"/>
      <c r="D211" s="110"/>
      <c r="E211" s="111"/>
      <c r="F211" s="110"/>
      <c r="G211" s="97"/>
    </row>
    <row r="212" spans="1:7" x14ac:dyDescent="0.3">
      <c r="A212" s="107"/>
      <c r="B212" s="108"/>
      <c r="C212" s="109"/>
      <c r="D212" s="110"/>
      <c r="E212" s="111"/>
      <c r="F212" s="110"/>
      <c r="G212" s="97"/>
    </row>
    <row r="213" spans="1:7" x14ac:dyDescent="0.3">
      <c r="A213" s="107"/>
      <c r="B213" s="108"/>
      <c r="C213" s="109"/>
      <c r="D213" s="110"/>
      <c r="E213" s="111"/>
      <c r="F213" s="110"/>
      <c r="G213" s="97"/>
    </row>
    <row r="214" spans="1:7" x14ac:dyDescent="0.3">
      <c r="A214" s="107"/>
      <c r="B214" s="108"/>
      <c r="C214" s="109"/>
      <c r="D214" s="110"/>
      <c r="E214" s="111"/>
      <c r="F214" s="110"/>
      <c r="G214" s="97"/>
    </row>
    <row r="215" spans="1:7" x14ac:dyDescent="0.3">
      <c r="A215" s="112"/>
      <c r="B215" s="113"/>
      <c r="C215" s="109"/>
      <c r="D215" s="110"/>
      <c r="E215" s="111"/>
      <c r="F215" s="110"/>
      <c r="G215" s="97"/>
    </row>
    <row r="216" spans="1:7" x14ac:dyDescent="0.3">
      <c r="A216" s="107"/>
      <c r="B216" s="108"/>
      <c r="C216" s="109"/>
      <c r="D216" s="110"/>
      <c r="E216" s="111"/>
      <c r="F216" s="110"/>
      <c r="G216" s="97"/>
    </row>
    <row r="217" spans="1:7" x14ac:dyDescent="0.3">
      <c r="A217" s="107"/>
      <c r="B217" s="108"/>
      <c r="C217" s="109"/>
      <c r="D217" s="110"/>
      <c r="E217" s="111"/>
      <c r="F217" s="110"/>
      <c r="G217" s="97"/>
    </row>
    <row r="218" spans="1:7" x14ac:dyDescent="0.3">
      <c r="A218" s="107"/>
      <c r="B218" s="108"/>
      <c r="C218" s="109"/>
      <c r="D218" s="110"/>
      <c r="E218" s="111"/>
      <c r="F218" s="110"/>
      <c r="G218" s="97"/>
    </row>
    <row r="219" spans="1:7" x14ac:dyDescent="0.3">
      <c r="A219" s="107"/>
      <c r="B219" s="108"/>
      <c r="C219" s="109"/>
      <c r="D219" s="110"/>
      <c r="E219" s="111"/>
      <c r="F219" s="110"/>
      <c r="G219" s="97"/>
    </row>
    <row r="220" spans="1:7" x14ac:dyDescent="0.3">
      <c r="A220" s="107"/>
      <c r="B220" s="108"/>
      <c r="C220" s="109"/>
      <c r="D220" s="110"/>
      <c r="E220" s="111"/>
      <c r="F220" s="110"/>
      <c r="G220" s="97"/>
    </row>
    <row r="221" spans="1:7" x14ac:dyDescent="0.3">
      <c r="A221" s="107"/>
      <c r="B221" s="108"/>
      <c r="C221" s="109"/>
      <c r="D221" s="110"/>
      <c r="E221" s="111"/>
      <c r="F221" s="110"/>
      <c r="G221" s="97"/>
    </row>
    <row r="222" spans="1:7" x14ac:dyDescent="0.3">
      <c r="A222" s="107"/>
      <c r="B222" s="114"/>
      <c r="C222" s="114"/>
      <c r="D222" s="97"/>
      <c r="E222" s="115"/>
      <c r="F222" s="97"/>
      <c r="G222" s="97"/>
    </row>
    <row r="223" spans="1:7" x14ac:dyDescent="0.3">
      <c r="A223" s="116"/>
      <c r="B223" s="117"/>
      <c r="C223" s="118"/>
      <c r="D223" s="117"/>
      <c r="E223" s="115"/>
      <c r="F223" s="117"/>
      <c r="G223" s="97"/>
    </row>
    <row r="224" spans="1:7" x14ac:dyDescent="0.3">
      <c r="A224" s="119"/>
      <c r="B224" s="120"/>
      <c r="C224" s="114"/>
      <c r="D224" s="110"/>
      <c r="E224" s="115"/>
      <c r="F224" s="110"/>
      <c r="G224" s="97"/>
    </row>
    <row r="225" spans="1:7" x14ac:dyDescent="0.3">
      <c r="A225" s="119"/>
      <c r="B225" s="113"/>
      <c r="C225" s="109"/>
      <c r="D225" s="121"/>
      <c r="E225" s="115"/>
      <c r="F225" s="110"/>
      <c r="G225" s="97"/>
    </row>
    <row r="226" spans="1:7" x14ac:dyDescent="0.3">
      <c r="A226" s="119"/>
      <c r="B226" s="120"/>
      <c r="C226" s="114"/>
      <c r="D226" s="120"/>
      <c r="E226" s="115"/>
      <c r="F226" s="110"/>
      <c r="G226" s="97"/>
    </row>
    <row r="227" spans="1:7" x14ac:dyDescent="0.3">
      <c r="A227" s="116"/>
      <c r="B227" s="117"/>
      <c r="C227" s="118"/>
      <c r="D227" s="117"/>
      <c r="E227" s="115"/>
      <c r="F227" s="110"/>
      <c r="G227" s="97"/>
    </row>
    <row r="228" spans="1:7" x14ac:dyDescent="0.3">
      <c r="A228" s="119"/>
      <c r="B228" s="97"/>
      <c r="C228" s="97"/>
      <c r="D228" s="97"/>
      <c r="E228" s="97"/>
      <c r="F228" s="97"/>
      <c r="G228" s="97"/>
    </row>
    <row r="229" spans="1:7" x14ac:dyDescent="0.3">
      <c r="A229" s="97"/>
      <c r="B229" s="97"/>
      <c r="C229" s="97"/>
      <c r="D229" s="97"/>
      <c r="E229" s="97"/>
      <c r="F229" s="97"/>
      <c r="G229" s="97"/>
    </row>
    <row r="230" spans="1:7" x14ac:dyDescent="0.3">
      <c r="A230" s="97"/>
      <c r="B230" s="97"/>
      <c r="C230" s="97"/>
      <c r="D230" s="97"/>
      <c r="E230" s="97"/>
      <c r="F230" s="97"/>
      <c r="G230" s="97"/>
    </row>
    <row r="231" spans="1:7" x14ac:dyDescent="0.3">
      <c r="A231" s="97"/>
      <c r="B231" s="97"/>
      <c r="C231" s="97"/>
      <c r="D231" s="97"/>
      <c r="E231" s="97"/>
      <c r="F231" s="97"/>
      <c r="G231" s="97"/>
    </row>
    <row r="232" spans="1:7" x14ac:dyDescent="0.3">
      <c r="A232" s="97"/>
      <c r="B232" s="97"/>
      <c r="C232" s="97"/>
      <c r="D232" s="97"/>
      <c r="E232" s="97"/>
      <c r="F232" s="97"/>
      <c r="G232" s="97"/>
    </row>
    <row r="233" spans="1:7" x14ac:dyDescent="0.3">
      <c r="A233" s="97"/>
      <c r="B233" s="97"/>
      <c r="C233" s="97"/>
      <c r="D233" s="97"/>
      <c r="E233" s="97"/>
      <c r="F233" s="97"/>
      <c r="G233" s="97"/>
    </row>
    <row r="234" spans="1:7" x14ac:dyDescent="0.3">
      <c r="A234" s="97"/>
      <c r="B234" s="97"/>
      <c r="C234" s="97"/>
      <c r="D234" s="97"/>
      <c r="E234" s="97"/>
      <c r="F234" s="97"/>
      <c r="G234" s="97"/>
    </row>
    <row r="235" spans="1:7" x14ac:dyDescent="0.3">
      <c r="A235" s="97"/>
      <c r="B235" s="97"/>
      <c r="C235" s="97"/>
      <c r="D235" s="97"/>
      <c r="E235" s="97"/>
      <c r="F235" s="97"/>
      <c r="G235" s="97"/>
    </row>
    <row r="236" spans="1:7" x14ac:dyDescent="0.3">
      <c r="A236" s="97"/>
      <c r="B236" s="97"/>
      <c r="C236" s="97"/>
      <c r="D236" s="97"/>
      <c r="E236" s="97"/>
      <c r="F236" s="97"/>
      <c r="G236" s="97"/>
    </row>
  </sheetData>
  <pageMargins left="0.7" right="0.7" top="0.75" bottom="0.75" header="0.3" footer="0.3"/>
  <pageSetup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activeCell="C25" sqref="C25"/>
    </sheetView>
  </sheetViews>
  <sheetFormatPr defaultRowHeight="15.6" x14ac:dyDescent="0.3"/>
  <cols>
    <col min="1" max="1" width="3.59765625" customWidth="1"/>
    <col min="2" max="2" width="2.19921875" customWidth="1"/>
    <col min="3" max="3" width="29" customWidth="1"/>
    <col min="4" max="4" width="3.09765625" customWidth="1"/>
    <col min="5" max="5" width="6.59765625" customWidth="1"/>
    <col min="6" max="6" width="3.59765625" customWidth="1"/>
    <col min="7" max="7" width="16.19921875" customWidth="1"/>
    <col min="8" max="8" width="1.19921875" customWidth="1"/>
    <col min="9" max="9" width="14.69921875" customWidth="1"/>
    <col min="10" max="10" width="2.09765625" customWidth="1"/>
    <col min="11" max="11" width="11.09765625" customWidth="1"/>
  </cols>
  <sheetData>
    <row r="1" spans="1:11" x14ac:dyDescent="0.3">
      <c r="A1" t="s">
        <v>189</v>
      </c>
      <c r="I1" t="s">
        <v>553</v>
      </c>
    </row>
    <row r="2" spans="1:11" x14ac:dyDescent="0.3">
      <c r="A2" t="s">
        <v>186</v>
      </c>
      <c r="I2" t="s">
        <v>567</v>
      </c>
    </row>
    <row r="3" spans="1:11" x14ac:dyDescent="0.3">
      <c r="A3" t="s">
        <v>187</v>
      </c>
      <c r="I3" t="s">
        <v>552</v>
      </c>
    </row>
    <row r="4" spans="1:11" x14ac:dyDescent="0.3">
      <c r="A4" t="s">
        <v>192</v>
      </c>
      <c r="I4" t="s">
        <v>568</v>
      </c>
    </row>
    <row r="5" spans="1:11" x14ac:dyDescent="0.3">
      <c r="A5" t="s">
        <v>188</v>
      </c>
    </row>
    <row r="6" spans="1:11" x14ac:dyDescent="0.3">
      <c r="A6" s="7"/>
      <c r="B6" s="7"/>
      <c r="C6" s="7"/>
      <c r="D6" s="7"/>
      <c r="E6" s="7"/>
      <c r="F6" s="7"/>
      <c r="H6" s="7"/>
      <c r="I6" s="7"/>
      <c r="J6" s="7"/>
      <c r="K6" s="7"/>
    </row>
    <row r="7" spans="1:11" x14ac:dyDescent="0.3">
      <c r="A7" s="15" t="s">
        <v>0</v>
      </c>
      <c r="B7" s="7"/>
      <c r="C7" s="7"/>
      <c r="D7" s="7"/>
      <c r="E7" s="7"/>
      <c r="F7" s="7"/>
      <c r="G7" s="15" t="s">
        <v>121</v>
      </c>
      <c r="H7" s="15"/>
      <c r="I7" s="83" t="s">
        <v>231</v>
      </c>
      <c r="J7" s="7"/>
      <c r="K7" s="7"/>
    </row>
    <row r="8" spans="1:11" x14ac:dyDescent="0.3">
      <c r="A8" s="34" t="s">
        <v>122</v>
      </c>
      <c r="B8" s="7"/>
      <c r="C8" s="57" t="s">
        <v>1</v>
      </c>
      <c r="D8" s="7"/>
      <c r="E8" s="7"/>
      <c r="F8" s="7"/>
      <c r="G8" s="58" t="s">
        <v>2</v>
      </c>
      <c r="H8" s="35"/>
      <c r="I8" s="58" t="s">
        <v>2</v>
      </c>
      <c r="J8" s="7"/>
      <c r="K8" s="3" t="s">
        <v>112</v>
      </c>
    </row>
    <row r="9" spans="1:11" x14ac:dyDescent="0.3">
      <c r="A9" s="7"/>
      <c r="B9" s="7"/>
      <c r="C9" s="7"/>
      <c r="D9" s="7"/>
      <c r="E9" s="7"/>
      <c r="F9" s="7"/>
      <c r="I9" s="7"/>
      <c r="J9" s="7"/>
      <c r="K9" s="7"/>
    </row>
    <row r="10" spans="1:11" x14ac:dyDescent="0.3">
      <c r="A10" s="7">
        <v>1</v>
      </c>
      <c r="B10" s="7"/>
      <c r="C10" s="59" t="s">
        <v>123</v>
      </c>
      <c r="D10" s="7"/>
      <c r="E10" s="7"/>
      <c r="F10" s="7"/>
      <c r="G10" s="6">
        <f>ROO!E67</f>
        <v>849625443</v>
      </c>
      <c r="H10" s="6"/>
      <c r="I10" s="60">
        <f>ROO!I67</f>
        <v>827898460.85853946</v>
      </c>
      <c r="J10" s="7"/>
      <c r="K10" s="82" t="s">
        <v>190</v>
      </c>
    </row>
    <row r="11" spans="1:11" x14ac:dyDescent="0.3">
      <c r="A11" s="7"/>
      <c r="B11" s="7"/>
      <c r="C11" s="7"/>
      <c r="D11" s="7"/>
      <c r="E11" s="7"/>
      <c r="F11" s="7"/>
      <c r="I11" s="61"/>
      <c r="J11" s="7"/>
      <c r="K11" s="7"/>
    </row>
    <row r="12" spans="1:11" x14ac:dyDescent="0.3">
      <c r="A12" s="7">
        <v>2</v>
      </c>
      <c r="B12" s="7"/>
      <c r="C12" s="59" t="s">
        <v>124</v>
      </c>
      <c r="D12" s="7"/>
      <c r="E12" s="7"/>
      <c r="F12" s="7"/>
      <c r="G12" s="6">
        <f>ROO!E41</f>
        <v>48317806</v>
      </c>
      <c r="H12" s="6"/>
      <c r="I12" s="60">
        <f>ROO!I41</f>
        <v>51111357.416632354</v>
      </c>
      <c r="J12" s="7"/>
      <c r="K12" s="82" t="s">
        <v>190</v>
      </c>
    </row>
    <row r="13" spans="1:11" x14ac:dyDescent="0.3">
      <c r="A13" s="7"/>
      <c r="B13" s="7"/>
      <c r="C13" s="7"/>
      <c r="D13" s="7"/>
      <c r="E13" s="7"/>
      <c r="F13" s="7"/>
      <c r="I13" s="62"/>
      <c r="J13" s="7"/>
      <c r="K13" s="7"/>
    </row>
    <row r="14" spans="1:11" x14ac:dyDescent="0.3">
      <c r="A14" s="7">
        <v>3</v>
      </c>
      <c r="B14" s="7"/>
      <c r="C14" s="59" t="s">
        <v>125</v>
      </c>
      <c r="D14" s="7"/>
      <c r="E14" s="7"/>
      <c r="F14" s="7"/>
      <c r="G14" s="63">
        <f>G12/G10</f>
        <v>5.6869537509836553E-2</v>
      </c>
      <c r="H14" s="63"/>
      <c r="I14" s="63">
        <f>I12/I10</f>
        <v>6.1736263362090725E-2</v>
      </c>
      <c r="J14" s="7"/>
      <c r="K14" s="7" t="s">
        <v>126</v>
      </c>
    </row>
    <row r="15" spans="1:11" x14ac:dyDescent="0.3">
      <c r="A15" s="7"/>
      <c r="B15" s="7"/>
      <c r="C15" s="7"/>
      <c r="D15" s="7"/>
      <c r="E15" s="7"/>
      <c r="F15" s="7"/>
      <c r="I15" s="63"/>
      <c r="J15" s="7"/>
      <c r="K15" s="7"/>
    </row>
    <row r="16" spans="1:11" x14ac:dyDescent="0.3">
      <c r="A16" s="7">
        <v>4</v>
      </c>
      <c r="B16" s="7"/>
      <c r="C16" s="59" t="s">
        <v>127</v>
      </c>
      <c r="D16" s="7"/>
      <c r="E16" s="7"/>
      <c r="F16" s="7"/>
      <c r="G16" s="103">
        <v>7.6700000000000004E-2</v>
      </c>
      <c r="H16" s="64"/>
      <c r="I16" s="103">
        <f>ROR!I17</f>
        <v>7.0060700000000004E-2</v>
      </c>
      <c r="J16" s="7"/>
      <c r="K16" s="204" t="s">
        <v>561</v>
      </c>
    </row>
    <row r="17" spans="1:11" x14ac:dyDescent="0.3">
      <c r="A17" s="7"/>
      <c r="B17" s="7"/>
      <c r="C17" s="7"/>
      <c r="D17" s="7"/>
      <c r="E17" s="7"/>
      <c r="F17" s="7"/>
      <c r="I17" s="7"/>
      <c r="J17" s="7"/>
      <c r="K17" s="7"/>
    </row>
    <row r="18" spans="1:11" x14ac:dyDescent="0.3">
      <c r="A18" s="7">
        <v>5</v>
      </c>
      <c r="B18" s="7"/>
      <c r="C18" s="59" t="s">
        <v>128</v>
      </c>
      <c r="D18" s="7"/>
      <c r="E18" s="7"/>
      <c r="F18" s="7"/>
      <c r="G18" s="65">
        <f>G10*G16</f>
        <v>65166271.478100002</v>
      </c>
      <c r="H18" s="65"/>
      <c r="I18" s="65">
        <f>ROUND(I10*I16,0)</f>
        <v>58003146</v>
      </c>
      <c r="J18" s="7"/>
      <c r="K18" s="7" t="s">
        <v>129</v>
      </c>
    </row>
    <row r="19" spans="1:11" x14ac:dyDescent="0.3">
      <c r="A19" s="7"/>
      <c r="B19" s="7"/>
      <c r="C19" s="7"/>
      <c r="D19" s="7"/>
      <c r="E19" s="7"/>
      <c r="F19" s="7"/>
      <c r="I19" s="65"/>
      <c r="J19" s="7"/>
      <c r="K19" s="7"/>
    </row>
    <row r="20" spans="1:11" x14ac:dyDescent="0.3">
      <c r="A20" s="7">
        <v>6</v>
      </c>
      <c r="B20" s="7"/>
      <c r="C20" s="59" t="s">
        <v>130</v>
      </c>
      <c r="D20" s="7"/>
      <c r="E20" s="7"/>
      <c r="F20" s="7"/>
      <c r="G20" s="65">
        <f>G12-G18</f>
        <v>-16848465.478100002</v>
      </c>
      <c r="H20" s="65"/>
      <c r="I20" s="65">
        <f>I12-I18</f>
        <v>-6891788.5833676457</v>
      </c>
      <c r="J20" s="7"/>
      <c r="K20" s="7" t="s">
        <v>131</v>
      </c>
    </row>
    <row r="21" spans="1:11" x14ac:dyDescent="0.3">
      <c r="A21" s="7"/>
      <c r="B21" s="7"/>
      <c r="C21" s="7"/>
      <c r="D21" s="7"/>
      <c r="E21" s="7"/>
      <c r="F21" s="7"/>
      <c r="G21" s="7"/>
      <c r="H21" s="7"/>
      <c r="I21" s="7"/>
      <c r="J21" s="7"/>
      <c r="K21" s="7"/>
    </row>
    <row r="22" spans="1:11" x14ac:dyDescent="0.3">
      <c r="A22" s="7">
        <v>7</v>
      </c>
      <c r="B22" s="7"/>
      <c r="C22" s="59" t="s">
        <v>132</v>
      </c>
      <c r="D22" s="7"/>
      <c r="E22" s="7"/>
      <c r="F22" s="7"/>
      <c r="G22" s="106">
        <f>1/0.6194</f>
        <v>1.614465611882467</v>
      </c>
      <c r="H22" s="104"/>
      <c r="I22" s="106">
        <f>1/0.6194</f>
        <v>1.614465611882467</v>
      </c>
      <c r="J22" s="7"/>
      <c r="K22" s="9"/>
    </row>
    <row r="23" spans="1:11" x14ac:dyDescent="0.3">
      <c r="A23" s="7"/>
      <c r="B23" s="7"/>
      <c r="C23" s="7"/>
      <c r="D23" s="7"/>
      <c r="E23" s="7"/>
      <c r="F23" s="7"/>
      <c r="G23" s="7"/>
      <c r="H23" s="7"/>
      <c r="I23" s="7"/>
      <c r="J23" s="7"/>
      <c r="K23" s="7"/>
    </row>
    <row r="24" spans="1:11" ht="16.2" thickBot="1" x14ac:dyDescent="0.35">
      <c r="A24" s="7">
        <v>8</v>
      </c>
      <c r="B24" s="7"/>
      <c r="C24" s="59" t="s">
        <v>133</v>
      </c>
      <c r="D24" s="7"/>
      <c r="E24" s="7"/>
      <c r="F24" s="7"/>
      <c r="G24" s="66">
        <f>G20*G22</f>
        <v>-27201268.12738134</v>
      </c>
      <c r="H24" s="67"/>
      <c r="I24" s="66">
        <f>ROUND(I20*I22,0)</f>
        <v>-11126556</v>
      </c>
      <c r="J24" s="7"/>
      <c r="K24" s="7" t="s">
        <v>134</v>
      </c>
    </row>
    <row r="25" spans="1:11" ht="16.2" thickTop="1" x14ac:dyDescent="0.3">
      <c r="A25" s="7"/>
      <c r="B25" s="7"/>
      <c r="C25" s="7"/>
      <c r="D25" s="68"/>
      <c r="E25" s="7"/>
      <c r="F25" s="7"/>
      <c r="G25" s="7"/>
      <c r="H25" s="7"/>
      <c r="I25" s="7"/>
      <c r="J25" s="7"/>
      <c r="K25" s="7"/>
    </row>
    <row r="26" spans="1:11" x14ac:dyDescent="0.3">
      <c r="A26">
        <v>9</v>
      </c>
      <c r="C26" t="s">
        <v>485</v>
      </c>
      <c r="I26" s="69"/>
    </row>
    <row r="27" spans="1:11" x14ac:dyDescent="0.3">
      <c r="C27" t="s">
        <v>486</v>
      </c>
      <c r="I27" s="223">
        <f>10000000</f>
        <v>10000000</v>
      </c>
    </row>
    <row r="29" spans="1:11" ht="16.2" thickBot="1" x14ac:dyDescent="0.35">
      <c r="A29">
        <v>10</v>
      </c>
      <c r="C29" s="4" t="s">
        <v>487</v>
      </c>
      <c r="D29" s="4"/>
      <c r="E29" s="4"/>
      <c r="F29" s="4"/>
      <c r="G29" s="8"/>
      <c r="H29" s="8"/>
      <c r="I29" s="66">
        <f>SUM(I24:I27)</f>
        <v>-1126556</v>
      </c>
    </row>
    <row r="30" spans="1:11" ht="16.2" thickTop="1" x14ac:dyDescent="0.3">
      <c r="C30" s="37"/>
      <c r="D30" s="4"/>
      <c r="E30" s="4"/>
      <c r="F30" s="4"/>
      <c r="G30" s="14"/>
      <c r="H30" s="8"/>
      <c r="I30" s="14"/>
    </row>
    <row r="31" spans="1:11" x14ac:dyDescent="0.3">
      <c r="C31" s="4"/>
      <c r="D31" s="4"/>
      <c r="E31" s="205"/>
      <c r="F31" s="4"/>
      <c r="G31" s="21"/>
      <c r="H31" s="21"/>
      <c r="I31" s="21"/>
    </row>
    <row r="32" spans="1:11" x14ac:dyDescent="0.3">
      <c r="C32" s="4"/>
      <c r="D32" s="4"/>
      <c r="E32" s="205"/>
      <c r="F32" s="4"/>
      <c r="G32" s="21"/>
      <c r="H32" s="21"/>
      <c r="I32" s="21"/>
    </row>
    <row r="33" spans="3:9" x14ac:dyDescent="0.3">
      <c r="C33" s="4"/>
      <c r="D33" s="4"/>
      <c r="E33" s="205"/>
      <c r="F33" s="4"/>
      <c r="G33" s="21"/>
      <c r="H33" s="21"/>
      <c r="I33" s="21"/>
    </row>
    <row r="34" spans="3:9" x14ac:dyDescent="0.3">
      <c r="C34" s="4"/>
      <c r="D34" s="4"/>
      <c r="E34" s="205"/>
      <c r="F34" s="4"/>
      <c r="G34" s="21"/>
      <c r="H34" s="21"/>
      <c r="I34" s="21"/>
    </row>
    <row r="35" spans="3:9" x14ac:dyDescent="0.3">
      <c r="C35" s="4"/>
      <c r="D35" s="4"/>
      <c r="E35" s="4"/>
      <c r="F35" s="4"/>
      <c r="G35" s="4"/>
      <c r="H35" s="4"/>
      <c r="I35" s="4"/>
    </row>
  </sheetData>
  <pageMargins left="0.7" right="0.7" top="0.75" bottom="0.75" header="0.3" footer="0.3"/>
  <pageSetup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C25" sqref="C25"/>
    </sheetView>
  </sheetViews>
  <sheetFormatPr defaultRowHeight="15.6" x14ac:dyDescent="0.3"/>
  <cols>
    <col min="1" max="1" width="3.8984375" customWidth="1"/>
    <col min="2" max="2" width="1.59765625" customWidth="1"/>
    <col min="3" max="3" width="34.3984375" customWidth="1"/>
    <col min="4" max="4" width="2" customWidth="1"/>
    <col min="5" max="5" width="3.19921875" customWidth="1"/>
    <col min="6" max="6" width="1" customWidth="1"/>
    <col min="7" max="7" width="9.5" customWidth="1"/>
    <col min="8" max="8" width="0.8984375" customWidth="1"/>
    <col min="9" max="9" width="12.19921875" customWidth="1"/>
    <col min="10" max="10" width="1" customWidth="1"/>
    <col min="11" max="11" width="9.09765625" customWidth="1"/>
    <col min="12" max="12" width="1" customWidth="1"/>
    <col min="13" max="13" width="9.09765625" customWidth="1"/>
    <col min="14" max="14" width="1.59765625" customWidth="1"/>
    <col min="15" max="15" width="11.3984375" customWidth="1"/>
  </cols>
  <sheetData>
    <row r="1" spans="1:16" x14ac:dyDescent="0.3">
      <c r="A1" t="s">
        <v>482</v>
      </c>
      <c r="K1" t="s">
        <v>554</v>
      </c>
      <c r="M1" s="16"/>
      <c r="N1" s="16"/>
      <c r="O1" s="16"/>
    </row>
    <row r="2" spans="1:16" x14ac:dyDescent="0.3">
      <c r="A2" t="s">
        <v>186</v>
      </c>
      <c r="K2" t="s">
        <v>567</v>
      </c>
      <c r="M2" s="16"/>
      <c r="N2" s="16"/>
      <c r="O2" s="16"/>
    </row>
    <row r="3" spans="1:16" x14ac:dyDescent="0.3">
      <c r="A3" t="s">
        <v>187</v>
      </c>
      <c r="K3" t="s">
        <v>533</v>
      </c>
      <c r="M3" s="16"/>
      <c r="N3" s="16"/>
      <c r="O3" s="16"/>
    </row>
    <row r="4" spans="1:16" x14ac:dyDescent="0.3">
      <c r="A4" t="s">
        <v>407</v>
      </c>
      <c r="M4" s="16"/>
      <c r="N4" s="16"/>
      <c r="O4" s="16"/>
    </row>
    <row r="5" spans="1:16" x14ac:dyDescent="0.3">
      <c r="A5" t="s">
        <v>188</v>
      </c>
      <c r="M5" s="16"/>
      <c r="N5" s="16"/>
      <c r="O5" s="16"/>
    </row>
    <row r="6" spans="1:16" x14ac:dyDescent="0.3">
      <c r="A6" s="16"/>
      <c r="B6" s="16"/>
      <c r="C6" s="16"/>
      <c r="D6" s="16"/>
      <c r="E6" s="16"/>
      <c r="F6" s="16"/>
      <c r="G6" s="16"/>
      <c r="H6" s="16"/>
      <c r="I6" s="16"/>
      <c r="J6" s="16"/>
      <c r="K6" s="16"/>
      <c r="L6" s="16"/>
      <c r="M6" s="16"/>
      <c r="N6" s="16"/>
      <c r="O6" s="16"/>
    </row>
    <row r="7" spans="1:16" x14ac:dyDescent="0.3">
      <c r="A7" s="16"/>
      <c r="B7" s="16"/>
      <c r="C7" s="16"/>
      <c r="D7" s="16"/>
      <c r="E7" s="16"/>
      <c r="F7" s="16"/>
      <c r="G7" s="16"/>
      <c r="H7" s="16"/>
      <c r="I7" s="16"/>
      <c r="J7" s="16"/>
      <c r="K7" s="16"/>
      <c r="L7" s="16"/>
      <c r="M7" s="16"/>
      <c r="N7" s="16"/>
      <c r="O7" s="16"/>
    </row>
    <row r="8" spans="1:16" x14ac:dyDescent="0.3">
      <c r="G8" s="1"/>
      <c r="H8" s="1"/>
      <c r="I8" s="1" t="s">
        <v>4</v>
      </c>
      <c r="J8" s="1"/>
      <c r="K8" s="1"/>
      <c r="L8" s="1"/>
      <c r="M8" s="1"/>
      <c r="N8" s="1"/>
      <c r="O8" s="1" t="s">
        <v>184</v>
      </c>
    </row>
    <row r="9" spans="1:16" x14ac:dyDescent="0.3">
      <c r="A9" s="4"/>
      <c r="C9" s="2" t="s">
        <v>1</v>
      </c>
      <c r="D9" s="4"/>
      <c r="E9" s="14"/>
      <c r="G9" s="10" t="s">
        <v>10</v>
      </c>
      <c r="H9" s="1"/>
      <c r="I9" s="10" t="s">
        <v>6</v>
      </c>
      <c r="J9" s="1"/>
      <c r="K9" s="10" t="s">
        <v>7</v>
      </c>
      <c r="L9" s="1"/>
      <c r="M9" s="11" t="s">
        <v>9</v>
      </c>
      <c r="N9" s="1"/>
      <c r="O9" s="10" t="s">
        <v>8</v>
      </c>
    </row>
    <row r="11" spans="1:16" x14ac:dyDescent="0.3">
      <c r="C11" s="3" t="s">
        <v>11</v>
      </c>
    </row>
    <row r="12" spans="1:16" ht="16.2" thickBot="1" x14ac:dyDescent="0.35">
      <c r="A12" s="8">
        <v>1</v>
      </c>
      <c r="B12" s="4"/>
      <c r="C12" s="4" t="s">
        <v>408</v>
      </c>
      <c r="D12" s="40"/>
      <c r="E12" s="41"/>
      <c r="F12" s="40"/>
      <c r="G12" s="197" t="s">
        <v>409</v>
      </c>
      <c r="H12" s="40"/>
      <c r="I12" s="196">
        <f>-19819142</f>
        <v>-19819142</v>
      </c>
      <c r="J12" s="41"/>
      <c r="K12" s="77" t="s">
        <v>102</v>
      </c>
      <c r="L12" s="40"/>
      <c r="M12" s="96" t="s">
        <v>102</v>
      </c>
      <c r="N12" s="4"/>
      <c r="O12" s="46">
        <f>-1440294</f>
        <v>-1440294</v>
      </c>
    </row>
    <row r="13" spans="1:16" ht="16.2" thickTop="1" x14ac:dyDescent="0.3">
      <c r="A13" s="8"/>
      <c r="B13" s="4"/>
      <c r="C13" s="4"/>
      <c r="D13" s="4"/>
      <c r="E13" s="4"/>
      <c r="F13" s="4"/>
      <c r="G13" s="4"/>
      <c r="H13" s="4"/>
      <c r="I13" s="4"/>
      <c r="J13" s="4"/>
      <c r="K13" s="4"/>
      <c r="L13" s="4"/>
      <c r="M13" s="4"/>
      <c r="N13" s="4"/>
      <c r="O13" s="4"/>
    </row>
    <row r="14" spans="1:16" x14ac:dyDescent="0.3">
      <c r="A14" s="8"/>
      <c r="B14" s="4"/>
      <c r="C14" s="18"/>
      <c r="D14" s="4"/>
      <c r="E14" s="4"/>
      <c r="F14" s="4"/>
      <c r="G14" s="12"/>
      <c r="H14" s="4"/>
      <c r="I14" s="4"/>
      <c r="J14" s="4"/>
      <c r="K14" s="4"/>
      <c r="L14" s="4"/>
      <c r="M14" s="12"/>
      <c r="N14" s="4"/>
      <c r="O14" s="4"/>
      <c r="P14" s="4"/>
    </row>
    <row r="15" spans="1:16" x14ac:dyDescent="0.3">
      <c r="A15" s="8"/>
      <c r="B15" s="4"/>
      <c r="C15" s="4"/>
      <c r="D15" s="4"/>
      <c r="E15" s="4"/>
      <c r="F15" s="4"/>
      <c r="G15" s="4"/>
      <c r="H15" s="4"/>
      <c r="I15" s="4"/>
      <c r="J15" s="4"/>
      <c r="K15" s="4"/>
      <c r="L15" s="4"/>
      <c r="M15" s="4"/>
      <c r="N15" s="4"/>
      <c r="O15" s="4"/>
    </row>
    <row r="16" spans="1:16" x14ac:dyDescent="0.3">
      <c r="A16" s="1"/>
    </row>
    <row r="17" spans="1:13" x14ac:dyDescent="0.3">
      <c r="A17" s="1"/>
    </row>
    <row r="18" spans="1:13" x14ac:dyDescent="0.3">
      <c r="A18" s="8"/>
      <c r="B18" s="4"/>
      <c r="C18" s="4"/>
      <c r="D18" s="4"/>
      <c r="E18" s="4"/>
      <c r="F18" s="4"/>
      <c r="G18" s="4"/>
      <c r="H18" s="4"/>
      <c r="I18" s="4"/>
      <c r="J18" s="4"/>
      <c r="K18" s="4"/>
      <c r="L18" s="4"/>
      <c r="M18" s="4"/>
    </row>
    <row r="19" spans="1:13" x14ac:dyDescent="0.3">
      <c r="A19" s="8"/>
      <c r="B19" s="4"/>
      <c r="C19" s="4"/>
      <c r="D19" s="4"/>
      <c r="E19" s="4"/>
      <c r="F19" s="4"/>
      <c r="G19" s="4"/>
      <c r="H19" s="4"/>
      <c r="I19" s="4"/>
      <c r="J19" s="4"/>
      <c r="K19" s="4"/>
      <c r="L19" s="4"/>
      <c r="M19" s="4"/>
    </row>
    <row r="20" spans="1:13" x14ac:dyDescent="0.3">
      <c r="A20" s="8"/>
      <c r="B20" s="4"/>
      <c r="C20" s="37"/>
      <c r="D20" s="4"/>
      <c r="E20" s="4"/>
      <c r="F20" s="4"/>
      <c r="G20" s="4"/>
      <c r="H20" s="4"/>
      <c r="I20" s="4"/>
      <c r="J20" s="4"/>
      <c r="K20" s="4"/>
      <c r="L20" s="4"/>
      <c r="M20" s="4"/>
    </row>
    <row r="21" spans="1:13" x14ac:dyDescent="0.3">
      <c r="A21" s="8"/>
      <c r="B21" s="4"/>
      <c r="C21" s="4"/>
      <c r="D21" s="4"/>
      <c r="E21" s="4"/>
      <c r="F21" s="4"/>
      <c r="G21" s="42"/>
      <c r="H21" s="4"/>
      <c r="I21" s="4"/>
      <c r="J21" s="4"/>
      <c r="K21" s="4"/>
      <c r="L21" s="4"/>
      <c r="M21" s="4"/>
    </row>
    <row r="22" spans="1:13" x14ac:dyDescent="0.3">
      <c r="A22" s="8"/>
      <c r="B22" s="4"/>
      <c r="C22" s="4"/>
      <c r="D22" s="4"/>
      <c r="E22" s="4"/>
      <c r="F22" s="4"/>
      <c r="G22" s="42"/>
      <c r="H22" s="4"/>
      <c r="I22" s="4"/>
      <c r="J22" s="4"/>
      <c r="K22" s="4"/>
      <c r="L22" s="4"/>
      <c r="M22" s="4"/>
    </row>
    <row r="23" spans="1:13" x14ac:dyDescent="0.3">
      <c r="A23" s="8"/>
      <c r="B23" s="4"/>
      <c r="C23" s="4"/>
      <c r="D23" s="4"/>
      <c r="E23" s="4"/>
      <c r="F23" s="4"/>
      <c r="G23" s="12"/>
      <c r="H23" s="4"/>
      <c r="I23" s="4"/>
      <c r="J23" s="4"/>
      <c r="K23" s="4"/>
      <c r="L23" s="4"/>
      <c r="M23" s="4"/>
    </row>
    <row r="29" spans="1:13" x14ac:dyDescent="0.3">
      <c r="C29" t="s">
        <v>5</v>
      </c>
    </row>
    <row r="31" spans="1:13" x14ac:dyDescent="0.3">
      <c r="C31" s="237" t="s">
        <v>410</v>
      </c>
      <c r="D31" s="238"/>
      <c r="E31" s="238"/>
      <c r="F31" s="238"/>
      <c r="G31" s="238"/>
      <c r="H31" s="238"/>
      <c r="I31" s="238"/>
      <c r="J31" s="238"/>
      <c r="K31" s="238"/>
      <c r="L31" s="238"/>
      <c r="M31" s="239"/>
    </row>
    <row r="32" spans="1:13" x14ac:dyDescent="0.3">
      <c r="C32" s="240"/>
      <c r="D32" s="241"/>
      <c r="E32" s="241"/>
      <c r="F32" s="241"/>
      <c r="G32" s="241"/>
      <c r="H32" s="241"/>
      <c r="I32" s="241"/>
      <c r="J32" s="241"/>
      <c r="K32" s="241"/>
      <c r="L32" s="241"/>
      <c r="M32" s="242"/>
    </row>
    <row r="33" spans="3:13" x14ac:dyDescent="0.3">
      <c r="C33" s="243"/>
      <c r="D33" s="244"/>
      <c r="E33" s="244"/>
      <c r="F33" s="244"/>
      <c r="G33" s="244"/>
      <c r="H33" s="244"/>
      <c r="I33" s="244"/>
      <c r="J33" s="244"/>
      <c r="K33" s="244"/>
      <c r="L33" s="244"/>
      <c r="M33" s="245"/>
    </row>
  </sheetData>
  <mergeCells count="1">
    <mergeCell ref="C31:M33"/>
  </mergeCells>
  <pageMargins left="0.7" right="0.7" top="0.75" bottom="0.75" header="0.3" footer="0.3"/>
  <pageSetup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election activeCell="C25" sqref="C25"/>
    </sheetView>
  </sheetViews>
  <sheetFormatPr defaultRowHeight="15.6" x14ac:dyDescent="0.3"/>
  <cols>
    <col min="1" max="1" width="4.59765625" customWidth="1"/>
    <col min="2" max="2" width="1.59765625" customWidth="1"/>
    <col min="3" max="3" width="27.09765625" customWidth="1"/>
    <col min="4" max="4" width="3.69921875" customWidth="1"/>
    <col min="5" max="5" width="8" customWidth="1"/>
    <col min="6" max="6" width="1" customWidth="1"/>
    <col min="7" max="7" width="11.5" customWidth="1"/>
    <col min="8" max="8" width="0.8984375" customWidth="1"/>
    <col min="9" max="9" width="7.5" customWidth="1"/>
    <col min="10" max="10" width="1" customWidth="1"/>
    <col min="11" max="11" width="9.09765625" customWidth="1"/>
    <col min="12" max="12" width="1" customWidth="1"/>
    <col min="13" max="13" width="12.5" customWidth="1"/>
  </cols>
  <sheetData>
    <row r="1" spans="1:13" x14ac:dyDescent="0.3">
      <c r="A1" t="s">
        <v>527</v>
      </c>
      <c r="K1" t="s">
        <v>554</v>
      </c>
      <c r="L1" s="7"/>
      <c r="M1" s="7"/>
    </row>
    <row r="2" spans="1:13" x14ac:dyDescent="0.3">
      <c r="A2" t="s">
        <v>186</v>
      </c>
      <c r="K2" t="s">
        <v>567</v>
      </c>
      <c r="L2" s="7"/>
      <c r="M2" s="7"/>
    </row>
    <row r="3" spans="1:13" x14ac:dyDescent="0.3">
      <c r="A3" t="s">
        <v>187</v>
      </c>
      <c r="K3" t="s">
        <v>532</v>
      </c>
      <c r="L3" s="7"/>
      <c r="M3" s="7"/>
    </row>
    <row r="4" spans="1:13" x14ac:dyDescent="0.3">
      <c r="A4" t="s">
        <v>422</v>
      </c>
      <c r="L4" s="7"/>
      <c r="M4" s="7"/>
    </row>
    <row r="5" spans="1:13" x14ac:dyDescent="0.3">
      <c r="A5" t="s">
        <v>188</v>
      </c>
      <c r="B5" s="7"/>
      <c r="C5" s="7"/>
      <c r="D5" s="7"/>
      <c r="E5" s="7"/>
      <c r="F5" s="7"/>
      <c r="G5" s="7"/>
      <c r="H5" s="7"/>
      <c r="I5" s="7"/>
      <c r="J5" s="7"/>
      <c r="K5" s="7"/>
      <c r="L5" s="7"/>
      <c r="M5" s="7"/>
    </row>
    <row r="6" spans="1:13" x14ac:dyDescent="0.3">
      <c r="A6" s="7"/>
      <c r="B6" s="7"/>
      <c r="C6" s="7"/>
      <c r="D6" s="15"/>
      <c r="E6" s="7"/>
      <c r="F6" s="7"/>
      <c r="G6" s="7"/>
      <c r="H6" s="7"/>
      <c r="I6" s="7"/>
      <c r="J6" s="7"/>
      <c r="K6" s="7"/>
      <c r="L6" s="7"/>
      <c r="M6" s="22"/>
    </row>
    <row r="7" spans="1:13" x14ac:dyDescent="0.3">
      <c r="A7" s="7"/>
      <c r="B7" s="7"/>
      <c r="C7" s="7"/>
      <c r="D7" s="7"/>
      <c r="E7" s="7"/>
      <c r="F7" s="7"/>
      <c r="G7" s="35"/>
      <c r="H7" s="35"/>
      <c r="I7" s="35"/>
      <c r="J7" s="35"/>
      <c r="K7" s="35"/>
      <c r="L7" s="36"/>
      <c r="M7" s="22"/>
    </row>
    <row r="8" spans="1:13" x14ac:dyDescent="0.3">
      <c r="A8" s="7"/>
      <c r="B8" s="7"/>
      <c r="C8" s="7"/>
      <c r="D8" s="7"/>
      <c r="E8" s="7"/>
      <c r="F8" s="7"/>
      <c r="G8" s="36"/>
      <c r="H8" s="36"/>
      <c r="I8" s="36"/>
      <c r="J8" s="36"/>
      <c r="K8" s="36"/>
      <c r="L8" s="36"/>
      <c r="M8" s="22"/>
    </row>
    <row r="9" spans="1:13" x14ac:dyDescent="0.3">
      <c r="A9" t="s">
        <v>0</v>
      </c>
      <c r="E9" s="1"/>
      <c r="F9" s="1"/>
      <c r="G9" s="1" t="s">
        <v>4</v>
      </c>
      <c r="H9" s="1"/>
      <c r="I9" s="1"/>
      <c r="J9" s="1"/>
      <c r="K9" s="1"/>
      <c r="L9" s="1"/>
      <c r="M9" s="1" t="s">
        <v>184</v>
      </c>
    </row>
    <row r="10" spans="1:13" x14ac:dyDescent="0.3">
      <c r="A10" s="2" t="s">
        <v>3</v>
      </c>
      <c r="C10" s="2" t="s">
        <v>1</v>
      </c>
      <c r="E10" s="10" t="s">
        <v>65</v>
      </c>
      <c r="F10" s="1"/>
      <c r="G10" s="10" t="s">
        <v>6</v>
      </c>
      <c r="H10" s="1"/>
      <c r="I10" s="10" t="s">
        <v>7</v>
      </c>
      <c r="J10" s="1"/>
      <c r="K10" s="11" t="s">
        <v>9</v>
      </c>
      <c r="L10" s="1"/>
      <c r="M10" s="10" t="s">
        <v>8</v>
      </c>
    </row>
    <row r="12" spans="1:13" x14ac:dyDescent="0.3">
      <c r="C12" s="3" t="s">
        <v>287</v>
      </c>
    </row>
    <row r="14" spans="1:13" ht="16.2" thickBot="1" x14ac:dyDescent="0.35">
      <c r="A14">
        <v>1</v>
      </c>
      <c r="C14" t="s">
        <v>423</v>
      </c>
      <c r="E14" s="1">
        <v>925</v>
      </c>
      <c r="G14" s="6">
        <f>LiabP2!L22</f>
        <v>-3333332.833333333</v>
      </c>
      <c r="I14" s="1" t="s">
        <v>98</v>
      </c>
      <c r="J14" s="1"/>
      <c r="K14" s="199">
        <v>6.8540000000000004E-2</v>
      </c>
      <c r="M14" s="200">
        <f>ROUND(G14*K14,0)</f>
        <v>-228467</v>
      </c>
    </row>
    <row r="15" spans="1:13" ht="16.2" thickTop="1" x14ac:dyDescent="0.3"/>
    <row r="23" spans="3:13" x14ac:dyDescent="0.3">
      <c r="C23" t="s">
        <v>5</v>
      </c>
    </row>
    <row r="25" spans="3:13" x14ac:dyDescent="0.3">
      <c r="C25" s="237" t="s">
        <v>501</v>
      </c>
      <c r="D25" s="238"/>
      <c r="E25" s="238"/>
      <c r="F25" s="238"/>
      <c r="G25" s="238"/>
      <c r="H25" s="238"/>
      <c r="I25" s="238"/>
      <c r="J25" s="238"/>
      <c r="K25" s="238"/>
      <c r="L25" s="238"/>
      <c r="M25" s="239"/>
    </row>
    <row r="26" spans="3:13" x14ac:dyDescent="0.3">
      <c r="C26" s="240"/>
      <c r="D26" s="241"/>
      <c r="E26" s="241"/>
      <c r="F26" s="241"/>
      <c r="G26" s="241"/>
      <c r="H26" s="241"/>
      <c r="I26" s="241"/>
      <c r="J26" s="241"/>
      <c r="K26" s="241"/>
      <c r="L26" s="241"/>
      <c r="M26" s="242"/>
    </row>
    <row r="27" spans="3:13" x14ac:dyDescent="0.3">
      <c r="C27" s="240"/>
      <c r="D27" s="241"/>
      <c r="E27" s="241"/>
      <c r="F27" s="241"/>
      <c r="G27" s="241"/>
      <c r="H27" s="241"/>
      <c r="I27" s="241"/>
      <c r="J27" s="241"/>
      <c r="K27" s="241"/>
      <c r="L27" s="241"/>
      <c r="M27" s="242"/>
    </row>
    <row r="28" spans="3:13" x14ac:dyDescent="0.3">
      <c r="C28" s="240"/>
      <c r="D28" s="241"/>
      <c r="E28" s="241"/>
      <c r="F28" s="241"/>
      <c r="G28" s="241"/>
      <c r="H28" s="241"/>
      <c r="I28" s="241"/>
      <c r="J28" s="241"/>
      <c r="K28" s="241"/>
      <c r="L28" s="241"/>
      <c r="M28" s="242"/>
    </row>
    <row r="29" spans="3:13" x14ac:dyDescent="0.3">
      <c r="C29" s="240"/>
      <c r="D29" s="241"/>
      <c r="E29" s="241"/>
      <c r="F29" s="241"/>
      <c r="G29" s="241"/>
      <c r="H29" s="241"/>
      <c r="I29" s="241"/>
      <c r="J29" s="241"/>
      <c r="K29" s="241"/>
      <c r="L29" s="241"/>
      <c r="M29" s="242"/>
    </row>
    <row r="30" spans="3:13" x14ac:dyDescent="0.3">
      <c r="C30" s="243"/>
      <c r="D30" s="244"/>
      <c r="E30" s="244"/>
      <c r="F30" s="244"/>
      <c r="G30" s="244"/>
      <c r="H30" s="244"/>
      <c r="I30" s="244"/>
      <c r="J30" s="244"/>
      <c r="K30" s="244"/>
      <c r="L30" s="244"/>
      <c r="M30" s="245"/>
    </row>
  </sheetData>
  <mergeCells count="1">
    <mergeCell ref="C25:M30"/>
  </mergeCells>
  <pageMargins left="0.7" right="0.7" top="0.75" bottom="0.75" header="0.3" footer="0.3"/>
  <pageSetup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C25" sqref="C25"/>
    </sheetView>
  </sheetViews>
  <sheetFormatPr defaultRowHeight="15.6" x14ac:dyDescent="0.3"/>
  <cols>
    <col min="1" max="1" width="5.3984375" customWidth="1"/>
    <col min="3" max="3" width="4" customWidth="1"/>
    <col min="4" max="4" width="12.8984375" customWidth="1"/>
    <col min="5" max="5" width="2" customWidth="1"/>
    <col min="6" max="6" width="12.3984375" customWidth="1"/>
    <col min="7" max="7" width="1.09765625" customWidth="1"/>
    <col min="8" max="8" width="11.09765625" customWidth="1"/>
    <col min="9" max="9" width="1.19921875" customWidth="1"/>
    <col min="10" max="10" width="13.3984375" customWidth="1"/>
    <col min="11" max="11" width="1.59765625" customWidth="1"/>
    <col min="12" max="12" width="11.09765625" customWidth="1"/>
  </cols>
  <sheetData>
    <row r="1" spans="1:12" x14ac:dyDescent="0.3">
      <c r="A1" t="s">
        <v>528</v>
      </c>
      <c r="K1" t="s">
        <v>554</v>
      </c>
      <c r="L1" s="7"/>
    </row>
    <row r="2" spans="1:12" x14ac:dyDescent="0.3">
      <c r="A2" t="s">
        <v>186</v>
      </c>
      <c r="K2" t="s">
        <v>567</v>
      </c>
      <c r="L2" s="7"/>
    </row>
    <row r="3" spans="1:12" x14ac:dyDescent="0.3">
      <c r="A3" t="s">
        <v>187</v>
      </c>
      <c r="K3" t="s">
        <v>531</v>
      </c>
      <c r="L3" s="7"/>
    </row>
    <row r="4" spans="1:12" x14ac:dyDescent="0.3">
      <c r="A4" t="s">
        <v>422</v>
      </c>
      <c r="L4" s="7"/>
    </row>
    <row r="5" spans="1:12" x14ac:dyDescent="0.3">
      <c r="A5" t="s">
        <v>188</v>
      </c>
    </row>
    <row r="6" spans="1:12" x14ac:dyDescent="0.3">
      <c r="A6" t="s">
        <v>424</v>
      </c>
    </row>
    <row r="8" spans="1:12" x14ac:dyDescent="0.3">
      <c r="D8" s="1"/>
      <c r="E8" s="1"/>
      <c r="F8" s="1" t="s">
        <v>413</v>
      </c>
      <c r="G8" s="1"/>
      <c r="H8" s="1"/>
      <c r="J8" s="1" t="s">
        <v>332</v>
      </c>
      <c r="L8" s="1" t="s">
        <v>337</v>
      </c>
    </row>
    <row r="9" spans="1:12" x14ac:dyDescent="0.3">
      <c r="D9" s="1" t="s">
        <v>412</v>
      </c>
      <c r="E9" s="1"/>
      <c r="F9" s="1" t="s">
        <v>414</v>
      </c>
      <c r="G9" s="1"/>
      <c r="H9" s="1" t="s">
        <v>419</v>
      </c>
      <c r="J9" s="1" t="s">
        <v>415</v>
      </c>
      <c r="L9" s="1" t="s">
        <v>416</v>
      </c>
    </row>
    <row r="10" spans="1:12" x14ac:dyDescent="0.3">
      <c r="B10" s="198" t="s">
        <v>411</v>
      </c>
      <c r="D10" s="10" t="s">
        <v>121</v>
      </c>
      <c r="E10" s="1"/>
      <c r="F10" s="10" t="s">
        <v>121</v>
      </c>
      <c r="G10" s="1"/>
      <c r="H10" s="10" t="s">
        <v>420</v>
      </c>
      <c r="J10" s="10" t="s">
        <v>231</v>
      </c>
      <c r="L10" s="10" t="s">
        <v>140</v>
      </c>
    </row>
    <row r="12" spans="1:12" x14ac:dyDescent="0.3">
      <c r="B12">
        <v>2008</v>
      </c>
      <c r="D12" s="44">
        <v>8469504</v>
      </c>
      <c r="E12" s="44"/>
      <c r="F12" s="44"/>
      <c r="G12" s="44"/>
      <c r="H12" s="6">
        <f>SUM(D12:G12)</f>
        <v>8469504</v>
      </c>
      <c r="J12" s="44"/>
      <c r="K12" s="44"/>
      <c r="L12" s="44">
        <f>SUM(H12:J12)</f>
        <v>8469504</v>
      </c>
    </row>
    <row r="13" spans="1:12" x14ac:dyDescent="0.3">
      <c r="B13">
        <v>2009</v>
      </c>
      <c r="D13" s="44">
        <v>4487483</v>
      </c>
      <c r="E13" s="44"/>
      <c r="F13" s="44"/>
      <c r="G13" s="44"/>
      <c r="H13" s="6">
        <f t="shared" ref="H13:H17" si="0">SUM(D13:G13)</f>
        <v>4487483</v>
      </c>
      <c r="J13" s="44"/>
      <c r="K13" s="44"/>
      <c r="L13" s="44">
        <f t="shared" ref="L13:L17" si="1">SUM(H13:J13)</f>
        <v>4487483</v>
      </c>
    </row>
    <row r="14" spans="1:12" x14ac:dyDescent="0.3">
      <c r="B14">
        <v>2010</v>
      </c>
      <c r="D14" s="44">
        <v>4831787</v>
      </c>
      <c r="E14" s="44"/>
      <c r="F14" s="44"/>
      <c r="G14" s="44"/>
      <c r="H14" s="6">
        <f t="shared" si="0"/>
        <v>4831787</v>
      </c>
      <c r="J14" s="44"/>
      <c r="K14" s="44"/>
      <c r="L14" s="44">
        <f t="shared" si="1"/>
        <v>4831787</v>
      </c>
    </row>
    <row r="15" spans="1:12" x14ac:dyDescent="0.3">
      <c r="B15">
        <v>2011</v>
      </c>
      <c r="D15" s="44">
        <v>2901323</v>
      </c>
      <c r="E15" s="44"/>
      <c r="F15" s="44"/>
      <c r="G15" s="44"/>
      <c r="H15" s="6">
        <f t="shared" si="0"/>
        <v>2901323</v>
      </c>
      <c r="J15" s="44"/>
      <c r="K15" s="44"/>
      <c r="L15" s="44">
        <f t="shared" si="1"/>
        <v>2901323</v>
      </c>
    </row>
    <row r="16" spans="1:12" x14ac:dyDescent="0.3">
      <c r="B16">
        <v>2012</v>
      </c>
      <c r="D16" s="44">
        <v>47059248</v>
      </c>
      <c r="E16" s="44"/>
      <c r="F16" s="44">
        <f>-16200000</f>
        <v>-16200000</v>
      </c>
      <c r="G16" s="44"/>
      <c r="H16" s="6">
        <f t="shared" si="0"/>
        <v>30859248</v>
      </c>
      <c r="J16" s="44">
        <f>-20000000</f>
        <v>-20000000</v>
      </c>
      <c r="K16" s="44"/>
      <c r="L16" s="44">
        <f t="shared" si="1"/>
        <v>10859248</v>
      </c>
    </row>
    <row r="17" spans="2:12" x14ac:dyDescent="0.3">
      <c r="B17">
        <v>2013</v>
      </c>
      <c r="D17" s="44">
        <v>32552817</v>
      </c>
      <c r="E17" s="44"/>
      <c r="F17" s="44">
        <f>-27688053</f>
        <v>-27688053</v>
      </c>
      <c r="G17" s="44"/>
      <c r="H17" s="6">
        <f t="shared" si="0"/>
        <v>4864764</v>
      </c>
      <c r="J17" s="44"/>
      <c r="K17" s="44"/>
      <c r="L17" s="45">
        <f t="shared" si="1"/>
        <v>4864764</v>
      </c>
    </row>
    <row r="18" spans="2:12" x14ac:dyDescent="0.3">
      <c r="D18" s="44"/>
      <c r="E18" s="44"/>
      <c r="F18" s="44"/>
      <c r="G18" s="44"/>
      <c r="J18" s="44"/>
      <c r="K18" s="44"/>
      <c r="L18" s="44"/>
    </row>
    <row r="19" spans="2:12" x14ac:dyDescent="0.3">
      <c r="B19" t="s">
        <v>417</v>
      </c>
      <c r="D19" s="44"/>
      <c r="E19" s="44"/>
      <c r="F19" s="44"/>
      <c r="G19" s="44"/>
      <c r="J19" s="44"/>
      <c r="K19" s="44"/>
      <c r="L19" s="44">
        <f>AVERAGE(L12:L17)</f>
        <v>6069018.166666667</v>
      </c>
    </row>
    <row r="20" spans="2:12" x14ac:dyDescent="0.3">
      <c r="B20" t="s">
        <v>418</v>
      </c>
      <c r="H20" s="6">
        <f>AVERAGE(H12:H17)</f>
        <v>9402351.5</v>
      </c>
      <c r="L20" s="45">
        <v>9402351</v>
      </c>
    </row>
    <row r="22" spans="2:12" x14ac:dyDescent="0.3">
      <c r="B22" t="s">
        <v>421</v>
      </c>
      <c r="L22" s="6">
        <f>L19-L20</f>
        <v>-3333332.833333333</v>
      </c>
    </row>
    <row r="25" spans="2:12" x14ac:dyDescent="0.3">
      <c r="B25" t="s">
        <v>502</v>
      </c>
    </row>
    <row r="26" spans="2:12" x14ac:dyDescent="0.3">
      <c r="B26" t="s">
        <v>503</v>
      </c>
    </row>
  </sheetData>
  <pageMargins left="0.7" right="0.7" top="0.75" bottom="0.75" header="0.3" footer="0.3"/>
  <pageSetup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workbookViewId="0">
      <selection activeCell="C25" sqref="C25"/>
    </sheetView>
  </sheetViews>
  <sheetFormatPr defaultRowHeight="15.6" x14ac:dyDescent="0.3"/>
  <cols>
    <col min="1" max="1" width="5.09765625" customWidth="1"/>
    <col min="2" max="2" width="1.09765625" customWidth="1"/>
    <col min="3" max="3" width="41.09765625" customWidth="1"/>
    <col min="4" max="4" width="9.19921875" customWidth="1"/>
    <col min="5" max="5" width="13.19921875" bestFit="1" customWidth="1"/>
    <col min="6" max="6" width="1.3984375" customWidth="1"/>
    <col min="7" max="7" width="21.3984375" customWidth="1"/>
  </cols>
  <sheetData>
    <row r="1" spans="1:7" x14ac:dyDescent="0.3">
      <c r="A1" t="s">
        <v>483</v>
      </c>
      <c r="E1" t="s">
        <v>554</v>
      </c>
    </row>
    <row r="2" spans="1:7" x14ac:dyDescent="0.3">
      <c r="A2" t="s">
        <v>186</v>
      </c>
      <c r="E2" t="s">
        <v>567</v>
      </c>
    </row>
    <row r="3" spans="1:7" x14ac:dyDescent="0.3">
      <c r="A3" t="s">
        <v>187</v>
      </c>
      <c r="E3" t="s">
        <v>530</v>
      </c>
    </row>
    <row r="4" spans="1:7" x14ac:dyDescent="0.3">
      <c r="A4" t="s">
        <v>470</v>
      </c>
      <c r="E4" t="s">
        <v>569</v>
      </c>
    </row>
    <row r="5" spans="1:7" x14ac:dyDescent="0.3">
      <c r="A5" t="s">
        <v>188</v>
      </c>
      <c r="B5" s="206"/>
      <c r="C5" s="206"/>
      <c r="D5" s="206"/>
      <c r="E5" s="207"/>
      <c r="F5" s="206"/>
      <c r="G5" s="206"/>
    </row>
    <row r="6" spans="1:7" x14ac:dyDescent="0.3">
      <c r="A6" s="206"/>
      <c r="B6" s="206"/>
      <c r="C6" s="206"/>
      <c r="D6" s="206"/>
      <c r="E6" s="207"/>
      <c r="F6" s="206"/>
      <c r="G6" s="206"/>
    </row>
    <row r="7" spans="1:7" x14ac:dyDescent="0.3">
      <c r="A7" s="15"/>
      <c r="B7" s="7"/>
      <c r="C7" s="7"/>
      <c r="D7" s="7"/>
      <c r="E7" s="208"/>
      <c r="F7" s="7"/>
      <c r="G7" s="7"/>
    </row>
    <row r="8" spans="1:7" x14ac:dyDescent="0.3">
      <c r="A8" s="15"/>
      <c r="B8" s="7"/>
      <c r="C8" s="7"/>
      <c r="D8" s="7"/>
      <c r="E8" s="208"/>
      <c r="F8" s="7"/>
      <c r="G8" s="7"/>
    </row>
    <row r="9" spans="1:7" x14ac:dyDescent="0.3">
      <c r="A9" s="15" t="s">
        <v>0</v>
      </c>
      <c r="B9" s="7"/>
      <c r="C9" s="7"/>
      <c r="D9" s="7"/>
      <c r="E9" s="208"/>
      <c r="F9" s="7"/>
      <c r="G9" s="7"/>
    </row>
    <row r="10" spans="1:7" x14ac:dyDescent="0.3">
      <c r="A10" s="209" t="s">
        <v>3</v>
      </c>
      <c r="B10" s="7"/>
      <c r="C10" s="210" t="s">
        <v>1</v>
      </c>
      <c r="D10" s="7"/>
      <c r="E10" s="211" t="s">
        <v>2</v>
      </c>
      <c r="F10" s="15"/>
      <c r="G10" s="209" t="s">
        <v>112</v>
      </c>
    </row>
    <row r="11" spans="1:7" x14ac:dyDescent="0.3">
      <c r="A11" s="15"/>
      <c r="B11" s="7"/>
      <c r="C11" s="7"/>
      <c r="D11" s="7"/>
      <c r="E11" s="208"/>
      <c r="F11" s="7"/>
      <c r="G11" s="7"/>
    </row>
    <row r="12" spans="1:7" x14ac:dyDescent="0.3">
      <c r="A12" s="15">
        <v>1</v>
      </c>
      <c r="B12" s="7"/>
      <c r="C12" s="82" t="s">
        <v>462</v>
      </c>
      <c r="D12" s="7"/>
      <c r="E12" s="208">
        <f>ROO!I67</f>
        <v>827898460.85853946</v>
      </c>
      <c r="F12" s="7"/>
      <c r="G12" s="217" t="s">
        <v>190</v>
      </c>
    </row>
    <row r="13" spans="1:7" x14ac:dyDescent="0.3">
      <c r="A13" s="15"/>
      <c r="B13" s="7"/>
      <c r="C13" s="7"/>
      <c r="D13" s="7"/>
      <c r="E13" s="208"/>
      <c r="F13" s="7"/>
      <c r="G13" s="9"/>
    </row>
    <row r="14" spans="1:7" x14ac:dyDescent="0.3">
      <c r="A14" s="15">
        <v>2</v>
      </c>
      <c r="B14" s="7"/>
      <c r="C14" s="82" t="s">
        <v>463</v>
      </c>
      <c r="D14" s="17"/>
      <c r="E14" s="212">
        <f>ROR!I14+ROR!I15</f>
        <v>2.6348200000000002E-2</v>
      </c>
      <c r="F14" s="7"/>
      <c r="G14" s="217" t="s">
        <v>561</v>
      </c>
    </row>
    <row r="15" spans="1:7" x14ac:dyDescent="0.3">
      <c r="A15" s="15"/>
      <c r="B15" s="7"/>
      <c r="C15" s="7"/>
      <c r="D15" s="7"/>
      <c r="E15" s="208"/>
      <c r="F15" s="7"/>
      <c r="G15" s="9"/>
    </row>
    <row r="16" spans="1:7" x14ac:dyDescent="0.3">
      <c r="A16" s="15">
        <v>3</v>
      </c>
      <c r="B16" s="7"/>
      <c r="C16" s="7" t="s">
        <v>457</v>
      </c>
      <c r="D16" s="7"/>
      <c r="E16" s="208">
        <f>ROUND(E12*E14,0)</f>
        <v>21813634</v>
      </c>
      <c r="F16" s="7"/>
      <c r="G16" s="9" t="s">
        <v>458</v>
      </c>
    </row>
    <row r="17" spans="1:7" x14ac:dyDescent="0.3">
      <c r="A17" s="15"/>
      <c r="B17" s="7"/>
      <c r="C17" s="7"/>
      <c r="D17" s="7"/>
      <c r="E17" s="208"/>
      <c r="F17" s="7"/>
      <c r="G17" s="9"/>
    </row>
    <row r="18" spans="1:7" x14ac:dyDescent="0.3">
      <c r="A18" s="15">
        <v>4</v>
      </c>
      <c r="B18" s="7"/>
      <c r="C18" s="7" t="s">
        <v>459</v>
      </c>
      <c r="D18" s="7"/>
      <c r="E18" s="213">
        <v>21235114</v>
      </c>
      <c r="F18" s="7"/>
      <c r="G18" s="218" t="s">
        <v>464</v>
      </c>
    </row>
    <row r="19" spans="1:7" x14ac:dyDescent="0.3">
      <c r="A19" s="15"/>
      <c r="B19" s="7"/>
      <c r="C19" s="7"/>
      <c r="D19" s="7"/>
      <c r="E19" s="208"/>
      <c r="F19" s="7"/>
      <c r="G19" s="15"/>
    </row>
    <row r="20" spans="1:7" x14ac:dyDescent="0.3">
      <c r="A20" s="15">
        <v>5</v>
      </c>
      <c r="B20" s="7"/>
      <c r="C20" s="7" t="s">
        <v>460</v>
      </c>
      <c r="D20" s="7"/>
      <c r="E20" s="208">
        <f>E16-E18</f>
        <v>578520</v>
      </c>
      <c r="F20" s="7"/>
      <c r="G20" s="217" t="s">
        <v>466</v>
      </c>
    </row>
    <row r="21" spans="1:7" x14ac:dyDescent="0.3">
      <c r="A21" s="15"/>
      <c r="B21" s="7"/>
      <c r="C21" s="7"/>
      <c r="D21" s="7"/>
      <c r="E21" s="208"/>
      <c r="F21" s="7"/>
      <c r="G21" s="9"/>
    </row>
    <row r="22" spans="1:7" x14ac:dyDescent="0.3">
      <c r="A22" s="15">
        <v>6</v>
      </c>
      <c r="B22" s="7"/>
      <c r="C22" s="82" t="s">
        <v>465</v>
      </c>
      <c r="D22" s="7"/>
      <c r="E22" s="219">
        <v>0.35</v>
      </c>
      <c r="F22" s="7"/>
      <c r="G22" s="9"/>
    </row>
    <row r="23" spans="1:7" x14ac:dyDescent="0.3">
      <c r="A23" s="15"/>
      <c r="B23" s="7"/>
      <c r="C23" s="7"/>
      <c r="D23" s="7"/>
      <c r="E23" s="208"/>
      <c r="F23" s="7"/>
      <c r="G23" s="9"/>
    </row>
    <row r="24" spans="1:7" ht="16.2" thickBot="1" x14ac:dyDescent="0.35">
      <c r="A24" s="15">
        <v>7</v>
      </c>
      <c r="B24" s="7"/>
      <c r="C24" s="7" t="s">
        <v>461</v>
      </c>
      <c r="D24" s="7"/>
      <c r="E24" s="214">
        <f>ROUND(E20*E22,0)</f>
        <v>202482</v>
      </c>
      <c r="F24" s="7"/>
      <c r="G24" s="9"/>
    </row>
    <row r="25" spans="1:7" ht="16.2" thickTop="1" x14ac:dyDescent="0.3">
      <c r="A25" s="15"/>
      <c r="B25" s="7"/>
      <c r="C25" s="7"/>
      <c r="D25" s="7"/>
      <c r="E25" s="208"/>
      <c r="F25" s="7"/>
      <c r="G25" s="7"/>
    </row>
    <row r="26" spans="1:7" x14ac:dyDescent="0.3">
      <c r="A26" s="15"/>
      <c r="B26" s="7"/>
      <c r="C26" s="7"/>
      <c r="D26" s="7"/>
      <c r="E26" s="208"/>
      <c r="F26" s="7"/>
      <c r="G26" s="7"/>
    </row>
    <row r="27" spans="1:7" x14ac:dyDescent="0.3">
      <c r="A27" s="15"/>
      <c r="B27" s="7"/>
      <c r="C27" s="215"/>
      <c r="D27" s="36"/>
      <c r="E27" s="216"/>
      <c r="F27" s="36"/>
      <c r="G27" s="36"/>
    </row>
    <row r="30" spans="1:7" x14ac:dyDescent="0.3">
      <c r="C30" t="s">
        <v>471</v>
      </c>
    </row>
    <row r="32" spans="1:7" ht="69.75" customHeight="1" x14ac:dyDescent="0.3">
      <c r="C32" s="255" t="s">
        <v>472</v>
      </c>
      <c r="D32" s="256"/>
      <c r="E32" s="256"/>
      <c r="F32" s="256"/>
      <c r="G32" s="257"/>
    </row>
    <row r="33" spans="3:7" x14ac:dyDescent="0.3">
      <c r="C33" s="220"/>
      <c r="D33" s="220"/>
      <c r="E33" s="220"/>
      <c r="F33" s="220"/>
      <c r="G33" s="220"/>
    </row>
    <row r="34" spans="3:7" x14ac:dyDescent="0.3">
      <c r="C34" s="220"/>
      <c r="D34" s="220"/>
      <c r="E34" s="220"/>
      <c r="F34" s="220"/>
      <c r="G34" s="220"/>
    </row>
    <row r="35" spans="3:7" x14ac:dyDescent="0.3">
      <c r="C35" s="220"/>
      <c r="D35" s="220"/>
      <c r="E35" s="220"/>
      <c r="F35" s="220"/>
      <c r="G35" s="220"/>
    </row>
  </sheetData>
  <mergeCells count="1">
    <mergeCell ref="C32:G32"/>
  </mergeCells>
  <pageMargins left="0.7" right="0.7" top="0.75" bottom="0.75" header="0.3" footer="0.3"/>
  <pageSetup scale="9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2"/>
  <sheetViews>
    <sheetView workbookViewId="0">
      <selection activeCell="C25" sqref="C25"/>
    </sheetView>
  </sheetViews>
  <sheetFormatPr defaultRowHeight="15.6" x14ac:dyDescent="0.3"/>
  <cols>
    <col min="1" max="1" width="4.3984375" customWidth="1"/>
    <col min="2" max="2" width="1.69921875" customWidth="1"/>
    <col min="3" max="3" width="25.69921875" customWidth="1"/>
    <col min="4" max="4" width="5.5" customWidth="1"/>
    <col min="5" max="5" width="11.5" customWidth="1"/>
    <col min="6" max="6" width="1" customWidth="1"/>
    <col min="8" max="8" width="1.19921875" customWidth="1"/>
    <col min="9" max="9" width="10" bestFit="1" customWidth="1"/>
  </cols>
  <sheetData>
    <row r="1" spans="1:13" x14ac:dyDescent="0.3">
      <c r="A1" t="s">
        <v>484</v>
      </c>
      <c r="I1" t="s">
        <v>554</v>
      </c>
      <c r="L1" s="7"/>
      <c r="M1" s="7"/>
    </row>
    <row r="2" spans="1:13" x14ac:dyDescent="0.3">
      <c r="A2" t="s">
        <v>186</v>
      </c>
      <c r="I2" t="s">
        <v>567</v>
      </c>
      <c r="L2" s="7"/>
      <c r="M2" s="7"/>
    </row>
    <row r="3" spans="1:13" x14ac:dyDescent="0.3">
      <c r="A3" t="s">
        <v>187</v>
      </c>
      <c r="I3" t="s">
        <v>529</v>
      </c>
      <c r="L3" s="7"/>
      <c r="M3" s="7"/>
    </row>
    <row r="4" spans="1:13" x14ac:dyDescent="0.3">
      <c r="A4" t="s">
        <v>469</v>
      </c>
      <c r="I4" t="s">
        <v>569</v>
      </c>
      <c r="L4" s="7"/>
      <c r="M4" s="7"/>
    </row>
    <row r="5" spans="1:13" x14ac:dyDescent="0.3">
      <c r="A5" t="s">
        <v>188</v>
      </c>
      <c r="B5" s="7"/>
      <c r="C5" s="7"/>
      <c r="D5" s="7"/>
      <c r="E5" s="7"/>
      <c r="F5" s="7"/>
      <c r="G5" s="7"/>
      <c r="H5" s="7"/>
      <c r="I5" s="7"/>
      <c r="J5" s="7"/>
      <c r="K5" s="7"/>
      <c r="L5" s="7"/>
      <c r="M5" s="7"/>
    </row>
    <row r="6" spans="1:13" x14ac:dyDescent="0.3">
      <c r="A6" s="7"/>
      <c r="B6" s="7"/>
      <c r="C6" s="7"/>
      <c r="D6" s="15"/>
      <c r="E6" s="7"/>
      <c r="F6" s="7"/>
      <c r="G6" s="7"/>
      <c r="H6" s="7"/>
      <c r="I6" s="7"/>
      <c r="J6" s="7"/>
      <c r="K6" s="7"/>
      <c r="L6" s="7"/>
      <c r="M6" s="22"/>
    </row>
    <row r="9" spans="1:13" x14ac:dyDescent="0.3">
      <c r="A9" t="s">
        <v>0</v>
      </c>
      <c r="E9" s="1" t="s">
        <v>445</v>
      </c>
      <c r="G9" s="1" t="s">
        <v>447</v>
      </c>
      <c r="H9" s="1"/>
      <c r="I9" s="1" t="s">
        <v>448</v>
      </c>
      <c r="J9" s="1"/>
      <c r="K9" s="1"/>
    </row>
    <row r="10" spans="1:13" x14ac:dyDescent="0.3">
      <c r="A10" s="2" t="s">
        <v>3</v>
      </c>
      <c r="C10" s="2" t="s">
        <v>1</v>
      </c>
      <c r="E10" s="10" t="s">
        <v>446</v>
      </c>
      <c r="G10" s="10" t="s">
        <v>284</v>
      </c>
      <c r="H10" s="1"/>
      <c r="I10" s="10" t="s">
        <v>449</v>
      </c>
      <c r="J10" s="1"/>
      <c r="K10" s="1"/>
    </row>
    <row r="12" spans="1:13" x14ac:dyDescent="0.3">
      <c r="A12">
        <v>1</v>
      </c>
      <c r="C12" t="s">
        <v>450</v>
      </c>
      <c r="E12" s="102">
        <v>0.49099999999999999</v>
      </c>
      <c r="F12" s="102"/>
      <c r="G12" s="102">
        <v>8.8999999999999996E-2</v>
      </c>
      <c r="H12" s="102"/>
      <c r="I12" s="102">
        <f>E12*G12</f>
        <v>4.3698999999999995E-2</v>
      </c>
    </row>
    <row r="13" spans="1:13" x14ac:dyDescent="0.3">
      <c r="A13">
        <v>2</v>
      </c>
      <c r="C13" t="s">
        <v>451</v>
      </c>
      <c r="E13" s="102">
        <v>2.0000000000000001E-4</v>
      </c>
      <c r="F13" s="102"/>
      <c r="G13" s="102">
        <v>6.7500000000000004E-2</v>
      </c>
      <c r="H13" s="102"/>
      <c r="I13" s="102">
        <f t="shared" ref="I13:I15" si="0">E13*G13</f>
        <v>1.3500000000000001E-5</v>
      </c>
    </row>
    <row r="14" spans="1:13" x14ac:dyDescent="0.3">
      <c r="A14">
        <v>3</v>
      </c>
      <c r="C14" t="s">
        <v>452</v>
      </c>
      <c r="E14" s="102">
        <v>0.50690000000000002</v>
      </c>
      <c r="F14" s="102"/>
      <c r="G14" s="232">
        <v>5.1900000000000002E-2</v>
      </c>
      <c r="H14" s="102"/>
      <c r="I14" s="102">
        <f t="shared" si="0"/>
        <v>2.6308110000000003E-2</v>
      </c>
    </row>
    <row r="15" spans="1:13" x14ac:dyDescent="0.3">
      <c r="A15">
        <v>4</v>
      </c>
      <c r="C15" t="s">
        <v>453</v>
      </c>
      <c r="E15" s="201">
        <v>1.9E-3</v>
      </c>
      <c r="F15" s="102"/>
      <c r="G15" s="102">
        <v>2.1100000000000001E-2</v>
      </c>
      <c r="H15" s="102"/>
      <c r="I15" s="201">
        <f t="shared" si="0"/>
        <v>4.0090000000000004E-5</v>
      </c>
    </row>
    <row r="16" spans="1:13" x14ac:dyDescent="0.3">
      <c r="E16" s="102"/>
      <c r="F16" s="102"/>
      <c r="G16" s="102"/>
      <c r="H16" s="102"/>
      <c r="I16" s="102"/>
    </row>
    <row r="17" spans="1:9" ht="16.2" thickBot="1" x14ac:dyDescent="0.35">
      <c r="A17">
        <v>5</v>
      </c>
      <c r="C17" t="s">
        <v>4</v>
      </c>
      <c r="E17" s="102">
        <f>SUM(E12:E16)</f>
        <v>1</v>
      </c>
      <c r="F17" s="102"/>
      <c r="G17" s="102"/>
      <c r="H17" s="102"/>
      <c r="I17" s="91">
        <f>SUM(I12:I16)</f>
        <v>7.0060700000000004E-2</v>
      </c>
    </row>
    <row r="18" spans="1:9" ht="16.2" thickTop="1" x14ac:dyDescent="0.3"/>
    <row r="21" spans="1:9" x14ac:dyDescent="0.3">
      <c r="C21" t="s">
        <v>454</v>
      </c>
    </row>
    <row r="22" spans="1:9" x14ac:dyDescent="0.3">
      <c r="C22" t="s">
        <v>455</v>
      </c>
    </row>
  </sheetData>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workbookViewId="0">
      <selection activeCell="C25" sqref="C25"/>
    </sheetView>
  </sheetViews>
  <sheetFormatPr defaultRowHeight="15.6" x14ac:dyDescent="0.3"/>
  <cols>
    <col min="1" max="1" width="4.19921875" customWidth="1"/>
    <col min="2" max="2" width="1.3984375" customWidth="1"/>
    <col min="3" max="3" width="29.69921875" customWidth="1"/>
    <col min="4" max="4" width="7" customWidth="1"/>
    <col min="5" max="5" width="15" customWidth="1"/>
    <col min="6" max="6" width="1.09765625" customWidth="1"/>
    <col min="7" max="7" width="12.8984375" customWidth="1"/>
    <col min="8" max="8" width="0.8984375" customWidth="1"/>
    <col min="9" max="9" width="16" customWidth="1"/>
  </cols>
  <sheetData>
    <row r="1" spans="1:9" x14ac:dyDescent="0.3">
      <c r="A1" t="s">
        <v>190</v>
      </c>
      <c r="I1" t="s">
        <v>554</v>
      </c>
    </row>
    <row r="2" spans="1:9" x14ac:dyDescent="0.3">
      <c r="A2" t="s">
        <v>186</v>
      </c>
      <c r="I2" t="s">
        <v>567</v>
      </c>
    </row>
    <row r="3" spans="1:9" x14ac:dyDescent="0.3">
      <c r="A3" t="s">
        <v>187</v>
      </c>
      <c r="I3" t="s">
        <v>551</v>
      </c>
    </row>
    <row r="4" spans="1:9" x14ac:dyDescent="0.3">
      <c r="A4" t="s">
        <v>193</v>
      </c>
      <c r="I4" t="s">
        <v>568</v>
      </c>
    </row>
    <row r="5" spans="1:9" x14ac:dyDescent="0.3">
      <c r="A5" t="s">
        <v>188</v>
      </c>
    </row>
    <row r="7" spans="1:9" x14ac:dyDescent="0.3">
      <c r="A7" s="7"/>
      <c r="B7" s="7"/>
      <c r="C7" s="7"/>
      <c r="D7" s="7"/>
      <c r="E7" s="83" t="s">
        <v>121</v>
      </c>
      <c r="F7" s="15"/>
      <c r="G7" s="29"/>
      <c r="H7" s="29"/>
      <c r="I7" s="101" t="s">
        <v>185</v>
      </c>
    </row>
    <row r="8" spans="1:9" x14ac:dyDescent="0.3">
      <c r="A8" s="23"/>
      <c r="B8" s="23"/>
      <c r="C8" s="23"/>
      <c r="D8" s="23"/>
      <c r="E8" s="53" t="s">
        <v>184</v>
      </c>
      <c r="F8" s="27"/>
      <c r="G8" s="53" t="s">
        <v>185</v>
      </c>
      <c r="H8" s="29"/>
      <c r="I8" s="101" t="s">
        <v>184</v>
      </c>
    </row>
    <row r="9" spans="1:9" ht="17.399999999999999" x14ac:dyDescent="0.45">
      <c r="A9" s="224" t="s">
        <v>0</v>
      </c>
      <c r="B9" s="23"/>
      <c r="C9" s="23"/>
      <c r="D9" s="23"/>
      <c r="E9" s="71" t="s">
        <v>135</v>
      </c>
      <c r="F9" s="70"/>
      <c r="G9" s="71" t="s">
        <v>14</v>
      </c>
      <c r="H9" s="29"/>
      <c r="I9" s="71" t="s">
        <v>135</v>
      </c>
    </row>
    <row r="10" spans="1:9" x14ac:dyDescent="0.3">
      <c r="A10" s="23"/>
      <c r="B10" s="23"/>
      <c r="C10" s="23"/>
      <c r="D10" s="23"/>
      <c r="E10" s="72" t="s">
        <v>136</v>
      </c>
      <c r="F10" s="70"/>
      <c r="G10" s="73" t="s">
        <v>137</v>
      </c>
      <c r="H10" s="29"/>
      <c r="I10" s="73" t="s">
        <v>138</v>
      </c>
    </row>
    <row r="11" spans="1:9" x14ac:dyDescent="0.3">
      <c r="A11" s="23">
        <v>1</v>
      </c>
      <c r="B11" s="7"/>
      <c r="C11" s="17" t="s">
        <v>15</v>
      </c>
      <c r="D11" s="23"/>
      <c r="E11" s="23"/>
      <c r="F11" s="23"/>
      <c r="G11" s="23"/>
      <c r="H11" s="23"/>
      <c r="I11" s="23"/>
    </row>
    <row r="12" spans="1:9" x14ac:dyDescent="0.3">
      <c r="A12" s="23">
        <v>2</v>
      </c>
      <c r="B12" s="23"/>
      <c r="C12" s="7" t="s">
        <v>16</v>
      </c>
      <c r="D12" s="23"/>
      <c r="E12" s="23">
        <v>321605659</v>
      </c>
      <c r="F12" s="23"/>
      <c r="G12" s="23">
        <f>Adjustments!E8</f>
        <v>0</v>
      </c>
      <c r="H12" s="23"/>
      <c r="I12" s="23">
        <f>SUM(E12:G12)</f>
        <v>321605659</v>
      </c>
    </row>
    <row r="13" spans="1:9" x14ac:dyDescent="0.3">
      <c r="A13" s="23">
        <v>3</v>
      </c>
      <c r="B13" s="23"/>
      <c r="C13" s="7" t="s">
        <v>17</v>
      </c>
      <c r="D13" s="23"/>
      <c r="E13" s="23">
        <v>0</v>
      </c>
      <c r="F13" s="23"/>
      <c r="G13" s="23">
        <f>Adjustments!E9</f>
        <v>0</v>
      </c>
      <c r="H13" s="23"/>
      <c r="I13" s="23">
        <f>SUM(E13:G13)</f>
        <v>0</v>
      </c>
    </row>
    <row r="14" spans="1:9" x14ac:dyDescent="0.3">
      <c r="A14" s="23">
        <v>4</v>
      </c>
      <c r="B14" s="23"/>
      <c r="C14" s="7" t="s">
        <v>18</v>
      </c>
      <c r="D14" s="23"/>
      <c r="E14" s="23">
        <v>21276368</v>
      </c>
      <c r="F14" s="23"/>
      <c r="G14" s="23">
        <f>Adjustments!E10</f>
        <v>0</v>
      </c>
      <c r="H14" s="23"/>
      <c r="I14" s="23">
        <f>SUM(E14:G14)</f>
        <v>21276368</v>
      </c>
    </row>
    <row r="15" spans="1:9" x14ac:dyDescent="0.3">
      <c r="A15" s="23">
        <v>5</v>
      </c>
      <c r="B15" s="23"/>
      <c r="C15" s="7" t="s">
        <v>19</v>
      </c>
      <c r="D15" s="23"/>
      <c r="E15" s="32">
        <v>7085531</v>
      </c>
      <c r="F15" s="32"/>
      <c r="G15" s="23">
        <f>Adjustments!E11</f>
        <v>-84747</v>
      </c>
      <c r="H15" s="32"/>
      <c r="I15" s="32">
        <f>SUM(E15:G15)</f>
        <v>7000784</v>
      </c>
    </row>
    <row r="16" spans="1:9" x14ac:dyDescent="0.3">
      <c r="A16" s="23">
        <v>6</v>
      </c>
      <c r="B16" s="23"/>
      <c r="C16" s="7" t="s">
        <v>20</v>
      </c>
      <c r="D16" s="23"/>
      <c r="E16" s="74">
        <f>SUM(E12:E15)</f>
        <v>349967558</v>
      </c>
      <c r="F16" s="74"/>
      <c r="G16" s="74">
        <f>SUM(G12:G15)</f>
        <v>-84747</v>
      </c>
      <c r="H16" s="74"/>
      <c r="I16" s="74">
        <f>SUM(I12:I15)</f>
        <v>349882811</v>
      </c>
    </row>
    <row r="17" spans="1:9" x14ac:dyDescent="0.3">
      <c r="A17" s="23">
        <v>7</v>
      </c>
      <c r="B17" s="23"/>
      <c r="C17" s="7"/>
      <c r="D17" s="23"/>
      <c r="E17" s="23"/>
      <c r="F17" s="23"/>
      <c r="G17" s="23"/>
      <c r="H17" s="23"/>
      <c r="I17" s="23"/>
    </row>
    <row r="18" spans="1:9" x14ac:dyDescent="0.3">
      <c r="A18" s="23">
        <v>8</v>
      </c>
      <c r="B18" s="23"/>
      <c r="C18" s="17" t="s">
        <v>21</v>
      </c>
      <c r="D18" s="23"/>
      <c r="E18" s="23"/>
      <c r="F18" s="23"/>
      <c r="G18" s="23"/>
      <c r="H18" s="23"/>
      <c r="I18" s="23"/>
    </row>
    <row r="19" spans="1:9" x14ac:dyDescent="0.3">
      <c r="A19" s="23">
        <v>9</v>
      </c>
      <c r="B19" s="23"/>
      <c r="C19" s="7" t="s">
        <v>22</v>
      </c>
      <c r="D19" s="23"/>
      <c r="E19" s="23">
        <v>66445152</v>
      </c>
      <c r="F19" s="23"/>
      <c r="G19" s="23">
        <f>Adjustments!E14</f>
        <v>-714482.27425954887</v>
      </c>
      <c r="H19" s="23"/>
      <c r="I19" s="23">
        <f t="shared" ref="I19:I27" si="0">SUM(E19:G19)</f>
        <v>65730669.725740448</v>
      </c>
    </row>
    <row r="20" spans="1:9" x14ac:dyDescent="0.3">
      <c r="A20" s="23">
        <v>10</v>
      </c>
      <c r="B20" s="23"/>
      <c r="C20" s="7" t="s">
        <v>23</v>
      </c>
      <c r="D20" s="23"/>
      <c r="E20" s="23">
        <v>0</v>
      </c>
      <c r="F20" s="23"/>
      <c r="G20" s="23">
        <f>Adjustments!E15</f>
        <v>0</v>
      </c>
      <c r="H20" s="23"/>
      <c r="I20" s="23">
        <f t="shared" si="0"/>
        <v>0</v>
      </c>
    </row>
    <row r="21" spans="1:9" x14ac:dyDescent="0.3">
      <c r="A21" s="23">
        <v>11</v>
      </c>
      <c r="B21" s="23"/>
      <c r="C21" s="7" t="s">
        <v>24</v>
      </c>
      <c r="D21" s="23"/>
      <c r="E21" s="23">
        <v>7625921</v>
      </c>
      <c r="F21" s="23"/>
      <c r="G21" s="23">
        <f>Adjustments!E16</f>
        <v>-357045.4933003771</v>
      </c>
      <c r="H21" s="23"/>
      <c r="I21" s="23">
        <f t="shared" si="0"/>
        <v>7268875.5066996226</v>
      </c>
    </row>
    <row r="22" spans="1:9" x14ac:dyDescent="0.3">
      <c r="A22" s="23">
        <v>12</v>
      </c>
      <c r="B22" s="23"/>
      <c r="C22" s="7" t="s">
        <v>25</v>
      </c>
      <c r="D22" s="23"/>
      <c r="E22" s="23">
        <v>85764809</v>
      </c>
      <c r="F22" s="23"/>
      <c r="G22" s="23">
        <f>Adjustments!E17</f>
        <v>-578462.58476291271</v>
      </c>
      <c r="H22" s="23"/>
      <c r="I22" s="23">
        <f>SUM(E22:G22)</f>
        <v>85186346.415237084</v>
      </c>
    </row>
    <row r="23" spans="1:9" x14ac:dyDescent="0.3">
      <c r="A23" s="23">
        <v>13</v>
      </c>
      <c r="B23" s="23"/>
      <c r="C23" s="7" t="s">
        <v>26</v>
      </c>
      <c r="D23" s="23"/>
      <c r="E23" s="23">
        <v>31289089</v>
      </c>
      <c r="F23" s="23"/>
      <c r="G23" s="23">
        <f>Adjustments!E18</f>
        <v>-249399.9355830565</v>
      </c>
      <c r="H23" s="23"/>
      <c r="I23" s="23">
        <f t="shared" si="0"/>
        <v>31039689.064416945</v>
      </c>
    </row>
    <row r="24" spans="1:9" x14ac:dyDescent="0.3">
      <c r="A24" s="23">
        <v>14</v>
      </c>
      <c r="B24" s="23"/>
      <c r="C24" s="7" t="s">
        <v>27</v>
      </c>
      <c r="D24" s="23"/>
      <c r="E24" s="23">
        <v>12252659</v>
      </c>
      <c r="F24" s="23"/>
      <c r="G24" s="23">
        <f>Adjustments!E19</f>
        <v>-575691.17200961523</v>
      </c>
      <c r="H24" s="23"/>
      <c r="I24" s="23">
        <f t="shared" si="0"/>
        <v>11676967.827990385</v>
      </c>
    </row>
    <row r="25" spans="1:9" x14ac:dyDescent="0.3">
      <c r="A25" s="23">
        <v>15</v>
      </c>
      <c r="B25" s="23"/>
      <c r="C25" s="7" t="s">
        <v>28</v>
      </c>
      <c r="D25" s="23"/>
      <c r="E25" s="23">
        <v>6967383</v>
      </c>
      <c r="F25" s="23"/>
      <c r="G25" s="23">
        <f>Adjustments!E20</f>
        <v>-296277.69917537039</v>
      </c>
      <c r="H25" s="23"/>
      <c r="I25" s="23">
        <f t="shared" si="0"/>
        <v>6671105.3008246291</v>
      </c>
    </row>
    <row r="26" spans="1:9" x14ac:dyDescent="0.3">
      <c r="A26" s="23">
        <v>16</v>
      </c>
      <c r="B26" s="23"/>
      <c r="C26" s="7" t="s">
        <v>29</v>
      </c>
      <c r="D26" s="23"/>
      <c r="E26" s="23">
        <v>790894</v>
      </c>
      <c r="F26" s="23"/>
      <c r="G26" s="23">
        <f>Adjustments!E21</f>
        <v>-40612.066244954069</v>
      </c>
      <c r="H26" s="23"/>
      <c r="I26" s="23">
        <f t="shared" si="0"/>
        <v>750281.93375504599</v>
      </c>
    </row>
    <row r="27" spans="1:9" x14ac:dyDescent="0.3">
      <c r="A27" s="23">
        <v>17</v>
      </c>
      <c r="B27" s="23"/>
      <c r="C27" s="7" t="s">
        <v>30</v>
      </c>
      <c r="D27" s="23"/>
      <c r="E27" s="23">
        <v>0</v>
      </c>
      <c r="F27" s="23"/>
      <c r="G27" s="23">
        <f>Adjustments!E22</f>
        <v>0</v>
      </c>
      <c r="H27" s="23"/>
      <c r="I27" s="23">
        <f t="shared" si="0"/>
        <v>0</v>
      </c>
    </row>
    <row r="28" spans="1:9" x14ac:dyDescent="0.3">
      <c r="A28" s="23">
        <v>18</v>
      </c>
      <c r="B28" s="23"/>
      <c r="C28" s="7" t="s">
        <v>31</v>
      </c>
      <c r="D28" s="23"/>
      <c r="E28" s="32">
        <v>12471080</v>
      </c>
      <c r="F28" s="32"/>
      <c r="G28" s="32">
        <f>Adjustments!E23</f>
        <v>-737210.81579848134</v>
      </c>
      <c r="H28" s="32"/>
      <c r="I28" s="32">
        <f>SUM(E28:G28)</f>
        <v>11733869.184201518</v>
      </c>
    </row>
    <row r="29" spans="1:9" x14ac:dyDescent="0.3">
      <c r="A29" s="23">
        <v>19</v>
      </c>
      <c r="B29" s="23"/>
      <c r="C29" s="7" t="s">
        <v>32</v>
      </c>
      <c r="D29" s="23"/>
      <c r="E29" s="23">
        <f>SUM(E19:E28)</f>
        <v>223606987</v>
      </c>
      <c r="F29" s="23"/>
      <c r="G29" s="23">
        <f>SUM(G19:G28)</f>
        <v>-3549182.0411343165</v>
      </c>
      <c r="H29" s="23"/>
      <c r="I29" s="23">
        <f>SUM(I19:I28)</f>
        <v>220057804.95886567</v>
      </c>
    </row>
    <row r="30" spans="1:9" x14ac:dyDescent="0.3">
      <c r="A30" s="23">
        <v>20</v>
      </c>
      <c r="B30" s="23"/>
      <c r="C30" s="7"/>
      <c r="D30" s="23"/>
      <c r="E30" s="23"/>
      <c r="F30" s="23"/>
      <c r="G30" s="23"/>
      <c r="H30" s="23"/>
      <c r="I30" s="23"/>
    </row>
    <row r="31" spans="1:9" x14ac:dyDescent="0.3">
      <c r="A31" s="23">
        <v>21</v>
      </c>
      <c r="B31" s="23"/>
      <c r="C31" s="7" t="s">
        <v>33</v>
      </c>
      <c r="D31" s="23"/>
      <c r="E31" s="23">
        <v>44425461</v>
      </c>
      <c r="F31" s="23"/>
      <c r="G31" s="23">
        <f>Adjustments!E25</f>
        <v>-387774.17411000002</v>
      </c>
      <c r="H31" s="23"/>
      <c r="I31" s="23">
        <f t="shared" ref="I31:I37" si="1">SUM(E31:G31)</f>
        <v>44037686.825889997</v>
      </c>
    </row>
    <row r="32" spans="1:9" x14ac:dyDescent="0.3">
      <c r="A32" s="23">
        <v>22</v>
      </c>
      <c r="B32" s="23"/>
      <c r="C32" s="7" t="s">
        <v>34</v>
      </c>
      <c r="D32" s="23"/>
      <c r="E32" s="23">
        <v>5116519</v>
      </c>
      <c r="F32" s="23"/>
      <c r="G32" s="23">
        <f>Adjustments!E26</f>
        <v>0</v>
      </c>
      <c r="H32" s="23"/>
      <c r="I32" s="23">
        <f t="shared" si="1"/>
        <v>5116519</v>
      </c>
    </row>
    <row r="33" spans="1:9" x14ac:dyDescent="0.3">
      <c r="A33" s="23">
        <v>23</v>
      </c>
      <c r="B33" s="23"/>
      <c r="C33" s="7" t="s">
        <v>35</v>
      </c>
      <c r="D33" s="23"/>
      <c r="E33" s="23">
        <v>21407838</v>
      </c>
      <c r="F33" s="23"/>
      <c r="G33" s="23">
        <f>Adjustments!E27</f>
        <v>0</v>
      </c>
      <c r="H33" s="23"/>
      <c r="I33" s="23">
        <f t="shared" si="1"/>
        <v>21407838</v>
      </c>
    </row>
    <row r="34" spans="1:9" x14ac:dyDescent="0.3">
      <c r="A34" s="23">
        <v>24</v>
      </c>
      <c r="B34" s="23"/>
      <c r="C34" s="7" t="s">
        <v>36</v>
      </c>
      <c r="D34" s="23"/>
      <c r="E34" s="23">
        <v>1999282</v>
      </c>
      <c r="F34" s="23"/>
      <c r="G34" s="23">
        <f>Adjustments!E28</f>
        <v>2179223.6911609829</v>
      </c>
      <c r="H34" s="23"/>
      <c r="I34" s="23">
        <f t="shared" si="1"/>
        <v>4178505.6911609829</v>
      </c>
    </row>
    <row r="35" spans="1:9" x14ac:dyDescent="0.3">
      <c r="A35" s="23">
        <v>25</v>
      </c>
      <c r="B35" s="23"/>
      <c r="C35" s="7" t="s">
        <v>37</v>
      </c>
      <c r="D35" s="23"/>
      <c r="E35" s="23">
        <v>0</v>
      </c>
      <c r="F35" s="23"/>
      <c r="G35" s="23">
        <f>Adjustments!E29</f>
        <v>0</v>
      </c>
      <c r="H35" s="23"/>
      <c r="I35" s="23">
        <f t="shared" si="1"/>
        <v>0</v>
      </c>
    </row>
    <row r="36" spans="1:9" x14ac:dyDescent="0.3">
      <c r="A36" s="23">
        <v>26</v>
      </c>
      <c r="B36" s="23"/>
      <c r="C36" s="7" t="s">
        <v>38</v>
      </c>
      <c r="D36" s="23"/>
      <c r="E36" s="23">
        <v>5855792</v>
      </c>
      <c r="F36" s="23"/>
      <c r="G36" s="23">
        <f>Adjustments!E30</f>
        <v>-1120565.8925490435</v>
      </c>
      <c r="H36" s="23"/>
      <c r="I36" s="23">
        <f t="shared" si="1"/>
        <v>4735226.1074509565</v>
      </c>
    </row>
    <row r="37" spans="1:9" x14ac:dyDescent="0.3">
      <c r="A37" s="23">
        <v>27</v>
      </c>
      <c r="B37" s="23"/>
      <c r="C37" s="7" t="s">
        <v>39</v>
      </c>
      <c r="D37" s="23"/>
      <c r="E37" s="23">
        <v>0</v>
      </c>
      <c r="F37" s="23"/>
      <c r="G37" s="23">
        <f>Adjustments!E31</f>
        <v>0</v>
      </c>
      <c r="H37" s="23"/>
      <c r="I37" s="23">
        <f t="shared" si="1"/>
        <v>0</v>
      </c>
    </row>
    <row r="38" spans="1:9" x14ac:dyDescent="0.3">
      <c r="A38" s="23">
        <v>28</v>
      </c>
      <c r="B38" s="23"/>
      <c r="C38" s="7" t="s">
        <v>40</v>
      </c>
      <c r="D38" s="23"/>
      <c r="E38" s="32">
        <v>-762127</v>
      </c>
      <c r="F38" s="32"/>
      <c r="G38" s="32">
        <f>Adjustments!E32</f>
        <v>0</v>
      </c>
      <c r="H38" s="32"/>
      <c r="I38" s="32">
        <f>SUM(E38:G38)</f>
        <v>-762127</v>
      </c>
    </row>
    <row r="39" spans="1:9" x14ac:dyDescent="0.3">
      <c r="A39" s="23">
        <v>29</v>
      </c>
      <c r="B39" s="23"/>
      <c r="C39" s="7" t="s">
        <v>41</v>
      </c>
      <c r="D39" s="23"/>
      <c r="E39" s="32">
        <f>SUM(E29:E38)</f>
        <v>301649752</v>
      </c>
      <c r="F39" s="32"/>
      <c r="G39" s="32">
        <f>SUM(G29:G38)</f>
        <v>-2878298.4166323771</v>
      </c>
      <c r="H39" s="32"/>
      <c r="I39" s="32">
        <f>SUM(I29:I38)</f>
        <v>298771453.58336765</v>
      </c>
    </row>
    <row r="40" spans="1:9" x14ac:dyDescent="0.3">
      <c r="A40" s="23">
        <v>30</v>
      </c>
      <c r="B40" s="23"/>
      <c r="C40" s="7"/>
      <c r="D40" s="23"/>
      <c r="E40" s="23"/>
      <c r="F40" s="23"/>
      <c r="G40" s="23"/>
      <c r="H40" s="23"/>
      <c r="I40" s="23"/>
    </row>
    <row r="41" spans="1:9" ht="16.2" thickBot="1" x14ac:dyDescent="0.35">
      <c r="A41" s="23">
        <v>31</v>
      </c>
      <c r="B41" s="23"/>
      <c r="C41" s="17" t="s">
        <v>42</v>
      </c>
      <c r="D41" s="23"/>
      <c r="E41" s="33">
        <f>E16-E39</f>
        <v>48317806</v>
      </c>
      <c r="F41" s="33"/>
      <c r="G41" s="33">
        <f>G16-G39</f>
        <v>2793551.4166323771</v>
      </c>
      <c r="H41" s="33"/>
      <c r="I41" s="33">
        <f>I16-I39</f>
        <v>51111357.416632354</v>
      </c>
    </row>
    <row r="42" spans="1:9" ht="16.2" thickTop="1" x14ac:dyDescent="0.3">
      <c r="A42" s="23">
        <v>32</v>
      </c>
      <c r="B42" s="23"/>
      <c r="C42" s="7"/>
      <c r="D42" s="23"/>
      <c r="E42" s="23"/>
      <c r="F42" s="23"/>
      <c r="G42" s="23"/>
      <c r="H42" s="23"/>
      <c r="I42" s="23"/>
    </row>
    <row r="43" spans="1:9" x14ac:dyDescent="0.3">
      <c r="A43" s="23">
        <v>33</v>
      </c>
      <c r="B43" s="23"/>
      <c r="C43" s="17" t="s">
        <v>43</v>
      </c>
      <c r="D43" s="23"/>
      <c r="E43" s="23"/>
      <c r="F43" s="23"/>
      <c r="G43" s="23"/>
      <c r="H43" s="23"/>
      <c r="I43" s="23"/>
    </row>
    <row r="44" spans="1:9" x14ac:dyDescent="0.3">
      <c r="A44" s="23">
        <v>34</v>
      </c>
      <c r="B44" s="23"/>
      <c r="C44" s="7" t="s">
        <v>44</v>
      </c>
      <c r="D44" s="23"/>
      <c r="E44" s="23">
        <v>1751925684</v>
      </c>
      <c r="F44" s="23"/>
      <c r="G44" s="23">
        <f>Adjustments!E36</f>
        <v>-23586152</v>
      </c>
      <c r="H44" s="23"/>
      <c r="I44" s="23">
        <f t="shared" ref="I44:I53" si="2">SUM(E44:G44)</f>
        <v>1728339532</v>
      </c>
    </row>
    <row r="45" spans="1:9" x14ac:dyDescent="0.3">
      <c r="A45" s="23">
        <v>35</v>
      </c>
      <c r="B45" s="23"/>
      <c r="C45" s="7" t="s">
        <v>45</v>
      </c>
      <c r="D45" s="23"/>
      <c r="E45" s="23">
        <v>234062</v>
      </c>
      <c r="F45" s="23"/>
      <c r="G45" s="23">
        <f>Adjustments!E37</f>
        <v>0</v>
      </c>
      <c r="H45" s="23"/>
      <c r="I45" s="23">
        <f t="shared" si="2"/>
        <v>234062</v>
      </c>
    </row>
    <row r="46" spans="1:9" x14ac:dyDescent="0.3">
      <c r="A46" s="23">
        <v>36</v>
      </c>
      <c r="B46" s="23"/>
      <c r="C46" s="7" t="s">
        <v>46</v>
      </c>
      <c r="D46" s="23"/>
      <c r="E46" s="23">
        <v>8025149</v>
      </c>
      <c r="F46" s="23"/>
      <c r="G46" s="23">
        <f>Adjustments!E38</f>
        <v>0</v>
      </c>
      <c r="H46" s="23"/>
      <c r="I46" s="23">
        <f t="shared" si="2"/>
        <v>8025149</v>
      </c>
    </row>
    <row r="47" spans="1:9" x14ac:dyDescent="0.3">
      <c r="A47" s="23">
        <v>37</v>
      </c>
      <c r="B47" s="23"/>
      <c r="C47" s="7" t="s">
        <v>47</v>
      </c>
      <c r="D47" s="23"/>
      <c r="E47" s="23">
        <v>0</v>
      </c>
      <c r="F47" s="23"/>
      <c r="G47" s="23">
        <f>Adjustments!E39</f>
        <v>0</v>
      </c>
      <c r="H47" s="23"/>
      <c r="I47" s="23">
        <f t="shared" si="2"/>
        <v>0</v>
      </c>
    </row>
    <row r="48" spans="1:9" x14ac:dyDescent="0.3">
      <c r="A48" s="23">
        <v>38</v>
      </c>
      <c r="B48" s="23"/>
      <c r="C48" s="7" t="s">
        <v>48</v>
      </c>
      <c r="D48" s="23"/>
      <c r="E48" s="23">
        <v>0</v>
      </c>
      <c r="F48" s="23"/>
      <c r="G48" s="23">
        <f>Adjustments!E40</f>
        <v>0</v>
      </c>
      <c r="H48" s="23"/>
      <c r="I48" s="23">
        <f t="shared" si="2"/>
        <v>0</v>
      </c>
    </row>
    <row r="49" spans="1:9" x14ac:dyDescent="0.3">
      <c r="A49" s="23">
        <v>39</v>
      </c>
      <c r="B49" s="23"/>
      <c r="C49" s="7" t="s">
        <v>49</v>
      </c>
      <c r="D49" s="23"/>
      <c r="E49" s="23">
        <v>0</v>
      </c>
      <c r="F49" s="23"/>
      <c r="G49" s="23">
        <f>Adjustments!E41</f>
        <v>0</v>
      </c>
      <c r="H49" s="23"/>
      <c r="I49" s="23">
        <f t="shared" si="2"/>
        <v>0</v>
      </c>
    </row>
    <row r="50" spans="1:9" x14ac:dyDescent="0.3">
      <c r="A50" s="23">
        <v>40</v>
      </c>
      <c r="B50" s="23"/>
      <c r="C50" s="7" t="s">
        <v>50</v>
      </c>
      <c r="D50" s="23"/>
      <c r="E50" s="23">
        <v>0</v>
      </c>
      <c r="F50" s="23"/>
      <c r="G50" s="23">
        <f>Adjustments!E42</f>
        <v>0</v>
      </c>
      <c r="H50" s="23"/>
      <c r="I50" s="23">
        <f t="shared" si="2"/>
        <v>0</v>
      </c>
    </row>
    <row r="51" spans="1:9" x14ac:dyDescent="0.3">
      <c r="A51" s="23">
        <v>41</v>
      </c>
      <c r="B51" s="23"/>
      <c r="C51" s="7" t="s">
        <v>51</v>
      </c>
      <c r="D51" s="23"/>
      <c r="E51" s="23">
        <v>0</v>
      </c>
      <c r="F51" s="23"/>
      <c r="G51" s="23">
        <f>Adjustments!E43</f>
        <v>0</v>
      </c>
      <c r="H51" s="23"/>
      <c r="I51" s="23">
        <f t="shared" si="2"/>
        <v>0</v>
      </c>
    </row>
    <row r="52" spans="1:9" x14ac:dyDescent="0.3">
      <c r="A52" s="23">
        <v>42</v>
      </c>
      <c r="B52" s="23"/>
      <c r="C52" s="7" t="s">
        <v>52</v>
      </c>
      <c r="D52" s="23"/>
      <c r="E52" s="23">
        <v>31018483</v>
      </c>
      <c r="F52" s="23"/>
      <c r="G52" s="23">
        <f>Adjustments!E44</f>
        <v>0</v>
      </c>
      <c r="H52" s="23"/>
      <c r="I52" s="23">
        <f t="shared" si="2"/>
        <v>31018483</v>
      </c>
    </row>
    <row r="53" spans="1:9" x14ac:dyDescent="0.3">
      <c r="A53" s="23">
        <v>43</v>
      </c>
      <c r="B53" s="23"/>
      <c r="C53" s="7" t="s">
        <v>53</v>
      </c>
      <c r="D53" s="23"/>
      <c r="E53" s="23">
        <v>1932316</v>
      </c>
      <c r="F53" s="23"/>
      <c r="G53" s="23">
        <f>Adjustments!E45</f>
        <v>0</v>
      </c>
      <c r="H53" s="23"/>
      <c r="I53" s="23">
        <f t="shared" si="2"/>
        <v>1932316</v>
      </c>
    </row>
    <row r="54" spans="1:9" x14ac:dyDescent="0.3">
      <c r="A54" s="23">
        <v>44</v>
      </c>
      <c r="B54" s="23"/>
      <c r="C54" s="7" t="s">
        <v>54</v>
      </c>
      <c r="D54" s="23"/>
      <c r="E54" s="32">
        <v>0</v>
      </c>
      <c r="F54" s="32"/>
      <c r="G54" s="23">
        <f>Adjustments!E46</f>
        <v>0</v>
      </c>
      <c r="H54" s="32"/>
      <c r="I54" s="32">
        <f>SUM(E54:G54)</f>
        <v>0</v>
      </c>
    </row>
    <row r="55" spans="1:9" x14ac:dyDescent="0.3">
      <c r="A55" s="23">
        <v>45</v>
      </c>
      <c r="B55" s="23"/>
      <c r="C55" s="7" t="s">
        <v>55</v>
      </c>
      <c r="D55" s="23"/>
      <c r="E55" s="74">
        <f>SUM(E44:E54)</f>
        <v>1793135694</v>
      </c>
      <c r="F55" s="74"/>
      <c r="G55" s="74">
        <f>SUM(G44:G54)</f>
        <v>-23586152</v>
      </c>
      <c r="H55" s="74"/>
      <c r="I55" s="74">
        <f>SUM(I44:I54)</f>
        <v>1769549542</v>
      </c>
    </row>
    <row r="56" spans="1:9" x14ac:dyDescent="0.3">
      <c r="A56" s="23">
        <v>46</v>
      </c>
      <c r="B56" s="23"/>
      <c r="C56" s="7"/>
      <c r="D56" s="23"/>
      <c r="E56" s="23"/>
      <c r="F56" s="23"/>
      <c r="G56" s="23"/>
      <c r="H56" s="23"/>
      <c r="I56" s="23"/>
    </row>
    <row r="57" spans="1:9" x14ac:dyDescent="0.3">
      <c r="A57" s="23">
        <v>47</v>
      </c>
      <c r="B57" s="23"/>
      <c r="C57" s="17" t="s">
        <v>56</v>
      </c>
      <c r="D57" s="23"/>
      <c r="E57" s="23"/>
      <c r="F57" s="23"/>
      <c r="G57" s="23"/>
      <c r="H57" s="23"/>
      <c r="I57" s="23"/>
    </row>
    <row r="58" spans="1:9" x14ac:dyDescent="0.3">
      <c r="A58" s="23">
        <v>48</v>
      </c>
      <c r="B58" s="23"/>
      <c r="C58" s="7" t="s">
        <v>57</v>
      </c>
      <c r="D58" s="23"/>
      <c r="E58" s="23">
        <v>-639633916</v>
      </c>
      <c r="F58" s="23"/>
      <c r="G58" s="23">
        <f>Adjustments!E49</f>
        <v>365583</v>
      </c>
      <c r="H58" s="23"/>
      <c r="I58" s="23">
        <f t="shared" ref="I58:I63" si="3">SUM(E58:G58)</f>
        <v>-639268333</v>
      </c>
    </row>
    <row r="59" spans="1:9" x14ac:dyDescent="0.3">
      <c r="A59" s="23">
        <v>49</v>
      </c>
      <c r="B59" s="23"/>
      <c r="C59" s="7" t="s">
        <v>58</v>
      </c>
      <c r="D59" s="23"/>
      <c r="E59" s="23">
        <v>-46269157</v>
      </c>
      <c r="F59" s="23"/>
      <c r="G59" s="23">
        <f>Adjustments!E50</f>
        <v>0</v>
      </c>
      <c r="H59" s="23"/>
      <c r="I59" s="23">
        <f t="shared" si="3"/>
        <v>-46269157</v>
      </c>
    </row>
    <row r="60" spans="1:9" x14ac:dyDescent="0.3">
      <c r="A60" s="23">
        <v>50</v>
      </c>
      <c r="B60" s="23"/>
      <c r="C60" s="7" t="s">
        <v>59</v>
      </c>
      <c r="D60" s="23"/>
      <c r="E60" s="23">
        <v>-246671788</v>
      </c>
      <c r="F60" s="23"/>
      <c r="G60" s="23">
        <f>Adjustments!E51</f>
        <v>1493586.8585394898</v>
      </c>
      <c r="H60" s="23"/>
      <c r="I60" s="23">
        <f t="shared" si="3"/>
        <v>-245178201.14146051</v>
      </c>
    </row>
    <row r="61" spans="1:9" x14ac:dyDescent="0.3">
      <c r="A61" s="23">
        <v>51</v>
      </c>
      <c r="B61" s="23"/>
      <c r="C61" s="7" t="s">
        <v>60</v>
      </c>
      <c r="D61" s="23"/>
      <c r="E61" s="23">
        <v>-246775</v>
      </c>
      <c r="F61" s="23"/>
      <c r="G61" s="23">
        <f>Adjustments!E52</f>
        <v>0</v>
      </c>
      <c r="H61" s="23"/>
      <c r="I61" s="23">
        <f t="shared" si="3"/>
        <v>-246775</v>
      </c>
    </row>
    <row r="62" spans="1:9" x14ac:dyDescent="0.3">
      <c r="A62" s="23">
        <v>52</v>
      </c>
      <c r="B62" s="23"/>
      <c r="C62" s="7" t="s">
        <v>61</v>
      </c>
      <c r="D62" s="23"/>
      <c r="E62" s="23">
        <v>-488824</v>
      </c>
      <c r="F62" s="23"/>
      <c r="G62" s="23">
        <f>Adjustments!E53</f>
        <v>0</v>
      </c>
      <c r="H62" s="23"/>
      <c r="I62" s="23">
        <f t="shared" si="3"/>
        <v>-488824</v>
      </c>
    </row>
    <row r="63" spans="1:9" x14ac:dyDescent="0.3">
      <c r="A63" s="23">
        <v>53</v>
      </c>
      <c r="B63" s="23"/>
      <c r="C63" s="7" t="s">
        <v>62</v>
      </c>
      <c r="D63" s="23"/>
      <c r="E63" s="23">
        <v>-3361134</v>
      </c>
      <c r="F63" s="23"/>
      <c r="G63" s="23">
        <f>Adjustments!E54</f>
        <v>0</v>
      </c>
      <c r="H63" s="23"/>
      <c r="I63" s="23">
        <f t="shared" si="3"/>
        <v>-3361134</v>
      </c>
    </row>
    <row r="64" spans="1:9" x14ac:dyDescent="0.3">
      <c r="A64" s="23">
        <v>54</v>
      </c>
      <c r="B64" s="23"/>
      <c r="C64" s="82" t="s">
        <v>120</v>
      </c>
      <c r="D64" s="23"/>
      <c r="E64" s="32">
        <v>-6838657</v>
      </c>
      <c r="F64" s="32"/>
      <c r="G64" s="23">
        <f>Adjustments!E55</f>
        <v>0</v>
      </c>
      <c r="H64" s="32"/>
      <c r="I64" s="32">
        <f>SUM(E64:G64)</f>
        <v>-6838657</v>
      </c>
    </row>
    <row r="65" spans="1:9" x14ac:dyDescent="0.3">
      <c r="A65" s="23">
        <v>55</v>
      </c>
      <c r="B65" s="23"/>
      <c r="C65" s="7" t="s">
        <v>63</v>
      </c>
      <c r="D65" s="23"/>
      <c r="E65" s="74">
        <f>SUM(E58:E64)</f>
        <v>-943510251</v>
      </c>
      <c r="F65" s="74"/>
      <c r="G65" s="74">
        <f>SUM(G58:G64)</f>
        <v>1859169.8585394898</v>
      </c>
      <c r="H65" s="74"/>
      <c r="I65" s="74">
        <f>SUM(I58:I64)</f>
        <v>-941651081.14146054</v>
      </c>
    </row>
    <row r="66" spans="1:9" x14ac:dyDescent="0.3">
      <c r="A66" s="23">
        <v>56</v>
      </c>
      <c r="B66" s="23"/>
      <c r="C66" s="7"/>
      <c r="D66" s="23"/>
      <c r="E66" s="23"/>
      <c r="F66" s="23"/>
      <c r="G66" s="23"/>
      <c r="H66" s="23"/>
      <c r="I66" s="23"/>
    </row>
    <row r="67" spans="1:9" ht="16.2" thickBot="1" x14ac:dyDescent="0.35">
      <c r="A67" s="23">
        <v>57</v>
      </c>
      <c r="B67" s="23"/>
      <c r="C67" s="17" t="s">
        <v>139</v>
      </c>
      <c r="D67" s="23"/>
      <c r="E67" s="33">
        <f>E55+E65</f>
        <v>849625443</v>
      </c>
      <c r="F67" s="33"/>
      <c r="G67" s="33">
        <f>G55+G65</f>
        <v>-21726982.141460512</v>
      </c>
      <c r="H67" s="33"/>
      <c r="I67" s="33">
        <f>I55+I65</f>
        <v>827898460.85853946</v>
      </c>
    </row>
    <row r="68" spans="1:9" ht="16.2" thickTop="1" x14ac:dyDescent="0.3">
      <c r="A68" s="23"/>
      <c r="B68" s="23"/>
      <c r="C68" s="7"/>
      <c r="D68" s="23"/>
      <c r="E68" s="23"/>
      <c r="F68" s="23"/>
      <c r="G68" s="23"/>
      <c r="H68" s="23"/>
      <c r="I68" s="23"/>
    </row>
    <row r="69" spans="1:9" x14ac:dyDescent="0.3">
      <c r="C69" s="82" t="s">
        <v>456</v>
      </c>
    </row>
  </sheetData>
  <pageMargins left="0.7" right="0.7"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75"/>
  <sheetViews>
    <sheetView view="pageLayout" topLeftCell="D1" zoomScaleNormal="100" workbookViewId="0">
      <selection activeCell="C25" sqref="C25"/>
    </sheetView>
  </sheetViews>
  <sheetFormatPr defaultRowHeight="15.6" x14ac:dyDescent="0.3"/>
  <cols>
    <col min="1" max="1" width="5.09765625" customWidth="1"/>
    <col min="2" max="2" width="1.3984375" customWidth="1"/>
    <col min="3" max="3" width="26.59765625" customWidth="1"/>
    <col min="4" max="4" width="7" customWidth="1"/>
    <col min="5" max="5" width="14.09765625" customWidth="1"/>
    <col min="6" max="6" width="1.09765625" customWidth="1"/>
    <col min="7" max="10" width="13.19921875" customWidth="1"/>
    <col min="11" max="11" width="12" customWidth="1"/>
    <col min="12" max="12" width="11.69921875" customWidth="1"/>
    <col min="13" max="13" width="13.19921875" customWidth="1"/>
    <col min="14" max="17" width="12.19921875" customWidth="1"/>
    <col min="18" max="18" width="12.5" customWidth="1"/>
    <col min="21" max="21" width="10.09765625" bestFit="1" customWidth="1"/>
  </cols>
  <sheetData>
    <row r="1" spans="1:18" x14ac:dyDescent="0.3">
      <c r="A1" s="7"/>
      <c r="B1" s="7"/>
      <c r="C1" s="7"/>
      <c r="D1" s="7"/>
      <c r="E1" s="7"/>
      <c r="F1" s="7"/>
      <c r="G1" s="24"/>
      <c r="H1" s="25"/>
      <c r="M1" s="24"/>
      <c r="N1" s="24"/>
      <c r="O1" s="24"/>
      <c r="P1" s="24"/>
      <c r="Q1" s="24"/>
      <c r="R1" s="24"/>
    </row>
    <row r="2" spans="1:18" x14ac:dyDescent="0.3">
      <c r="B2" s="7"/>
      <c r="C2" s="7"/>
      <c r="D2" s="7"/>
      <c r="E2" s="7"/>
      <c r="F2" s="7"/>
      <c r="I2" s="23"/>
      <c r="J2" s="23"/>
      <c r="K2" s="23"/>
      <c r="L2" s="23"/>
      <c r="M2" s="23"/>
      <c r="N2" s="23"/>
      <c r="O2" s="23"/>
      <c r="P2" s="23"/>
      <c r="Q2" s="23"/>
      <c r="R2" s="23"/>
    </row>
    <row r="3" spans="1:18" x14ac:dyDescent="0.3">
      <c r="B3" s="7"/>
      <c r="C3" s="7"/>
      <c r="D3" s="7"/>
      <c r="F3" s="7"/>
      <c r="G3" s="24">
        <v>0.35</v>
      </c>
      <c r="H3" s="25" t="s">
        <v>13</v>
      </c>
      <c r="I3" s="27"/>
      <c r="J3" s="27"/>
      <c r="K3" s="27"/>
      <c r="L3" s="27"/>
      <c r="M3" s="27"/>
      <c r="N3" s="27"/>
      <c r="O3" s="27"/>
      <c r="P3" s="27"/>
      <c r="Q3" s="27"/>
      <c r="R3" s="27"/>
    </row>
    <row r="4" spans="1:18" x14ac:dyDescent="0.3">
      <c r="A4" s="99"/>
      <c r="B4" s="98"/>
      <c r="C4" s="98"/>
      <c r="D4" s="100"/>
      <c r="E4" s="53" t="s">
        <v>4</v>
      </c>
      <c r="F4" s="29"/>
      <c r="G4" s="30" t="s">
        <v>372</v>
      </c>
      <c r="H4" s="30" t="s">
        <v>403</v>
      </c>
      <c r="I4" s="30" t="s">
        <v>275</v>
      </c>
      <c r="J4" s="30" t="s">
        <v>244</v>
      </c>
      <c r="K4" s="30" t="s">
        <v>176</v>
      </c>
      <c r="L4" s="30" t="s">
        <v>178</v>
      </c>
      <c r="M4" s="28" t="s">
        <v>274</v>
      </c>
      <c r="N4" s="28" t="s">
        <v>405</v>
      </c>
      <c r="O4" s="28" t="s">
        <v>425</v>
      </c>
      <c r="P4" s="28" t="s">
        <v>504</v>
      </c>
      <c r="Q4" s="28" t="s">
        <v>506</v>
      </c>
      <c r="R4" s="28" t="s">
        <v>467</v>
      </c>
    </row>
    <row r="5" spans="1:18" x14ac:dyDescent="0.3">
      <c r="A5" s="23"/>
      <c r="B5" s="23"/>
      <c r="C5" s="31"/>
      <c r="E5" s="53" t="s">
        <v>231</v>
      </c>
      <c r="F5" s="23"/>
      <c r="G5" s="28" t="s">
        <v>374</v>
      </c>
      <c r="H5" s="28" t="s">
        <v>404</v>
      </c>
      <c r="I5" s="28" t="s">
        <v>276</v>
      </c>
      <c r="J5" s="28" t="s">
        <v>245</v>
      </c>
      <c r="K5" s="28" t="s">
        <v>177</v>
      </c>
      <c r="L5" s="28" t="s">
        <v>140</v>
      </c>
      <c r="M5" s="28" t="s">
        <v>140</v>
      </c>
      <c r="N5" s="28" t="s">
        <v>406</v>
      </c>
      <c r="O5" s="28" t="s">
        <v>100</v>
      </c>
      <c r="P5" s="28" t="s">
        <v>505</v>
      </c>
      <c r="Q5" s="28" t="s">
        <v>507</v>
      </c>
      <c r="R5" s="28" t="s">
        <v>468</v>
      </c>
    </row>
    <row r="6" spans="1:18" x14ac:dyDescent="0.3">
      <c r="A6" s="23"/>
      <c r="B6" s="23"/>
      <c r="C6" s="23"/>
      <c r="D6" s="100"/>
      <c r="E6" s="53" t="s">
        <v>14</v>
      </c>
      <c r="F6" s="23"/>
      <c r="G6" s="28" t="s">
        <v>401</v>
      </c>
      <c r="H6" s="28" t="s">
        <v>402</v>
      </c>
      <c r="I6" s="28" t="s">
        <v>474</v>
      </c>
      <c r="J6" s="28" t="s">
        <v>475</v>
      </c>
      <c r="K6" s="28" t="s">
        <v>476</v>
      </c>
      <c r="L6" s="28" t="s">
        <v>564</v>
      </c>
      <c r="M6" s="28" t="s">
        <v>477</v>
      </c>
      <c r="N6" s="28" t="s">
        <v>478</v>
      </c>
      <c r="O6" s="28" t="s">
        <v>479</v>
      </c>
      <c r="P6" s="228" t="s">
        <v>136</v>
      </c>
      <c r="Q6" s="228" t="s">
        <v>136</v>
      </c>
      <c r="R6" s="28" t="s">
        <v>480</v>
      </c>
    </row>
    <row r="7" spans="1:18" x14ac:dyDescent="0.3">
      <c r="A7" s="23">
        <v>1</v>
      </c>
      <c r="B7" s="23"/>
      <c r="C7" s="50" t="s">
        <v>15</v>
      </c>
      <c r="D7" s="23"/>
      <c r="E7" s="23"/>
      <c r="F7" s="23"/>
      <c r="G7" s="23"/>
      <c r="H7" s="23"/>
      <c r="I7" s="53"/>
      <c r="J7" s="23"/>
      <c r="K7" s="23"/>
      <c r="L7" s="23"/>
      <c r="M7" s="23"/>
      <c r="N7" s="23"/>
      <c r="O7" s="23"/>
      <c r="P7" s="23"/>
      <c r="Q7" s="23"/>
      <c r="R7" s="23"/>
    </row>
    <row r="8" spans="1:18" x14ac:dyDescent="0.3">
      <c r="A8" s="23">
        <v>2</v>
      </c>
      <c r="B8" s="23"/>
      <c r="C8" s="23" t="s">
        <v>16</v>
      </c>
      <c r="D8" s="23"/>
      <c r="E8" s="23">
        <f>SUM(G8:R8)</f>
        <v>0</v>
      </c>
      <c r="F8" s="23"/>
      <c r="G8" s="23"/>
      <c r="H8" s="23"/>
      <c r="I8" s="23"/>
      <c r="J8" s="23"/>
      <c r="K8" s="23"/>
      <c r="L8" s="23"/>
      <c r="M8" s="23"/>
      <c r="N8" s="23"/>
      <c r="O8" s="23"/>
      <c r="P8" s="23"/>
      <c r="Q8" s="23"/>
      <c r="R8" s="23"/>
    </row>
    <row r="9" spans="1:18" x14ac:dyDescent="0.3">
      <c r="A9" s="23">
        <v>3</v>
      </c>
      <c r="B9" s="23"/>
      <c r="C9" s="23" t="s">
        <v>17</v>
      </c>
      <c r="D9" s="23"/>
      <c r="E9" s="23">
        <f>SUM(G9:R9)</f>
        <v>0</v>
      </c>
      <c r="F9" s="23"/>
      <c r="G9" s="23"/>
      <c r="H9" s="23"/>
      <c r="I9" s="23"/>
      <c r="J9" s="23"/>
      <c r="K9" s="23"/>
      <c r="L9" s="23"/>
      <c r="M9" s="23"/>
      <c r="N9" s="23"/>
      <c r="O9" s="23"/>
      <c r="P9" s="23"/>
      <c r="Q9" s="23"/>
      <c r="R9" s="23"/>
    </row>
    <row r="10" spans="1:18" x14ac:dyDescent="0.3">
      <c r="A10" s="23">
        <v>4</v>
      </c>
      <c r="B10" s="23"/>
      <c r="C10" s="23" t="s">
        <v>18</v>
      </c>
      <c r="D10" s="23"/>
      <c r="E10" s="23">
        <f>SUM(G10:R10)</f>
        <v>0</v>
      </c>
      <c r="F10" s="23"/>
      <c r="G10" s="23"/>
      <c r="H10" s="23"/>
      <c r="I10" s="23"/>
      <c r="J10" s="23"/>
      <c r="K10" s="23"/>
      <c r="L10" s="23"/>
      <c r="M10" s="23"/>
      <c r="N10" s="23"/>
      <c r="O10" s="23"/>
      <c r="P10" s="23"/>
      <c r="Q10" s="23"/>
      <c r="R10" s="23"/>
    </row>
    <row r="11" spans="1:18" x14ac:dyDescent="0.3">
      <c r="A11" s="23">
        <v>5</v>
      </c>
      <c r="B11" s="23"/>
      <c r="C11" s="23" t="s">
        <v>19</v>
      </c>
      <c r="D11" s="23"/>
      <c r="E11" s="32">
        <f>SUM(G11:R11)</f>
        <v>-84747</v>
      </c>
      <c r="F11" s="32"/>
      <c r="G11" s="32"/>
      <c r="H11" s="32"/>
      <c r="I11" s="32"/>
      <c r="J11" s="32"/>
      <c r="K11" s="32"/>
      <c r="L11" s="32"/>
      <c r="M11" s="32"/>
      <c r="N11" s="32"/>
      <c r="O11" s="32"/>
      <c r="P11" s="32">
        <f>-84747</f>
        <v>-84747</v>
      </c>
      <c r="Q11" s="32"/>
      <c r="R11" s="32"/>
    </row>
    <row r="12" spans="1:18" x14ac:dyDescent="0.3">
      <c r="A12" s="23">
        <v>6</v>
      </c>
      <c r="B12" s="23"/>
      <c r="C12" s="23" t="s">
        <v>20</v>
      </c>
      <c r="D12" s="23"/>
      <c r="E12" s="32">
        <f>SUM(E8:E11)</f>
        <v>-84747</v>
      </c>
      <c r="F12" s="32"/>
      <c r="G12" s="32">
        <f t="shared" ref="G12:M12" si="0">SUM(G8:G11)</f>
        <v>0</v>
      </c>
      <c r="H12" s="32"/>
      <c r="I12" s="32">
        <f t="shared" ref="I12" si="1">SUM(I8:I11)</f>
        <v>0</v>
      </c>
      <c r="J12" s="32">
        <f t="shared" si="0"/>
        <v>0</v>
      </c>
      <c r="K12" s="32">
        <f t="shared" si="0"/>
        <v>0</v>
      </c>
      <c r="L12" s="32">
        <f t="shared" ref="L12" si="2">SUM(L8:L11)</f>
        <v>0</v>
      </c>
      <c r="M12" s="32">
        <f t="shared" si="0"/>
        <v>0</v>
      </c>
      <c r="N12" s="32">
        <f>SUM(N8:N11)</f>
        <v>0</v>
      </c>
      <c r="O12" s="32">
        <f>SUM(O8:O11)</f>
        <v>0</v>
      </c>
      <c r="P12" s="32">
        <f t="shared" ref="P12:Q12" si="3">SUM(P8:P11)</f>
        <v>-84747</v>
      </c>
      <c r="Q12" s="32">
        <f t="shared" si="3"/>
        <v>0</v>
      </c>
      <c r="R12" s="32">
        <f>SUM(R8:R11)</f>
        <v>0</v>
      </c>
    </row>
    <row r="13" spans="1:18" x14ac:dyDescent="0.3">
      <c r="A13" s="23">
        <v>7</v>
      </c>
      <c r="B13" s="23"/>
      <c r="C13" s="50" t="s">
        <v>21</v>
      </c>
      <c r="D13" s="23"/>
      <c r="E13" s="23"/>
      <c r="F13" s="23"/>
      <c r="G13" s="23"/>
      <c r="H13" s="23"/>
      <c r="I13" s="23"/>
      <c r="J13" s="23"/>
      <c r="K13" s="23"/>
      <c r="L13" s="23"/>
      <c r="M13" s="23"/>
      <c r="N13" s="23"/>
      <c r="O13" s="23"/>
      <c r="P13" s="23"/>
      <c r="Q13" s="23"/>
      <c r="R13" s="23"/>
    </row>
    <row r="14" spans="1:18" x14ac:dyDescent="0.3">
      <c r="A14" s="23">
        <v>8</v>
      </c>
      <c r="B14" s="23"/>
      <c r="C14" s="23" t="s">
        <v>22</v>
      </c>
      <c r="D14" s="23"/>
      <c r="E14" s="23">
        <f t="shared" ref="E14:E23" si="4">SUM(G14:R14)</f>
        <v>-714482.27425954887</v>
      </c>
      <c r="F14" s="23"/>
      <c r="G14" s="23"/>
      <c r="H14" s="23"/>
      <c r="I14" s="23"/>
      <c r="J14" s="23">
        <f>SUM(LaborEscP2!H9:H18)</f>
        <v>-124968.11533418519</v>
      </c>
      <c r="K14" s="23">
        <f>SUM(EmployeeP4!F8:F17)</f>
        <v>-69134.681687181321</v>
      </c>
      <c r="L14" s="23">
        <f>SUM(PensionP2!F8:F17)</f>
        <v>-139418.56431987471</v>
      </c>
      <c r="M14" s="23">
        <f>SUM(OPEBp2!F8:F17)</f>
        <v>-18432.912918307684</v>
      </c>
      <c r="N14" s="23">
        <f>-362528</f>
        <v>-362528</v>
      </c>
      <c r="O14" s="23"/>
      <c r="P14" s="23"/>
      <c r="Q14" s="23"/>
      <c r="R14" s="23"/>
    </row>
    <row r="15" spans="1:18" x14ac:dyDescent="0.3">
      <c r="A15" s="23">
        <v>9</v>
      </c>
      <c r="B15" s="23"/>
      <c r="C15" s="23" t="s">
        <v>23</v>
      </c>
      <c r="D15" s="23"/>
      <c r="E15" s="23">
        <f t="shared" si="4"/>
        <v>0</v>
      </c>
      <c r="F15" s="23"/>
      <c r="G15" s="23"/>
      <c r="H15" s="23"/>
      <c r="I15" s="23"/>
      <c r="K15" s="23"/>
      <c r="L15" s="23"/>
      <c r="M15" s="23"/>
      <c r="N15" s="23"/>
      <c r="O15" s="23"/>
      <c r="P15" s="23"/>
      <c r="Q15" s="23"/>
      <c r="R15" s="23"/>
    </row>
    <row r="16" spans="1:18" x14ac:dyDescent="0.3">
      <c r="A16" s="23">
        <v>10</v>
      </c>
      <c r="B16" s="23"/>
      <c r="C16" s="23" t="s">
        <v>24</v>
      </c>
      <c r="D16" s="23"/>
      <c r="E16" s="23">
        <f t="shared" si="4"/>
        <v>-357045.4933003771</v>
      </c>
      <c r="F16" s="23"/>
      <c r="G16" s="23"/>
      <c r="H16" s="23"/>
      <c r="I16" s="23"/>
      <c r="J16" s="23">
        <f>SUM(LaborEscP2!H19:H22)</f>
        <v>-57798.336172259675</v>
      </c>
      <c r="K16" s="23">
        <f>SUM(EmployeeP4!F18:F21)</f>
        <v>-31975.11271280887</v>
      </c>
      <c r="L16" s="23">
        <f>SUM(PensionP2!F18:F21)</f>
        <v>-64481.73622259633</v>
      </c>
      <c r="M16" s="23">
        <f>SUM(OPEBp2!F18:F21)</f>
        <v>-8525.3081927122257</v>
      </c>
      <c r="N16" s="23">
        <f>-26033-168232</f>
        <v>-194265</v>
      </c>
      <c r="O16" s="23"/>
      <c r="P16" s="23"/>
      <c r="Q16" s="23"/>
      <c r="R16" s="23"/>
    </row>
    <row r="17" spans="1:21" x14ac:dyDescent="0.3">
      <c r="A17" s="23">
        <v>11</v>
      </c>
      <c r="B17" s="23"/>
      <c r="C17" s="23" t="s">
        <v>25</v>
      </c>
      <c r="D17" s="23"/>
      <c r="E17" s="23">
        <f t="shared" si="4"/>
        <v>-578462.58476291271</v>
      </c>
      <c r="F17" s="23"/>
      <c r="G17" s="23"/>
      <c r="H17" s="23"/>
      <c r="I17" s="23"/>
      <c r="J17" s="23">
        <f>SUM(LaborEscP2!H23:H32)</f>
        <v>-69737.214734645517</v>
      </c>
      <c r="K17" s="54">
        <f>SUM(EmployeeP4!F22:F31)</f>
        <v>-38579.922002804255</v>
      </c>
      <c r="L17" s="54">
        <f>SUM(PensionP2!F22:F31)</f>
        <v>-77801.144171623833</v>
      </c>
      <c r="M17" s="54">
        <f>SUM(OPEBp2!F22:F31)</f>
        <v>-10286.303853839112</v>
      </c>
      <c r="N17" s="23">
        <v>-382058</v>
      </c>
      <c r="O17" s="23"/>
      <c r="P17" s="23"/>
      <c r="Q17" s="23"/>
      <c r="R17" s="23"/>
    </row>
    <row r="18" spans="1:21" x14ac:dyDescent="0.3">
      <c r="A18" s="23">
        <v>12</v>
      </c>
      <c r="B18" s="23"/>
      <c r="C18" s="23" t="s">
        <v>26</v>
      </c>
      <c r="D18" s="23"/>
      <c r="E18" s="23">
        <f t="shared" si="4"/>
        <v>-249399.9355830565</v>
      </c>
      <c r="F18" s="23"/>
      <c r="G18" s="23"/>
      <c r="H18" s="23"/>
      <c r="I18" s="23"/>
      <c r="J18" s="23">
        <f>SUM(LaborEscP2!H33:H40)</f>
        <v>-36026.006203926969</v>
      </c>
      <c r="K18" s="23">
        <f>SUM(EmployeeP4!F32:F39)</f>
        <v>-19930.255527247886</v>
      </c>
      <c r="L18" s="23">
        <f>SUM(PensionP2!F32:F39)</f>
        <v>-40191.804523088642</v>
      </c>
      <c r="M18" s="23">
        <f>SUM(OPEBp2!F32:F39)</f>
        <v>-5313.86932879301</v>
      </c>
      <c r="N18" s="23">
        <f>1513-149451</f>
        <v>-147938</v>
      </c>
      <c r="O18" s="23"/>
      <c r="P18" s="23"/>
      <c r="Q18" s="23"/>
      <c r="R18" s="23"/>
    </row>
    <row r="19" spans="1:21" x14ac:dyDescent="0.3">
      <c r="A19" s="23">
        <v>13</v>
      </c>
      <c r="B19" s="23"/>
      <c r="C19" s="23" t="s">
        <v>27</v>
      </c>
      <c r="D19" s="23"/>
      <c r="E19" s="23">
        <f t="shared" si="4"/>
        <v>-575691.17200961523</v>
      </c>
      <c r="F19" s="23"/>
      <c r="G19" s="23"/>
      <c r="H19" s="23"/>
      <c r="I19" s="23"/>
      <c r="J19" s="23">
        <f>SUM(LaborEscP2!H41:H57)</f>
        <v>-143324.09039384787</v>
      </c>
      <c r="K19" s="23">
        <f>SUM(EmployeeP4!F40:F56)</f>
        <v>-79289.54790576821</v>
      </c>
      <c r="L19" s="23">
        <f>SUM(PensionP2!F40:F56)</f>
        <v>-159897.09744543169</v>
      </c>
      <c r="M19" s="23">
        <f>SUM(OPEBp2!F40:F56)</f>
        <v>-21140.43626456739</v>
      </c>
      <c r="N19" s="23">
        <f>70148-242188</f>
        <v>-172040</v>
      </c>
      <c r="O19" s="23"/>
      <c r="P19" s="23"/>
      <c r="Q19" s="23"/>
      <c r="R19" s="23"/>
      <c r="U19" s="6"/>
    </row>
    <row r="20" spans="1:21" x14ac:dyDescent="0.3">
      <c r="A20" s="23">
        <v>14</v>
      </c>
      <c r="B20" s="23"/>
      <c r="C20" s="23" t="s">
        <v>28</v>
      </c>
      <c r="D20" s="23"/>
      <c r="E20" s="23">
        <f t="shared" si="4"/>
        <v>-296277.69917537039</v>
      </c>
      <c r="F20" s="23"/>
      <c r="G20" s="23"/>
      <c r="H20" s="23"/>
      <c r="I20" s="23"/>
      <c r="J20" s="23">
        <f>SUM(LaborEscP2!H58:H65)</f>
        <v>-77592.095744822815</v>
      </c>
      <c r="K20" s="23">
        <f>SUM(EmployeeP4!F57:F64)</f>
        <v>-42925.388019292543</v>
      </c>
      <c r="L20" s="23">
        <f>SUM(PensionP2!F57:F64)</f>
        <v>-86564.309323101363</v>
      </c>
      <c r="M20" s="23">
        <f>SUM(OPEBp2!F57:F64)</f>
        <v>-11444.906088153664</v>
      </c>
      <c r="N20" s="23">
        <f>-119811</f>
        <v>-119811</v>
      </c>
      <c r="O20" s="23"/>
      <c r="P20" s="23"/>
      <c r="Q20" s="23">
        <v>42060</v>
      </c>
      <c r="R20" s="23"/>
    </row>
    <row r="21" spans="1:21" x14ac:dyDescent="0.3">
      <c r="A21" s="23">
        <v>15</v>
      </c>
      <c r="B21" s="23"/>
      <c r="C21" s="23" t="s">
        <v>29</v>
      </c>
      <c r="D21" s="23"/>
      <c r="E21" s="23">
        <f t="shared" si="4"/>
        <v>-40612.066244954069</v>
      </c>
      <c r="F21" s="23"/>
      <c r="G21" s="23"/>
      <c r="H21" s="23"/>
      <c r="I21" s="23"/>
      <c r="J21" s="23">
        <f>SUM(LaborEscP2!H66:H73)</f>
        <v>-11906.203243898477</v>
      </c>
      <c r="K21" s="23">
        <f>SUM(EmployeeP4!F65:F72)</f>
        <v>-6586.7326971252869</v>
      </c>
      <c r="L21" s="23">
        <f>SUM(PensionP2!F65:F72)</f>
        <v>-13282.95428258627</v>
      </c>
      <c r="M21" s="23">
        <f>SUM(OPEBp2!F65:F72)</f>
        <v>-1756.1760213440334</v>
      </c>
      <c r="N21" s="23">
        <f>990-8070</f>
        <v>-7080</v>
      </c>
      <c r="O21" s="23"/>
      <c r="P21" s="23"/>
      <c r="Q21" s="23"/>
      <c r="R21" s="23"/>
    </row>
    <row r="22" spans="1:21" x14ac:dyDescent="0.3">
      <c r="A22" s="23">
        <v>16</v>
      </c>
      <c r="B22" s="23"/>
      <c r="C22" s="23" t="s">
        <v>30</v>
      </c>
      <c r="D22" s="23"/>
      <c r="E22" s="23">
        <f t="shared" si="4"/>
        <v>0</v>
      </c>
      <c r="F22" s="23"/>
      <c r="G22" s="23"/>
      <c r="H22" s="23"/>
      <c r="I22" s="23"/>
      <c r="J22" s="23"/>
      <c r="K22" s="23"/>
      <c r="L22" s="23"/>
      <c r="M22" s="23"/>
      <c r="N22" s="23"/>
      <c r="O22" s="23"/>
      <c r="P22" s="23"/>
      <c r="Q22" s="23"/>
      <c r="R22" s="23"/>
    </row>
    <row r="23" spans="1:21" x14ac:dyDescent="0.3">
      <c r="A23" s="23">
        <v>17</v>
      </c>
      <c r="B23" s="23"/>
      <c r="C23" s="23" t="s">
        <v>31</v>
      </c>
      <c r="D23" s="23"/>
      <c r="E23" s="32">
        <f t="shared" si="4"/>
        <v>-737210.81579848134</v>
      </c>
      <c r="F23" s="32"/>
      <c r="G23" s="32"/>
      <c r="H23" s="32"/>
      <c r="I23" s="32"/>
      <c r="J23" s="32">
        <f>SUM(LaborEscP2!H74:H89)</f>
        <v>-161262.05885560677</v>
      </c>
      <c r="K23" s="75">
        <f>SUM(EmployeeP4!F73:F87)</f>
        <v>-89213.165113261988</v>
      </c>
      <c r="L23" s="75">
        <f>SUM(PensionP2!F73:F87)</f>
        <v>-179909.28857967269</v>
      </c>
      <c r="M23" s="75">
        <f>SUM(OPEBp2!F73:F87)</f>
        <v>-23786.303249939923</v>
      </c>
      <c r="N23" s="32">
        <v>-54573</v>
      </c>
      <c r="O23" s="32">
        <f>LiabP1!M14</f>
        <v>-228467</v>
      </c>
      <c r="P23" s="32"/>
      <c r="Q23" s="32"/>
      <c r="R23" s="32"/>
    </row>
    <row r="24" spans="1:21" x14ac:dyDescent="0.3">
      <c r="A24" s="23">
        <v>18</v>
      </c>
      <c r="B24" s="23"/>
      <c r="C24" s="26" t="s">
        <v>32</v>
      </c>
      <c r="D24" s="23"/>
      <c r="E24" s="23">
        <f>SUM(E14:E23)</f>
        <v>-3549182.0411343165</v>
      </c>
      <c r="F24" s="23"/>
      <c r="G24" s="23">
        <f t="shared" ref="G24:M24" si="5">SUM(G14:G23)</f>
        <v>0</v>
      </c>
      <c r="H24" s="23">
        <f t="shared" si="5"/>
        <v>0</v>
      </c>
      <c r="I24" s="23">
        <f t="shared" ref="I24" si="6">SUM(I14:I23)</f>
        <v>0</v>
      </c>
      <c r="J24" s="23">
        <f t="shared" si="5"/>
        <v>-682614.12068319332</v>
      </c>
      <c r="K24" s="23">
        <f t="shared" si="5"/>
        <v>-377634.80566549033</v>
      </c>
      <c r="L24" s="23">
        <f t="shared" ref="L24" si="7">SUM(L14:L23)</f>
        <v>-761546.89886797545</v>
      </c>
      <c r="M24" s="23">
        <f t="shared" si="5"/>
        <v>-100686.21591765704</v>
      </c>
      <c r="N24" s="23">
        <f>SUM(N14:N23)</f>
        <v>-1440293</v>
      </c>
      <c r="O24" s="23">
        <f>SUM(O14:O23)</f>
        <v>-228467</v>
      </c>
      <c r="P24" s="23">
        <f t="shared" ref="P24:Q24" si="8">SUM(P14:P23)</f>
        <v>0</v>
      </c>
      <c r="Q24" s="23">
        <f t="shared" si="8"/>
        <v>42060</v>
      </c>
      <c r="R24" s="23">
        <f>SUM(R14:R23)</f>
        <v>0</v>
      </c>
    </row>
    <row r="25" spans="1:21" x14ac:dyDescent="0.3">
      <c r="A25" s="23">
        <v>19</v>
      </c>
      <c r="B25" s="23"/>
      <c r="C25" s="23" t="s">
        <v>33</v>
      </c>
      <c r="D25" s="23"/>
      <c r="E25" s="23">
        <f t="shared" ref="E25:E32" si="9">SUM(G25:R25)</f>
        <v>-387774.17411000002</v>
      </c>
      <c r="F25" s="23"/>
      <c r="G25" s="234">
        <f>PlantP1!M42</f>
        <v>-359611</v>
      </c>
      <c r="H25" s="23"/>
      <c r="I25" s="23">
        <f>Retire!M17</f>
        <v>-28163.17411</v>
      </c>
      <c r="J25" s="23"/>
      <c r="K25" s="23"/>
      <c r="L25" s="23"/>
      <c r="M25" s="23"/>
      <c r="N25" s="23"/>
      <c r="O25" s="23"/>
      <c r="P25" s="23"/>
      <c r="Q25" s="23"/>
      <c r="R25" s="23"/>
    </row>
    <row r="26" spans="1:21" x14ac:dyDescent="0.3">
      <c r="A26" s="23">
        <v>20</v>
      </c>
      <c r="B26" s="23"/>
      <c r="C26" s="23" t="s">
        <v>34</v>
      </c>
      <c r="D26" s="23"/>
      <c r="E26" s="23">
        <f t="shared" si="9"/>
        <v>0</v>
      </c>
      <c r="F26" s="23"/>
      <c r="G26" s="23"/>
      <c r="H26" s="23"/>
      <c r="I26" s="23"/>
      <c r="J26" s="23"/>
      <c r="K26" s="23"/>
      <c r="L26" s="23"/>
      <c r="M26" s="23"/>
      <c r="N26" s="23"/>
      <c r="O26" s="23"/>
      <c r="P26" s="23"/>
      <c r="Q26" s="23"/>
      <c r="R26" s="23"/>
    </row>
    <row r="27" spans="1:21" x14ac:dyDescent="0.3">
      <c r="A27" s="23">
        <v>21</v>
      </c>
      <c r="B27" s="23"/>
      <c r="C27" s="23" t="s">
        <v>35</v>
      </c>
      <c r="D27" s="23"/>
      <c r="E27" s="23">
        <f t="shared" si="9"/>
        <v>0</v>
      </c>
      <c r="F27" s="23"/>
      <c r="G27" s="23"/>
      <c r="H27" s="23"/>
      <c r="I27" s="23"/>
      <c r="J27" s="23"/>
      <c r="K27" s="23"/>
      <c r="L27" s="23"/>
      <c r="M27" s="23"/>
      <c r="N27" s="23"/>
      <c r="O27" s="23"/>
      <c r="P27" s="23"/>
      <c r="Q27" s="23"/>
      <c r="R27" s="23"/>
    </row>
    <row r="28" spans="1:21" x14ac:dyDescent="0.3">
      <c r="A28" s="23">
        <v>22</v>
      </c>
      <c r="B28" s="23"/>
      <c r="C28" s="23" t="s">
        <v>36</v>
      </c>
      <c r="D28" s="23"/>
      <c r="E28" s="23">
        <f t="shared" si="9"/>
        <v>2179223.6911609829</v>
      </c>
      <c r="F28" s="23"/>
      <c r="G28" s="23">
        <f t="shared" ref="G28:N28" si="10">(G12-G24-G32-G29-SUM(G25:G27))*$G$3</f>
        <v>125863.84999999999</v>
      </c>
      <c r="H28" s="23">
        <f>ADIT!I12</f>
        <v>1033432.4658254723</v>
      </c>
      <c r="I28" s="23">
        <f t="shared" si="10"/>
        <v>9857.1109385</v>
      </c>
      <c r="J28" s="23">
        <f t="shared" si="10"/>
        <v>238914.94223911763</v>
      </c>
      <c r="K28" s="23">
        <f t="shared" si="10"/>
        <v>132172.18198292161</v>
      </c>
      <c r="L28" s="23">
        <f t="shared" si="10"/>
        <v>266541.41460379137</v>
      </c>
      <c r="M28" s="23">
        <f t="shared" si="10"/>
        <v>35240.175571179963</v>
      </c>
      <c r="N28" s="23">
        <f t="shared" si="10"/>
        <v>504102.55</v>
      </c>
      <c r="O28" s="23">
        <f t="shared" ref="O28:Q28" si="11">(O12-O24-O32-O29-SUM(O25:O27))*$G$3</f>
        <v>79963.45</v>
      </c>
      <c r="P28" s="23">
        <f t="shared" si="11"/>
        <v>-29661.449999999997</v>
      </c>
      <c r="Q28" s="23">
        <f t="shared" si="11"/>
        <v>-14720.999999999998</v>
      </c>
      <c r="R28" s="23">
        <f>-IntSyn!E24</f>
        <v>-202482</v>
      </c>
    </row>
    <row r="29" spans="1:21" x14ac:dyDescent="0.3">
      <c r="A29" s="23">
        <v>23</v>
      </c>
      <c r="B29" s="23"/>
      <c r="C29" s="23" t="s">
        <v>37</v>
      </c>
      <c r="D29" s="23"/>
      <c r="E29" s="23">
        <f t="shared" si="9"/>
        <v>0</v>
      </c>
      <c r="F29" s="23"/>
      <c r="G29" s="23"/>
      <c r="H29" s="23"/>
      <c r="I29" s="23"/>
      <c r="J29" s="23"/>
      <c r="K29" s="23"/>
      <c r="L29" s="23"/>
      <c r="M29" s="23"/>
      <c r="N29" s="23"/>
      <c r="O29" s="23"/>
      <c r="P29" s="23"/>
      <c r="Q29" s="23"/>
      <c r="R29" s="23"/>
    </row>
    <row r="30" spans="1:21" x14ac:dyDescent="0.3">
      <c r="A30" s="23">
        <v>24</v>
      </c>
      <c r="B30" s="23"/>
      <c r="C30" s="23" t="s">
        <v>38</v>
      </c>
      <c r="D30" s="23"/>
      <c r="E30" s="23">
        <f t="shared" si="9"/>
        <v>-1120565.8925490435</v>
      </c>
      <c r="F30" s="23"/>
      <c r="G30" s="23"/>
      <c r="H30" s="23">
        <f>ADIT!I13</f>
        <v>-1120565.8925490435</v>
      </c>
      <c r="I30" s="23"/>
      <c r="J30" s="23"/>
      <c r="K30" s="23"/>
      <c r="L30" s="23"/>
      <c r="M30" s="23"/>
      <c r="N30" s="23"/>
      <c r="O30" s="23"/>
      <c r="P30" s="23"/>
      <c r="Q30" s="23"/>
      <c r="R30" s="23"/>
    </row>
    <row r="31" spans="1:21" x14ac:dyDescent="0.3">
      <c r="A31" s="23">
        <v>25</v>
      </c>
      <c r="B31" s="23"/>
      <c r="C31" s="54" t="s">
        <v>114</v>
      </c>
      <c r="D31" s="23"/>
      <c r="E31" s="23">
        <f t="shared" si="9"/>
        <v>0</v>
      </c>
      <c r="F31" s="23"/>
      <c r="G31" s="23"/>
      <c r="H31" s="23"/>
      <c r="I31" s="23"/>
      <c r="J31" s="23"/>
      <c r="K31" s="23"/>
      <c r="L31" s="23"/>
      <c r="M31" s="23"/>
      <c r="N31" s="23"/>
      <c r="O31" s="23"/>
      <c r="P31" s="23"/>
      <c r="Q31" s="23"/>
      <c r="R31" s="23"/>
    </row>
    <row r="32" spans="1:21" x14ac:dyDescent="0.3">
      <c r="A32" s="23">
        <v>26</v>
      </c>
      <c r="B32" s="23"/>
      <c r="C32" s="23" t="s">
        <v>40</v>
      </c>
      <c r="D32" s="23"/>
      <c r="E32" s="32">
        <f t="shared" si="9"/>
        <v>0</v>
      </c>
      <c r="F32" s="32"/>
      <c r="G32" s="32"/>
      <c r="H32" s="32"/>
      <c r="I32" s="32"/>
      <c r="J32" s="32"/>
      <c r="K32" s="32"/>
      <c r="L32" s="32"/>
      <c r="M32" s="32"/>
      <c r="N32" s="32"/>
      <c r="O32" s="32"/>
      <c r="P32" s="32"/>
      <c r="Q32" s="32"/>
      <c r="R32" s="32"/>
    </row>
    <row r="33" spans="1:18" x14ac:dyDescent="0.3">
      <c r="A33" s="23">
        <v>27</v>
      </c>
      <c r="B33" s="23"/>
      <c r="C33" s="26" t="s">
        <v>41</v>
      </c>
      <c r="D33" s="23"/>
      <c r="E33" s="32">
        <f>SUM(E24:E32)</f>
        <v>-2878298.4166323771</v>
      </c>
      <c r="F33" s="32"/>
      <c r="G33" s="32">
        <f t="shared" ref="G33:M33" si="12">SUM(G24:G32)</f>
        <v>-233747.15000000002</v>
      </c>
      <c r="H33" s="32">
        <f t="shared" ref="H33" si="13">SUM(H24:H32)</f>
        <v>-87133.426723571261</v>
      </c>
      <c r="I33" s="32">
        <f t="shared" ref="I33" si="14">SUM(I24:I32)</f>
        <v>-18306.063171499998</v>
      </c>
      <c r="J33" s="32">
        <f t="shared" si="12"/>
        <v>-443699.17844407569</v>
      </c>
      <c r="K33" s="32">
        <f>SUM(K24:K32)</f>
        <v>-245462.62368256872</v>
      </c>
      <c r="L33" s="32">
        <f t="shared" ref="L33" si="15">SUM(L24:L32)</f>
        <v>-495005.48426418408</v>
      </c>
      <c r="M33" s="32">
        <f t="shared" si="12"/>
        <v>-65446.040346477079</v>
      </c>
      <c r="N33" s="32">
        <f>SUM(N24:N32)</f>
        <v>-936190.45</v>
      </c>
      <c r="O33" s="32">
        <f>SUM(O24:O32)</f>
        <v>-148503.54999999999</v>
      </c>
      <c r="P33" s="32">
        <f t="shared" ref="P33:Q33" si="16">SUM(P24:P32)</f>
        <v>-29661.449999999997</v>
      </c>
      <c r="Q33" s="32">
        <f t="shared" si="16"/>
        <v>27339</v>
      </c>
      <c r="R33" s="32">
        <f>SUM(R24:R32)</f>
        <v>-202482</v>
      </c>
    </row>
    <row r="34" spans="1:18" ht="16.2" thickBot="1" x14ac:dyDescent="0.35">
      <c r="A34" s="23">
        <v>28</v>
      </c>
      <c r="B34" s="23"/>
      <c r="C34" s="50" t="s">
        <v>42</v>
      </c>
      <c r="D34" s="23"/>
      <c r="E34" s="33">
        <f>E12-E33</f>
        <v>2793551.4166323771</v>
      </c>
      <c r="F34" s="33"/>
      <c r="G34" s="33">
        <f t="shared" ref="G34:M34" si="17">G12-G33</f>
        <v>233747.15000000002</v>
      </c>
      <c r="H34" s="33">
        <f t="shared" ref="H34" si="18">H12-H33</f>
        <v>87133.426723571261</v>
      </c>
      <c r="I34" s="33">
        <f t="shared" ref="I34" si="19">I12-I33</f>
        <v>18306.063171499998</v>
      </c>
      <c r="J34" s="33">
        <f t="shared" si="17"/>
        <v>443699.17844407569</v>
      </c>
      <c r="K34" s="33">
        <f>K12-K33</f>
        <v>245462.62368256872</v>
      </c>
      <c r="L34" s="33">
        <f t="shared" ref="L34" si="20">L12-L33</f>
        <v>495005.48426418408</v>
      </c>
      <c r="M34" s="33">
        <f t="shared" si="17"/>
        <v>65446.040346477079</v>
      </c>
      <c r="N34" s="33">
        <f>N12-N33</f>
        <v>936190.45</v>
      </c>
      <c r="O34" s="33">
        <f>O12-O33</f>
        <v>148503.54999999999</v>
      </c>
      <c r="P34" s="33">
        <f t="shared" ref="P34:Q34" si="21">P12-P33</f>
        <v>-55085.55</v>
      </c>
      <c r="Q34" s="33">
        <f t="shared" si="21"/>
        <v>-27339</v>
      </c>
      <c r="R34" s="33">
        <f>R12-R33</f>
        <v>202482</v>
      </c>
    </row>
    <row r="35" spans="1:18" ht="16.2" thickTop="1" x14ac:dyDescent="0.3">
      <c r="A35" s="23">
        <v>29</v>
      </c>
      <c r="B35" s="23"/>
      <c r="C35" s="50" t="s">
        <v>43</v>
      </c>
      <c r="D35" s="23"/>
      <c r="E35" s="23"/>
      <c r="F35" s="23"/>
      <c r="G35" s="23"/>
      <c r="H35" s="23"/>
      <c r="I35" s="23"/>
      <c r="J35" s="23"/>
      <c r="K35" s="23"/>
      <c r="L35" s="23"/>
      <c r="M35" s="23"/>
      <c r="N35" s="23"/>
      <c r="O35" s="23"/>
      <c r="P35" s="23"/>
      <c r="Q35" s="23"/>
      <c r="R35" s="23"/>
    </row>
    <row r="36" spans="1:18" x14ac:dyDescent="0.3">
      <c r="A36" s="23">
        <v>30</v>
      </c>
      <c r="B36" s="23"/>
      <c r="C36" s="23" t="s">
        <v>44</v>
      </c>
      <c r="D36" s="23"/>
      <c r="E36" s="23">
        <f t="shared" ref="E36:E46" si="22">SUM(G36:R36)</f>
        <v>-23586152</v>
      </c>
      <c r="F36" s="23"/>
      <c r="G36" s="54">
        <f>PlantP1!M20</f>
        <v>-23586152</v>
      </c>
      <c r="H36" s="54"/>
      <c r="I36" s="54"/>
      <c r="J36" s="23"/>
      <c r="K36" s="54"/>
      <c r="L36" s="23"/>
      <c r="M36" s="23"/>
      <c r="N36" s="23"/>
      <c r="O36" s="23"/>
      <c r="P36" s="23"/>
      <c r="Q36" s="23"/>
      <c r="R36" s="23"/>
    </row>
    <row r="37" spans="1:18" x14ac:dyDescent="0.3">
      <c r="A37" s="23">
        <v>31</v>
      </c>
      <c r="B37" s="23"/>
      <c r="C37" s="23" t="s">
        <v>45</v>
      </c>
      <c r="D37" s="23"/>
      <c r="E37" s="23">
        <f t="shared" si="22"/>
        <v>0</v>
      </c>
      <c r="F37" s="23"/>
      <c r="G37" s="23"/>
      <c r="H37" s="23"/>
      <c r="I37" s="23"/>
      <c r="J37" s="23"/>
      <c r="K37" s="23"/>
      <c r="L37" s="23"/>
      <c r="M37" s="23"/>
      <c r="N37" s="23"/>
      <c r="O37" s="23"/>
      <c r="P37" s="23"/>
      <c r="Q37" s="23"/>
      <c r="R37" s="23"/>
    </row>
    <row r="38" spans="1:18" x14ac:dyDescent="0.3">
      <c r="A38" s="23">
        <v>32</v>
      </c>
      <c r="B38" s="23"/>
      <c r="C38" s="23" t="s">
        <v>46</v>
      </c>
      <c r="D38" s="23"/>
      <c r="E38" s="23">
        <f t="shared" si="22"/>
        <v>0</v>
      </c>
      <c r="F38" s="23"/>
      <c r="G38" s="23"/>
      <c r="H38" s="23"/>
      <c r="I38" s="23"/>
      <c r="J38" s="23"/>
      <c r="K38" s="23"/>
      <c r="L38" s="23"/>
      <c r="M38" s="23"/>
      <c r="N38" s="23"/>
      <c r="O38" s="23"/>
      <c r="P38" s="23"/>
      <c r="Q38" s="23"/>
      <c r="R38" s="23"/>
    </row>
    <row r="39" spans="1:18" x14ac:dyDescent="0.3">
      <c r="A39" s="23">
        <v>33</v>
      </c>
      <c r="B39" s="23"/>
      <c r="C39" s="23" t="s">
        <v>47</v>
      </c>
      <c r="D39" s="23"/>
      <c r="E39" s="23">
        <f t="shared" si="22"/>
        <v>0</v>
      </c>
      <c r="F39" s="23"/>
      <c r="G39" s="23"/>
      <c r="H39" s="23"/>
      <c r="I39" s="23"/>
      <c r="J39" s="23"/>
      <c r="K39" s="23"/>
      <c r="L39" s="23"/>
      <c r="M39" s="23"/>
      <c r="N39" s="23"/>
      <c r="O39" s="23"/>
      <c r="P39" s="23"/>
      <c r="Q39" s="23"/>
      <c r="R39" s="23"/>
    </row>
    <row r="40" spans="1:18" x14ac:dyDescent="0.3">
      <c r="A40" s="23">
        <v>34</v>
      </c>
      <c r="B40" s="23"/>
      <c r="C40" s="23" t="s">
        <v>48</v>
      </c>
      <c r="D40" s="23"/>
      <c r="E40" s="23">
        <f t="shared" si="22"/>
        <v>0</v>
      </c>
      <c r="F40" s="23"/>
      <c r="G40" s="23"/>
      <c r="H40" s="23"/>
      <c r="I40" s="23"/>
      <c r="J40" s="23"/>
      <c r="K40" s="23"/>
      <c r="L40" s="23"/>
      <c r="M40" s="23"/>
      <c r="N40" s="23"/>
      <c r="O40" s="23"/>
      <c r="P40" s="23"/>
      <c r="Q40" s="23"/>
      <c r="R40" s="23"/>
    </row>
    <row r="41" spans="1:18" x14ac:dyDescent="0.3">
      <c r="A41" s="23">
        <v>35</v>
      </c>
      <c r="B41" s="23"/>
      <c r="C41" s="23" t="s">
        <v>49</v>
      </c>
      <c r="D41" s="23"/>
      <c r="E41" s="23">
        <f t="shared" si="22"/>
        <v>0</v>
      </c>
      <c r="F41" s="23"/>
      <c r="G41" s="23"/>
      <c r="H41" s="23"/>
      <c r="I41" s="23"/>
      <c r="J41" s="23"/>
      <c r="K41" s="23"/>
      <c r="L41" s="23"/>
      <c r="M41" s="23"/>
      <c r="N41" s="23"/>
      <c r="O41" s="23"/>
      <c r="P41" s="23"/>
      <c r="Q41" s="23"/>
      <c r="R41" s="23"/>
    </row>
    <row r="42" spans="1:18" x14ac:dyDescent="0.3">
      <c r="A42" s="23">
        <v>36</v>
      </c>
      <c r="B42" s="23"/>
      <c r="C42" s="23" t="s">
        <v>50</v>
      </c>
      <c r="D42" s="23"/>
      <c r="E42" s="23">
        <f t="shared" si="22"/>
        <v>0</v>
      </c>
      <c r="F42" s="23"/>
      <c r="G42" s="23"/>
      <c r="H42" s="23"/>
      <c r="I42" s="23"/>
      <c r="J42" s="23"/>
      <c r="K42" s="23"/>
      <c r="L42" s="23"/>
      <c r="M42" s="23"/>
      <c r="N42" s="23"/>
      <c r="O42" s="23"/>
      <c r="P42" s="23"/>
      <c r="Q42" s="23"/>
      <c r="R42" s="23"/>
    </row>
    <row r="43" spans="1:18" x14ac:dyDescent="0.3">
      <c r="A43" s="23">
        <v>37</v>
      </c>
      <c r="B43" s="23"/>
      <c r="C43" s="23" t="s">
        <v>51</v>
      </c>
      <c r="D43" s="23"/>
      <c r="E43" s="23">
        <f t="shared" si="22"/>
        <v>0</v>
      </c>
      <c r="F43" s="23"/>
      <c r="G43" s="23"/>
      <c r="H43" s="23"/>
      <c r="I43" s="23"/>
      <c r="J43" s="23"/>
      <c r="K43" s="23"/>
      <c r="L43" s="23"/>
      <c r="M43" s="23"/>
      <c r="N43" s="23"/>
      <c r="O43" s="23"/>
      <c r="P43" s="23"/>
      <c r="Q43" s="23"/>
      <c r="R43" s="23"/>
    </row>
    <row r="44" spans="1:18" x14ac:dyDescent="0.3">
      <c r="A44" s="23">
        <v>38</v>
      </c>
      <c r="B44" s="23"/>
      <c r="C44" s="54" t="s">
        <v>115</v>
      </c>
      <c r="D44" s="23"/>
      <c r="E44" s="23">
        <f t="shared" si="22"/>
        <v>0</v>
      </c>
      <c r="F44" s="23"/>
      <c r="G44" s="23"/>
      <c r="H44" s="23"/>
      <c r="I44" s="23"/>
      <c r="J44" s="23"/>
      <c r="K44" s="23"/>
      <c r="L44" s="23"/>
      <c r="M44" s="23"/>
      <c r="N44" s="23"/>
      <c r="O44" s="23"/>
      <c r="P44" s="23"/>
      <c r="Q44" s="23"/>
      <c r="R44" s="23"/>
    </row>
    <row r="45" spans="1:18" x14ac:dyDescent="0.3">
      <c r="A45" s="23">
        <v>39</v>
      </c>
      <c r="B45" s="23"/>
      <c r="C45" s="23" t="s">
        <v>53</v>
      </c>
      <c r="D45" s="23"/>
      <c r="E45" s="23">
        <f t="shared" si="22"/>
        <v>0</v>
      </c>
      <c r="F45" s="23"/>
      <c r="G45" s="23"/>
      <c r="H45" s="23"/>
      <c r="I45" s="23"/>
      <c r="J45" s="23"/>
      <c r="K45" s="23"/>
      <c r="L45" s="23"/>
      <c r="M45" s="23"/>
      <c r="N45" s="23"/>
      <c r="O45" s="23"/>
      <c r="P45" s="23"/>
      <c r="Q45" s="23"/>
      <c r="R45" s="23"/>
    </row>
    <row r="46" spans="1:18" x14ac:dyDescent="0.3">
      <c r="A46" s="23">
        <v>40</v>
      </c>
      <c r="B46" s="23"/>
      <c r="C46" s="54" t="s">
        <v>116</v>
      </c>
      <c r="D46" s="23"/>
      <c r="E46" s="32">
        <f t="shared" si="22"/>
        <v>0</v>
      </c>
      <c r="F46" s="32"/>
      <c r="G46" s="32"/>
      <c r="H46" s="32"/>
      <c r="I46" s="32"/>
      <c r="J46" s="32"/>
      <c r="K46" s="32"/>
      <c r="L46" s="32"/>
      <c r="M46" s="32"/>
      <c r="N46" s="32"/>
      <c r="O46" s="32"/>
      <c r="P46" s="32"/>
      <c r="Q46" s="32"/>
      <c r="R46" s="32"/>
    </row>
    <row r="47" spans="1:18" x14ac:dyDescent="0.3">
      <c r="A47" s="23">
        <v>41</v>
      </c>
      <c r="B47" s="23"/>
      <c r="C47" s="23" t="s">
        <v>55</v>
      </c>
      <c r="D47" s="23"/>
      <c r="E47" s="32">
        <f>SUM(E36:E46)</f>
        <v>-23586152</v>
      </c>
      <c r="F47" s="32"/>
      <c r="G47" s="32">
        <f t="shared" ref="G47:M47" si="23">SUM(G36:G46)</f>
        <v>-23586152</v>
      </c>
      <c r="H47" s="32">
        <f t="shared" ref="H47" si="24">SUM(H36:H46)</f>
        <v>0</v>
      </c>
      <c r="I47" s="32">
        <f t="shared" ref="I47" si="25">SUM(I36:I46)</f>
        <v>0</v>
      </c>
      <c r="J47" s="32">
        <f t="shared" si="23"/>
        <v>0</v>
      </c>
      <c r="K47" s="32">
        <f>SUM(K36:K46)</f>
        <v>0</v>
      </c>
      <c r="L47" s="32">
        <f t="shared" ref="L47" si="26">SUM(L36:L46)</f>
        <v>0</v>
      </c>
      <c r="M47" s="32">
        <f t="shared" si="23"/>
        <v>0</v>
      </c>
      <c r="N47" s="32">
        <f>SUM(N36:N46)</f>
        <v>0</v>
      </c>
      <c r="O47" s="32">
        <f t="shared" ref="O47:R47" si="27">SUM(O36:O46)</f>
        <v>0</v>
      </c>
      <c r="P47" s="32">
        <f t="shared" si="27"/>
        <v>0</v>
      </c>
      <c r="Q47" s="32">
        <f t="shared" si="27"/>
        <v>0</v>
      </c>
      <c r="R47" s="32">
        <f t="shared" si="27"/>
        <v>0</v>
      </c>
    </row>
    <row r="48" spans="1:18" x14ac:dyDescent="0.3">
      <c r="A48" s="23">
        <v>42</v>
      </c>
      <c r="B48" s="23"/>
      <c r="C48" s="50" t="s">
        <v>56</v>
      </c>
      <c r="D48" s="23"/>
      <c r="E48" s="23"/>
      <c r="F48" s="23"/>
      <c r="G48" s="23"/>
      <c r="H48" s="23"/>
      <c r="I48" s="23"/>
      <c r="J48" s="23"/>
      <c r="K48" s="23"/>
      <c r="L48" s="23"/>
      <c r="M48" s="23"/>
      <c r="N48" s="23"/>
      <c r="O48" s="23"/>
      <c r="P48" s="23"/>
      <c r="Q48" s="23"/>
      <c r="R48" s="23"/>
    </row>
    <row r="49" spans="1:20" x14ac:dyDescent="0.3">
      <c r="A49" s="23">
        <v>43</v>
      </c>
      <c r="B49" s="23"/>
      <c r="C49" s="54" t="s">
        <v>117</v>
      </c>
      <c r="D49" s="23"/>
      <c r="E49" s="23">
        <f t="shared" ref="E49:E55" si="28">SUM(G49:R49)</f>
        <v>365583</v>
      </c>
      <c r="F49" s="23"/>
      <c r="G49" s="23">
        <f>PlantP1!M31</f>
        <v>365583</v>
      </c>
      <c r="H49" s="23"/>
      <c r="I49" s="23"/>
      <c r="J49" s="23"/>
      <c r="K49" s="23"/>
      <c r="L49" s="23"/>
      <c r="M49" s="23"/>
      <c r="N49" s="23"/>
      <c r="O49" s="23"/>
      <c r="P49" s="23"/>
      <c r="Q49" s="23"/>
      <c r="R49" s="23"/>
    </row>
    <row r="50" spans="1:20" x14ac:dyDescent="0.3">
      <c r="A50" s="23">
        <v>44</v>
      </c>
      <c r="B50" s="23"/>
      <c r="C50" s="54" t="s">
        <v>118</v>
      </c>
      <c r="D50" s="23"/>
      <c r="E50" s="23">
        <f t="shared" si="28"/>
        <v>0</v>
      </c>
      <c r="F50" s="23"/>
      <c r="G50" s="23"/>
      <c r="H50" s="23"/>
      <c r="I50" s="23"/>
      <c r="J50" s="23"/>
      <c r="K50" s="23"/>
      <c r="L50" s="23"/>
      <c r="M50" s="23"/>
      <c r="N50" s="23"/>
      <c r="O50" s="23"/>
      <c r="P50" s="23"/>
      <c r="Q50" s="23"/>
      <c r="R50" s="23"/>
    </row>
    <row r="51" spans="1:20" x14ac:dyDescent="0.3">
      <c r="A51" s="23">
        <v>45</v>
      </c>
      <c r="B51" s="23"/>
      <c r="C51" s="23" t="s">
        <v>59</v>
      </c>
      <c r="D51" s="23"/>
      <c r="E51" s="23">
        <f t="shared" si="28"/>
        <v>1493586.8585394898</v>
      </c>
      <c r="F51" s="23"/>
      <c r="G51" s="23"/>
      <c r="H51" s="23">
        <f>ADIT!I17</f>
        <v>1493586.8585394898</v>
      </c>
      <c r="I51" s="23"/>
      <c r="J51" s="23"/>
      <c r="K51" s="23"/>
      <c r="L51" s="23"/>
      <c r="M51" s="23"/>
      <c r="N51" s="23"/>
      <c r="O51" s="23"/>
      <c r="P51" s="23"/>
      <c r="Q51" s="23"/>
      <c r="R51" s="23"/>
    </row>
    <row r="52" spans="1:20" x14ac:dyDescent="0.3">
      <c r="A52" s="23">
        <v>46</v>
      </c>
      <c r="B52" s="23"/>
      <c r="C52" s="23" t="s">
        <v>60</v>
      </c>
      <c r="D52" s="23"/>
      <c r="E52" s="23">
        <f t="shared" si="28"/>
        <v>0</v>
      </c>
      <c r="F52" s="23"/>
      <c r="G52" s="23"/>
      <c r="H52" s="23"/>
      <c r="I52" s="23"/>
      <c r="J52" s="23"/>
      <c r="K52" s="23"/>
      <c r="L52" s="23"/>
      <c r="M52" s="23"/>
      <c r="N52" s="23"/>
      <c r="O52" s="23"/>
      <c r="P52" s="23"/>
      <c r="Q52" s="23"/>
      <c r="R52" s="23"/>
    </row>
    <row r="53" spans="1:20" x14ac:dyDescent="0.3">
      <c r="A53" s="23">
        <v>47</v>
      </c>
      <c r="B53" s="23"/>
      <c r="C53" s="54" t="s">
        <v>119</v>
      </c>
      <c r="D53" s="23"/>
      <c r="E53" s="23">
        <f t="shared" si="28"/>
        <v>0</v>
      </c>
      <c r="F53" s="23"/>
      <c r="G53" s="23"/>
      <c r="H53" s="23"/>
      <c r="I53" s="23"/>
      <c r="J53" s="23"/>
      <c r="K53" s="23"/>
      <c r="L53" s="23"/>
      <c r="M53" s="23"/>
      <c r="N53" s="23"/>
      <c r="O53" s="23"/>
      <c r="P53" s="23"/>
      <c r="Q53" s="23"/>
      <c r="R53" s="23"/>
    </row>
    <row r="54" spans="1:20" x14ac:dyDescent="0.3">
      <c r="A54" s="23">
        <v>48</v>
      </c>
      <c r="B54" s="23"/>
      <c r="C54" s="23" t="s">
        <v>62</v>
      </c>
      <c r="D54" s="23"/>
      <c r="E54" s="23">
        <f t="shared" si="28"/>
        <v>0</v>
      </c>
      <c r="F54" s="23"/>
      <c r="G54" s="23"/>
      <c r="H54" s="23"/>
      <c r="I54" s="23"/>
      <c r="J54" s="23"/>
      <c r="K54" s="23"/>
      <c r="L54" s="23"/>
      <c r="M54" s="23"/>
      <c r="N54" s="23"/>
      <c r="O54" s="23"/>
      <c r="P54" s="23"/>
      <c r="Q54" s="23"/>
      <c r="R54" s="23"/>
    </row>
    <row r="55" spans="1:20" x14ac:dyDescent="0.3">
      <c r="A55" s="23">
        <v>49</v>
      </c>
      <c r="B55" s="23"/>
      <c r="C55" s="54" t="s">
        <v>120</v>
      </c>
      <c r="D55" s="23"/>
      <c r="E55" s="32">
        <f t="shared" si="28"/>
        <v>0</v>
      </c>
      <c r="F55" s="32"/>
      <c r="G55" s="32"/>
      <c r="H55" s="32"/>
      <c r="I55" s="32"/>
      <c r="J55" s="32"/>
      <c r="K55" s="32"/>
      <c r="L55" s="32"/>
      <c r="M55" s="32"/>
      <c r="N55" s="32"/>
      <c r="O55" s="32"/>
      <c r="P55" s="32"/>
      <c r="Q55" s="32"/>
      <c r="R55" s="32"/>
    </row>
    <row r="56" spans="1:20" x14ac:dyDescent="0.3">
      <c r="A56" s="23">
        <v>50</v>
      </c>
      <c r="B56" s="23"/>
      <c r="C56" s="23" t="s">
        <v>63</v>
      </c>
      <c r="D56" s="23"/>
      <c r="E56" s="32">
        <f>SUM(E49:E55)</f>
        <v>1859169.8585394898</v>
      </c>
      <c r="F56" s="32"/>
      <c r="G56" s="32">
        <f t="shared" ref="G56:M56" si="29">SUM(G49:G55)</f>
        <v>365583</v>
      </c>
      <c r="H56" s="32">
        <f t="shared" ref="H56" si="30">SUM(H49:H55)</f>
        <v>1493586.8585394898</v>
      </c>
      <c r="I56" s="32">
        <f t="shared" ref="I56" si="31">SUM(I49:I55)</f>
        <v>0</v>
      </c>
      <c r="J56" s="32">
        <f t="shared" si="29"/>
        <v>0</v>
      </c>
      <c r="K56" s="32">
        <f>SUM(K49:K55)</f>
        <v>0</v>
      </c>
      <c r="L56" s="32">
        <f t="shared" ref="L56" si="32">SUM(L49:L55)</f>
        <v>0</v>
      </c>
      <c r="M56" s="32">
        <f t="shared" si="29"/>
        <v>0</v>
      </c>
      <c r="N56" s="32">
        <f>SUM(N49:N55)</f>
        <v>0</v>
      </c>
      <c r="O56" s="32">
        <f t="shared" ref="O56:R56" si="33">SUM(O49:O55)</f>
        <v>0</v>
      </c>
      <c r="P56" s="32">
        <f t="shared" si="33"/>
        <v>0</v>
      </c>
      <c r="Q56" s="32">
        <f t="shared" si="33"/>
        <v>0</v>
      </c>
      <c r="R56" s="32">
        <f t="shared" si="33"/>
        <v>0</v>
      </c>
    </row>
    <row r="57" spans="1:20" ht="16.2" thickBot="1" x14ac:dyDescent="0.35">
      <c r="A57" s="23">
        <v>51</v>
      </c>
      <c r="B57" s="23"/>
      <c r="C57" s="50" t="s">
        <v>97</v>
      </c>
      <c r="D57" s="23"/>
      <c r="E57" s="33">
        <f>E47+E56</f>
        <v>-21726982.141460512</v>
      </c>
      <c r="F57" s="33"/>
      <c r="G57" s="33">
        <f t="shared" ref="G57:M57" si="34">G47+G56</f>
        <v>-23220569</v>
      </c>
      <c r="H57" s="33">
        <f t="shared" ref="H57" si="35">H47+H56</f>
        <v>1493586.8585394898</v>
      </c>
      <c r="I57" s="33">
        <f t="shared" ref="I57" si="36">I47+I56</f>
        <v>0</v>
      </c>
      <c r="J57" s="33">
        <f t="shared" si="34"/>
        <v>0</v>
      </c>
      <c r="K57" s="33">
        <f>K47+K56</f>
        <v>0</v>
      </c>
      <c r="L57" s="33">
        <f t="shared" ref="L57" si="37">L47+L56</f>
        <v>0</v>
      </c>
      <c r="M57" s="33">
        <f t="shared" si="34"/>
        <v>0</v>
      </c>
      <c r="N57" s="33">
        <f>N47+N56</f>
        <v>0</v>
      </c>
      <c r="O57" s="33">
        <f t="shared" ref="O57:R57" si="38">O47+O56</f>
        <v>0</v>
      </c>
      <c r="P57" s="33">
        <f t="shared" si="38"/>
        <v>0</v>
      </c>
      <c r="Q57" s="33">
        <f t="shared" si="38"/>
        <v>0</v>
      </c>
      <c r="R57" s="33">
        <f t="shared" si="38"/>
        <v>0</v>
      </c>
    </row>
    <row r="58" spans="1:20" ht="9" customHeight="1" thickTop="1" x14ac:dyDescent="0.3">
      <c r="A58" s="23"/>
      <c r="B58" s="23"/>
      <c r="C58" s="23"/>
      <c r="D58" s="23"/>
      <c r="E58" s="31"/>
      <c r="F58" s="31"/>
      <c r="G58" s="31"/>
      <c r="H58" s="31"/>
      <c r="I58" s="31"/>
      <c r="J58" s="31"/>
      <c r="K58" s="31"/>
      <c r="L58" s="31"/>
      <c r="M58" s="31"/>
      <c r="N58" s="31"/>
      <c r="O58" s="31"/>
      <c r="P58" s="31"/>
      <c r="Q58" s="31"/>
      <c r="R58" s="31"/>
    </row>
    <row r="59" spans="1:20" x14ac:dyDescent="0.3">
      <c r="A59" s="23">
        <v>52</v>
      </c>
      <c r="B59" s="23"/>
      <c r="C59" s="105" t="s">
        <v>191</v>
      </c>
      <c r="D59" s="23"/>
      <c r="E59" s="23"/>
      <c r="F59" s="23"/>
      <c r="G59" s="202">
        <f>(G57*RevReq!$G$16*RevReq!$G$22)-(G34*RevReq!$G$22)</f>
        <v>-3252768.4731998714</v>
      </c>
      <c r="H59" s="202">
        <f>(H57*RevReq!$G$16*RevReq!$G$22)-(H34*RevReq!$G$22)</f>
        <v>44276.211376182764</v>
      </c>
      <c r="I59" s="202">
        <f>(I57*RevReq!$G$16*RevReq!$G$22)-(I34*RevReq!$G$22)</f>
        <v>-29554.50947933484</v>
      </c>
      <c r="J59" s="202">
        <f>(J57*RevReq!$G$16*RevReq!$G$22)-(J34*RevReq!$G$22)</f>
        <v>-716337.06561846251</v>
      </c>
      <c r="K59" s="202">
        <f>(K57*RevReq!$G$16*RevReq!$G$22)-(K34*RevReq!$G$22)</f>
        <v>-396290.96493795404</v>
      </c>
      <c r="L59" s="202">
        <f>(L57*RevReq!$G$16*RevReq!$G$22)-(L34*RevReq!$G$22)</f>
        <v>-799169.33203775284</v>
      </c>
      <c r="M59" s="202">
        <f>(M57*RevReq!$G$16*RevReq!$G$22)-(M34*RevReq!$G$22)</f>
        <v>-105660.38157325974</v>
      </c>
      <c r="N59" s="202">
        <f>(N57*RevReq!$G$16*RevReq!$G$22)-(N34*RevReq!$G$22)</f>
        <v>-1511447.287697772</v>
      </c>
      <c r="O59" s="202">
        <f>(O57*RevReq!$G$16*RevReq!$G$22)-(O34*RevReq!$G$22)</f>
        <v>-239753.87471746851</v>
      </c>
      <c r="P59" s="202">
        <f>(P57*RevReq!$G$16*RevReq!$G$22)-(P34*RevReq!$G$22)</f>
        <v>88933.726186632237</v>
      </c>
      <c r="Q59" s="202">
        <f>(Q57*RevReq!$G$16*RevReq!$G$22)-(Q34*RevReq!$G$22)</f>
        <v>44137.875363254767</v>
      </c>
      <c r="R59" s="202">
        <f>(R57*RevReq!$G$16*RevReq!$G$22)-(R34*RevReq!$G$22)</f>
        <v>-326900.22602518566</v>
      </c>
      <c r="S59" s="44"/>
      <c r="T59" s="44"/>
    </row>
    <row r="60" spans="1:20" x14ac:dyDescent="0.3">
      <c r="A60" s="23">
        <v>53</v>
      </c>
      <c r="B60" s="23"/>
      <c r="C60" s="105" t="s">
        <v>426</v>
      </c>
      <c r="D60" s="31"/>
      <c r="E60" s="23"/>
      <c r="F60" s="31"/>
      <c r="G60" s="202">
        <f>(G57*RevReq!$I$16*RevReq!$I$22)-(G34*RevReq!$I$22)</f>
        <v>-3003869.0160450432</v>
      </c>
      <c r="H60" s="202">
        <f>(H57*RevReq!$I$16*RevReq!$I$22)-(H34*RevReq!$I$22)</f>
        <v>28266.571030846593</v>
      </c>
      <c r="I60" s="202">
        <f>(I57*RevReq!$I$16*RevReq!$I$22)-(I34*RevReq!$I$22)</f>
        <v>-29554.50947933484</v>
      </c>
      <c r="J60" s="202">
        <f>(J57*RevReq!$I$16*RevReq!$I$22)-(J34*RevReq!$I$22)</f>
        <v>-716337.06561846251</v>
      </c>
      <c r="K60" s="202">
        <f>(K57*RevReq!$I$16*RevReq!$I$22)-(K34*RevReq!$I$22)</f>
        <v>-396290.96493795404</v>
      </c>
      <c r="L60" s="202">
        <f>(L57*RevReq!$I$16*RevReq!$I$22)-(L34*RevReq!$I$22)</f>
        <v>-799169.33203775284</v>
      </c>
      <c r="M60" s="202">
        <f>(M57*RevReq!$I$16*RevReq!$I$22)-(M34*RevReq!$I$22)</f>
        <v>-105660.38157325974</v>
      </c>
      <c r="N60" s="202">
        <f>(N57*RevReq!$I$16*RevReq!$I$22)-(N34*RevReq!$I$22)</f>
        <v>-1511447.287697772</v>
      </c>
      <c r="O60" s="202">
        <f>(O57*RevReq!$I$16*RevReq!$I$22)-(O34*RevReq!$I$22)</f>
        <v>-239753.87471746851</v>
      </c>
      <c r="P60" s="202">
        <f>(P57*RevReq!$I$16*RevReq!$I$22)-(P34*RevReq!$I$22)</f>
        <v>88933.726186632237</v>
      </c>
      <c r="Q60" s="202">
        <f>(Q57*RevReq!$I$16*RevReq!$I$22)-(Q34*RevReq!$I$22)</f>
        <v>44137.875363254767</v>
      </c>
      <c r="R60" s="202">
        <f>(R57*RevReq!$I$16*RevReq!$I$22)-(R34*RevReq!$I$22)</f>
        <v>-326900.22602518566</v>
      </c>
      <c r="S60" s="44"/>
      <c r="T60" s="44"/>
    </row>
    <row r="61" spans="1:20" ht="7.5" customHeight="1" x14ac:dyDescent="0.3">
      <c r="A61" s="23"/>
      <c r="B61" s="23"/>
      <c r="C61" s="105"/>
      <c r="E61" s="55"/>
      <c r="G61" s="54"/>
      <c r="M61" s="23"/>
      <c r="N61" s="23"/>
      <c r="O61" s="23"/>
      <c r="P61" s="23"/>
      <c r="Q61" s="23"/>
      <c r="R61" s="23"/>
    </row>
    <row r="62" spans="1:20" x14ac:dyDescent="0.3">
      <c r="A62" s="23"/>
      <c r="B62" s="23"/>
      <c r="C62" s="229" t="s">
        <v>550</v>
      </c>
      <c r="D62" s="23"/>
      <c r="E62" s="23"/>
      <c r="F62" s="23"/>
      <c r="G62" s="23"/>
      <c r="H62" s="23"/>
      <c r="I62" s="23"/>
      <c r="J62" s="23"/>
      <c r="K62" s="23"/>
      <c r="L62" s="23"/>
      <c r="M62" s="23"/>
      <c r="N62" s="23"/>
      <c r="O62" s="23"/>
      <c r="P62" s="23"/>
      <c r="Q62" s="23"/>
      <c r="R62" s="23"/>
    </row>
    <row r="63" spans="1:20" x14ac:dyDescent="0.3">
      <c r="A63" s="23"/>
      <c r="B63" s="23"/>
      <c r="C63" s="54" t="s">
        <v>549</v>
      </c>
      <c r="D63" s="23"/>
      <c r="E63" s="23"/>
      <c r="F63" s="23"/>
      <c r="G63" s="23"/>
      <c r="H63" s="23"/>
      <c r="I63" s="23"/>
      <c r="J63" s="23"/>
      <c r="K63" s="23"/>
      <c r="L63" s="23"/>
      <c r="M63" s="23"/>
      <c r="N63" s="23"/>
      <c r="O63" s="23"/>
      <c r="P63" s="23"/>
      <c r="Q63" s="23"/>
      <c r="R63" s="23"/>
    </row>
    <row r="64" spans="1:20" x14ac:dyDescent="0.3">
      <c r="A64" s="23"/>
      <c r="B64" s="23"/>
      <c r="C64" s="23"/>
      <c r="D64" s="23"/>
      <c r="E64" s="23"/>
      <c r="F64" s="23"/>
      <c r="G64" s="23"/>
      <c r="H64" s="23"/>
      <c r="I64" s="23"/>
      <c r="J64" s="23"/>
      <c r="K64" s="23"/>
      <c r="L64" s="23"/>
      <c r="M64" s="23"/>
      <c r="N64" s="23"/>
      <c r="O64" s="23"/>
      <c r="P64" s="23"/>
      <c r="Q64" s="23"/>
      <c r="R64" s="23"/>
    </row>
    <row r="65" spans="1:18" x14ac:dyDescent="0.3">
      <c r="A65" s="23"/>
      <c r="B65" s="23"/>
      <c r="C65" s="23"/>
      <c r="D65" s="23"/>
      <c r="E65" s="23"/>
      <c r="F65" s="23"/>
      <c r="G65" s="23"/>
      <c r="H65" s="23"/>
      <c r="I65" s="23"/>
      <c r="J65" s="23"/>
      <c r="K65" s="23"/>
      <c r="L65" s="23"/>
      <c r="M65" s="23"/>
      <c r="N65" s="23"/>
      <c r="O65" s="23"/>
      <c r="P65" s="23"/>
      <c r="Q65" s="23"/>
      <c r="R65" s="23"/>
    </row>
    <row r="66" spans="1:18" x14ac:dyDescent="0.3">
      <c r="A66" s="23"/>
      <c r="B66" s="23"/>
      <c r="C66" s="23"/>
      <c r="D66" s="23"/>
      <c r="E66" s="23"/>
      <c r="F66" s="23"/>
      <c r="G66" s="23"/>
      <c r="H66" s="23"/>
      <c r="I66" s="23"/>
      <c r="J66" s="23"/>
      <c r="K66" s="23"/>
      <c r="L66" s="23"/>
      <c r="M66" s="23"/>
      <c r="N66" s="23"/>
      <c r="O66" s="23"/>
      <c r="P66" s="23"/>
      <c r="Q66" s="23"/>
      <c r="R66" s="23"/>
    </row>
    <row r="67" spans="1:18" x14ac:dyDescent="0.3">
      <c r="A67" s="23"/>
      <c r="B67" s="23"/>
      <c r="C67" s="23"/>
      <c r="D67" s="23"/>
      <c r="E67" s="23"/>
      <c r="F67" s="23"/>
      <c r="G67" s="23"/>
      <c r="H67" s="23"/>
      <c r="I67" s="23"/>
      <c r="J67" s="23"/>
      <c r="K67" s="23"/>
      <c r="L67" s="23"/>
      <c r="M67" s="23"/>
      <c r="N67" s="23"/>
      <c r="O67" s="23"/>
      <c r="P67" s="23"/>
      <c r="Q67" s="23"/>
      <c r="R67" s="23"/>
    </row>
    <row r="68" spans="1:18" x14ac:dyDescent="0.3">
      <c r="A68" s="23"/>
      <c r="B68" s="23"/>
      <c r="C68" s="23"/>
      <c r="D68" s="23"/>
      <c r="E68" s="23"/>
      <c r="F68" s="23"/>
      <c r="G68" s="23"/>
      <c r="H68" s="23"/>
      <c r="I68" s="23"/>
      <c r="J68" s="23"/>
      <c r="K68" s="23"/>
      <c r="L68" s="23"/>
      <c r="M68" s="23"/>
      <c r="N68" s="23"/>
      <c r="O68" s="23"/>
      <c r="P68" s="23"/>
      <c r="Q68" s="23"/>
      <c r="R68" s="23"/>
    </row>
    <row r="69" spans="1:18" x14ac:dyDescent="0.3">
      <c r="A69" s="23"/>
      <c r="B69" s="23"/>
      <c r="C69" s="23"/>
      <c r="D69" s="23"/>
      <c r="E69" s="23"/>
      <c r="F69" s="23"/>
      <c r="G69" s="23"/>
      <c r="H69" s="23"/>
      <c r="I69" s="23"/>
      <c r="J69" s="23"/>
      <c r="K69" s="23"/>
      <c r="L69" s="23"/>
      <c r="M69" s="23"/>
      <c r="N69" s="23"/>
      <c r="O69" s="23"/>
      <c r="P69" s="23"/>
      <c r="Q69" s="23"/>
      <c r="R69" s="23"/>
    </row>
    <row r="70" spans="1:18" x14ac:dyDescent="0.3">
      <c r="A70" s="23"/>
      <c r="B70" s="23"/>
      <c r="C70" s="23"/>
      <c r="D70" s="23"/>
      <c r="E70" s="23"/>
      <c r="F70" s="23"/>
      <c r="G70" s="23"/>
      <c r="H70" s="23"/>
      <c r="I70" s="23"/>
      <c r="J70" s="23"/>
      <c r="K70" s="23"/>
      <c r="L70" s="23"/>
      <c r="M70" s="23"/>
      <c r="N70" s="23"/>
      <c r="O70" s="23"/>
      <c r="P70" s="23"/>
      <c r="Q70" s="23"/>
      <c r="R70" s="23"/>
    </row>
    <row r="71" spans="1:18" x14ac:dyDescent="0.3">
      <c r="A71" s="23"/>
      <c r="B71" s="23"/>
      <c r="C71" s="23"/>
      <c r="D71" s="23"/>
      <c r="E71" s="23"/>
      <c r="F71" s="23"/>
      <c r="G71" s="23"/>
      <c r="H71" s="23"/>
      <c r="I71" s="23"/>
      <c r="J71" s="23"/>
      <c r="K71" s="23"/>
      <c r="L71" s="23"/>
      <c r="M71" s="23"/>
      <c r="N71" s="23"/>
      <c r="O71" s="23"/>
      <c r="P71" s="23"/>
      <c r="Q71" s="23"/>
      <c r="R71" s="23"/>
    </row>
    <row r="72" spans="1:18" x14ac:dyDescent="0.3">
      <c r="A72" s="23"/>
      <c r="B72" s="23"/>
      <c r="C72" s="23"/>
      <c r="D72" s="23"/>
      <c r="E72" s="23"/>
      <c r="F72" s="23"/>
      <c r="G72" s="23"/>
      <c r="H72" s="23"/>
      <c r="I72" s="23"/>
      <c r="J72" s="23"/>
      <c r="K72" s="23"/>
      <c r="L72" s="23"/>
      <c r="M72" s="23"/>
      <c r="N72" s="23"/>
      <c r="O72" s="23"/>
      <c r="P72" s="23"/>
      <c r="Q72" s="23"/>
      <c r="R72" s="23"/>
    </row>
    <row r="73" spans="1:18" x14ac:dyDescent="0.3">
      <c r="A73" s="23"/>
      <c r="B73" s="23"/>
      <c r="C73" s="23"/>
      <c r="D73" s="23"/>
      <c r="E73" s="23"/>
      <c r="F73" s="23"/>
      <c r="G73" s="23"/>
      <c r="H73" s="23"/>
      <c r="I73" s="23"/>
      <c r="J73" s="23"/>
      <c r="K73" s="23"/>
      <c r="L73" s="23"/>
      <c r="M73" s="23"/>
      <c r="N73" s="23"/>
      <c r="O73" s="23"/>
      <c r="P73" s="23"/>
      <c r="Q73" s="23"/>
      <c r="R73" s="23"/>
    </row>
    <row r="74" spans="1:18" x14ac:dyDescent="0.3">
      <c r="A74" s="23"/>
      <c r="B74" s="23"/>
      <c r="C74" s="23"/>
      <c r="D74" s="23"/>
      <c r="E74" s="23"/>
      <c r="F74" s="23"/>
      <c r="G74" s="23"/>
      <c r="H74" s="23"/>
      <c r="I74" s="23"/>
      <c r="J74" s="23"/>
      <c r="K74" s="23"/>
      <c r="L74" s="23"/>
      <c r="M74" s="23"/>
      <c r="N74" s="23"/>
      <c r="O74" s="23"/>
      <c r="P74" s="23"/>
      <c r="Q74" s="23"/>
      <c r="R74" s="23"/>
    </row>
    <row r="75" spans="1:18" x14ac:dyDescent="0.3">
      <c r="A75" s="23"/>
      <c r="B75" s="23"/>
      <c r="C75" s="23"/>
      <c r="D75" s="23"/>
      <c r="E75" s="23"/>
      <c r="F75" s="23"/>
      <c r="G75" s="23"/>
      <c r="H75" s="23"/>
      <c r="I75" s="23"/>
      <c r="J75" s="23"/>
      <c r="K75" s="23"/>
      <c r="L75" s="23"/>
      <c r="M75" s="23"/>
      <c r="N75" s="23"/>
      <c r="O75" s="23"/>
      <c r="P75" s="23"/>
      <c r="Q75" s="23"/>
      <c r="R75" s="23"/>
    </row>
  </sheetData>
  <phoneticPr fontId="8" type="noConversion"/>
  <pageMargins left="0.75" right="0.75" top="1" bottom="1" header="0.5" footer="0.5"/>
  <pageSetup scale="57" firstPageNumber="3" fitToWidth="2" orientation="portrait" useFirstPageNumber="1" r:id="rId1"/>
  <headerFooter alignWithMargins="0">
    <oddHeader>&amp;LSchedule 3
Pacific Power &amp; Light Company
-  Washington Operations
SUMMARY OF ADJUSTMENTS
Test Year Ended December 31, 2013&amp;RDocket UE-140762 et al.
Exhibit No. DMR-3r
Page &amp;P of 24
Revised (12/1/14)</oddHeader>
  </headerFooter>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workbookViewId="0">
      <selection activeCell="C25" sqref="C25"/>
    </sheetView>
  </sheetViews>
  <sheetFormatPr defaultRowHeight="15.6" x14ac:dyDescent="0.3"/>
  <cols>
    <col min="1" max="1" width="4.59765625" customWidth="1"/>
    <col min="2" max="2" width="1.59765625" customWidth="1"/>
    <col min="3" max="3" width="28.59765625" customWidth="1"/>
    <col min="4" max="4" width="3.69921875" customWidth="1"/>
    <col min="5" max="5" width="8" customWidth="1"/>
    <col min="6" max="6" width="1" customWidth="1"/>
    <col min="7" max="7" width="12.3984375" customWidth="1"/>
    <col min="8" max="8" width="0.8984375" customWidth="1"/>
    <col min="9" max="9" width="7.5" customWidth="1"/>
    <col min="10" max="10" width="1" customWidth="1"/>
    <col min="11" max="11" width="9.09765625" customWidth="1"/>
    <col min="12" max="12" width="1" customWidth="1"/>
    <col min="13" max="13" width="12.5" customWidth="1"/>
  </cols>
  <sheetData>
    <row r="1" spans="1:13" x14ac:dyDescent="0.3">
      <c r="A1" t="s">
        <v>511</v>
      </c>
      <c r="K1" t="s">
        <v>553</v>
      </c>
      <c r="L1" s="95"/>
    </row>
    <row r="2" spans="1:13" x14ac:dyDescent="0.3">
      <c r="A2" t="s">
        <v>186</v>
      </c>
      <c r="K2" t="s">
        <v>567</v>
      </c>
      <c r="L2" s="95"/>
    </row>
    <row r="3" spans="1:13" x14ac:dyDescent="0.3">
      <c r="A3" t="s">
        <v>187</v>
      </c>
      <c r="K3" t="s">
        <v>548</v>
      </c>
      <c r="L3" s="95"/>
    </row>
    <row r="4" spans="1:13" x14ac:dyDescent="0.3">
      <c r="A4" t="s">
        <v>354</v>
      </c>
      <c r="K4" t="s">
        <v>559</v>
      </c>
      <c r="L4" s="95"/>
    </row>
    <row r="5" spans="1:13" x14ac:dyDescent="0.3">
      <c r="A5" t="s">
        <v>188</v>
      </c>
    </row>
    <row r="8" spans="1:13" x14ac:dyDescent="0.3">
      <c r="A8" t="s">
        <v>0</v>
      </c>
      <c r="E8" s="1"/>
      <c r="F8" s="1"/>
      <c r="G8" s="1" t="s">
        <v>4</v>
      </c>
      <c r="H8" s="1"/>
      <c r="I8" s="1"/>
      <c r="J8" s="1"/>
      <c r="K8" s="1"/>
      <c r="L8" s="1"/>
      <c r="M8" s="1" t="s">
        <v>184</v>
      </c>
    </row>
    <row r="9" spans="1:13" x14ac:dyDescent="0.3">
      <c r="A9" s="2" t="s">
        <v>3</v>
      </c>
      <c r="C9" s="2" t="s">
        <v>1</v>
      </c>
      <c r="E9" s="10" t="s">
        <v>65</v>
      </c>
      <c r="F9" s="1"/>
      <c r="G9" s="10" t="s">
        <v>6</v>
      </c>
      <c r="H9" s="1"/>
      <c r="I9" s="10" t="s">
        <v>7</v>
      </c>
      <c r="J9" s="1"/>
      <c r="K9" s="11" t="s">
        <v>9</v>
      </c>
      <c r="L9" s="1"/>
      <c r="M9" s="10" t="s">
        <v>8</v>
      </c>
    </row>
    <row r="11" spans="1:13" x14ac:dyDescent="0.3">
      <c r="C11" s="3" t="s">
        <v>141</v>
      </c>
    </row>
    <row r="12" spans="1:13" x14ac:dyDescent="0.3">
      <c r="A12">
        <v>1</v>
      </c>
      <c r="C12" t="s">
        <v>300</v>
      </c>
      <c r="E12">
        <v>312</v>
      </c>
      <c r="G12" s="6">
        <f>SUM(PlantP2!P22:P25)</f>
        <v>-562574</v>
      </c>
      <c r="I12" s="1" t="s">
        <v>282</v>
      </c>
      <c r="K12" s="190">
        <v>0.22953899999999999</v>
      </c>
      <c r="M12" s="6">
        <f>ROUND(G12*K12,0)</f>
        <v>-129133</v>
      </c>
    </row>
    <row r="13" spans="1:13" x14ac:dyDescent="0.3">
      <c r="A13">
        <v>2</v>
      </c>
      <c r="C13" t="s">
        <v>300</v>
      </c>
      <c r="E13">
        <v>312</v>
      </c>
      <c r="G13" s="6">
        <f>PlantP2!P26</f>
        <v>295617</v>
      </c>
      <c r="I13" s="1" t="s">
        <v>281</v>
      </c>
      <c r="K13" s="190">
        <v>0.230849</v>
      </c>
      <c r="M13" s="6">
        <f t="shared" ref="M13:M18" si="0">ROUND(G13*K13,0)</f>
        <v>68243</v>
      </c>
    </row>
    <row r="14" spans="1:13" x14ac:dyDescent="0.3">
      <c r="A14">
        <v>3</v>
      </c>
      <c r="C14" t="s">
        <v>307</v>
      </c>
      <c r="E14">
        <v>332</v>
      </c>
      <c r="G14" s="6">
        <f>SUM(PlantP2!P30:P41)</f>
        <v>-18065257</v>
      </c>
      <c r="I14" s="1" t="s">
        <v>281</v>
      </c>
      <c r="K14" s="190">
        <v>0.230849</v>
      </c>
      <c r="M14" s="6">
        <f t="shared" si="0"/>
        <v>-4170347</v>
      </c>
    </row>
    <row r="15" spans="1:13" x14ac:dyDescent="0.3">
      <c r="A15">
        <v>4</v>
      </c>
      <c r="C15" t="s">
        <v>294</v>
      </c>
      <c r="E15">
        <v>355</v>
      </c>
      <c r="G15" s="6">
        <f>PlantP2!P18</f>
        <v>-3359989</v>
      </c>
      <c r="I15" s="1" t="s">
        <v>282</v>
      </c>
      <c r="K15" s="190">
        <v>0.22953899999999999</v>
      </c>
      <c r="M15" s="6">
        <f t="shared" si="0"/>
        <v>-771249</v>
      </c>
    </row>
    <row r="16" spans="1:13" x14ac:dyDescent="0.3">
      <c r="A16">
        <v>5</v>
      </c>
      <c r="C16" t="s">
        <v>294</v>
      </c>
      <c r="E16">
        <v>355</v>
      </c>
      <c r="G16" s="6">
        <f>SUM(PlantP2!P12:P17)</f>
        <v>-16160045</v>
      </c>
      <c r="I16" s="1" t="s">
        <v>281</v>
      </c>
      <c r="K16" s="190">
        <v>0.230849</v>
      </c>
      <c r="M16" s="6">
        <f t="shared" si="0"/>
        <v>-3730530</v>
      </c>
    </row>
    <row r="17" spans="1:13" x14ac:dyDescent="0.3">
      <c r="A17">
        <v>6</v>
      </c>
      <c r="C17" t="s">
        <v>360</v>
      </c>
      <c r="E17">
        <v>397</v>
      </c>
      <c r="G17" s="6">
        <f>PlantP2!P45</f>
        <v>243390</v>
      </c>
      <c r="I17" s="1" t="s">
        <v>98</v>
      </c>
      <c r="K17" s="190">
        <v>6.8539000000000003E-2</v>
      </c>
      <c r="M17" s="6">
        <f t="shared" si="0"/>
        <v>16682</v>
      </c>
    </row>
    <row r="18" spans="1:13" x14ac:dyDescent="0.3">
      <c r="A18">
        <v>7</v>
      </c>
      <c r="C18" t="s">
        <v>360</v>
      </c>
      <c r="E18">
        <v>397</v>
      </c>
      <c r="G18" s="6">
        <f>PlantP2!P46</f>
        <v>-592816</v>
      </c>
      <c r="I18" s="1" t="s">
        <v>281</v>
      </c>
      <c r="K18" s="190">
        <v>0.230849</v>
      </c>
      <c r="M18" s="6">
        <f t="shared" si="0"/>
        <v>-136851</v>
      </c>
    </row>
    <row r="19" spans="1:13" x14ac:dyDescent="0.3">
      <c r="A19">
        <v>8</v>
      </c>
      <c r="C19" t="s">
        <v>361</v>
      </c>
      <c r="E19">
        <v>360</v>
      </c>
      <c r="G19" s="39">
        <f>SUM(PlantP2!P50:P53)</f>
        <v>-14732967</v>
      </c>
      <c r="I19" s="1" t="s">
        <v>325</v>
      </c>
      <c r="K19" s="190" t="s">
        <v>181</v>
      </c>
      <c r="M19" s="39">
        <f>G19</f>
        <v>-14732967</v>
      </c>
    </row>
    <row r="20" spans="1:13" x14ac:dyDescent="0.3">
      <c r="A20">
        <v>9</v>
      </c>
      <c r="C20" t="s">
        <v>362</v>
      </c>
      <c r="G20" s="189">
        <f>SUM(G12:G19)</f>
        <v>-52934641</v>
      </c>
      <c r="K20" s="184"/>
      <c r="M20" s="189">
        <f>SUM(M12:M19)</f>
        <v>-23586152</v>
      </c>
    </row>
    <row r="21" spans="1:13" x14ac:dyDescent="0.3">
      <c r="K21" s="184"/>
      <c r="M21" s="6"/>
    </row>
    <row r="22" spans="1:13" x14ac:dyDescent="0.3">
      <c r="C22" s="3" t="s">
        <v>363</v>
      </c>
      <c r="K22" s="184"/>
      <c r="M22" s="6"/>
    </row>
    <row r="23" spans="1:13" x14ac:dyDescent="0.3">
      <c r="A23">
        <v>10</v>
      </c>
      <c r="C23" t="s">
        <v>364</v>
      </c>
      <c r="E23" s="177" t="s">
        <v>368</v>
      </c>
      <c r="G23" s="6">
        <f>PlantP3!M27</f>
        <v>13649</v>
      </c>
      <c r="I23" s="1" t="s">
        <v>282</v>
      </c>
      <c r="K23" s="190">
        <v>0.22953899999999999</v>
      </c>
      <c r="M23" s="6">
        <f t="shared" ref="M23:M29" si="1">ROUND(G23*K23,0)</f>
        <v>3133</v>
      </c>
    </row>
    <row r="24" spans="1:13" x14ac:dyDescent="0.3">
      <c r="A24">
        <v>11</v>
      </c>
      <c r="C24" t="s">
        <v>364</v>
      </c>
      <c r="E24" s="177" t="s">
        <v>369</v>
      </c>
      <c r="G24" s="6">
        <f>PlantP3!M28</f>
        <v>-9162</v>
      </c>
      <c r="I24" s="1" t="s">
        <v>281</v>
      </c>
      <c r="K24" s="190">
        <v>0.230849</v>
      </c>
      <c r="M24" s="6">
        <f t="shared" si="1"/>
        <v>-2115</v>
      </c>
    </row>
    <row r="25" spans="1:13" x14ac:dyDescent="0.3">
      <c r="A25">
        <v>12</v>
      </c>
      <c r="C25" t="s">
        <v>364</v>
      </c>
      <c r="E25" s="177" t="s">
        <v>369</v>
      </c>
      <c r="G25" s="6">
        <f>PlantP3!M29</f>
        <v>426760</v>
      </c>
      <c r="I25" s="1" t="s">
        <v>281</v>
      </c>
      <c r="K25" s="190">
        <v>0.230849</v>
      </c>
      <c r="M25" s="6">
        <f t="shared" si="1"/>
        <v>98517</v>
      </c>
    </row>
    <row r="26" spans="1:13" x14ac:dyDescent="0.3">
      <c r="A26">
        <v>13</v>
      </c>
      <c r="C26" t="s">
        <v>364</v>
      </c>
      <c r="E26" s="177" t="s">
        <v>182</v>
      </c>
      <c r="G26" s="6">
        <f>PlantP3!M30</f>
        <v>35463</v>
      </c>
      <c r="I26" s="1" t="s">
        <v>282</v>
      </c>
      <c r="K26" s="190">
        <v>0.22953899999999999</v>
      </c>
      <c r="M26" s="6">
        <f t="shared" si="1"/>
        <v>8140</v>
      </c>
    </row>
    <row r="27" spans="1:13" x14ac:dyDescent="0.3">
      <c r="A27">
        <v>14</v>
      </c>
      <c r="C27" t="s">
        <v>364</v>
      </c>
      <c r="E27" s="177" t="s">
        <v>182</v>
      </c>
      <c r="G27" s="6">
        <f>PlantP3!M31</f>
        <v>163320</v>
      </c>
      <c r="I27" s="1" t="s">
        <v>281</v>
      </c>
      <c r="K27" s="190">
        <v>0.230849</v>
      </c>
      <c r="M27" s="6">
        <f t="shared" si="1"/>
        <v>37702</v>
      </c>
    </row>
    <row r="28" spans="1:13" x14ac:dyDescent="0.3">
      <c r="A28">
        <v>15</v>
      </c>
      <c r="C28" t="s">
        <v>364</v>
      </c>
      <c r="E28" s="177" t="s">
        <v>370</v>
      </c>
      <c r="G28" s="6">
        <f>PlantP3!M32</f>
        <v>-15247</v>
      </c>
      <c r="I28" s="1" t="s">
        <v>98</v>
      </c>
      <c r="K28" s="190">
        <v>6.8539000000000003E-2</v>
      </c>
      <c r="M28" s="6">
        <f t="shared" si="1"/>
        <v>-1045</v>
      </c>
    </row>
    <row r="29" spans="1:13" x14ac:dyDescent="0.3">
      <c r="A29">
        <v>16</v>
      </c>
      <c r="C29" t="s">
        <v>364</v>
      </c>
      <c r="E29" s="177" t="s">
        <v>370</v>
      </c>
      <c r="G29" s="6">
        <f>PlantP3!M33</f>
        <v>6824</v>
      </c>
      <c r="I29" s="1" t="s">
        <v>281</v>
      </c>
      <c r="K29" s="190">
        <v>0.230849</v>
      </c>
      <c r="M29" s="6">
        <f t="shared" si="1"/>
        <v>1575</v>
      </c>
    </row>
    <row r="30" spans="1:13" x14ac:dyDescent="0.3">
      <c r="A30">
        <v>17</v>
      </c>
      <c r="C30" t="s">
        <v>364</v>
      </c>
      <c r="E30" s="177">
        <v>108360</v>
      </c>
      <c r="G30" s="39">
        <f>PlantP3!M34</f>
        <v>219676</v>
      </c>
      <c r="I30" s="1" t="s">
        <v>325</v>
      </c>
      <c r="K30" s="190" t="s">
        <v>181</v>
      </c>
      <c r="M30" s="39">
        <f>G30</f>
        <v>219676</v>
      </c>
    </row>
    <row r="31" spans="1:13" x14ac:dyDescent="0.3">
      <c r="A31">
        <v>18</v>
      </c>
      <c r="C31" t="s">
        <v>365</v>
      </c>
      <c r="G31" s="189">
        <f>SUM(G23:G30)</f>
        <v>841283</v>
      </c>
      <c r="K31" s="184"/>
      <c r="M31" s="189">
        <f>SUM(M23:M30)</f>
        <v>365583</v>
      </c>
    </row>
    <row r="32" spans="1:13" x14ac:dyDescent="0.3">
      <c r="K32" s="184"/>
      <c r="M32" s="6"/>
    </row>
    <row r="33" spans="1:13" x14ac:dyDescent="0.3">
      <c r="C33" s="3" t="s">
        <v>11</v>
      </c>
      <c r="K33" s="184"/>
      <c r="M33" s="6"/>
    </row>
    <row r="34" spans="1:13" x14ac:dyDescent="0.3">
      <c r="A34">
        <v>19</v>
      </c>
      <c r="C34" t="s">
        <v>366</v>
      </c>
      <c r="E34" s="177" t="s">
        <v>292</v>
      </c>
      <c r="G34" s="6">
        <f>PlantP3!M12</f>
        <v>-13649</v>
      </c>
      <c r="I34" s="1" t="s">
        <v>282</v>
      </c>
      <c r="K34" s="190">
        <v>0.22953899999999999</v>
      </c>
      <c r="M34" s="6">
        <f t="shared" ref="M34:M40" si="2">ROUND(G34*K34,0)</f>
        <v>-3133</v>
      </c>
    </row>
    <row r="35" spans="1:13" x14ac:dyDescent="0.3">
      <c r="A35">
        <v>20</v>
      </c>
      <c r="C35" t="s">
        <v>366</v>
      </c>
      <c r="E35" s="177" t="s">
        <v>292</v>
      </c>
      <c r="G35" s="6">
        <f>PlantP3!M13</f>
        <v>8144</v>
      </c>
      <c r="I35" s="1" t="s">
        <v>281</v>
      </c>
      <c r="K35" s="190">
        <v>0.230849</v>
      </c>
      <c r="M35" s="6">
        <f t="shared" si="2"/>
        <v>1880</v>
      </c>
    </row>
    <row r="36" spans="1:13" x14ac:dyDescent="0.3">
      <c r="A36">
        <v>21</v>
      </c>
      <c r="C36" t="s">
        <v>366</v>
      </c>
      <c r="E36" s="177" t="s">
        <v>290</v>
      </c>
      <c r="G36" s="6">
        <f>PlantP3!M14</f>
        <v>-408772</v>
      </c>
      <c r="I36" s="1" t="s">
        <v>281</v>
      </c>
      <c r="K36" s="190">
        <v>0.230849</v>
      </c>
      <c r="M36" s="6">
        <f t="shared" si="2"/>
        <v>-94365</v>
      </c>
    </row>
    <row r="37" spans="1:13" x14ac:dyDescent="0.3">
      <c r="A37">
        <v>22</v>
      </c>
      <c r="C37" t="s">
        <v>366</v>
      </c>
      <c r="E37" s="177" t="s">
        <v>183</v>
      </c>
      <c r="G37" s="6">
        <f>PlantP3!M15</f>
        <v>-35463</v>
      </c>
      <c r="I37" s="1" t="s">
        <v>282</v>
      </c>
      <c r="K37" s="190">
        <v>0.22953899999999999</v>
      </c>
      <c r="M37" s="6">
        <f t="shared" si="2"/>
        <v>-8140</v>
      </c>
    </row>
    <row r="38" spans="1:13" x14ac:dyDescent="0.3">
      <c r="A38">
        <v>23</v>
      </c>
      <c r="C38" t="s">
        <v>366</v>
      </c>
      <c r="E38" s="177" t="s">
        <v>183</v>
      </c>
      <c r="G38" s="6">
        <f>PlantP3!M16</f>
        <v>-154233</v>
      </c>
      <c r="I38" s="1" t="s">
        <v>281</v>
      </c>
      <c r="K38" s="190">
        <v>0.230849</v>
      </c>
      <c r="M38" s="6">
        <f t="shared" si="2"/>
        <v>-35605</v>
      </c>
    </row>
    <row r="39" spans="1:13" x14ac:dyDescent="0.3">
      <c r="A39">
        <v>24</v>
      </c>
      <c r="C39" t="s">
        <v>366</v>
      </c>
      <c r="E39" s="177" t="s">
        <v>371</v>
      </c>
      <c r="G39" s="6">
        <f>PlantP3!M17</f>
        <v>14637</v>
      </c>
      <c r="I39" s="1" t="s">
        <v>98</v>
      </c>
      <c r="K39" s="190">
        <v>6.8539000000000003E-2</v>
      </c>
      <c r="M39" s="6">
        <f t="shared" si="2"/>
        <v>1003</v>
      </c>
    </row>
    <row r="40" spans="1:13" x14ac:dyDescent="0.3">
      <c r="A40">
        <v>25</v>
      </c>
      <c r="C40" t="s">
        <v>366</v>
      </c>
      <c r="E40" s="177" t="s">
        <v>371</v>
      </c>
      <c r="G40" s="6">
        <f>PlantP3!M18</f>
        <v>-6824</v>
      </c>
      <c r="I40" s="1" t="s">
        <v>281</v>
      </c>
      <c r="K40" s="190">
        <v>0.230849</v>
      </c>
      <c r="M40" s="6">
        <f t="shared" si="2"/>
        <v>-1575</v>
      </c>
    </row>
    <row r="41" spans="1:13" x14ac:dyDescent="0.3">
      <c r="A41">
        <v>26</v>
      </c>
      <c r="C41" t="s">
        <v>366</v>
      </c>
      <c r="E41" s="177">
        <v>403360</v>
      </c>
      <c r="G41" s="39">
        <f>PlantP3!M19</f>
        <v>-219676</v>
      </c>
      <c r="I41" s="1" t="s">
        <v>325</v>
      </c>
      <c r="K41" s="190" t="s">
        <v>181</v>
      </c>
      <c r="M41" s="39">
        <f>G41</f>
        <v>-219676</v>
      </c>
    </row>
    <row r="42" spans="1:13" x14ac:dyDescent="0.3">
      <c r="A42">
        <v>27</v>
      </c>
      <c r="C42" t="s">
        <v>367</v>
      </c>
      <c r="G42" s="189">
        <f>SUM(G34:G41)</f>
        <v>-815836</v>
      </c>
      <c r="K42" s="184"/>
      <c r="M42" s="189">
        <f>SUM(M34:M41)</f>
        <v>-359611</v>
      </c>
    </row>
    <row r="43" spans="1:13" x14ac:dyDescent="0.3">
      <c r="M43" s="6"/>
    </row>
    <row r="45" spans="1:13" x14ac:dyDescent="0.3">
      <c r="C45" t="s">
        <v>5</v>
      </c>
    </row>
    <row r="47" spans="1:13" x14ac:dyDescent="0.3">
      <c r="C47" s="237" t="s">
        <v>375</v>
      </c>
      <c r="D47" s="238"/>
      <c r="E47" s="238"/>
      <c r="F47" s="238"/>
      <c r="G47" s="238"/>
      <c r="H47" s="238"/>
      <c r="I47" s="238"/>
      <c r="J47" s="238"/>
      <c r="K47" s="238"/>
      <c r="L47" s="238"/>
      <c r="M47" s="239"/>
    </row>
    <row r="48" spans="1:13" x14ac:dyDescent="0.3">
      <c r="C48" s="240"/>
      <c r="D48" s="241"/>
      <c r="E48" s="241"/>
      <c r="F48" s="241"/>
      <c r="G48" s="241"/>
      <c r="H48" s="241"/>
      <c r="I48" s="241"/>
      <c r="J48" s="241"/>
      <c r="K48" s="241"/>
      <c r="L48" s="241"/>
      <c r="M48" s="242"/>
    </row>
    <row r="49" spans="3:13" x14ac:dyDescent="0.3">
      <c r="C49" s="240"/>
      <c r="D49" s="241"/>
      <c r="E49" s="241"/>
      <c r="F49" s="241"/>
      <c r="G49" s="241"/>
      <c r="H49" s="241"/>
      <c r="I49" s="241"/>
      <c r="J49" s="241"/>
      <c r="K49" s="241"/>
      <c r="L49" s="241"/>
      <c r="M49" s="242"/>
    </row>
    <row r="50" spans="3:13" x14ac:dyDescent="0.3">
      <c r="C50" s="243"/>
      <c r="D50" s="244"/>
      <c r="E50" s="244"/>
      <c r="F50" s="244"/>
      <c r="G50" s="244"/>
      <c r="H50" s="244"/>
      <c r="I50" s="244"/>
      <c r="J50" s="244"/>
      <c r="K50" s="244"/>
      <c r="L50" s="244"/>
      <c r="M50" s="245"/>
    </row>
  </sheetData>
  <mergeCells count="1">
    <mergeCell ref="C47:M50"/>
  </mergeCells>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workbookViewId="0">
      <selection activeCell="C25" sqref="C25"/>
    </sheetView>
  </sheetViews>
  <sheetFormatPr defaultColWidth="9" defaultRowHeight="13.2" x14ac:dyDescent="0.25"/>
  <cols>
    <col min="1" max="1" width="35.3984375" style="95" customWidth="1"/>
    <col min="2" max="2" width="4.69921875" style="95" customWidth="1"/>
    <col min="3" max="3" width="5.69921875" style="95" customWidth="1"/>
    <col min="4" max="4" width="7.09765625" style="95" customWidth="1"/>
    <col min="5" max="5" width="7" style="95" customWidth="1"/>
    <col min="6" max="6" width="10.3984375" style="95" customWidth="1"/>
    <col min="7" max="7" width="0.59765625" style="95" customWidth="1"/>
    <col min="8" max="8" width="7" style="95" customWidth="1"/>
    <col min="9" max="9" width="0.69921875" style="95" customWidth="1"/>
    <col min="10" max="10" width="10.5" style="95" customWidth="1"/>
    <col min="11" max="11" width="0.8984375" style="95" customWidth="1"/>
    <col min="12" max="12" width="8.59765625" style="95" customWidth="1"/>
    <col min="13" max="13" width="1.19921875" style="95" customWidth="1"/>
    <col min="14" max="14" width="10" style="95" customWidth="1"/>
    <col min="15" max="15" width="1" style="95" customWidth="1"/>
    <col min="16" max="16" width="10.69921875" style="95" customWidth="1"/>
    <col min="17" max="16384" width="9" style="95"/>
  </cols>
  <sheetData>
    <row r="1" spans="1:17" ht="15.6" x14ac:dyDescent="0.3">
      <c r="A1" t="s">
        <v>512</v>
      </c>
      <c r="B1"/>
      <c r="C1"/>
      <c r="D1"/>
      <c r="E1"/>
      <c r="F1"/>
      <c r="G1"/>
      <c r="H1"/>
      <c r="I1"/>
      <c r="J1"/>
      <c r="K1" t="s">
        <v>554</v>
      </c>
    </row>
    <row r="2" spans="1:17" ht="15.6" x14ac:dyDescent="0.3">
      <c r="A2" t="s">
        <v>186</v>
      </c>
      <c r="B2"/>
      <c r="C2"/>
      <c r="D2"/>
      <c r="E2"/>
      <c r="F2"/>
      <c r="G2"/>
      <c r="H2"/>
      <c r="I2"/>
      <c r="J2"/>
      <c r="K2" t="s">
        <v>567</v>
      </c>
    </row>
    <row r="3" spans="1:17" ht="15.6" x14ac:dyDescent="0.3">
      <c r="A3" t="s">
        <v>187</v>
      </c>
      <c r="B3"/>
      <c r="C3"/>
      <c r="D3"/>
      <c r="E3"/>
      <c r="F3"/>
      <c r="G3"/>
      <c r="H3"/>
      <c r="I3"/>
      <c r="J3"/>
      <c r="K3" t="s">
        <v>547</v>
      </c>
    </row>
    <row r="4" spans="1:17" ht="15.6" x14ac:dyDescent="0.3">
      <c r="A4" t="s">
        <v>354</v>
      </c>
      <c r="B4"/>
      <c r="C4"/>
      <c r="D4"/>
      <c r="E4"/>
      <c r="F4"/>
      <c r="G4"/>
      <c r="H4"/>
      <c r="I4"/>
      <c r="J4"/>
      <c r="K4" t="s">
        <v>559</v>
      </c>
    </row>
    <row r="5" spans="1:17" ht="15.6" x14ac:dyDescent="0.3">
      <c r="A5" t="s">
        <v>188</v>
      </c>
      <c r="B5"/>
      <c r="C5"/>
      <c r="D5"/>
      <c r="E5"/>
      <c r="F5"/>
      <c r="G5"/>
      <c r="H5"/>
      <c r="I5"/>
      <c r="J5"/>
      <c r="K5"/>
    </row>
    <row r="6" spans="1:17" ht="15.6" x14ac:dyDescent="0.3">
      <c r="A6" t="s">
        <v>376</v>
      </c>
      <c r="L6" s="30" t="s">
        <v>332</v>
      </c>
    </row>
    <row r="7" spans="1:17" x14ac:dyDescent="0.25">
      <c r="D7" s="30" t="s">
        <v>335</v>
      </c>
      <c r="E7" s="30" t="s">
        <v>337</v>
      </c>
      <c r="H7" s="30" t="s">
        <v>64</v>
      </c>
      <c r="J7" s="30" t="s">
        <v>64</v>
      </c>
      <c r="L7" s="30" t="s">
        <v>359</v>
      </c>
      <c r="N7" s="30" t="s">
        <v>340</v>
      </c>
      <c r="P7" s="30" t="s">
        <v>349</v>
      </c>
    </row>
    <row r="8" spans="1:17" x14ac:dyDescent="0.25">
      <c r="D8" s="30" t="s">
        <v>330</v>
      </c>
      <c r="E8" s="30" t="s">
        <v>330</v>
      </c>
      <c r="F8" s="30" t="s">
        <v>121</v>
      </c>
      <c r="H8" s="30" t="s">
        <v>330</v>
      </c>
      <c r="J8" s="30" t="s">
        <v>330</v>
      </c>
      <c r="L8" s="93" t="s">
        <v>330</v>
      </c>
      <c r="N8" s="30" t="s">
        <v>341</v>
      </c>
      <c r="P8" s="30" t="s">
        <v>350</v>
      </c>
    </row>
    <row r="9" spans="1:17" x14ac:dyDescent="0.25">
      <c r="A9" s="187" t="s">
        <v>293</v>
      </c>
      <c r="B9" s="188" t="s">
        <v>334</v>
      </c>
      <c r="C9" s="188" t="s">
        <v>7</v>
      </c>
      <c r="D9" s="188" t="s">
        <v>336</v>
      </c>
      <c r="E9" s="188" t="s">
        <v>338</v>
      </c>
      <c r="F9" s="174" t="s">
        <v>2</v>
      </c>
      <c r="H9" s="174" t="s">
        <v>333</v>
      </c>
      <c r="J9" s="175" t="s">
        <v>331</v>
      </c>
      <c r="L9" s="174" t="s">
        <v>339</v>
      </c>
      <c r="N9" s="174" t="s">
        <v>2</v>
      </c>
      <c r="P9" s="174" t="s">
        <v>100</v>
      </c>
    </row>
    <row r="10" spans="1:17" x14ac:dyDescent="0.25">
      <c r="B10" s="161"/>
      <c r="C10" s="162"/>
      <c r="D10" s="162" t="s">
        <v>342</v>
      </c>
      <c r="E10" s="162" t="s">
        <v>343</v>
      </c>
      <c r="F10" s="93" t="s">
        <v>344</v>
      </c>
      <c r="G10" s="30"/>
      <c r="H10" s="93" t="s">
        <v>345</v>
      </c>
      <c r="I10" s="30"/>
      <c r="J10" s="93" t="s">
        <v>346</v>
      </c>
      <c r="K10" s="30"/>
      <c r="L10" s="93" t="s">
        <v>347</v>
      </c>
      <c r="M10" s="30"/>
      <c r="N10" s="93" t="s">
        <v>348</v>
      </c>
      <c r="O10" s="30"/>
      <c r="P10" s="93" t="s">
        <v>351</v>
      </c>
    </row>
    <row r="11" spans="1:17" x14ac:dyDescent="0.25">
      <c r="A11" s="160" t="s">
        <v>294</v>
      </c>
      <c r="B11" s="161"/>
      <c r="C11" s="162"/>
      <c r="D11" s="162"/>
      <c r="E11" s="162"/>
      <c r="F11" s="93"/>
      <c r="G11" s="30"/>
      <c r="H11" s="93"/>
      <c r="I11" s="30"/>
      <c r="J11" s="93"/>
      <c r="K11" s="30"/>
      <c r="L11" s="93"/>
      <c r="M11" s="30"/>
      <c r="N11" s="93"/>
      <c r="O11" s="30"/>
      <c r="P11" s="93"/>
    </row>
    <row r="12" spans="1:17" x14ac:dyDescent="0.25">
      <c r="A12" s="163" t="s">
        <v>295</v>
      </c>
      <c r="B12" s="161">
        <v>355</v>
      </c>
      <c r="C12" s="162" t="s">
        <v>281</v>
      </c>
      <c r="D12" s="178">
        <v>41671</v>
      </c>
      <c r="E12" s="178">
        <v>41684</v>
      </c>
      <c r="F12" s="186">
        <v>1184713</v>
      </c>
      <c r="G12" s="186"/>
      <c r="H12" s="178">
        <v>41684</v>
      </c>
      <c r="I12" s="186"/>
      <c r="J12" s="186">
        <v>927300</v>
      </c>
      <c r="K12" s="186"/>
      <c r="L12" s="186"/>
      <c r="N12" s="192">
        <f>SUM(J12:M12)</f>
        <v>927300</v>
      </c>
      <c r="P12" s="192">
        <f>N12-F12</f>
        <v>-257413</v>
      </c>
      <c r="Q12" s="195"/>
    </row>
    <row r="13" spans="1:17" x14ac:dyDescent="0.25">
      <c r="A13" s="163" t="s">
        <v>296</v>
      </c>
      <c r="B13" s="161">
        <v>355</v>
      </c>
      <c r="C13" s="162" t="s">
        <v>281</v>
      </c>
      <c r="D13" s="178">
        <v>41974</v>
      </c>
      <c r="E13" s="178">
        <v>42050</v>
      </c>
      <c r="F13" s="186">
        <v>6381000</v>
      </c>
      <c r="G13" s="186"/>
      <c r="H13" s="178"/>
      <c r="I13" s="186"/>
      <c r="J13" s="186">
        <v>0</v>
      </c>
      <c r="K13" s="186"/>
      <c r="L13" s="186"/>
      <c r="N13" s="192">
        <f t="shared" ref="N13:N18" si="0">SUM(J13:M13)</f>
        <v>0</v>
      </c>
      <c r="P13" s="192">
        <f t="shared" ref="P13:P18" si="1">N13-F13</f>
        <v>-6381000</v>
      </c>
      <c r="Q13" s="195"/>
    </row>
    <row r="14" spans="1:17" x14ac:dyDescent="0.25">
      <c r="A14" s="163" t="s">
        <v>353</v>
      </c>
      <c r="B14" s="161">
        <v>355</v>
      </c>
      <c r="C14" s="162" t="s">
        <v>281</v>
      </c>
      <c r="D14" s="178">
        <v>41913</v>
      </c>
      <c r="E14" s="178">
        <v>41999</v>
      </c>
      <c r="F14" s="186">
        <v>3400000</v>
      </c>
      <c r="G14" s="186"/>
      <c r="H14" s="178"/>
      <c r="I14" s="186"/>
      <c r="J14" s="186">
        <v>0</v>
      </c>
      <c r="K14" s="186"/>
      <c r="L14" s="186"/>
      <c r="N14" s="192">
        <f t="shared" si="0"/>
        <v>0</v>
      </c>
      <c r="P14" s="192">
        <f t="shared" si="1"/>
        <v>-3400000</v>
      </c>
      <c r="Q14" s="195"/>
    </row>
    <row r="15" spans="1:17" x14ac:dyDescent="0.25">
      <c r="A15" s="163" t="s">
        <v>297</v>
      </c>
      <c r="B15" s="161">
        <v>355</v>
      </c>
      <c r="C15" s="162" t="s">
        <v>281</v>
      </c>
      <c r="D15" s="178">
        <v>41913</v>
      </c>
      <c r="E15" s="178">
        <v>41943</v>
      </c>
      <c r="F15" s="186">
        <v>2835843</v>
      </c>
      <c r="G15" s="186"/>
      <c r="H15" s="178"/>
      <c r="I15" s="186"/>
      <c r="J15" s="186">
        <v>0</v>
      </c>
      <c r="K15" s="186"/>
      <c r="L15" s="186"/>
      <c r="N15" s="192">
        <f t="shared" si="0"/>
        <v>0</v>
      </c>
      <c r="P15" s="192">
        <f t="shared" si="1"/>
        <v>-2835843</v>
      </c>
      <c r="Q15" s="195"/>
    </row>
    <row r="16" spans="1:17" x14ac:dyDescent="0.25">
      <c r="A16" s="163" t="s">
        <v>358</v>
      </c>
      <c r="B16" s="161">
        <v>355</v>
      </c>
      <c r="C16" s="162" t="s">
        <v>281</v>
      </c>
      <c r="D16" s="178">
        <v>41671</v>
      </c>
      <c r="E16" s="178">
        <v>41684</v>
      </c>
      <c r="F16" s="186">
        <v>3737294</v>
      </c>
      <c r="G16" s="186"/>
      <c r="H16" s="178">
        <v>41684</v>
      </c>
      <c r="I16" s="186"/>
      <c r="J16" s="186">
        <v>2451005</v>
      </c>
      <c r="K16" s="186"/>
      <c r="L16" s="186">
        <v>500</v>
      </c>
      <c r="N16" s="192">
        <f t="shared" si="0"/>
        <v>2451505</v>
      </c>
      <c r="P16" s="192">
        <f t="shared" si="1"/>
        <v>-1285789</v>
      </c>
      <c r="Q16" s="195"/>
    </row>
    <row r="17" spans="1:18" x14ac:dyDescent="0.25">
      <c r="A17" s="163" t="s">
        <v>352</v>
      </c>
      <c r="B17" s="161">
        <v>355</v>
      </c>
      <c r="C17" s="162" t="s">
        <v>281</v>
      </c>
      <c r="D17" s="178">
        <v>41944</v>
      </c>
      <c r="E17" s="178">
        <v>41943</v>
      </c>
      <c r="F17" s="186">
        <v>2000000</v>
      </c>
      <c r="G17" s="186"/>
      <c r="H17" s="178"/>
      <c r="I17" s="186"/>
      <c r="J17" s="186">
        <v>0</v>
      </c>
      <c r="K17" s="186"/>
      <c r="L17" s="186"/>
      <c r="N17" s="192">
        <f t="shared" si="0"/>
        <v>0</v>
      </c>
      <c r="P17" s="192">
        <f t="shared" si="1"/>
        <v>-2000000</v>
      </c>
      <c r="Q17" s="195"/>
      <c r="R17" s="195"/>
    </row>
    <row r="18" spans="1:18" x14ac:dyDescent="0.25">
      <c r="A18" s="163" t="s">
        <v>298</v>
      </c>
      <c r="B18" s="161">
        <v>355</v>
      </c>
      <c r="C18" s="162" t="s">
        <v>282</v>
      </c>
      <c r="D18" s="178">
        <v>41852</v>
      </c>
      <c r="E18" s="178">
        <v>41883</v>
      </c>
      <c r="F18" s="191">
        <v>3359989</v>
      </c>
      <c r="G18" s="186"/>
      <c r="H18" s="178"/>
      <c r="I18" s="186"/>
      <c r="J18" s="186">
        <v>0</v>
      </c>
      <c r="K18" s="186"/>
      <c r="L18" s="186"/>
      <c r="N18" s="180">
        <f t="shared" si="0"/>
        <v>0</v>
      </c>
      <c r="P18" s="180">
        <f t="shared" si="1"/>
        <v>-3359989</v>
      </c>
      <c r="Q18" s="195"/>
    </row>
    <row r="19" spans="1:18" x14ac:dyDescent="0.25">
      <c r="A19" s="164" t="s">
        <v>299</v>
      </c>
      <c r="B19" s="161"/>
      <c r="C19" s="165"/>
      <c r="D19" s="178"/>
      <c r="E19" s="178"/>
      <c r="F19" s="186">
        <f>SUM(F12:F18)</f>
        <v>22898839</v>
      </c>
      <c r="G19" s="186"/>
      <c r="H19" s="178"/>
      <c r="I19" s="186"/>
      <c r="J19" s="186"/>
      <c r="K19" s="186"/>
      <c r="L19" s="186"/>
      <c r="N19" s="192">
        <f>SUM(N12:N18)</f>
        <v>3378805</v>
      </c>
      <c r="P19" s="192">
        <f>SUM(P12:P18)</f>
        <v>-19520034</v>
      </c>
    </row>
    <row r="20" spans="1:18" ht="6" customHeight="1" x14ac:dyDescent="0.25">
      <c r="A20" s="166"/>
      <c r="B20" s="167"/>
      <c r="C20" s="167"/>
      <c r="D20" s="178"/>
      <c r="E20" s="178"/>
      <c r="F20" s="186"/>
      <c r="G20" s="186"/>
      <c r="H20" s="178"/>
      <c r="I20" s="186"/>
      <c r="J20" s="186"/>
      <c r="K20" s="186"/>
      <c r="L20" s="186"/>
    </row>
    <row r="21" spans="1:18" x14ac:dyDescent="0.25">
      <c r="A21" s="166" t="s">
        <v>300</v>
      </c>
      <c r="B21" s="167"/>
      <c r="C21" s="167"/>
      <c r="D21" s="178"/>
      <c r="E21" s="178"/>
      <c r="F21" s="186"/>
      <c r="G21" s="186"/>
      <c r="H21" s="178"/>
      <c r="I21" s="186"/>
      <c r="J21" s="186"/>
      <c r="K21" s="186"/>
      <c r="L21" s="186"/>
    </row>
    <row r="22" spans="1:18" x14ac:dyDescent="0.25">
      <c r="A22" s="168" t="s">
        <v>301</v>
      </c>
      <c r="B22" s="169">
        <v>312</v>
      </c>
      <c r="C22" s="169" t="s">
        <v>282</v>
      </c>
      <c r="D22" s="178">
        <v>41760</v>
      </c>
      <c r="E22" s="178">
        <v>41791</v>
      </c>
      <c r="F22" s="186">
        <v>1315211</v>
      </c>
      <c r="G22" s="186"/>
      <c r="H22" s="178">
        <v>41791</v>
      </c>
      <c r="I22" s="186"/>
      <c r="J22" s="186">
        <v>1309964</v>
      </c>
      <c r="K22" s="186"/>
      <c r="L22" s="186">
        <v>31324</v>
      </c>
      <c r="N22" s="192">
        <f t="shared" ref="N22:N26" si="2">SUM(J22:M22)</f>
        <v>1341288</v>
      </c>
      <c r="P22" s="192">
        <f t="shared" ref="P22:P26" si="3">N22-F22</f>
        <v>26077</v>
      </c>
    </row>
    <row r="23" spans="1:18" x14ac:dyDescent="0.25">
      <c r="A23" s="168" t="s">
        <v>302</v>
      </c>
      <c r="B23" s="169">
        <v>312</v>
      </c>
      <c r="C23" s="169" t="s">
        <v>282</v>
      </c>
      <c r="D23" s="178">
        <v>41760</v>
      </c>
      <c r="E23" s="178">
        <v>41760</v>
      </c>
      <c r="F23" s="186">
        <v>1438405</v>
      </c>
      <c r="G23" s="186"/>
      <c r="H23" s="178">
        <v>41760</v>
      </c>
      <c r="I23" s="186"/>
      <c r="J23" s="186">
        <v>1327783</v>
      </c>
      <c r="K23" s="186"/>
      <c r="L23" s="186"/>
      <c r="N23" s="192">
        <f t="shared" si="2"/>
        <v>1327783</v>
      </c>
      <c r="P23" s="192">
        <f t="shared" si="3"/>
        <v>-110622</v>
      </c>
    </row>
    <row r="24" spans="1:18" x14ac:dyDescent="0.25">
      <c r="A24" s="168" t="s">
        <v>303</v>
      </c>
      <c r="B24" s="169">
        <v>312</v>
      </c>
      <c r="C24" s="169" t="s">
        <v>282</v>
      </c>
      <c r="D24" s="178">
        <v>41760</v>
      </c>
      <c r="E24" s="178">
        <v>41760</v>
      </c>
      <c r="F24" s="186">
        <v>2448968</v>
      </c>
      <c r="G24" s="186"/>
      <c r="H24" s="178">
        <v>41760</v>
      </c>
      <c r="I24" s="186"/>
      <c r="J24" s="186">
        <v>2334290</v>
      </c>
      <c r="K24" s="186"/>
      <c r="L24" s="186"/>
      <c r="N24" s="192">
        <f t="shared" si="2"/>
        <v>2334290</v>
      </c>
      <c r="P24" s="192">
        <f t="shared" si="3"/>
        <v>-114678</v>
      </c>
    </row>
    <row r="25" spans="1:18" x14ac:dyDescent="0.25">
      <c r="A25" s="168" t="s">
        <v>304</v>
      </c>
      <c r="B25" s="169">
        <v>312</v>
      </c>
      <c r="C25" s="169" t="s">
        <v>282</v>
      </c>
      <c r="D25" s="178">
        <v>41760</v>
      </c>
      <c r="E25" s="178">
        <v>41760</v>
      </c>
      <c r="F25" s="186">
        <v>5889967</v>
      </c>
      <c r="G25" s="186"/>
      <c r="H25" s="178">
        <v>41760</v>
      </c>
      <c r="I25" s="186"/>
      <c r="J25" s="186">
        <v>5453021</v>
      </c>
      <c r="K25" s="186"/>
      <c r="L25" s="186">
        <v>73595</v>
      </c>
      <c r="N25" s="192">
        <f t="shared" si="2"/>
        <v>5526616</v>
      </c>
      <c r="P25" s="192">
        <f t="shared" si="3"/>
        <v>-363351</v>
      </c>
    </row>
    <row r="26" spans="1:18" x14ac:dyDescent="0.25">
      <c r="A26" s="168" t="s">
        <v>305</v>
      </c>
      <c r="B26" s="169">
        <v>312</v>
      </c>
      <c r="C26" s="169" t="s">
        <v>281</v>
      </c>
      <c r="D26" s="178">
        <v>41671</v>
      </c>
      <c r="E26" s="178">
        <v>41671</v>
      </c>
      <c r="F26" s="191">
        <v>250000</v>
      </c>
      <c r="G26" s="186"/>
      <c r="H26" s="178">
        <v>41671</v>
      </c>
      <c r="I26" s="186"/>
      <c r="J26" s="186">
        <v>1145617</v>
      </c>
      <c r="K26" s="186"/>
      <c r="L26" s="186">
        <f>-600000</f>
        <v>-600000</v>
      </c>
      <c r="N26" s="180">
        <f t="shared" si="2"/>
        <v>545617</v>
      </c>
      <c r="P26" s="180">
        <f t="shared" si="3"/>
        <v>295617</v>
      </c>
    </row>
    <row r="27" spans="1:18" x14ac:dyDescent="0.25">
      <c r="A27" s="166" t="s">
        <v>306</v>
      </c>
      <c r="B27" s="167"/>
      <c r="C27" s="167"/>
      <c r="D27" s="178"/>
      <c r="E27" s="178"/>
      <c r="F27" s="186">
        <f>SUM(F22:F26)</f>
        <v>11342551</v>
      </c>
      <c r="G27" s="186"/>
      <c r="H27" s="178"/>
      <c r="I27" s="186"/>
      <c r="J27" s="186"/>
      <c r="K27" s="186"/>
      <c r="L27" s="186"/>
      <c r="N27" s="192">
        <f>SUM(N22:N26)</f>
        <v>11075594</v>
      </c>
      <c r="P27" s="192">
        <f>SUM(P22:P26)</f>
        <v>-266957</v>
      </c>
    </row>
    <row r="28" spans="1:18" ht="4.5" customHeight="1" x14ac:dyDescent="0.25">
      <c r="A28" s="166"/>
      <c r="B28" s="167"/>
      <c r="C28" s="167"/>
      <c r="D28" s="178"/>
      <c r="E28" s="178"/>
      <c r="F28" s="186"/>
      <c r="G28" s="186"/>
      <c r="H28" s="178"/>
      <c r="I28" s="186"/>
      <c r="J28" s="186"/>
      <c r="K28" s="186"/>
      <c r="L28" s="186"/>
    </row>
    <row r="29" spans="1:18" x14ac:dyDescent="0.25">
      <c r="A29" s="170" t="s">
        <v>307</v>
      </c>
      <c r="B29" s="171"/>
      <c r="C29" s="162"/>
      <c r="D29" s="178"/>
      <c r="E29" s="178"/>
      <c r="F29" s="186"/>
      <c r="G29" s="186"/>
      <c r="H29" s="178"/>
      <c r="I29" s="186"/>
      <c r="J29" s="186"/>
      <c r="K29" s="186"/>
      <c r="L29" s="186"/>
    </row>
    <row r="30" spans="1:18" x14ac:dyDescent="0.25">
      <c r="A30" s="172" t="s">
        <v>308</v>
      </c>
      <c r="B30" s="161">
        <v>332</v>
      </c>
      <c r="C30" s="161" t="s">
        <v>281</v>
      </c>
      <c r="D30" s="178">
        <v>41699</v>
      </c>
      <c r="E30" s="178">
        <v>41699</v>
      </c>
      <c r="F30" s="186">
        <v>49333266</v>
      </c>
      <c r="G30" s="186"/>
      <c r="H30" s="178">
        <v>41699</v>
      </c>
      <c r="I30" s="186"/>
      <c r="J30" s="186">
        <v>48944628</v>
      </c>
      <c r="K30" s="186"/>
      <c r="L30" s="186">
        <v>523041</v>
      </c>
      <c r="N30" s="192">
        <f t="shared" ref="N30:N41" si="4">SUM(J30:M30)</f>
        <v>49467669</v>
      </c>
      <c r="P30" s="192">
        <f t="shared" ref="P30:P41" si="5">N30-F30</f>
        <v>134403</v>
      </c>
    </row>
    <row r="31" spans="1:18" x14ac:dyDescent="0.25">
      <c r="A31" s="172" t="s">
        <v>309</v>
      </c>
      <c r="B31" s="161">
        <v>332</v>
      </c>
      <c r="C31" s="161" t="s">
        <v>281</v>
      </c>
      <c r="D31" s="178">
        <v>41913</v>
      </c>
      <c r="E31" s="178">
        <v>42278</v>
      </c>
      <c r="F31" s="186">
        <v>2296706</v>
      </c>
      <c r="G31" s="186"/>
      <c r="H31" s="178"/>
      <c r="I31" s="186"/>
      <c r="J31" s="186">
        <v>0</v>
      </c>
      <c r="K31" s="186"/>
      <c r="L31" s="186"/>
      <c r="N31" s="192">
        <f t="shared" si="4"/>
        <v>0</v>
      </c>
      <c r="P31" s="192">
        <f t="shared" si="5"/>
        <v>-2296706</v>
      </c>
    </row>
    <row r="32" spans="1:18" x14ac:dyDescent="0.25">
      <c r="A32" s="172" t="s">
        <v>310</v>
      </c>
      <c r="B32" s="161">
        <v>332</v>
      </c>
      <c r="C32" s="161" t="s">
        <v>281</v>
      </c>
      <c r="D32" s="178">
        <v>41913</v>
      </c>
      <c r="E32" s="178">
        <v>42309</v>
      </c>
      <c r="F32" s="186">
        <v>2002024</v>
      </c>
      <c r="G32" s="186"/>
      <c r="H32" s="178"/>
      <c r="I32" s="186"/>
      <c r="J32" s="186">
        <v>0</v>
      </c>
      <c r="K32" s="186"/>
      <c r="L32" s="186"/>
      <c r="N32" s="192">
        <f t="shared" si="4"/>
        <v>0</v>
      </c>
      <c r="P32" s="192">
        <f t="shared" si="5"/>
        <v>-2002024</v>
      </c>
    </row>
    <row r="33" spans="1:16" x14ac:dyDescent="0.25">
      <c r="A33" s="173" t="s">
        <v>311</v>
      </c>
      <c r="B33" s="161">
        <v>332</v>
      </c>
      <c r="C33" s="161" t="s">
        <v>281</v>
      </c>
      <c r="D33" s="178">
        <v>41944</v>
      </c>
      <c r="E33" s="178">
        <v>41944</v>
      </c>
      <c r="F33" s="186">
        <v>1333292</v>
      </c>
      <c r="G33" s="186"/>
      <c r="H33" s="178"/>
      <c r="I33" s="186"/>
      <c r="J33" s="186">
        <v>0</v>
      </c>
      <c r="K33" s="186"/>
      <c r="L33" s="186"/>
      <c r="N33" s="192">
        <f t="shared" si="4"/>
        <v>0</v>
      </c>
      <c r="P33" s="192">
        <f t="shared" si="5"/>
        <v>-1333292</v>
      </c>
    </row>
    <row r="34" spans="1:16" x14ac:dyDescent="0.25">
      <c r="A34" s="172" t="s">
        <v>312</v>
      </c>
      <c r="B34" s="161">
        <v>332</v>
      </c>
      <c r="C34" s="161" t="s">
        <v>281</v>
      </c>
      <c r="D34" s="178">
        <v>41852</v>
      </c>
      <c r="E34" s="178">
        <v>41913</v>
      </c>
      <c r="F34" s="186">
        <v>1241748</v>
      </c>
      <c r="G34" s="186"/>
      <c r="H34" s="178"/>
      <c r="I34" s="186"/>
      <c r="J34" s="186"/>
      <c r="K34" s="186"/>
      <c r="L34" s="186"/>
      <c r="N34" s="192">
        <f t="shared" si="4"/>
        <v>0</v>
      </c>
      <c r="P34" s="192">
        <f t="shared" si="5"/>
        <v>-1241748</v>
      </c>
    </row>
    <row r="35" spans="1:16" x14ac:dyDescent="0.25">
      <c r="A35" s="172" t="s">
        <v>313</v>
      </c>
      <c r="B35" s="161">
        <v>332</v>
      </c>
      <c r="C35" s="161" t="s">
        <v>281</v>
      </c>
      <c r="D35" s="178">
        <v>41883</v>
      </c>
      <c r="E35" s="178">
        <v>41944</v>
      </c>
      <c r="F35" s="186">
        <v>1242975</v>
      </c>
      <c r="G35" s="186"/>
      <c r="H35" s="178"/>
      <c r="I35" s="186"/>
      <c r="J35" s="186"/>
      <c r="K35" s="186"/>
      <c r="L35" s="186"/>
      <c r="N35" s="192">
        <f t="shared" si="4"/>
        <v>0</v>
      </c>
      <c r="P35" s="192">
        <f t="shared" si="5"/>
        <v>-1242975</v>
      </c>
    </row>
    <row r="36" spans="1:16" x14ac:dyDescent="0.25">
      <c r="A36" s="173" t="s">
        <v>314</v>
      </c>
      <c r="B36" s="161">
        <v>332</v>
      </c>
      <c r="C36" s="161" t="s">
        <v>281</v>
      </c>
      <c r="D36" s="178">
        <v>41640</v>
      </c>
      <c r="E36" s="178">
        <v>41640</v>
      </c>
      <c r="F36" s="186">
        <v>3030066</v>
      </c>
      <c r="G36" s="186"/>
      <c r="H36" s="178">
        <v>41640</v>
      </c>
      <c r="I36" s="186"/>
      <c r="J36" s="186">
        <v>3100387</v>
      </c>
      <c r="K36" s="186"/>
      <c r="L36" s="186"/>
      <c r="N36" s="192">
        <f t="shared" si="4"/>
        <v>3100387</v>
      </c>
      <c r="P36" s="192">
        <f t="shared" si="5"/>
        <v>70321</v>
      </c>
    </row>
    <row r="37" spans="1:16" x14ac:dyDescent="0.25">
      <c r="A37" s="172" t="s">
        <v>315</v>
      </c>
      <c r="B37" s="161">
        <v>332</v>
      </c>
      <c r="C37" s="161" t="s">
        <v>281</v>
      </c>
      <c r="D37" s="178">
        <v>41821</v>
      </c>
      <c r="E37" s="178">
        <v>41791</v>
      </c>
      <c r="F37" s="186">
        <v>1632114</v>
      </c>
      <c r="G37" s="186"/>
      <c r="H37" s="178">
        <v>41791</v>
      </c>
      <c r="I37" s="186"/>
      <c r="J37" s="186">
        <v>1614209</v>
      </c>
      <c r="K37" s="186"/>
      <c r="L37" s="186"/>
      <c r="N37" s="192">
        <f t="shared" si="4"/>
        <v>1614209</v>
      </c>
      <c r="P37" s="192">
        <f t="shared" si="5"/>
        <v>-17905</v>
      </c>
    </row>
    <row r="38" spans="1:16" x14ac:dyDescent="0.25">
      <c r="A38" s="172" t="s">
        <v>316</v>
      </c>
      <c r="B38" s="161">
        <v>332</v>
      </c>
      <c r="C38" s="161" t="s">
        <v>281</v>
      </c>
      <c r="D38" s="178">
        <v>41883</v>
      </c>
      <c r="E38" s="178">
        <v>41913</v>
      </c>
      <c r="F38" s="186">
        <v>3450962</v>
      </c>
      <c r="G38" s="186"/>
      <c r="H38" s="178"/>
      <c r="I38" s="186"/>
      <c r="J38" s="186">
        <v>0</v>
      </c>
      <c r="K38" s="186"/>
      <c r="L38" s="186"/>
      <c r="N38" s="192">
        <f t="shared" si="4"/>
        <v>0</v>
      </c>
      <c r="P38" s="192">
        <f t="shared" si="5"/>
        <v>-3450962</v>
      </c>
    </row>
    <row r="39" spans="1:16" x14ac:dyDescent="0.25">
      <c r="A39" s="173" t="s">
        <v>317</v>
      </c>
      <c r="B39" s="161">
        <v>332</v>
      </c>
      <c r="C39" s="161" t="s">
        <v>281</v>
      </c>
      <c r="D39" s="178">
        <v>41913</v>
      </c>
      <c r="E39" s="178">
        <v>41913</v>
      </c>
      <c r="F39" s="186">
        <v>2655774</v>
      </c>
      <c r="G39" s="186"/>
      <c r="H39" s="178"/>
      <c r="I39" s="186"/>
      <c r="J39" s="186"/>
      <c r="K39" s="186"/>
      <c r="L39" s="186"/>
      <c r="N39" s="192">
        <f t="shared" si="4"/>
        <v>0</v>
      </c>
      <c r="P39" s="192">
        <f t="shared" si="5"/>
        <v>-2655774</v>
      </c>
    </row>
    <row r="40" spans="1:16" x14ac:dyDescent="0.25">
      <c r="A40" s="172" t="s">
        <v>318</v>
      </c>
      <c r="B40" s="161">
        <v>332</v>
      </c>
      <c r="C40" s="161" t="s">
        <v>281</v>
      </c>
      <c r="D40" s="178">
        <v>41699</v>
      </c>
      <c r="E40" s="178">
        <v>41699</v>
      </c>
      <c r="F40" s="186">
        <v>3458441</v>
      </c>
      <c r="G40" s="186"/>
      <c r="H40" s="178">
        <v>41699</v>
      </c>
      <c r="I40" s="186"/>
      <c r="J40" s="186">
        <v>2156065</v>
      </c>
      <c r="K40" s="186"/>
      <c r="L40" s="186"/>
      <c r="N40" s="192">
        <f t="shared" si="4"/>
        <v>2156065</v>
      </c>
      <c r="P40" s="192">
        <f t="shared" si="5"/>
        <v>-1302376</v>
      </c>
    </row>
    <row r="41" spans="1:16" x14ac:dyDescent="0.25">
      <c r="A41" s="172" t="s">
        <v>319</v>
      </c>
      <c r="B41" s="161">
        <v>332</v>
      </c>
      <c r="C41" s="161" t="s">
        <v>281</v>
      </c>
      <c r="D41" s="178">
        <v>41913</v>
      </c>
      <c r="E41" s="178">
        <v>42036</v>
      </c>
      <c r="F41" s="191">
        <v>2726219</v>
      </c>
      <c r="G41" s="186"/>
      <c r="H41" s="178"/>
      <c r="I41" s="186"/>
      <c r="J41" s="186"/>
      <c r="K41" s="186"/>
      <c r="L41" s="186"/>
      <c r="N41" s="180">
        <f t="shared" si="4"/>
        <v>0</v>
      </c>
      <c r="P41" s="180">
        <f t="shared" si="5"/>
        <v>-2726219</v>
      </c>
    </row>
    <row r="42" spans="1:16" x14ac:dyDescent="0.25">
      <c r="A42" s="170" t="s">
        <v>320</v>
      </c>
      <c r="B42" s="171"/>
      <c r="C42" s="162"/>
      <c r="D42" s="178"/>
      <c r="E42" s="178"/>
      <c r="F42" s="186">
        <f>SUM(F30:F41)</f>
        <v>74403587</v>
      </c>
      <c r="G42" s="186"/>
      <c r="H42" s="178"/>
      <c r="I42" s="186"/>
      <c r="J42" s="186"/>
      <c r="K42" s="186"/>
      <c r="L42" s="186"/>
      <c r="N42" s="192">
        <f>SUM(N30:N41)</f>
        <v>56338330</v>
      </c>
      <c r="P42" s="192">
        <f>SUM(P30:P41)</f>
        <v>-18065257</v>
      </c>
    </row>
    <row r="43" spans="1:16" ht="3" customHeight="1" x14ac:dyDescent="0.25">
      <c r="A43" s="170"/>
      <c r="B43" s="161"/>
      <c r="C43" s="162"/>
      <c r="D43" s="178"/>
      <c r="E43" s="178"/>
      <c r="F43" s="186"/>
      <c r="G43" s="186"/>
      <c r="H43" s="186"/>
      <c r="I43" s="186"/>
      <c r="J43" s="186"/>
      <c r="K43" s="186"/>
      <c r="L43" s="186"/>
    </row>
    <row r="44" spans="1:16" x14ac:dyDescent="0.25">
      <c r="A44" s="170" t="s">
        <v>321</v>
      </c>
      <c r="B44" s="161"/>
      <c r="C44" s="162"/>
      <c r="D44" s="178"/>
      <c r="E44" s="178"/>
      <c r="F44" s="186"/>
      <c r="G44" s="186"/>
      <c r="H44" s="186"/>
      <c r="I44" s="186"/>
      <c r="J44" s="186"/>
      <c r="K44" s="186"/>
      <c r="L44" s="186"/>
    </row>
    <row r="45" spans="1:16" x14ac:dyDescent="0.25">
      <c r="A45" s="172" t="s">
        <v>322</v>
      </c>
      <c r="B45" s="161">
        <v>397</v>
      </c>
      <c r="C45" s="162" t="s">
        <v>98</v>
      </c>
      <c r="D45" s="178">
        <v>41699</v>
      </c>
      <c r="E45" s="178">
        <v>41821</v>
      </c>
      <c r="F45" s="186">
        <v>4414551</v>
      </c>
      <c r="G45" s="186"/>
      <c r="H45" s="178">
        <v>41821</v>
      </c>
      <c r="I45" s="186"/>
      <c r="J45" s="186">
        <v>4515941</v>
      </c>
      <c r="K45" s="186"/>
      <c r="L45" s="186">
        <v>142000</v>
      </c>
      <c r="N45" s="192">
        <f t="shared" ref="N45:N46" si="6">SUM(J45:M45)</f>
        <v>4657941</v>
      </c>
      <c r="P45" s="192">
        <f t="shared" ref="P45:P46" si="7">N45-F45</f>
        <v>243390</v>
      </c>
    </row>
    <row r="46" spans="1:16" x14ac:dyDescent="0.25">
      <c r="A46" s="172" t="s">
        <v>357</v>
      </c>
      <c r="B46" s="161">
        <v>397</v>
      </c>
      <c r="C46" s="162" t="s">
        <v>281</v>
      </c>
      <c r="D46" s="178">
        <v>41974</v>
      </c>
      <c r="E46" s="230" t="s">
        <v>555</v>
      </c>
      <c r="F46" s="191">
        <v>1418281</v>
      </c>
      <c r="G46" s="186"/>
      <c r="H46" s="231" t="s">
        <v>556</v>
      </c>
      <c r="I46" s="186"/>
      <c r="J46" s="186">
        <v>825465</v>
      </c>
      <c r="K46" s="186"/>
      <c r="L46" s="186"/>
      <c r="N46" s="180">
        <f t="shared" si="6"/>
        <v>825465</v>
      </c>
      <c r="P46" s="180">
        <f t="shared" si="7"/>
        <v>-592816</v>
      </c>
    </row>
    <row r="47" spans="1:16" x14ac:dyDescent="0.25">
      <c r="A47" s="170" t="s">
        <v>323</v>
      </c>
      <c r="B47" s="161"/>
      <c r="C47" s="162"/>
      <c r="D47" s="178"/>
      <c r="E47" s="178"/>
      <c r="F47" s="186">
        <f>SUM(F45:F46)</f>
        <v>5832832</v>
      </c>
      <c r="G47" s="186"/>
      <c r="H47" s="186"/>
      <c r="I47" s="186"/>
      <c r="J47" s="186"/>
      <c r="K47" s="186"/>
      <c r="L47" s="186"/>
      <c r="N47" s="192">
        <f>SUM(N45:N46)</f>
        <v>5483406</v>
      </c>
      <c r="P47" s="192">
        <f>SUM(P45:P46)</f>
        <v>-349426</v>
      </c>
    </row>
    <row r="48" spans="1:16" x14ac:dyDescent="0.25">
      <c r="A48" s="170"/>
      <c r="B48" s="161"/>
      <c r="C48" s="162"/>
      <c r="D48" s="178"/>
      <c r="E48" s="178"/>
      <c r="F48" s="186"/>
      <c r="G48" s="186"/>
      <c r="H48" s="186"/>
      <c r="I48" s="186"/>
      <c r="J48" s="186"/>
      <c r="K48" s="186"/>
      <c r="L48" s="186"/>
    </row>
    <row r="49" spans="1:16" x14ac:dyDescent="0.25">
      <c r="A49" s="170" t="s">
        <v>324</v>
      </c>
      <c r="B49" s="161"/>
      <c r="C49" s="162"/>
      <c r="D49" s="178"/>
      <c r="E49" s="178"/>
      <c r="F49" s="186"/>
      <c r="G49" s="186"/>
      <c r="H49" s="186"/>
      <c r="I49" s="186"/>
      <c r="J49" s="186"/>
      <c r="K49" s="186"/>
      <c r="L49" s="186"/>
    </row>
    <row r="50" spans="1:16" x14ac:dyDescent="0.25">
      <c r="A50" s="172" t="s">
        <v>355</v>
      </c>
      <c r="B50" s="161">
        <v>360</v>
      </c>
      <c r="C50" s="162" t="s">
        <v>325</v>
      </c>
      <c r="D50" s="178">
        <v>41730</v>
      </c>
      <c r="E50" s="178">
        <v>41973</v>
      </c>
      <c r="F50" s="186">
        <v>880000</v>
      </c>
      <c r="G50" s="186"/>
      <c r="H50" s="186"/>
      <c r="I50" s="186"/>
      <c r="J50" s="186">
        <v>0</v>
      </c>
      <c r="K50" s="186"/>
      <c r="L50" s="186"/>
      <c r="N50" s="192">
        <f>SUM(J50:M50)</f>
        <v>0</v>
      </c>
      <c r="P50" s="192">
        <f>N50-F50</f>
        <v>-880000</v>
      </c>
    </row>
    <row r="51" spans="1:16" x14ac:dyDescent="0.25">
      <c r="A51" s="172" t="s">
        <v>326</v>
      </c>
      <c r="B51" s="161">
        <v>360</v>
      </c>
      <c r="C51" s="162" t="s">
        <v>325</v>
      </c>
      <c r="D51" s="178">
        <v>41913</v>
      </c>
      <c r="E51" s="178">
        <v>41943</v>
      </c>
      <c r="F51" s="186">
        <v>655000</v>
      </c>
      <c r="G51" s="186"/>
      <c r="H51" s="186"/>
      <c r="I51" s="186"/>
      <c r="J51" s="186">
        <v>0</v>
      </c>
      <c r="K51" s="186"/>
      <c r="L51" s="186"/>
      <c r="N51" s="192">
        <f t="shared" ref="N51:N53" si="8">SUM(J51:M51)</f>
        <v>0</v>
      </c>
      <c r="P51" s="192">
        <f t="shared" ref="P51:P53" si="9">N51-F51</f>
        <v>-655000</v>
      </c>
    </row>
    <row r="52" spans="1:16" x14ac:dyDescent="0.25">
      <c r="A52" s="172" t="s">
        <v>356</v>
      </c>
      <c r="B52" s="161">
        <v>360</v>
      </c>
      <c r="C52" s="162" t="s">
        <v>325</v>
      </c>
      <c r="D52" s="178">
        <v>41974</v>
      </c>
      <c r="E52" s="178">
        <v>41993</v>
      </c>
      <c r="F52" s="186">
        <v>4547967</v>
      </c>
      <c r="G52" s="186"/>
      <c r="H52" s="186"/>
      <c r="I52" s="186"/>
      <c r="J52" s="186">
        <v>0</v>
      </c>
      <c r="K52" s="186"/>
      <c r="L52" s="186"/>
      <c r="N52" s="192">
        <f t="shared" si="8"/>
        <v>0</v>
      </c>
      <c r="P52" s="192">
        <f t="shared" si="9"/>
        <v>-4547967</v>
      </c>
    </row>
    <row r="53" spans="1:16" x14ac:dyDescent="0.25">
      <c r="A53" s="172" t="s">
        <v>327</v>
      </c>
      <c r="B53" s="161">
        <v>360</v>
      </c>
      <c r="C53" s="162" t="s">
        <v>325</v>
      </c>
      <c r="D53" s="178">
        <v>41852</v>
      </c>
      <c r="E53" s="178">
        <v>41866</v>
      </c>
      <c r="F53" s="191">
        <v>8650000</v>
      </c>
      <c r="G53" s="186"/>
      <c r="H53" s="186"/>
      <c r="I53" s="186"/>
      <c r="J53" s="186">
        <v>0</v>
      </c>
      <c r="K53" s="186"/>
      <c r="L53" s="186"/>
      <c r="N53" s="180">
        <f t="shared" si="8"/>
        <v>0</v>
      </c>
      <c r="P53" s="180">
        <f t="shared" si="9"/>
        <v>-8650000</v>
      </c>
    </row>
    <row r="54" spans="1:16" x14ac:dyDescent="0.25">
      <c r="A54" s="170" t="s">
        <v>328</v>
      </c>
      <c r="B54" s="161"/>
      <c r="C54" s="162"/>
      <c r="D54" s="162"/>
      <c r="E54" s="162"/>
      <c r="F54" s="226">
        <f>SUM(F50:F53)</f>
        <v>14732967</v>
      </c>
      <c r="G54" s="186"/>
      <c r="H54" s="186"/>
      <c r="I54" s="186"/>
      <c r="J54" s="186"/>
      <c r="K54" s="186"/>
      <c r="L54" s="186"/>
      <c r="N54" s="227">
        <f>SUM(N50:N53)</f>
        <v>0</v>
      </c>
      <c r="P54" s="227">
        <f>SUM(P50:P53)</f>
        <v>-14732967</v>
      </c>
    </row>
    <row r="55" spans="1:16" ht="10.5" customHeight="1" x14ac:dyDescent="0.25">
      <c r="A55" s="163"/>
      <c r="B55" s="171"/>
      <c r="C55" s="162"/>
      <c r="D55" s="162"/>
      <c r="E55" s="162"/>
      <c r="F55" s="186"/>
      <c r="G55" s="186"/>
      <c r="H55" s="186"/>
      <c r="I55" s="186"/>
      <c r="J55" s="186"/>
      <c r="K55" s="186"/>
      <c r="L55" s="186"/>
    </row>
    <row r="56" spans="1:16" ht="13.8" thickBot="1" x14ac:dyDescent="0.3">
      <c r="A56" s="164" t="s">
        <v>329</v>
      </c>
      <c r="B56" s="171"/>
      <c r="C56" s="165"/>
      <c r="D56" s="165"/>
      <c r="E56" s="165"/>
      <c r="F56" s="185">
        <f>F19+F27+F42+F47+F54</f>
        <v>129210776</v>
      </c>
      <c r="N56" s="185">
        <f>N19+N27+N42+N47+N54</f>
        <v>76276135</v>
      </c>
      <c r="P56" s="185">
        <f>P19+P27+P42+P47+P54</f>
        <v>-52934641</v>
      </c>
    </row>
    <row r="57" spans="1:16" ht="13.8" thickTop="1" x14ac:dyDescent="0.25"/>
    <row r="58" spans="1:16" x14ac:dyDescent="0.25">
      <c r="A58" s="95" t="s">
        <v>558</v>
      </c>
    </row>
    <row r="59" spans="1:16" x14ac:dyDescent="0.25">
      <c r="A59" s="95" t="s">
        <v>557</v>
      </c>
    </row>
  </sheetData>
  <pageMargins left="0.7" right="0.7" top="0.75" bottom="0.75" header="0.3" footer="0.3"/>
  <pageSetup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election activeCell="C25" sqref="C25"/>
    </sheetView>
  </sheetViews>
  <sheetFormatPr defaultRowHeight="15.6" x14ac:dyDescent="0.3"/>
  <cols>
    <col min="1" max="1" width="20.8984375" customWidth="1"/>
    <col min="2" max="2" width="1.8984375" customWidth="1"/>
    <col min="3" max="3" width="7.19921875" customWidth="1"/>
    <col min="4" max="5" width="7.69921875" customWidth="1"/>
    <col min="6" max="6" width="12.8984375" customWidth="1"/>
    <col min="7" max="7" width="11.09765625" bestFit="1" customWidth="1"/>
    <col min="8" max="8" width="1.3984375" customWidth="1"/>
    <col min="9" max="9" width="10.59765625" customWidth="1"/>
    <col min="10" max="10" width="1" customWidth="1"/>
    <col min="11" max="11" width="11.5" customWidth="1"/>
    <col min="12" max="12" width="1.19921875" customWidth="1"/>
    <col min="13" max="13" width="12.19921875" customWidth="1"/>
  </cols>
  <sheetData>
    <row r="1" spans="1:13" x14ac:dyDescent="0.3">
      <c r="A1" t="s">
        <v>513</v>
      </c>
      <c r="K1" t="s">
        <v>554</v>
      </c>
    </row>
    <row r="2" spans="1:13" x14ac:dyDescent="0.3">
      <c r="A2" t="s">
        <v>186</v>
      </c>
      <c r="K2" t="s">
        <v>567</v>
      </c>
      <c r="M2" s="95"/>
    </row>
    <row r="3" spans="1:13" x14ac:dyDescent="0.3">
      <c r="A3" t="s">
        <v>187</v>
      </c>
      <c r="K3" t="s">
        <v>546</v>
      </c>
      <c r="M3" s="95"/>
    </row>
    <row r="4" spans="1:13" x14ac:dyDescent="0.3">
      <c r="A4" t="s">
        <v>354</v>
      </c>
      <c r="K4" t="s">
        <v>559</v>
      </c>
      <c r="M4" s="95"/>
    </row>
    <row r="5" spans="1:13" x14ac:dyDescent="0.3">
      <c r="A5" t="s">
        <v>188</v>
      </c>
      <c r="M5" s="95"/>
    </row>
    <row r="6" spans="1:13" x14ac:dyDescent="0.3">
      <c r="A6" t="s">
        <v>377</v>
      </c>
      <c r="M6" s="95"/>
    </row>
    <row r="7" spans="1:13" x14ac:dyDescent="0.3">
      <c r="G7" s="1"/>
      <c r="K7" s="1" t="s">
        <v>382</v>
      </c>
      <c r="L7" s="1"/>
      <c r="M7" s="1" t="s">
        <v>276</v>
      </c>
    </row>
    <row r="8" spans="1:13" x14ac:dyDescent="0.3">
      <c r="C8" s="8" t="s">
        <v>339</v>
      </c>
      <c r="D8" s="1" t="s">
        <v>283</v>
      </c>
      <c r="E8" s="1"/>
      <c r="F8" s="1" t="s">
        <v>373</v>
      </c>
      <c r="G8" s="1" t="s">
        <v>373</v>
      </c>
      <c r="I8" s="52" t="s">
        <v>380</v>
      </c>
      <c r="K8" s="1" t="s">
        <v>283</v>
      </c>
      <c r="L8" s="1"/>
      <c r="M8" s="1" t="s">
        <v>140</v>
      </c>
    </row>
    <row r="9" spans="1:13" x14ac:dyDescent="0.3">
      <c r="A9" s="2" t="s">
        <v>366</v>
      </c>
      <c r="C9" s="10" t="s">
        <v>99</v>
      </c>
      <c r="D9" s="10" t="s">
        <v>99</v>
      </c>
      <c r="E9" s="10" t="s">
        <v>7</v>
      </c>
      <c r="F9" s="10" t="s">
        <v>382</v>
      </c>
      <c r="G9" s="183" t="s">
        <v>379</v>
      </c>
      <c r="I9" s="183" t="s">
        <v>381</v>
      </c>
      <c r="K9" s="183" t="s">
        <v>140</v>
      </c>
      <c r="L9" s="179"/>
      <c r="M9" s="10" t="s">
        <v>100</v>
      </c>
    </row>
    <row r="10" spans="1:13" x14ac:dyDescent="0.3">
      <c r="F10" s="52" t="s">
        <v>136</v>
      </c>
      <c r="G10" s="52" t="s">
        <v>137</v>
      </c>
      <c r="H10" s="1"/>
      <c r="I10" s="52" t="s">
        <v>489</v>
      </c>
      <c r="J10" s="1"/>
      <c r="K10" s="52" t="s">
        <v>490</v>
      </c>
      <c r="L10" s="8"/>
      <c r="M10" s="52" t="s">
        <v>491</v>
      </c>
    </row>
    <row r="11" spans="1:13" x14ac:dyDescent="0.3">
      <c r="A11" s="3" t="s">
        <v>378</v>
      </c>
      <c r="F11" s="80"/>
      <c r="L11" s="4"/>
    </row>
    <row r="12" spans="1:13" x14ac:dyDescent="0.3">
      <c r="A12" t="s">
        <v>300</v>
      </c>
      <c r="C12">
        <v>312</v>
      </c>
      <c r="D12" s="177" t="s">
        <v>292</v>
      </c>
      <c r="E12" s="1" t="s">
        <v>282</v>
      </c>
      <c r="F12" s="44">
        <f>SUM(PlantP2!F22:F25)</f>
        <v>11092551</v>
      </c>
      <c r="G12" s="44">
        <f>SUM(PlantP2!N22:N25)</f>
        <v>10529977</v>
      </c>
      <c r="H12" s="44"/>
      <c r="I12" s="159">
        <f>(G12-F12)/F12</f>
        <v>-5.071637714354435E-2</v>
      </c>
      <c r="K12" s="44">
        <v>269127</v>
      </c>
      <c r="L12" s="47"/>
      <c r="M12" s="44">
        <f>ROUND(I12*K12,0)</f>
        <v>-13649</v>
      </c>
    </row>
    <row r="13" spans="1:13" x14ac:dyDescent="0.3">
      <c r="A13" t="s">
        <v>300</v>
      </c>
      <c r="C13">
        <v>312</v>
      </c>
      <c r="D13" s="177" t="s">
        <v>292</v>
      </c>
      <c r="E13" s="1" t="s">
        <v>281</v>
      </c>
      <c r="F13" s="44">
        <f>PlantP2!F26</f>
        <v>250000</v>
      </c>
      <c r="G13" s="44">
        <f>PlantP2!N26</f>
        <v>545617</v>
      </c>
      <c r="H13" s="44"/>
      <c r="I13" s="159">
        <f t="shared" ref="I13:I19" si="0">(G13-F13)/F13</f>
        <v>1.1824680000000001</v>
      </c>
      <c r="K13" s="44">
        <v>6887</v>
      </c>
      <c r="L13" s="47"/>
      <c r="M13" s="44">
        <f t="shared" ref="M13:M19" si="1">ROUND(I13*K13,0)</f>
        <v>8144</v>
      </c>
    </row>
    <row r="14" spans="1:13" x14ac:dyDescent="0.3">
      <c r="A14" t="s">
        <v>307</v>
      </c>
      <c r="C14">
        <v>332</v>
      </c>
      <c r="D14" s="177" t="s">
        <v>290</v>
      </c>
      <c r="E14" s="1" t="s">
        <v>281</v>
      </c>
      <c r="F14" s="44">
        <f>PlantP2!F42</f>
        <v>74403587</v>
      </c>
      <c r="G14" s="44">
        <f>PlantP2!N42</f>
        <v>56338330</v>
      </c>
      <c r="H14" s="44"/>
      <c r="I14" s="159">
        <f t="shared" si="0"/>
        <v>-0.24280088808083944</v>
      </c>
      <c r="J14" s="194"/>
      <c r="K14" s="44">
        <v>1683568</v>
      </c>
      <c r="L14" s="47"/>
      <c r="M14" s="44">
        <f t="shared" si="1"/>
        <v>-408772</v>
      </c>
    </row>
    <row r="15" spans="1:13" x14ac:dyDescent="0.3">
      <c r="A15" t="s">
        <v>294</v>
      </c>
      <c r="C15">
        <v>355</v>
      </c>
      <c r="D15" s="177" t="s">
        <v>183</v>
      </c>
      <c r="E15" s="1" t="s">
        <v>282</v>
      </c>
      <c r="F15" s="44">
        <f>PlantP2!F18</f>
        <v>3359989</v>
      </c>
      <c r="G15" s="44">
        <f>PlantP2!N18</f>
        <v>0</v>
      </c>
      <c r="H15" s="44"/>
      <c r="I15" s="159">
        <f t="shared" si="0"/>
        <v>-1</v>
      </c>
      <c r="K15" s="44">
        <v>35463</v>
      </c>
      <c r="L15" s="47"/>
      <c r="M15" s="44">
        <f t="shared" si="1"/>
        <v>-35463</v>
      </c>
    </row>
    <row r="16" spans="1:13" x14ac:dyDescent="0.3">
      <c r="A16" t="s">
        <v>294</v>
      </c>
      <c r="C16">
        <v>355</v>
      </c>
      <c r="D16" s="177" t="s">
        <v>183</v>
      </c>
      <c r="E16" s="1" t="s">
        <v>281</v>
      </c>
      <c r="F16" s="44">
        <f>SUM(PlantP2!F12:F17)</f>
        <v>19538850</v>
      </c>
      <c r="G16" s="44">
        <f>SUM(PlantP2!N12:N17)</f>
        <v>3378805</v>
      </c>
      <c r="H16" s="44"/>
      <c r="I16" s="159">
        <f t="shared" si="0"/>
        <v>-0.82707247355908864</v>
      </c>
      <c r="K16" s="44">
        <v>186481</v>
      </c>
      <c r="L16" s="47"/>
      <c r="M16" s="44">
        <f t="shared" si="1"/>
        <v>-154233</v>
      </c>
    </row>
    <row r="17" spans="1:13" x14ac:dyDescent="0.3">
      <c r="A17" t="s">
        <v>360</v>
      </c>
      <c r="C17">
        <v>397</v>
      </c>
      <c r="D17" s="177" t="s">
        <v>371</v>
      </c>
      <c r="E17" s="1" t="s">
        <v>98</v>
      </c>
      <c r="F17" s="44">
        <f>PlantP2!F45</f>
        <v>4414551</v>
      </c>
      <c r="G17" s="44">
        <f>PlantP2!N45</f>
        <v>4657941</v>
      </c>
      <c r="H17" s="44"/>
      <c r="I17" s="159">
        <f t="shared" si="0"/>
        <v>5.5133579836318572E-2</v>
      </c>
      <c r="K17" s="44">
        <v>265490</v>
      </c>
      <c r="L17" s="47"/>
      <c r="M17" s="44">
        <f t="shared" si="1"/>
        <v>14637</v>
      </c>
    </row>
    <row r="18" spans="1:13" x14ac:dyDescent="0.3">
      <c r="A18" t="s">
        <v>360</v>
      </c>
      <c r="C18">
        <v>397</v>
      </c>
      <c r="D18" s="177" t="s">
        <v>371</v>
      </c>
      <c r="E18" s="1" t="s">
        <v>281</v>
      </c>
      <c r="F18" s="44">
        <f>PlantP2!F46</f>
        <v>1418281</v>
      </c>
      <c r="G18" s="44">
        <f>PlantP2!N46</f>
        <v>825465</v>
      </c>
      <c r="H18" s="44"/>
      <c r="I18" s="159">
        <f t="shared" si="0"/>
        <v>-0.41798205010149608</v>
      </c>
      <c r="K18" s="44">
        <v>16327</v>
      </c>
      <c r="L18" s="47"/>
      <c r="M18" s="44">
        <f t="shared" si="1"/>
        <v>-6824</v>
      </c>
    </row>
    <row r="19" spans="1:13" x14ac:dyDescent="0.3">
      <c r="A19" t="s">
        <v>361</v>
      </c>
      <c r="C19">
        <v>360</v>
      </c>
      <c r="D19" s="177">
        <v>403360</v>
      </c>
      <c r="E19" s="1" t="s">
        <v>325</v>
      </c>
      <c r="F19" s="45">
        <f>PlantP2!F54</f>
        <v>14732967</v>
      </c>
      <c r="G19" s="45">
        <f>-PlantP2!N54</f>
        <v>0</v>
      </c>
      <c r="H19" s="44"/>
      <c r="I19" s="159">
        <f t="shared" si="0"/>
        <v>-1</v>
      </c>
      <c r="K19" s="45">
        <v>219676</v>
      </c>
      <c r="L19" s="47"/>
      <c r="M19" s="45">
        <f t="shared" si="1"/>
        <v>-219676</v>
      </c>
    </row>
    <row r="20" spans="1:13" x14ac:dyDescent="0.3">
      <c r="F20" s="44">
        <f>SUM(F12:F19)</f>
        <v>129210776</v>
      </c>
      <c r="G20" s="44">
        <f>SUM(G12:G19)</f>
        <v>76276135</v>
      </c>
      <c r="I20" s="6"/>
      <c r="K20" s="6">
        <f>SUM(K12:K19)</f>
        <v>2683019</v>
      </c>
      <c r="L20" s="12"/>
      <c r="M20" s="51">
        <f>SUM(M12:M19)</f>
        <v>-815836</v>
      </c>
    </row>
    <row r="21" spans="1:13" x14ac:dyDescent="0.3">
      <c r="F21" s="80"/>
    </row>
    <row r="22" spans="1:13" x14ac:dyDescent="0.3">
      <c r="G22" s="1"/>
      <c r="K22" s="1" t="s">
        <v>382</v>
      </c>
      <c r="L22" s="1"/>
      <c r="M22" s="1" t="s">
        <v>386</v>
      </c>
    </row>
    <row r="23" spans="1:13" x14ac:dyDescent="0.3">
      <c r="C23" s="8" t="s">
        <v>339</v>
      </c>
      <c r="D23" s="1" t="s">
        <v>384</v>
      </c>
      <c r="E23" s="1"/>
      <c r="F23" s="1" t="s">
        <v>373</v>
      </c>
      <c r="G23" s="1" t="s">
        <v>373</v>
      </c>
      <c r="I23" s="52" t="s">
        <v>380</v>
      </c>
      <c r="K23" s="1" t="s">
        <v>385</v>
      </c>
      <c r="L23" s="1"/>
      <c r="M23" s="1" t="s">
        <v>276</v>
      </c>
    </row>
    <row r="24" spans="1:13" x14ac:dyDescent="0.3">
      <c r="A24" s="2" t="s">
        <v>383</v>
      </c>
      <c r="C24" s="10" t="s">
        <v>99</v>
      </c>
      <c r="D24" s="10" t="s">
        <v>99</v>
      </c>
      <c r="E24" s="10" t="s">
        <v>7</v>
      </c>
      <c r="F24" s="10" t="s">
        <v>382</v>
      </c>
      <c r="G24" s="183" t="s">
        <v>379</v>
      </c>
      <c r="I24" s="183" t="s">
        <v>381</v>
      </c>
      <c r="K24" s="183" t="s">
        <v>276</v>
      </c>
      <c r="L24" s="179"/>
      <c r="M24" s="10" t="s">
        <v>100</v>
      </c>
    </row>
    <row r="25" spans="1:13" x14ac:dyDescent="0.3">
      <c r="F25" s="52" t="s">
        <v>136</v>
      </c>
      <c r="G25" s="52" t="s">
        <v>137</v>
      </c>
      <c r="H25" s="1"/>
      <c r="I25" s="52" t="s">
        <v>489</v>
      </c>
      <c r="J25" s="1"/>
      <c r="K25" s="52" t="s">
        <v>490</v>
      </c>
      <c r="L25" s="8"/>
      <c r="M25" s="52" t="s">
        <v>491</v>
      </c>
    </row>
    <row r="26" spans="1:13" x14ac:dyDescent="0.3">
      <c r="A26" s="3" t="s">
        <v>378</v>
      </c>
      <c r="F26" s="80"/>
      <c r="L26" s="4"/>
    </row>
    <row r="27" spans="1:13" x14ac:dyDescent="0.3">
      <c r="A27" t="s">
        <v>300</v>
      </c>
      <c r="C27">
        <v>312</v>
      </c>
      <c r="D27" s="177" t="s">
        <v>368</v>
      </c>
      <c r="E27" s="1" t="s">
        <v>282</v>
      </c>
      <c r="F27" s="44">
        <f>F12</f>
        <v>11092551</v>
      </c>
      <c r="G27" s="44">
        <f>G12</f>
        <v>10529977</v>
      </c>
      <c r="H27" s="44"/>
      <c r="I27" s="159">
        <f>(G27-F27)/F27</f>
        <v>-5.071637714354435E-2</v>
      </c>
      <c r="K27" s="44">
        <v>-269127</v>
      </c>
      <c r="L27" s="47"/>
      <c r="M27" s="44">
        <f>ROUND(I27*K27,0)</f>
        <v>13649</v>
      </c>
    </row>
    <row r="28" spans="1:13" x14ac:dyDescent="0.3">
      <c r="A28" t="s">
        <v>300</v>
      </c>
      <c r="C28">
        <v>312</v>
      </c>
      <c r="D28" s="177" t="s">
        <v>369</v>
      </c>
      <c r="E28" s="1" t="s">
        <v>281</v>
      </c>
      <c r="F28" s="44">
        <f t="shared" ref="F28:G28" si="2">F13</f>
        <v>250000</v>
      </c>
      <c r="G28" s="44">
        <f t="shared" si="2"/>
        <v>545617</v>
      </c>
      <c r="H28" s="44"/>
      <c r="I28" s="159">
        <f t="shared" ref="I28:I34" si="3">(G28-F28)/F28</f>
        <v>1.1824680000000001</v>
      </c>
      <c r="K28" s="44">
        <v>-7748</v>
      </c>
      <c r="L28" s="47"/>
      <c r="M28" s="44">
        <f t="shared" ref="M28:M34" si="4">ROUND(I28*K28,0)</f>
        <v>-9162</v>
      </c>
    </row>
    <row r="29" spans="1:13" x14ac:dyDescent="0.3">
      <c r="A29" t="s">
        <v>307</v>
      </c>
      <c r="C29">
        <v>332</v>
      </c>
      <c r="D29" s="177" t="s">
        <v>369</v>
      </c>
      <c r="E29" s="1" t="s">
        <v>281</v>
      </c>
      <c r="F29" s="44">
        <f t="shared" ref="F29:G29" si="5">F14</f>
        <v>74403587</v>
      </c>
      <c r="G29" s="44">
        <f t="shared" si="5"/>
        <v>56338330</v>
      </c>
      <c r="H29" s="44"/>
      <c r="I29" s="159">
        <f t="shared" si="3"/>
        <v>-0.24280088808083944</v>
      </c>
      <c r="J29" s="194"/>
      <c r="K29" s="44">
        <v>-1757654</v>
      </c>
      <c r="L29" s="47"/>
      <c r="M29" s="44">
        <f t="shared" si="4"/>
        <v>426760</v>
      </c>
    </row>
    <row r="30" spans="1:13" x14ac:dyDescent="0.3">
      <c r="A30" t="s">
        <v>294</v>
      </c>
      <c r="C30">
        <v>355</v>
      </c>
      <c r="D30" s="177" t="s">
        <v>182</v>
      </c>
      <c r="E30" s="1" t="s">
        <v>282</v>
      </c>
      <c r="F30" s="44">
        <f t="shared" ref="F30:G30" si="6">F15</f>
        <v>3359989</v>
      </c>
      <c r="G30" s="44">
        <f t="shared" si="6"/>
        <v>0</v>
      </c>
      <c r="H30" s="44"/>
      <c r="I30" s="159">
        <f t="shared" si="3"/>
        <v>-1</v>
      </c>
      <c r="K30" s="44">
        <v>-35463</v>
      </c>
      <c r="L30" s="47"/>
      <c r="M30" s="44">
        <f t="shared" si="4"/>
        <v>35463</v>
      </c>
    </row>
    <row r="31" spans="1:13" x14ac:dyDescent="0.3">
      <c r="A31" t="s">
        <v>294</v>
      </c>
      <c r="C31">
        <v>355</v>
      </c>
      <c r="D31" s="177" t="s">
        <v>182</v>
      </c>
      <c r="E31" s="1" t="s">
        <v>281</v>
      </c>
      <c r="F31" s="44">
        <f t="shared" ref="F31:G31" si="7">F16</f>
        <v>19538850</v>
      </c>
      <c r="G31" s="44">
        <f t="shared" si="7"/>
        <v>3378805</v>
      </c>
      <c r="H31" s="44"/>
      <c r="I31" s="159">
        <f t="shared" si="3"/>
        <v>-0.82707247355908864</v>
      </c>
      <c r="K31" s="44">
        <v>-197467</v>
      </c>
      <c r="L31" s="47"/>
      <c r="M31" s="44">
        <f t="shared" si="4"/>
        <v>163320</v>
      </c>
    </row>
    <row r="32" spans="1:13" x14ac:dyDescent="0.3">
      <c r="A32" t="s">
        <v>360</v>
      </c>
      <c r="C32">
        <v>397</v>
      </c>
      <c r="D32" s="177" t="s">
        <v>370</v>
      </c>
      <c r="E32" s="1" t="s">
        <v>98</v>
      </c>
      <c r="F32" s="44">
        <f t="shared" ref="F32:G32" si="8">F17</f>
        <v>4414551</v>
      </c>
      <c r="G32" s="44">
        <f t="shared" si="8"/>
        <v>4657941</v>
      </c>
      <c r="H32" s="44"/>
      <c r="I32" s="159">
        <f t="shared" si="3"/>
        <v>5.5133579836318572E-2</v>
      </c>
      <c r="K32" s="44">
        <v>-276552</v>
      </c>
      <c r="L32" s="47"/>
      <c r="M32" s="44">
        <f t="shared" si="4"/>
        <v>-15247</v>
      </c>
    </row>
    <row r="33" spans="1:13" x14ac:dyDescent="0.3">
      <c r="A33" t="s">
        <v>360</v>
      </c>
      <c r="C33">
        <v>397</v>
      </c>
      <c r="D33" s="177" t="s">
        <v>370</v>
      </c>
      <c r="E33" s="1" t="s">
        <v>281</v>
      </c>
      <c r="F33" s="44">
        <f t="shared" ref="F33:G33" si="9">F18</f>
        <v>1418281</v>
      </c>
      <c r="G33" s="44">
        <f t="shared" si="9"/>
        <v>825465</v>
      </c>
      <c r="H33" s="44"/>
      <c r="I33" s="159">
        <f t="shared" si="3"/>
        <v>-0.41798205010149608</v>
      </c>
      <c r="K33" s="44">
        <v>-16327</v>
      </c>
      <c r="L33" s="47"/>
      <c r="M33" s="44">
        <f t="shared" si="4"/>
        <v>6824</v>
      </c>
    </row>
    <row r="34" spans="1:13" x14ac:dyDescent="0.3">
      <c r="A34" t="s">
        <v>361</v>
      </c>
      <c r="C34">
        <v>360</v>
      </c>
      <c r="D34" s="177">
        <v>108360</v>
      </c>
      <c r="E34" s="1" t="s">
        <v>325</v>
      </c>
      <c r="F34" s="45">
        <f t="shared" ref="F34:G34" si="10">F19</f>
        <v>14732967</v>
      </c>
      <c r="G34" s="45">
        <f t="shared" si="10"/>
        <v>0</v>
      </c>
      <c r="H34" s="44"/>
      <c r="I34" s="159">
        <f t="shared" si="3"/>
        <v>-1</v>
      </c>
      <c r="K34" s="45">
        <v>-219676</v>
      </c>
      <c r="L34" s="47"/>
      <c r="M34" s="45">
        <f t="shared" si="4"/>
        <v>219676</v>
      </c>
    </row>
    <row r="35" spans="1:13" x14ac:dyDescent="0.3">
      <c r="F35" s="44">
        <f>SUM(F27:F34)</f>
        <v>129210776</v>
      </c>
      <c r="G35" s="44">
        <f>SUM(G27:G34)</f>
        <v>76276135</v>
      </c>
      <c r="I35" s="6"/>
      <c r="K35" s="6">
        <f>SUM(K27:K34)</f>
        <v>-2780014</v>
      </c>
      <c r="L35" s="12"/>
      <c r="M35" s="51">
        <f>SUM(M27:M34)</f>
        <v>841283</v>
      </c>
    </row>
    <row r="36" spans="1:13" x14ac:dyDescent="0.3">
      <c r="A36" t="s">
        <v>12</v>
      </c>
    </row>
    <row r="37" spans="1:13" x14ac:dyDescent="0.3">
      <c r="A37" t="s">
        <v>492</v>
      </c>
    </row>
    <row r="38" spans="1:13" x14ac:dyDescent="0.3">
      <c r="A38" t="s">
        <v>493</v>
      </c>
    </row>
  </sheetData>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workbookViewId="0">
      <selection activeCell="C25" sqref="C25"/>
    </sheetView>
  </sheetViews>
  <sheetFormatPr defaultRowHeight="15.6" x14ac:dyDescent="0.3"/>
  <cols>
    <col min="1" max="1" width="4.59765625" customWidth="1"/>
    <col min="2" max="2" width="1.59765625" customWidth="1"/>
    <col min="3" max="3" width="35.5" customWidth="1"/>
    <col min="4" max="4" width="3.69921875" customWidth="1"/>
    <col min="5" max="5" width="12.19921875" customWidth="1"/>
    <col min="6" max="6" width="1" customWidth="1"/>
    <col min="7" max="7" width="13.19921875" customWidth="1"/>
    <col min="8" max="8" width="0.8984375" customWidth="1"/>
    <col min="9" max="9" width="12.5" customWidth="1"/>
    <col min="10" max="10" width="1" customWidth="1"/>
    <col min="11" max="11" width="9.09765625" customWidth="1"/>
    <col min="12" max="12" width="1" customWidth="1"/>
    <col min="13" max="13" width="12.5" customWidth="1"/>
  </cols>
  <sheetData>
    <row r="1" spans="1:13" x14ac:dyDescent="0.3">
      <c r="A1" t="s">
        <v>387</v>
      </c>
      <c r="I1" t="s">
        <v>554</v>
      </c>
      <c r="L1" s="95"/>
    </row>
    <row r="2" spans="1:13" x14ac:dyDescent="0.3">
      <c r="A2" t="s">
        <v>186</v>
      </c>
      <c r="I2" t="s">
        <v>567</v>
      </c>
      <c r="L2" s="95"/>
    </row>
    <row r="3" spans="1:13" x14ac:dyDescent="0.3">
      <c r="A3" t="s">
        <v>187</v>
      </c>
      <c r="I3" t="s">
        <v>545</v>
      </c>
      <c r="L3" s="95"/>
    </row>
    <row r="4" spans="1:13" x14ac:dyDescent="0.3">
      <c r="A4" t="s">
        <v>388</v>
      </c>
      <c r="I4" t="s">
        <v>559</v>
      </c>
      <c r="L4" s="95"/>
    </row>
    <row r="5" spans="1:13" x14ac:dyDescent="0.3">
      <c r="A5" t="s">
        <v>188</v>
      </c>
    </row>
    <row r="7" spans="1:13" x14ac:dyDescent="0.3">
      <c r="E7" s="8" t="s">
        <v>121</v>
      </c>
      <c r="G7" s="182" t="s">
        <v>394</v>
      </c>
    </row>
    <row r="8" spans="1:13" x14ac:dyDescent="0.3">
      <c r="A8" t="s">
        <v>0</v>
      </c>
      <c r="E8" s="1" t="s">
        <v>100</v>
      </c>
      <c r="F8" s="8"/>
      <c r="G8" s="181" t="s">
        <v>395</v>
      </c>
      <c r="H8" s="8"/>
      <c r="I8" s="8" t="s">
        <v>14</v>
      </c>
      <c r="J8" s="8"/>
      <c r="K8" s="8"/>
      <c r="L8" s="8"/>
      <c r="M8" s="8"/>
    </row>
    <row r="9" spans="1:13" x14ac:dyDescent="0.3">
      <c r="A9" s="2" t="s">
        <v>3</v>
      </c>
      <c r="C9" s="2" t="s">
        <v>1</v>
      </c>
      <c r="E9" s="11" t="s">
        <v>494</v>
      </c>
      <c r="F9" s="8"/>
      <c r="G9" s="176" t="s">
        <v>396</v>
      </c>
      <c r="H9" s="8"/>
      <c r="I9" s="11" t="s">
        <v>495</v>
      </c>
      <c r="J9" s="8"/>
      <c r="K9" s="19"/>
      <c r="L9" s="8"/>
      <c r="M9" s="8"/>
    </row>
    <row r="11" spans="1:13" x14ac:dyDescent="0.3">
      <c r="C11" s="3" t="s">
        <v>392</v>
      </c>
      <c r="E11" s="44"/>
      <c r="F11" s="44"/>
      <c r="G11" s="44"/>
      <c r="H11" s="44"/>
      <c r="I11" s="44"/>
      <c r="J11" s="44"/>
      <c r="K11" s="44"/>
      <c r="L11" s="44"/>
      <c r="M11" s="44"/>
    </row>
    <row r="12" spans="1:13" x14ac:dyDescent="0.3">
      <c r="A12">
        <v>1</v>
      </c>
      <c r="C12" t="s">
        <v>389</v>
      </c>
      <c r="E12" s="44">
        <f>-1771212</f>
        <v>-1771212</v>
      </c>
      <c r="F12" s="44"/>
      <c r="G12" s="193">
        <f>G25</f>
        <v>-0.5834606279911565</v>
      </c>
      <c r="H12" s="44"/>
      <c r="I12" s="44">
        <f>E12*G12</f>
        <v>1033432.4658254723</v>
      </c>
      <c r="J12" s="44"/>
      <c r="K12" s="44"/>
      <c r="L12" s="44"/>
      <c r="M12" s="44"/>
    </row>
    <row r="13" spans="1:13" x14ac:dyDescent="0.3">
      <c r="A13">
        <v>2</v>
      </c>
      <c r="C13" t="s">
        <v>390</v>
      </c>
      <c r="E13" s="44">
        <v>1920551</v>
      </c>
      <c r="F13" s="44"/>
      <c r="G13" s="193">
        <f>G25</f>
        <v>-0.5834606279911565</v>
      </c>
      <c r="H13" s="44"/>
      <c r="I13" s="45">
        <f>E13*G13</f>
        <v>-1120565.8925490435</v>
      </c>
      <c r="J13" s="44"/>
      <c r="K13" s="44"/>
      <c r="L13" s="44"/>
      <c r="M13" s="44"/>
    </row>
    <row r="14" spans="1:13" x14ac:dyDescent="0.3">
      <c r="A14">
        <v>3</v>
      </c>
      <c r="C14" t="s">
        <v>400</v>
      </c>
      <c r="E14" s="44"/>
      <c r="F14" s="44"/>
      <c r="G14" s="193"/>
      <c r="H14" s="44"/>
      <c r="I14" s="51">
        <f>SUM(I12:I13)</f>
        <v>-87133.426723571261</v>
      </c>
      <c r="J14" s="44"/>
      <c r="K14" s="44"/>
      <c r="L14" s="44"/>
      <c r="M14" s="44"/>
    </row>
    <row r="15" spans="1:13" x14ac:dyDescent="0.3">
      <c r="E15" s="44"/>
      <c r="F15" s="44"/>
      <c r="G15" s="44"/>
      <c r="H15" s="44"/>
      <c r="I15" s="44"/>
      <c r="J15" s="44"/>
      <c r="K15" s="44"/>
      <c r="L15" s="44"/>
      <c r="M15" s="44"/>
    </row>
    <row r="16" spans="1:13" x14ac:dyDescent="0.3">
      <c r="C16" s="3" t="s">
        <v>393</v>
      </c>
      <c r="E16" s="44"/>
      <c r="F16" s="44"/>
      <c r="G16" s="44"/>
      <c r="H16" s="44"/>
      <c r="I16" s="44"/>
      <c r="J16" s="44"/>
      <c r="K16" s="44"/>
      <c r="L16" s="44"/>
      <c r="M16" s="44"/>
    </row>
    <row r="17" spans="1:13" x14ac:dyDescent="0.3">
      <c r="A17">
        <v>4</v>
      </c>
      <c r="C17" t="s">
        <v>391</v>
      </c>
      <c r="E17" s="44">
        <f>-2559876</f>
        <v>-2559876</v>
      </c>
      <c r="F17" s="44"/>
      <c r="G17" s="193">
        <f>G25</f>
        <v>-0.5834606279911565</v>
      </c>
      <c r="H17" s="44"/>
      <c r="I17" s="45">
        <f>E17*G17</f>
        <v>1493586.8585394898</v>
      </c>
      <c r="J17" s="44"/>
      <c r="K17" s="44"/>
      <c r="L17" s="44"/>
      <c r="M17" s="44"/>
    </row>
    <row r="18" spans="1:13" x14ac:dyDescent="0.3">
      <c r="E18" s="44"/>
      <c r="F18" s="44"/>
      <c r="G18" s="44"/>
      <c r="H18" s="44"/>
      <c r="I18" s="44"/>
      <c r="J18" s="44"/>
      <c r="K18" s="44"/>
      <c r="L18" s="44"/>
      <c r="M18" s="44"/>
    </row>
    <row r="19" spans="1:13" x14ac:dyDescent="0.3">
      <c r="E19" s="44"/>
      <c r="F19" s="44"/>
      <c r="G19" s="44"/>
      <c r="H19" s="44"/>
      <c r="I19" s="44"/>
      <c r="J19" s="44"/>
      <c r="K19" s="44"/>
      <c r="L19" s="44"/>
      <c r="M19" s="44"/>
    </row>
    <row r="20" spans="1:13" x14ac:dyDescent="0.3">
      <c r="E20" s="44"/>
      <c r="F20" s="44"/>
      <c r="G20" s="44"/>
      <c r="H20" s="44"/>
      <c r="I20" s="44"/>
      <c r="J20" s="44"/>
      <c r="K20" s="44"/>
      <c r="L20" s="44"/>
      <c r="M20" s="44"/>
    </row>
    <row r="22" spans="1:13" x14ac:dyDescent="0.3">
      <c r="C22" s="3" t="s">
        <v>104</v>
      </c>
    </row>
    <row r="23" spans="1:13" x14ac:dyDescent="0.3">
      <c r="A23" t="s">
        <v>105</v>
      </c>
      <c r="C23" t="s">
        <v>397</v>
      </c>
      <c r="G23" s="6">
        <v>40424582</v>
      </c>
    </row>
    <row r="24" spans="1:13" x14ac:dyDescent="0.3">
      <c r="A24" t="s">
        <v>106</v>
      </c>
      <c r="C24" t="s">
        <v>398</v>
      </c>
      <c r="G24" s="39">
        <f>PlantP1!M20</f>
        <v>-23586152</v>
      </c>
      <c r="I24" t="s">
        <v>515</v>
      </c>
    </row>
    <row r="25" spans="1:13" x14ac:dyDescent="0.3">
      <c r="A25" t="s">
        <v>107</v>
      </c>
      <c r="C25" s="13" t="s">
        <v>399</v>
      </c>
      <c r="G25" s="159">
        <f>G24/G23</f>
        <v>-0.5834606279911565</v>
      </c>
    </row>
  </sheetData>
  <pageMargins left="0.7" right="0.7" top="0.75" bottom="0.75" header="0.3" footer="0.3"/>
  <pageSetup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C25" sqref="C25"/>
    </sheetView>
  </sheetViews>
  <sheetFormatPr defaultRowHeight="15.6" x14ac:dyDescent="0.3"/>
  <cols>
    <col min="1" max="1" width="4.59765625" customWidth="1"/>
    <col min="2" max="2" width="1.59765625" customWidth="1"/>
    <col min="3" max="3" width="28.59765625" customWidth="1"/>
    <col min="4" max="4" width="3.69921875" customWidth="1"/>
    <col min="5" max="5" width="8" customWidth="1"/>
    <col min="6" max="6" width="1" customWidth="1"/>
    <col min="7" max="7" width="12.3984375" customWidth="1"/>
    <col min="8" max="8" width="0.8984375" customWidth="1"/>
    <col min="9" max="9" width="7.5" customWidth="1"/>
    <col min="10" max="10" width="1" customWidth="1"/>
    <col min="11" max="11" width="9.09765625" customWidth="1"/>
    <col min="12" max="12" width="1" customWidth="1"/>
    <col min="13" max="13" width="12.5" customWidth="1"/>
  </cols>
  <sheetData>
    <row r="1" spans="1:13" x14ac:dyDescent="0.3">
      <c r="A1" t="s">
        <v>481</v>
      </c>
      <c r="K1" t="s">
        <v>554</v>
      </c>
      <c r="L1" s="7"/>
      <c r="M1" s="7"/>
    </row>
    <row r="2" spans="1:13" x14ac:dyDescent="0.3">
      <c r="A2" t="s">
        <v>186</v>
      </c>
      <c r="K2" t="s">
        <v>567</v>
      </c>
      <c r="L2" s="7"/>
      <c r="M2" s="7"/>
    </row>
    <row r="3" spans="1:13" x14ac:dyDescent="0.3">
      <c r="A3" t="s">
        <v>187</v>
      </c>
      <c r="K3" t="s">
        <v>544</v>
      </c>
      <c r="L3" s="7"/>
      <c r="M3" s="7"/>
    </row>
    <row r="4" spans="1:13" x14ac:dyDescent="0.3">
      <c r="A4" t="s">
        <v>277</v>
      </c>
      <c r="L4" s="7"/>
      <c r="M4" s="7"/>
    </row>
    <row r="5" spans="1:13" x14ac:dyDescent="0.3">
      <c r="A5" t="s">
        <v>188</v>
      </c>
      <c r="B5" s="7"/>
      <c r="C5" s="7"/>
      <c r="D5" s="7"/>
      <c r="E5" s="7"/>
      <c r="F5" s="7"/>
      <c r="G5" s="7"/>
      <c r="H5" s="7"/>
      <c r="I5" s="7"/>
      <c r="J5" s="7"/>
      <c r="K5" s="7"/>
      <c r="L5" s="7"/>
      <c r="M5" s="7"/>
    </row>
    <row r="6" spans="1:13" x14ac:dyDescent="0.3">
      <c r="A6" s="7"/>
      <c r="B6" s="7"/>
      <c r="C6" s="7"/>
      <c r="D6" s="15"/>
      <c r="E6" s="7"/>
      <c r="F6" s="7"/>
      <c r="G6" s="7"/>
      <c r="H6" s="7"/>
      <c r="I6" s="7"/>
      <c r="J6" s="7"/>
      <c r="K6" s="7"/>
      <c r="L6" s="7"/>
      <c r="M6" s="22"/>
    </row>
    <row r="7" spans="1:13" x14ac:dyDescent="0.3">
      <c r="A7" s="7"/>
      <c r="B7" s="7"/>
      <c r="C7" s="7"/>
      <c r="D7" s="7"/>
      <c r="E7" s="7"/>
      <c r="F7" s="7"/>
      <c r="G7" s="35"/>
      <c r="H7" s="35"/>
      <c r="I7" s="35"/>
      <c r="J7" s="35"/>
      <c r="K7" s="35"/>
      <c r="L7" s="36"/>
      <c r="M7" s="22"/>
    </row>
    <row r="8" spans="1:13" x14ac:dyDescent="0.3">
      <c r="A8" s="7"/>
      <c r="B8" s="7"/>
      <c r="C8" s="7"/>
      <c r="D8" s="7"/>
      <c r="E8" s="7"/>
      <c r="F8" s="7"/>
      <c r="G8" s="36"/>
      <c r="H8" s="36"/>
      <c r="I8" s="36"/>
      <c r="J8" s="36"/>
      <c r="K8" s="36"/>
      <c r="L8" s="36"/>
      <c r="M8" s="22"/>
    </row>
    <row r="9" spans="1:13" x14ac:dyDescent="0.3">
      <c r="A9" t="s">
        <v>0</v>
      </c>
      <c r="E9" s="1"/>
      <c r="F9" s="1"/>
      <c r="G9" s="1" t="s">
        <v>4</v>
      </c>
      <c r="H9" s="1"/>
      <c r="I9" s="1"/>
      <c r="J9" s="1"/>
      <c r="K9" s="1"/>
      <c r="L9" s="1"/>
      <c r="M9" s="1" t="s">
        <v>184</v>
      </c>
    </row>
    <row r="10" spans="1:13" x14ac:dyDescent="0.3">
      <c r="A10" s="2" t="s">
        <v>3</v>
      </c>
      <c r="C10" s="2" t="s">
        <v>1</v>
      </c>
      <c r="E10" s="10" t="s">
        <v>65</v>
      </c>
      <c r="F10" s="1"/>
      <c r="G10" s="10" t="s">
        <v>6</v>
      </c>
      <c r="H10" s="1"/>
      <c r="I10" s="10" t="s">
        <v>7</v>
      </c>
      <c r="J10" s="1"/>
      <c r="K10" s="11" t="s">
        <v>9</v>
      </c>
      <c r="L10" s="1"/>
      <c r="M10" s="10" t="s">
        <v>8</v>
      </c>
    </row>
    <row r="12" spans="1:13" x14ac:dyDescent="0.3">
      <c r="C12" s="3" t="s">
        <v>287</v>
      </c>
    </row>
    <row r="13" spans="1:13" x14ac:dyDescent="0.3">
      <c r="A13" s="22">
        <v>1</v>
      </c>
      <c r="B13" s="22"/>
      <c r="C13" s="82" t="s">
        <v>288</v>
      </c>
      <c r="D13" s="22"/>
      <c r="E13" s="83" t="s">
        <v>183</v>
      </c>
      <c r="F13" s="22"/>
      <c r="G13" s="42">
        <f>-K21</f>
        <v>-52369</v>
      </c>
      <c r="H13" s="40"/>
      <c r="I13" s="158" t="s">
        <v>281</v>
      </c>
      <c r="J13" s="41"/>
      <c r="K13" s="94">
        <v>0.23085</v>
      </c>
      <c r="L13" s="40"/>
      <c r="M13" s="43">
        <f>G13*K13</f>
        <v>-12089.38365</v>
      </c>
    </row>
    <row r="14" spans="1:13" x14ac:dyDescent="0.3">
      <c r="A14" s="22">
        <v>2</v>
      </c>
      <c r="B14" s="22"/>
      <c r="C14" t="s">
        <v>289</v>
      </c>
      <c r="D14" s="22"/>
      <c r="E14" s="83" t="s">
        <v>290</v>
      </c>
      <c r="F14" s="22"/>
      <c r="G14" s="42">
        <f>-K22</f>
        <v>-23672</v>
      </c>
      <c r="H14" s="40"/>
      <c r="I14" s="158" t="s">
        <v>281</v>
      </c>
      <c r="J14" s="41"/>
      <c r="K14" s="48">
        <f>K13</f>
        <v>0.23085</v>
      </c>
      <c r="L14" s="40"/>
      <c r="M14" s="43">
        <f t="shared" ref="M14:M15" si="0">G14*K14</f>
        <v>-5464.6812</v>
      </c>
    </row>
    <row r="15" spans="1:13" x14ac:dyDescent="0.3">
      <c r="A15">
        <v>3</v>
      </c>
      <c r="C15" t="s">
        <v>291</v>
      </c>
      <c r="E15" s="83" t="s">
        <v>292</v>
      </c>
      <c r="G15" s="49">
        <f>-K23</f>
        <v>-46219</v>
      </c>
      <c r="H15" s="40"/>
      <c r="I15" s="158" t="s">
        <v>282</v>
      </c>
      <c r="J15" s="41"/>
      <c r="K15" s="48">
        <v>0.22953999999999999</v>
      </c>
      <c r="L15" s="40"/>
      <c r="M15" s="49">
        <f t="shared" si="0"/>
        <v>-10609.109259999999</v>
      </c>
    </row>
    <row r="17" spans="1:13" x14ac:dyDescent="0.3">
      <c r="A17">
        <v>4</v>
      </c>
      <c r="C17" t="s">
        <v>154</v>
      </c>
      <c r="G17" s="39">
        <f>SUM(G13:G16)</f>
        <v>-122260</v>
      </c>
      <c r="M17" s="39">
        <f>SUM(M13:M16)</f>
        <v>-28163.17411</v>
      </c>
    </row>
    <row r="19" spans="1:13" x14ac:dyDescent="0.3">
      <c r="I19" s="1" t="s">
        <v>283</v>
      </c>
      <c r="K19" s="1" t="s">
        <v>283</v>
      </c>
    </row>
    <row r="20" spans="1:13" x14ac:dyDescent="0.3">
      <c r="C20" s="3" t="s">
        <v>104</v>
      </c>
      <c r="G20" s="34" t="s">
        <v>280</v>
      </c>
      <c r="I20" s="34" t="s">
        <v>284</v>
      </c>
      <c r="K20" s="34" t="s">
        <v>140</v>
      </c>
    </row>
    <row r="21" spans="1:13" x14ac:dyDescent="0.3">
      <c r="A21" t="s">
        <v>105</v>
      </c>
      <c r="C21" t="s">
        <v>279</v>
      </c>
      <c r="G21" s="44">
        <v>2992487</v>
      </c>
      <c r="I21" s="102">
        <v>1.7500000000000002E-2</v>
      </c>
      <c r="K21" s="44">
        <f>ROUND(G21*I21,0)</f>
        <v>52369</v>
      </c>
    </row>
    <row r="22" spans="1:13" x14ac:dyDescent="0.3">
      <c r="A22" t="s">
        <v>106</v>
      </c>
      <c r="C22" t="s">
        <v>285</v>
      </c>
      <c r="G22" s="44">
        <v>1610333</v>
      </c>
      <c r="I22" s="102">
        <v>1.47E-2</v>
      </c>
      <c r="K22" s="44">
        <f t="shared" ref="K22:K23" si="1">ROUND(G22*I22,0)</f>
        <v>23672</v>
      </c>
    </row>
    <row r="23" spans="1:13" x14ac:dyDescent="0.3">
      <c r="A23" t="s">
        <v>107</v>
      </c>
      <c r="C23" t="s">
        <v>286</v>
      </c>
      <c r="G23" s="44">
        <v>1966749</v>
      </c>
      <c r="I23" s="102">
        <v>2.35E-2</v>
      </c>
      <c r="K23" s="44">
        <f t="shared" si="1"/>
        <v>46219</v>
      </c>
    </row>
    <row r="24" spans="1:13" x14ac:dyDescent="0.3">
      <c r="C24" t="s">
        <v>496</v>
      </c>
    </row>
    <row r="27" spans="1:13" x14ac:dyDescent="0.3">
      <c r="C27" t="s">
        <v>5</v>
      </c>
    </row>
    <row r="29" spans="1:13" x14ac:dyDescent="0.3">
      <c r="C29" s="237" t="s">
        <v>278</v>
      </c>
      <c r="D29" s="238"/>
      <c r="E29" s="238"/>
      <c r="F29" s="238"/>
      <c r="G29" s="238"/>
      <c r="H29" s="238"/>
      <c r="I29" s="238"/>
      <c r="J29" s="238"/>
      <c r="K29" s="238"/>
      <c r="L29" s="238"/>
      <c r="M29" s="239"/>
    </row>
    <row r="30" spans="1:13" x14ac:dyDescent="0.3">
      <c r="C30" s="240"/>
      <c r="D30" s="241"/>
      <c r="E30" s="241"/>
      <c r="F30" s="241"/>
      <c r="G30" s="241"/>
      <c r="H30" s="241"/>
      <c r="I30" s="241"/>
      <c r="J30" s="241"/>
      <c r="K30" s="241"/>
      <c r="L30" s="241"/>
      <c r="M30" s="242"/>
    </row>
    <row r="31" spans="1:13" x14ac:dyDescent="0.3">
      <c r="C31" s="240"/>
      <c r="D31" s="241"/>
      <c r="E31" s="241"/>
      <c r="F31" s="241"/>
      <c r="G31" s="241"/>
      <c r="H31" s="241"/>
      <c r="I31" s="241"/>
      <c r="J31" s="241"/>
      <c r="K31" s="241"/>
      <c r="L31" s="241"/>
      <c r="M31" s="242"/>
    </row>
    <row r="32" spans="1:13" x14ac:dyDescent="0.3">
      <c r="C32" s="243"/>
      <c r="D32" s="244"/>
      <c r="E32" s="244"/>
      <c r="F32" s="244"/>
      <c r="G32" s="244"/>
      <c r="H32" s="244"/>
      <c r="I32" s="244"/>
      <c r="J32" s="244"/>
      <c r="K32" s="244"/>
      <c r="L32" s="244"/>
      <c r="M32" s="245"/>
    </row>
  </sheetData>
  <mergeCells count="1">
    <mergeCell ref="C29:M32"/>
  </mergeCells>
  <phoneticPr fontId="8" type="noConversion"/>
  <pageMargins left="0.75" right="0.75" top="1" bottom="1" header="0.5" footer="0.5"/>
  <pageSetup scale="9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2014-05-01T07:00:00+00:00</OpenedDate>
    <Date1 xmlns="dc463f71-b30c-4ab2-9473-d307f9d35888">2014-12-01T08:00:00+00:00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2554D1-3E99-4AF8-A140-E4F8421E9DC8}"/>
</file>

<file path=customXml/itemProps2.xml><?xml version="1.0" encoding="utf-8"?>
<ds:datastoreItem xmlns:ds="http://schemas.openxmlformats.org/officeDocument/2006/customXml" ds:itemID="{EA8A52AD-6F61-41D2-B00F-CC73B9E78CC3}"/>
</file>

<file path=customXml/itemProps3.xml><?xml version="1.0" encoding="utf-8"?>
<ds:datastoreItem xmlns:ds="http://schemas.openxmlformats.org/officeDocument/2006/customXml" ds:itemID="{A73B9C0C-6A9D-4551-9E54-FEAE50F85B1A}"/>
</file>

<file path=customXml/itemProps4.xml><?xml version="1.0" encoding="utf-8"?>
<ds:datastoreItem xmlns:ds="http://schemas.openxmlformats.org/officeDocument/2006/customXml" ds:itemID="{34A83132-0A27-4FD0-A952-C449B690E2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Summary</vt:lpstr>
      <vt:lpstr>RevReq</vt:lpstr>
      <vt:lpstr>ROO</vt:lpstr>
      <vt:lpstr>Adjustments</vt:lpstr>
      <vt:lpstr>PlantP1</vt:lpstr>
      <vt:lpstr>PlantP2</vt:lpstr>
      <vt:lpstr>PlantP3</vt:lpstr>
      <vt:lpstr>ADIT</vt:lpstr>
      <vt:lpstr>Retire</vt:lpstr>
      <vt:lpstr>LaborEscP1</vt:lpstr>
      <vt:lpstr>LaborEscP2</vt:lpstr>
      <vt:lpstr>EmployeeRed</vt:lpstr>
      <vt:lpstr>EmployeeP2</vt:lpstr>
      <vt:lpstr>EmployeeP3</vt:lpstr>
      <vt:lpstr>EmployeeP4</vt:lpstr>
      <vt:lpstr>PensionP1</vt:lpstr>
      <vt:lpstr>PensionP2</vt:lpstr>
      <vt:lpstr>OPEBp1</vt:lpstr>
      <vt:lpstr>OPEBp2</vt:lpstr>
      <vt:lpstr>IHS_ESC</vt:lpstr>
      <vt:lpstr>LiabP1</vt:lpstr>
      <vt:lpstr>LiabP2</vt:lpstr>
      <vt:lpstr>IntSyn</vt:lpstr>
      <vt:lpstr>ROR</vt:lpstr>
      <vt:lpstr>Adjustments!Print_Titles</vt:lpstr>
      <vt:lpstr>EmployeeP4!Print_Titles</vt:lpstr>
      <vt:lpstr>LaborEscP2!Print_Titles</vt:lpstr>
      <vt:lpstr>OPEBp2!Print_Titles</vt:lpstr>
      <vt:lpstr>PensionP2!Print_Titles</vt:lpstr>
    </vt:vector>
  </TitlesOfParts>
  <Company>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Mak, Chanda (ATG)</cp:lastModifiedBy>
  <cp:lastPrinted>2014-11-26T21:07:43Z</cp:lastPrinted>
  <dcterms:created xsi:type="dcterms:W3CDTF">1998-04-03T16:01:20Z</dcterms:created>
  <dcterms:modified xsi:type="dcterms:W3CDTF">2014-11-26T21:09:24Z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-483507097</vt:i4>
  </property>
  <property fmtid="{D5CDD505-2E9C-101B-9397-08002B2CF9AE}" pid="3" name="_NewReviewCycle">
    <vt:lpwstr/>
  </property>
  <property fmtid="{D5CDD505-2E9C-101B-9397-08002B2CF9AE}" pid="4" name="_EmailSubject">
    <vt:lpwstr>E-Filing:  UE-140762 et al PacifiCorp 2014 GRC - Revised Testimony of PC Witness D. Ramas - 10-17-14 (REDACTED) Email 1 of 2</vt:lpwstr>
  </property>
  <property fmtid="{D5CDD505-2E9C-101B-9397-08002B2CF9AE}" pid="5" name="_AuthorEmail">
    <vt:lpwstr>ChandaM@ATG.WA.GOV</vt:lpwstr>
  </property>
  <property fmtid="{D5CDD505-2E9C-101B-9397-08002B2CF9AE}" pid="6" name="_AuthorEmailDisplayName">
    <vt:lpwstr>Mak, Chanda (ATG)</vt:lpwstr>
  </property>
  <property fmtid="{D5CDD505-2E9C-101B-9397-08002B2CF9AE}" pid="7" name="_PreviousAdHocReviewCycleID">
    <vt:i4>-483507097</vt:i4>
  </property>
  <property fmtid="{D5CDD505-2E9C-101B-9397-08002B2CF9AE}" pid="8" name="_ReviewingToolsShownOnce">
    <vt:lpwstr/>
  </property>
  <property fmtid="{D5CDD505-2E9C-101B-9397-08002B2CF9AE}" pid="9" name="ContentTypeId">
    <vt:lpwstr>0x0101006E56B4D1795A2E4DB2F0B01679ED314A00F7932BF0E43BA441AC308742D5F08A91</vt:lpwstr>
  </property>
  <property fmtid="{D5CDD505-2E9C-101B-9397-08002B2CF9AE}" pid="10" name="_docset_NoMedatataSyncRequired">
    <vt:lpwstr>False</vt:lpwstr>
  </property>
</Properties>
</file>